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Historical Financials" sheetId="3" state="visible" r:id="rId5"/>
    <sheet name="Operating Model" sheetId="4" state="visible" r:id="rId6"/>
    <sheet name="Debt Schedule" sheetId="5" state="visible" r:id="rId7"/>
    <sheet name="Cash Flow" sheetId="6" state="visible" r:id="rId8"/>
    <sheet name="Credit Metrics" sheetId="7" state="visible" r:id="rId9"/>
    <sheet name="Scenarios" sheetId="8" state="visible" r:id="rId10"/>
    <sheet name="Capital Structure" sheetId="9" state="visible" r:id="rId11"/>
    <sheet name="Recovery" sheetId="10" state="visible" r:id="rId12"/>
    <sheet name="Returns" sheetId="11" state="visible" r:id="rId13"/>
    <sheet name="Sensitivities" sheetId="12" state="visible" r:id="rId14"/>
    <sheet name="Investment Summary" sheetId="13" state="visible" r:id="rId15"/>
    <sheet name="Sources" sheetId="14" state="visible" r:id="rId16"/>
    <sheet name="Calc Engine" sheetId="15" state="visible" r:id="rId17"/>
  </sheets>
  <definedNames>
    <definedName function="false" hidden="false" name="ActiveScenario" vbProcedure="false">Assumptions!$C$10</definedName>
    <definedName function="false" hidden="false" name="FaceValue" vbProcedure="false">Assumptions!$C$34</definedName>
    <definedName function="false" hidden="false" name="HoldPeriods" vbProcedure="false">Assumptions!$C$37</definedName>
    <definedName function="false" hidden="false" name="HurdleIRR" vbProcedure="false">Assumptions!$C$40</definedName>
    <definedName function="false" hidden="false" name="MinOperatingCash" vbProcedure="false">Assumptions!$C$12</definedName>
    <definedName function="false" hidden="false" name="PurchasePrice" vbProcedure="false">Assumptions!$C$35</definedName>
    <definedName function="false" hidden="false" name="RecoveryOverride" vbProcedure="false">Assumptions!$C$14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<sst xmlns="http://schemas.openxmlformats.org/spreadsheetml/2006/main" count="21879" uniqueCount="1077">
  <si>
    <t xml:space="preserve">CreditIQ — AMC Networks (AMC Global Media) credit underwriting model</t>
  </si>
  <si>
    <t xml:space="preserve">PUBLIC DATA CASE  ·  HYPOTHETICAL INVESTMENT TERMS  ·  $ in millions  ·  as of 2026-06-30</t>
  </si>
  <si>
    <t xml:space="preserve">Corporate credit — senior secured notes of a levered, declining linear-TV network</t>
  </si>
  <si>
    <t xml:space="preserve">Model status</t>
  </si>
  <si>
    <t xml:space="preserve">Active scenario</t>
  </si>
  <si>
    <t xml:space="preserve">Recommendation (rule-based; see Investment Summary)</t>
  </si>
  <si>
    <t xml:space="preserve">Colour conventions</t>
  </si>
  <si>
    <t xml:space="preserve">Blue on pale yellow</t>
  </si>
  <si>
    <t xml:space="preserve">Hardcoded input: sourced historical data, explicit assumption, scenario / transaction / macro input, covenant threshold, sensitivity axis, structural block parameter.</t>
  </si>
  <si>
    <t xml:space="preserve">Black</t>
  </si>
  <si>
    <t xml:space="preserve">Formula or calculation. No outputs, subtotals or metrics are hardcoded anywhere in this workbook.</t>
  </si>
  <si>
    <t xml:space="preserve">Green</t>
  </si>
  <si>
    <t xml:space="preserve">Direct link to a cell on another worksheet.</t>
  </si>
  <si>
    <t xml:space="preserve">Grey fill</t>
  </si>
  <si>
    <t xml:space="preserve">Labels and headers.</t>
  </si>
  <si>
    <t xml:space="preserve">Flow of logic</t>
  </si>
  <si>
    <t xml:space="preserve">Assumptions + Historical → Operating Model → Debt Schedule ↔ Cash Flow → Credit Metrics &amp; Covenants → Recovery → Returns → Sensitivities → Investment Summary</t>
  </si>
  <si>
    <t xml:space="preserve">Data classes</t>
  </si>
  <si>
    <t xml:space="preserve">PUBLIC FILING = reported inputs · ANALYST PROJECTION = scenario drivers · UNDERWRITING ASSUMPTION = hypothetical purchase price / terms · DEMO = fictional</t>
  </si>
  <si>
    <t xml:space="preserve">Tabs</t>
  </si>
  <si>
    <t xml:space="preserve">Assumptions</t>
  </si>
  <si>
    <t xml:space="preserve">All inputs, scenario drivers, covenants, selector</t>
  </si>
  <si>
    <t xml:space="preserve">Historical Financials</t>
  </si>
  <si>
    <t xml:space="preserve">Sourced statements; derived lines and LTM calculated</t>
  </si>
  <si>
    <t xml:space="preserve">Operating Model</t>
  </si>
  <si>
    <t xml:space="preserve">Income statement and FCF, history + projection</t>
  </si>
  <si>
    <t xml:space="preserve">Debt Schedule</t>
  </si>
  <si>
    <t xml:space="preserve">Per-tranche roll-forward, floors, PIK, refinancing test, sweep</t>
  </si>
  <si>
    <t xml:space="preserve">Cash Flow</t>
  </si>
  <si>
    <t xml:space="preserve">Cash waterfall, funding gap, default test</t>
  </si>
  <si>
    <t xml:space="preserve">Credit Metrics</t>
  </si>
  <si>
    <t xml:space="preserve">Ratios, covenant compliance, transparent credit score</t>
  </si>
  <si>
    <t xml:space="preserve">Scenarios</t>
  </si>
  <si>
    <t xml:space="preserve">Base / Downside / Severe side by side + reconciliation</t>
  </si>
  <si>
    <t xml:space="preserve">Capital Structure</t>
  </si>
  <si>
    <t xml:space="preserve">Tranches, leverage through the stack, maturity wall &amp; refinancing requirement</t>
  </si>
  <si>
    <t xml:space="preserve">Recovery</t>
  </si>
  <si>
    <t xml:space="preserve">Seniority waterfall with collateral pools and deficiency claims</t>
  </si>
  <si>
    <t xml:space="preserve">Returns</t>
  </si>
  <si>
    <t xml:space="preserve">Face, price, coupon, yield, recovery; IRR, XIRR, MOIC</t>
  </si>
  <si>
    <t xml:space="preserve">Sensitivities</t>
  </si>
  <si>
    <t xml:space="preserve">Seven formula-driven tables</t>
  </si>
  <si>
    <t xml:space="preserve">Investment Summary</t>
  </si>
  <si>
    <t xml:space="preserve">Live outputs, recommendation evidence, integrity checks</t>
  </si>
  <si>
    <t xml:space="preserve">Sources</t>
  </si>
  <si>
    <t xml:space="preserve">Datapoint register: filing, page, URL, model cell</t>
  </si>
  <si>
    <t xml:space="preserve">Calc Engine</t>
  </si>
  <si>
    <t xml:space="preserve">Supporting: 63 simultaneous model runs</t>
  </si>
  <si>
    <t xml:space="preserve">Validation: docs/MODEL_VALIDATION.md · Audit: scripts/audit_model.py · Change-impact harness: scripts/model_harness.py</t>
  </si>
  <si>
    <t xml:space="preserve">Assumptions — AMC Networks (AMC Global Media): all explicit inputs live on this tab</t>
  </si>
  <si>
    <t xml:space="preserve">PUBLIC DATA CASE · HYPOTHETICAL INVESTMENT TERMS · Blue on pale yellow = hardcoded input · Black = formula · Green = link to another sheet · $ in millions</t>
  </si>
  <si>
    <t xml:space="preserve">1. General &amp; model settings</t>
  </si>
  <si>
    <t xml:space="preserve">Company</t>
  </si>
  <si>
    <t xml:space="preserve">AMC Networks (AMC Global Media)</t>
  </si>
  <si>
    <t xml:space="preserve">Base period label (year in which the base / LTM period ends)</t>
  </si>
  <si>
    <t xml:space="preserve">Fiscal-period end month (12 = calendar FY; 6 = LTM June periods)</t>
  </si>
  <si>
    <t xml:space="preserve">As-of / entry date</t>
  </si>
  <si>
    <t xml:space="preserve">Cash tax rate on positive EBT</t>
  </si>
  <si>
    <t xml:space="preserve">% of EBT</t>
  </si>
  <si>
    <t xml:space="preserve">ACTIVE SCENARIO selector (1=Base, 2=Downside, 3=Severe)</t>
  </si>
  <si>
    <t xml:space="preserve">select 1 / 2 / 3</t>
  </si>
  <si>
    <t xml:space="preserve">Cash &amp; equivalents at base date (balance sheet)</t>
  </si>
  <si>
    <t xml:space="preserve">$M</t>
  </si>
  <si>
    <t xml:space="preserve">Minimum operating cash</t>
  </si>
  <si>
    <t xml:space="preserve">Cash sweep (% of excess cash applied to prepayable debt)</t>
  </si>
  <si>
    <t xml:space="preserve">%</t>
  </si>
  <si>
    <t xml:space="preserve">Recovery value override (leave blank = model-derived)</t>
  </si>
  <si>
    <t xml:space="preserve">$M, optional</t>
  </si>
  <si>
    <t xml:space="preserve">Administrative / DIP costs</t>
  </si>
  <si>
    <t xml:space="preserve">% of recovery value</t>
  </si>
  <si>
    <t xml:space="preserve">Accrued unpaid interest included in claims</t>
  </si>
  <si>
    <t xml:space="preserve">months</t>
  </si>
  <si>
    <t xml:space="preserve">Rank at which secured deficiency claims join general creditors</t>
  </si>
  <si>
    <t xml:space="preserve">Maturity alert window</t>
  </si>
  <si>
    <t xml:space="preserve">periods from base</t>
  </si>
  <si>
    <t xml:space="preserve">Materiality threshold for maturity alert</t>
  </si>
  <si>
    <t xml:space="preserve">% of total debt</t>
  </si>
  <si>
    <t xml:space="preserve">Concentration threshold (single-period maturities)</t>
  </si>
  <si>
    <t xml:space="preserve">Market-implied EV / EBITDA (analyst assumption)</t>
  </si>
  <si>
    <t xml:space="preserve">x</t>
  </si>
  <si>
    <t xml:space="preserve">Credit score: maturity-risk window</t>
  </si>
  <si>
    <t xml:space="preserve">periods</t>
  </si>
  <si>
    <t xml:space="preserve">2. Collateral / asset base (recovery &amp; LTV)</t>
  </si>
  <si>
    <t xml:space="preserve">Book value of program rights, receivables, PP&amp;E and intangibles at 2026-06-30 (derived from the 10-Q balance sheet); liquidation recovery on that base is an analyst assumption (30%).</t>
  </si>
  <si>
    <t xml:space="preserve">Program rights, net</t>
  </si>
  <si>
    <t xml:space="preserve">amcx.program_rights.2026-06-30</t>
  </si>
  <si>
    <t xml:space="preserve">Accounts receivable, trade</t>
  </si>
  <si>
    <t xml:space="preserve">amcx.ar.2026-06-30</t>
  </si>
  <si>
    <t xml:space="preserve">Property and equipment, net</t>
  </si>
  <si>
    <t xml:space="preserve">amcx.ppe.2026-06-30</t>
  </si>
  <si>
    <t xml:space="preserve">Intangible assets, net</t>
  </si>
  <si>
    <t xml:space="preserve">amcx.intangibles.2026-06-30</t>
  </si>
  <si>
    <t xml:space="preserve">Total asset base</t>
  </si>
  <si>
    <t xml:space="preserve">3. Transaction / position being underwritten  —  HYPOTHETICAL INVESTMENT TERMS</t>
  </si>
  <si>
    <t xml:space="preserve">Target tranche # (row in the debt table below)</t>
  </si>
  <si>
    <t xml:space="preserve">Face value held (legal claim)</t>
  </si>
  <si>
    <t xml:space="preserve">Purchase price / OID (UNDERWRITING ASSUMPTION)</t>
  </si>
  <si>
    <t xml:space="preserve">% of face</t>
  </si>
  <si>
    <t xml:space="preserve">Transaction fees</t>
  </si>
  <si>
    <t xml:space="preserve">% of cost</t>
  </si>
  <si>
    <t xml:space="preserve">Hold period (whole years, 1-5)</t>
  </si>
  <si>
    <t xml:space="preserve">Coupon payments per year on target tranche (contractual-timing cross-check only)</t>
  </si>
  <si>
    <t xml:space="preserve">per year</t>
  </si>
  <si>
    <t xml:space="preserve">Default → recovery cash receipt lag</t>
  </si>
  <si>
    <t xml:space="preserve">Required IRR (hurdle)</t>
  </si>
  <si>
    <t xml:space="preserve">Minimum acceptable downside IRR</t>
  </si>
  <si>
    <t xml:space="preserve">Minimum yield to maturity</t>
  </si>
  <si>
    <t xml:space="preserve">Maximum net leverage (net debt / EBITDA)</t>
  </si>
  <si>
    <t xml:space="preserve">Minimum downside recovery</t>
  </si>
  <si>
    <t xml:space="preserve">Minimum covenant headroom (base case)</t>
  </si>
  <si>
    <t xml:space="preserve">Decision rule: secondary test failures tolerated for PROCEED</t>
  </si>
  <si>
    <t xml:space="preserve">count</t>
  </si>
  <si>
    <t xml:space="preserve">Decision rule: core test failures that force PASS</t>
  </si>
  <si>
    <t xml:space="preserve">Unresolved high-priority diligence items (from the CreditIQ diligence tracker)</t>
  </si>
  <si>
    <t xml:space="preserve">4. Macro assumptions</t>
  </si>
  <si>
    <t xml:space="preserve">Model period</t>
  </si>
  <si>
    <t xml:space="preserve">Base rate (SOFR) curve — FRED SOFR 3.90% on 2026-10-06; path is an assumption</t>
  </si>
  <si>
    <t xml:space="preserve">% p.a.</t>
  </si>
  <si>
    <t xml:space="preserve">5. Debt tranches (list in order of cash-repayment priority; rank 1 = most senior, equal rank = pari passu)</t>
  </si>
  <si>
    <t xml:space="preserve">Facility</t>
  </si>
  <si>
    <t xml:space="preserve">Type</t>
  </si>
  <si>
    <t xml:space="preserve">Face / principal $M</t>
  </si>
  <si>
    <t xml:space="preserve">Commit. $M</t>
  </si>
  <si>
    <t xml:space="preserve">Fixed coupon</t>
  </si>
  <si>
    <t xml:space="preserve">Spread (floating)</t>
  </si>
  <si>
    <t xml:space="preserve">SOFR floor</t>
  </si>
  <si>
    <t xml:space="preserve">PIK rate</t>
  </si>
  <si>
    <t xml:space="preserve">Floating (1/0)</t>
  </si>
  <si>
    <t xml:space="preserve">Maturity date</t>
  </si>
  <si>
    <t xml:space="preserve">Maturity period</t>
  </si>
  <si>
    <t xml:space="preserve">Amort. % orig</t>
  </si>
  <si>
    <t xml:space="preserve">Rank</t>
  </si>
  <si>
    <t xml:space="preserve">Prepay (1/0)</t>
  </si>
  <si>
    <t xml:space="preserve">Secured (1/0)</t>
  </si>
  <si>
    <t xml:space="preserve">Revolver (1/0)</t>
  </si>
  <si>
    <t xml:space="preserve">Collateral share</t>
  </si>
  <si>
    <t xml:space="preserve">Mark / price</t>
  </si>
  <si>
    <t xml:space="preserve">Call protection / collateral</t>
  </si>
  <si>
    <t xml:space="preserve">10.50% Senior Secured Notes due 2032</t>
  </si>
  <si>
    <t xml:space="preserve">senior_notes</t>
  </si>
  <si>
    <t xml:space="preserve">Non-call to 2028-07-15; 105.250% in 2028, 102.625% in 2029, par from 2030 (10-K Note 9) | First-priority lien on substantially all assets of AMC Networks and guarantors</t>
  </si>
  <si>
    <t xml:space="preserve">4.25% Senior Notes due 2029</t>
  </si>
  <si>
    <t xml:space="preserve">unsecured_notes</t>
  </si>
  <si>
    <t xml:space="preserve">Unsecured (guaranteed by domestic restricted subsidiaries)</t>
  </si>
  <si>
    <t xml:space="preserve">4.25% Convertible Senior Notes due 2029</t>
  </si>
  <si>
    <t xml:space="preserve">convertible</t>
  </si>
  <si>
    <t xml:space="preserve">Unsecured; convertible at 78.5083 Class A shares per $1,000</t>
  </si>
  <si>
    <t xml:space="preserve">Floating tranches: all-in rate = MAX(SOFR, floor) + spread + scenario shock. Fixed: coupon. Interest accrues on beginning balances (no circularity). Maturity period = YEAR(date) + 1 if month &gt; period-end month.</t>
  </si>
  <si>
    <t xml:space="preserve">6. Covenants (thresholds per model period). Disclosed = in issuer documents; Hypothetical = UNDERWRITING ASSUMPTION; inactive covenants are shown for reference only</t>
  </si>
  <si>
    <t xml:space="preserve">Covenant</t>
  </si>
  <si>
    <t xml:space="preserve">Basis</t>
  </si>
  <si>
    <t xml:space="preserve">Active (1/0)</t>
  </si>
  <si>
    <t xml:space="preserve">Reported ratio</t>
  </si>
  <si>
    <t xml:space="preserve">Credit agreement: max total net leverage (5.75x to 3/31/26, then 5.50x) — TERMINATED 2026-05-12</t>
  </si>
  <si>
    <t xml:space="preserve">maxNetLeverage</t>
  </si>
  <si>
    <t xml:space="preserve">disclosed</t>
  </si>
  <si>
    <t xml:space="preserve">Credit agreement: min interest coverage (1.50x; 1.75x from 12/31/28) — TERMINATED 2026-05-12</t>
  </si>
  <si>
    <t xml:space="preserve">minInterestCoverage</t>
  </si>
  <si>
    <t xml:space="preserve">Hypothetical maintenance covenant: max net leverage (AOI basis)</t>
  </si>
  <si>
    <t xml:space="preserve">hypothetical</t>
  </si>
  <si>
    <t xml:space="preserve">Hypothetical maintenance covenant: min interest coverage (AOI / interest)</t>
  </si>
  <si>
    <t xml:space="preserve">Hypothetical maintenance covenant: min liquidity ($M)</t>
  </si>
  <si>
    <t xml:space="preserve">minLiquidity</t>
  </si>
  <si>
    <t xml:space="preserve">7. Scenario assumptions (selected via ACTIVE SCENARIO; all three run simultaneously on Calc Engine)</t>
  </si>
  <si>
    <t xml:space="preserve">Base Case</t>
  </si>
  <si>
    <t xml:space="preserve">Revenue growth</t>
  </si>
  <si>
    <t xml:space="preserve">Gross margin</t>
  </si>
  <si>
    <t xml:space="preserve">EBITDA margin</t>
  </si>
  <si>
    <t xml:space="preserve">Net asset-sale proceeds ($M)</t>
  </si>
  <si>
    <t xml:space="preserve">Capex</t>
  </si>
  <si>
    <t xml:space="preserve">% of revenue</t>
  </si>
  <si>
    <t xml:space="preserve">Working-capital investment</t>
  </si>
  <si>
    <t xml:space="preserve">% of Δ revenue</t>
  </si>
  <si>
    <t xml:space="preserve">Other cash items (+ outflow; incl. distributions, programming timing)</t>
  </si>
  <si>
    <t xml:space="preserve">Floating-rate shock</t>
  </si>
  <si>
    <t xml:space="preserve">% added to floating rates</t>
  </si>
  <si>
    <t xml:space="preserve">Refinancing rate (post-maturity)</t>
  </si>
  <si>
    <t xml:space="preserve">Market access: max net leverage to refinance</t>
  </si>
  <si>
    <t xml:space="preserve">Market access: min EBITDA / pro-forma interest</t>
  </si>
  <si>
    <t xml:space="preserve">Exit EV / EBITDA multiple</t>
  </si>
  <si>
    <t xml:space="preserve">Exit price if no default (cap, % of face)</t>
  </si>
  <si>
    <t xml:space="preserve">Distressed EV / EBITDA multiple (going concern)</t>
  </si>
  <si>
    <t xml:space="preserve">Asset value decline</t>
  </si>
  <si>
    <t xml:space="preserve">Liquidation recovery on asset base</t>
  </si>
  <si>
    <t xml:space="preserve">Scenario probability</t>
  </si>
  <si>
    <t xml:space="preserve">Downside</t>
  </si>
  <si>
    <t xml:space="preserve">Severe Downside</t>
  </si>
  <si>
    <t xml:space="preserve">Probabilities sum to</t>
  </si>
  <si>
    <t xml:space="preserve">8. Credit score methodology (transparent, linear between thresholds)</t>
  </si>
  <si>
    <t xml:space="preserve">Factor</t>
  </si>
  <si>
    <t xml:space="preserve">Unit</t>
  </si>
  <si>
    <t xml:space="preserve">Weight</t>
  </si>
  <si>
    <t xml:space="preserve">Best (full pts)</t>
  </si>
  <si>
    <t xml:space="preserve">Worst (0 pts)</t>
  </si>
  <si>
    <t xml:space="preserve">Net leverage</t>
  </si>
  <si>
    <t xml:space="preserve">Interest coverage</t>
  </si>
  <si>
    <t xml:space="preserve">x EBITDA/int</t>
  </si>
  <si>
    <t xml:space="preserve">Liquidity / next-period obligations</t>
  </si>
  <si>
    <t xml:space="preserve">FCF / debt</t>
  </si>
  <si>
    <t xml:space="preserve">Debt maturing within window</t>
  </si>
  <si>
    <t xml:space="preserve">% of debt</t>
  </si>
  <si>
    <t xml:space="preserve">Margin stability (σ)</t>
  </si>
  <si>
    <t xml:space="preserve">pts</t>
  </si>
  <si>
    <t xml:space="preserve">Revenue stability (σ)</t>
  </si>
  <si>
    <t xml:space="preserve">Asset coverage</t>
  </si>
  <si>
    <t xml:space="preserve">x debt</t>
  </si>
  <si>
    <t xml:space="preserve">Industry risk factor (0-1; analyst input)</t>
  </si>
  <si>
    <t xml:space="preserve">0-1</t>
  </si>
  <si>
    <t xml:space="preserve">Industry risk factor for this company (analyst input)</t>
  </si>
  <si>
    <t xml:space="preserve">Weights sum to</t>
  </si>
  <si>
    <t xml:space="preserve">9. Risk bands</t>
  </si>
  <si>
    <t xml:space="preserve">Low risk if score ≥</t>
  </si>
  <si>
    <t xml:space="preserve">Moderate if ≥</t>
  </si>
  <si>
    <t xml:space="preserve">Elevated if ≥ (else High)</t>
  </si>
  <si>
    <t xml:space="preserve">Historical Financials — AMC Networks (AMC Global Media)</t>
  </si>
  <si>
    <t xml:space="preserve">PUBLIC FILING data (blue = reported inputs, each traced to a datapoint on the Sources tab). All subtotals, EBITDA, EBIT, net income, FCF and LTM columns are formulas.</t>
  </si>
  <si>
    <t xml:space="preserve">US$ millions</t>
  </si>
  <si>
    <t xml:space="preserve">FY2023A</t>
  </si>
  <si>
    <t xml:space="preserve">FY2024A</t>
  </si>
  <si>
    <t xml:space="preserve">FY2025A</t>
  </si>
  <si>
    <t xml:space="preserve">H1-25A</t>
  </si>
  <si>
    <t xml:space="preserve">H1-26A</t>
  </si>
  <si>
    <t xml:space="preserve">LTM Jun-26</t>
  </si>
  <si>
    <t xml:space="preserve">Source datapoint IDs (see Sources tab)</t>
  </si>
  <si>
    <t xml:space="preserve">A. Reported inputs</t>
  </si>
  <si>
    <t xml:space="preserve">Revenues, net</t>
  </si>
  <si>
    <t xml:space="preserve">amcx.revenue.* (5 datapoints)</t>
  </si>
  <si>
    <t xml:space="preserve">Technical and operating (excl. D&amp;A)</t>
  </si>
  <si>
    <t xml:space="preserve">amcx.direct_costs.* (5 datapoints)</t>
  </si>
  <si>
    <t xml:space="preserve">Selling, general and administrative</t>
  </si>
  <si>
    <t xml:space="preserve">amcx.sga.* (5 datapoints)</t>
  </si>
  <si>
    <t xml:space="preserve">Share-based compensation (AOI add-back)</t>
  </si>
  <si>
    <t xml:space="preserve">amcx.sbc.* (5 datapoints)</t>
  </si>
  <si>
    <t xml:space="preserve">Cloud computing amortization (AOI add-back)</t>
  </si>
  <si>
    <t xml:space="preserve">amcx.cloud_amort.* (5 datapoints)</t>
  </si>
  <si>
    <t xml:space="preserve">Majority-owned equity-investee AOI (AOI add-back)</t>
  </si>
  <si>
    <t xml:space="preserve">amcx.jv_aoi.* (5 datapoints)</t>
  </si>
  <si>
    <t xml:space="preserve">Depreciation and amortization</t>
  </si>
  <si>
    <t xml:space="preserve">amcx.da.* (5 datapoints)</t>
  </si>
  <si>
    <t xml:space="preserve">Interest expense</t>
  </si>
  <si>
    <t xml:space="preserve">amcx.interest_expense.* (5 datapoints)</t>
  </si>
  <si>
    <t xml:space="preserve">Income tax expense (benefit)</t>
  </si>
  <si>
    <t xml:space="preserve">amcx.taxes.* (5 datapoints)</t>
  </si>
  <si>
    <t xml:space="preserve">Net cash provided by operating activities</t>
  </si>
  <si>
    <t xml:space="preserve">amcx.cfo.* (5 datapoints)</t>
  </si>
  <si>
    <t xml:space="preserve">Capital expenditures</t>
  </si>
  <si>
    <t xml:space="preserve">amcx.capex.* (5 datapoints)</t>
  </si>
  <si>
    <t xml:space="preserve">Impairment and other charges (memo, excluded from EBITDA)</t>
  </si>
  <si>
    <t xml:space="preserve">amcx.impairment.* (3 datapoints)</t>
  </si>
  <si>
    <t xml:space="preserve">Restructuring and other related charges (memo, excluded)</t>
  </si>
  <si>
    <t xml:space="preserve">amcx.restructuring.* (5 datapoints)</t>
  </si>
  <si>
    <t xml:space="preserve">Cash interest paid (memo)</t>
  </si>
  <si>
    <t xml:space="preserve">amcx.cash_interest.* (5 datapoints)</t>
  </si>
  <si>
    <t xml:space="preserve">Adjusted operating income — company reported (check)</t>
  </si>
  <si>
    <t xml:space="preserve">amcx.aoi_reported.* (5 datapoints)</t>
  </si>
  <si>
    <t xml:space="preserve">B. Standardized statements (calculated)</t>
  </si>
  <si>
    <t xml:space="preserve">Revenue</t>
  </si>
  <si>
    <t xml:space="preserve">Direct costs / COGS</t>
  </si>
  <si>
    <t xml:space="preserve">Gross profit (NOI for real estate)</t>
  </si>
  <si>
    <t xml:space="preserve">Operating expenses, cash &amp; adjusted (excl. D&amp;A and non-cash add-backs)</t>
  </si>
  <si>
    <t xml:space="preserve">EBITDA (company-adjusted basis)</t>
  </si>
  <si>
    <t xml:space="preserve">Depreciation &amp; amortization</t>
  </si>
  <si>
    <t xml:space="preserve">Share-based compensation (non-cash add-back)</t>
  </si>
  <si>
    <t xml:space="preserve">EBIT (EBITDA − D&amp;A − SBC)</t>
  </si>
  <si>
    <t xml:space="preserve">EBT</t>
  </si>
  <si>
    <t xml:space="preserve">Income taxes</t>
  </si>
  <si>
    <t xml:space="preserve">Net income (model basis; excludes impairments and one-offs)</t>
  </si>
  <si>
    <t xml:space="preserve">Capex (incl. leasing costs where applicable)</t>
  </si>
  <si>
    <t xml:space="preserve">Net cash provided by operating activities (reported)</t>
  </si>
  <si>
    <t xml:space="preserve">Free cash flow (CFO − capex)</t>
  </si>
  <si>
    <t xml:space="preserve">Δ working capital &amp; other (derived plug: NI + D&amp;A + SBC − capex − FCF)</t>
  </si>
  <si>
    <t xml:space="preserve">C. Ratios &amp; checks (calculated)</t>
  </si>
  <si>
    <t xml:space="preserve">Revenue growth (YoY)</t>
  </si>
  <si>
    <t xml:space="preserve">EBITDA growth (YoY)</t>
  </si>
  <si>
    <t xml:space="preserve">Check: Calculated AOI vs company-reported AOI (should be 0.000)</t>
  </si>
  <si>
    <t xml:space="preserve">Operating Model — selected scenario (assumptions → statements)</t>
  </si>
  <si>
    <t xml:space="preserve">LTM Jun-27E</t>
  </si>
  <si>
    <t xml:space="preserve">LTM Jun-28E</t>
  </si>
  <si>
    <t xml:space="preserve">LTM Jun-29E</t>
  </si>
  <si>
    <t xml:space="preserve">LTM Jun-30E</t>
  </si>
  <si>
    <t xml:space="preserve">LTM Jun-31E</t>
  </si>
  <si>
    <t xml:space="preserve">Operating drivers (selected scenario → Assumptions)</t>
  </si>
  <si>
    <t xml:space="preserve">Model period (year in which the period ends)</t>
  </si>
  <si>
    <t xml:space="preserve">Projection period #</t>
  </si>
  <si>
    <t xml:space="preserve">Income statement ($M)</t>
  </si>
  <si>
    <t xml:space="preserve">Operating expenses (implied: gross profit − EBITDA)</t>
  </si>
  <si>
    <t xml:space="preserve">EBITDA</t>
  </si>
  <si>
    <t xml:space="preserve">D&amp;A</t>
  </si>
  <si>
    <t xml:space="preserve">Share-based compensation (non-cash)</t>
  </si>
  <si>
    <t xml:space="preserve">EBIT</t>
  </si>
  <si>
    <t xml:space="preserve">  Cash interest expense (Debt Schedule)</t>
  </si>
  <si>
    <t xml:space="preserve">  PIK interest (non-cash)</t>
  </si>
  <si>
    <t xml:space="preserve">Taxes</t>
  </si>
  <si>
    <t xml:space="preserve">Net income (model basis)</t>
  </si>
  <si>
    <t xml:space="preserve">Free cash flow build ($M)</t>
  </si>
  <si>
    <t xml:space="preserve">Working capital &amp; other cash items (+ = outflow)</t>
  </si>
  <si>
    <t xml:space="preserve">Free cash flow (NI + D&amp;A + SBC + PIK − capex − ΔNWC/other)</t>
  </si>
  <si>
    <t xml:space="preserve">Debt Schedule — tranche roll-forward, rates, PIK, refinancing test, cash sweep</t>
  </si>
  <si>
    <t xml:space="preserve">Rates &amp; market-access (refinancing) test</t>
  </si>
  <si>
    <t xml:space="preserve">Base rate (SOFR)</t>
  </si>
  <si>
    <t xml:space="preserve">Floating-rate shock (selected scenario)</t>
  </si>
  <si>
    <t xml:space="preserve">Refinancing rate (selected scenario)</t>
  </si>
  <si>
    <t xml:space="preserve">Max net leverage to refinance</t>
  </si>
  <si>
    <t xml:space="preserve">Min pro-forma coverage to refinance</t>
  </si>
  <si>
    <t xml:space="preserve">Beginning total debt</t>
  </si>
  <si>
    <t xml:space="preserve">Beginning cash</t>
  </si>
  <si>
    <t xml:space="preserve">Pro-forma interest for refinancing test</t>
  </si>
  <si>
    <t xml:space="preserve">Market access to refinance? (1 = yes)</t>
  </si>
  <si>
    <t xml:space="preserve">Tranche 1: 10.50% Senior Secured Notes due 2032</t>
  </si>
  <si>
    <t xml:space="preserve">  Beginning balance</t>
  </si>
  <si>
    <t xml:space="preserve">  Maturing this period? (1 = yes)</t>
  </si>
  <si>
    <t xml:space="preserve">  All-in interest rate applied</t>
  </si>
  <si>
    <t xml:space="preserve">  Cash interest expense</t>
  </si>
  <si>
    <t xml:space="preserve">  PIK interest</t>
  </si>
  <si>
    <t xml:space="preserve">  Mandatory amortization</t>
  </si>
  <si>
    <t xml:space="preserve">  New borrowing (revolver draw)</t>
  </si>
  <si>
    <t xml:space="preserve">  Repayment at maturity (from available cash)</t>
  </si>
  <si>
    <t xml:space="preserve">  Optional repayment (cash sweep)</t>
  </si>
  <si>
    <t xml:space="preserve">  Unpaid at maturity (no refinancing, insufficient cash)</t>
  </si>
  <si>
    <t xml:space="preserve">  Ending balance</t>
  </si>
  <si>
    <t xml:space="preserve">Tranche 2: 4.25% Senior Notes due 2029</t>
  </si>
  <si>
    <t xml:space="preserve">Tranche 3: 4.25% Convertible Senior Notes due 2029</t>
  </si>
  <si>
    <t xml:space="preserve">Totals</t>
  </si>
  <si>
    <t xml:space="preserve">Total debt — ending</t>
  </si>
  <si>
    <t xml:space="preserve">Contractual maturities by period (from maturity flags)</t>
  </si>
  <si>
    <t xml:space="preserve">Refinancing risk engine — result per maturing tranche</t>
  </si>
  <si>
    <t xml:space="preserve">  Tranche 1: balance at maturity</t>
  </si>
  <si>
    <t xml:space="preserve">  Tranche 1: repaid from cash at maturity</t>
  </si>
  <si>
    <t xml:space="preserve">  Tranche 1: refinancing test</t>
  </si>
  <si>
    <t xml:space="preserve">  Tranche 1: resolution</t>
  </si>
  <si>
    <t xml:space="preserve">  Tranche 2: balance at maturity</t>
  </si>
  <si>
    <t xml:space="preserve">  Tranche 2: repaid from cash at maturity</t>
  </si>
  <si>
    <t xml:space="preserve">  Tranche 2: refinancing test</t>
  </si>
  <si>
    <t xml:space="preserve">  Tranche 2: resolution</t>
  </si>
  <si>
    <t xml:space="preserve">  Tranche 3: balance at maturity</t>
  </si>
  <si>
    <t xml:space="preserve">  Tranche 3: repaid from cash at maturity</t>
  </si>
  <si>
    <t xml:space="preserve">  Tranche 3: refinancing test</t>
  </si>
  <si>
    <t xml:space="preserve">  Tranche 3: resolution</t>
  </si>
  <si>
    <t xml:space="preserve">Refinancing failures (count of maturing tranches)</t>
  </si>
  <si>
    <t xml:space="preserve">Cash Flow &amp; Liquidity — cash waterfall and default test</t>
  </si>
  <si>
    <t xml:space="preserve">Cash flow &amp; liquidity waterfall ($M)</t>
  </si>
  <si>
    <t xml:space="preserve">Free cash flow (from Operating Model)</t>
  </si>
  <si>
    <t xml:space="preserve">Plus: net asset-sale proceeds</t>
  </si>
  <si>
    <t xml:space="preserve">Less: mandatory amortization</t>
  </si>
  <si>
    <t xml:space="preserve">Cash after mandatory debt service</t>
  </si>
  <si>
    <t xml:space="preserve">Plus: revolver draw</t>
  </si>
  <si>
    <t xml:space="preserve">Cash available for maturities</t>
  </si>
  <si>
    <t xml:space="preserve">Less: repayment of maturing debt</t>
  </si>
  <si>
    <t xml:space="preserve">Cash before sweep</t>
  </si>
  <si>
    <t xml:space="preserve">Funding gap (shortfall after cash &amp; revolver)</t>
  </si>
  <si>
    <t xml:space="preserve">Excess cash available for sweep</t>
  </si>
  <si>
    <t xml:space="preserve">Less: optional repayment (cash sweep)</t>
  </si>
  <si>
    <t xml:space="preserve">Ending cash</t>
  </si>
  <si>
    <t xml:space="preserve">Unpaid maturities (balance left outstanding)</t>
  </si>
  <si>
    <t xml:space="preserve">Payment default? (1 = yes)</t>
  </si>
  <si>
    <t xml:space="preserve">First default period flag</t>
  </si>
  <si>
    <t xml:space="preserve">Check: Δ debt = draws + PIK − repayments</t>
  </si>
  <si>
    <t xml:space="preserve">Credit Metrics, Covenants &amp; Credit Score</t>
  </si>
  <si>
    <t xml:space="preserve">Credit metrics (selected scenario)</t>
  </si>
  <si>
    <t xml:space="preserve">Total debt (face value)</t>
  </si>
  <si>
    <t xml:space="preserve">Secured debt</t>
  </si>
  <si>
    <t xml:space="preserve">Net debt</t>
  </si>
  <si>
    <t xml:space="preserve">Gross debt / EBITDA</t>
  </si>
  <si>
    <t xml:space="preserve">Net debt / EBITDA</t>
  </si>
  <si>
    <t xml:space="preserve">Interest coverage (EBITDA / cash interest)</t>
  </si>
  <si>
    <t xml:space="preserve">EBIT / interest</t>
  </si>
  <si>
    <t xml:space="preserve">Debt service coverage ((EBITDA − capex − tax) / (cash interest + amortization))</t>
  </si>
  <si>
    <t xml:space="preserve">Liquidity (cash + undrawn revolver)</t>
  </si>
  <si>
    <t xml:space="preserve">Debt / capital (debt + implied equity)</t>
  </si>
  <si>
    <t xml:space="preserve">Cash / debt</t>
  </si>
  <si>
    <t xml:space="preserve">Asset value after scenario decline</t>
  </si>
  <si>
    <t xml:space="preserve">Covenant compliance (active covenants; tests use model-basis metrics)</t>
  </si>
  <si>
    <t xml:space="preserve">  Hypothetical maintenance covenant: max net leverage (AOI basis)  [HYPOTHETICAL]</t>
  </si>
  <si>
    <t xml:space="preserve">    Metric</t>
  </si>
  <si>
    <t xml:space="preserve">    Covenant threshold</t>
  </si>
  <si>
    <t xml:space="preserve">    Headroom</t>
  </si>
  <si>
    <t xml:space="preserve">    Headroom % of threshold</t>
  </si>
  <si>
    <t xml:space="preserve">    BREACH? (1 = yes)</t>
  </si>
  <si>
    <t xml:space="preserve">    First breach period (0 = none)</t>
  </si>
  <si>
    <t xml:space="preserve">    Minimum headroom %</t>
  </si>
  <si>
    <t xml:space="preserve">  Hypothetical maintenance covenant: min interest coverage (AOI / interest)  [HYPOTHETICAL]</t>
  </si>
  <si>
    <t xml:space="preserve">  Hypothetical maintenance covenant: min liquidity ($M)  [HYPOTHETICAL]</t>
  </si>
  <si>
    <t xml:space="preserve">Covenant breaches (count, all active covenants)</t>
  </si>
  <si>
    <t xml:space="preserve">Total breaches across projection</t>
  </si>
  <si>
    <t xml:space="preserve">Minimum covenant headroom % (all active covenants)</t>
  </si>
  <si>
    <t xml:space="preserve">Credit score — transparent, formula-driven (base period; weights &amp; thresholds on Assumptions §8)</t>
  </si>
  <si>
    <t xml:space="preserve">Value</t>
  </si>
  <si>
    <t xml:space="preserve">Best</t>
  </si>
  <si>
    <t xml:space="preserve">Worst</t>
  </si>
  <si>
    <t xml:space="preserve">Points</t>
  </si>
  <si>
    <t xml:space="preserve">Score %</t>
  </si>
  <si>
    <t xml:space="preserve">Projected value (period 1, selected scenario)</t>
  </si>
  <si>
    <t xml:space="preserve">Projected points</t>
  </si>
  <si>
    <t xml:space="preserve">Net leverage (net debt / EBITDA)</t>
  </si>
  <si>
    <t xml:space="preserve">Interest coverage (EBITDA / interest)</t>
  </si>
  <si>
    <t xml:space="preserve">Liquidity ratio (liquidity / next-period obligations)</t>
  </si>
  <si>
    <t xml:space="preserve">FCF / total debt</t>
  </si>
  <si>
    <t xml:space="preserve">Share of debt maturing within window</t>
  </si>
  <si>
    <t xml:space="preserve">Margin stability (σ of annual EBITDA margin)</t>
  </si>
  <si>
    <t xml:space="preserve">Revenue stability (σ of annual growth)</t>
  </si>
  <si>
    <t xml:space="preserve">Asset coverage (asset base / debt)</t>
  </si>
  <si>
    <t xml:space="preserve">Industry risk factor (analyst input, 0-1)</t>
  </si>
  <si>
    <t xml:space="preserve">Credit score (0-100)</t>
  </si>
  <si>
    <t xml:space="preserve">Risk band</t>
  </si>
  <si>
    <t xml:space="preserve">Each factor earns its weight linearly between the 'worst' threshold (0 pts) and the 'best' threshold (full pts).</t>
  </si>
  <si>
    <t xml:space="preserve">Scenarios — side-by-side (all three run simultaneously on Calc Engine)</t>
  </si>
  <si>
    <t xml:space="preserve">Assumptions (links to Assumptions tab)</t>
  </si>
  <si>
    <t xml:space="preserve">Selected</t>
  </si>
  <si>
    <t xml:space="preserve">Average revenue growth (5 periods)</t>
  </si>
  <si>
    <t xml:space="preserve">Average EBITDA margin (5 periods)</t>
  </si>
  <si>
    <t xml:space="preserve">Refinancing rate</t>
  </si>
  <si>
    <t xml:space="preserve">Market access: max net leverage / min coverage</t>
  </si>
  <si>
    <t xml:space="preserve">Exit multiple / distressed multiple</t>
  </si>
  <si>
    <t xml:space="preserve">Outputs (from Calc Engine)</t>
  </si>
  <si>
    <t xml:space="preserve">LTM Jun-31E revenue ($M)</t>
  </si>
  <si>
    <t xml:space="preserve">Trough EBITDA ($M)</t>
  </si>
  <si>
    <t xml:space="preserve">Cumulative FCF, 5 periods ($M)</t>
  </si>
  <si>
    <t xml:space="preserve">Peak net debt / EBITDA</t>
  </si>
  <si>
    <t xml:space="preserve">Minimum EBITDA / cash interest</t>
  </si>
  <si>
    <t xml:space="preserve">Covenant breaches (count of tests failed)</t>
  </si>
  <si>
    <t xml:space="preserve">Refinancing failures (maturing tranches)</t>
  </si>
  <si>
    <t xml:space="preserve">Payment default modelled? (1 = yes)</t>
  </si>
  <si>
    <t xml:space="preserve">Valuation period (default or trough)</t>
  </si>
  <si>
    <t xml:space="preserve">Recovery value used ($M)</t>
  </si>
  <si>
    <t xml:space="preserve">Target-tranche recovery % (valuation waterfall)</t>
  </si>
  <si>
    <t xml:space="preserve">Exit price used (% of face)</t>
  </si>
  <si>
    <t xml:space="preserve">IRR</t>
  </si>
  <si>
    <t xml:space="preserve">MOIC</t>
  </si>
  <si>
    <t xml:space="preserve">Absolute profit ($M)</t>
  </si>
  <si>
    <t xml:space="preserve">Probability-weighted IRR (IRR of expected cash flows)</t>
  </si>
  <si>
    <t xml:space="preserve">Memo: probability-weighted AVERAGE of scenario IRRs (IRR is non-linear, so this is not an IRR)</t>
  </si>
  <si>
    <t xml:space="preserve">Probability-weighted MOIC</t>
  </si>
  <si>
    <t xml:space="preserve">Probability of payment default</t>
  </si>
  <si>
    <t xml:space="preserve">Expected (probability-weighted) position cash flows by period — basis of the probability-weighted IRR</t>
  </si>
  <si>
    <t xml:space="preserve">t=0</t>
  </si>
  <si>
    <t xml:space="preserve">t=1</t>
  </si>
  <si>
    <t xml:space="preserve">t=2</t>
  </si>
  <si>
    <t xml:space="preserve">t=3</t>
  </si>
  <si>
    <t xml:space="preserve">t=4</t>
  </si>
  <si>
    <t xml:space="preserve">t=5</t>
  </si>
  <si>
    <t xml:space="preserve">t=6</t>
  </si>
  <si>
    <t xml:space="preserve">Expected net cash flow ($M)</t>
  </si>
  <si>
    <t xml:space="preserve">Reconciliation: detailed tabs vs Calc Engine (selected scenario)</t>
  </si>
  <si>
    <t xml:space="preserve">Detailed</t>
  </si>
  <si>
    <t xml:space="preserve">Difference</t>
  </si>
  <si>
    <t xml:space="preserve">LTM Jun-31E EBITDA</t>
  </si>
  <si>
    <t xml:space="preserve">LTM Jun-31E total debt</t>
  </si>
  <si>
    <t xml:space="preserve">LTM Jun-31E ending cash</t>
  </si>
  <si>
    <t xml:space="preserve">Cumulative FCF</t>
  </si>
  <si>
    <t xml:space="preserve">Recovery value used</t>
  </si>
  <si>
    <t xml:space="preserve">Covenant breaches</t>
  </si>
  <si>
    <t xml:space="preserve">Capital Structure — tranches, leverage through the stack, maturity wall and refinancing requirement</t>
  </si>
  <si>
    <t xml:space="preserve">Secured?</t>
  </si>
  <si>
    <t xml:space="preserve">Face value</t>
  </si>
  <si>
    <t xml:space="preserve">All-in rate</t>
  </si>
  <si>
    <t xml:space="preserve">Annual interest</t>
  </si>
  <si>
    <t xml:space="preserve">Cum. leverage</t>
  </si>
  <si>
    <t xml:space="preserve">% of capitalization</t>
  </si>
  <si>
    <t xml:space="preserve">Mkt value</t>
  </si>
  <si>
    <t xml:space="preserve">Total debt</t>
  </si>
  <si>
    <t xml:space="preserve">Less: cash</t>
  </si>
  <si>
    <t xml:space="preserve">Enterprise value (base EBITDA × market-implied multiple — analyst assumption)</t>
  </si>
  <si>
    <t xml:space="preserve">Equity (residual: max(0, EV − net debt))</t>
  </si>
  <si>
    <t xml:space="preserve">Asset base (collateral / recovery basis)</t>
  </si>
  <si>
    <t xml:space="preserve">Loan-to-value through target tranche (cumulative debt ÷ asset base)</t>
  </si>
  <si>
    <t xml:space="preserve">Maturity wall (from Debt Schedule maturity flags) — selected scenario liquidity</t>
  </si>
  <si>
    <t xml:space="preserve">Period</t>
  </si>
  <si>
    <t xml:space="preserve">Debt due</t>
  </si>
  <si>
    <t xml:space="preserve">Cumulative %</t>
  </si>
  <si>
    <t xml:space="preserve">Projected liquidity</t>
  </si>
  <si>
    <t xml:space="preserve">Refinancing requirement</t>
  </si>
  <si>
    <t xml:space="preserve">Liquidity ÷ maturity</t>
  </si>
  <si>
    <t xml:space="preserve">Risk</t>
  </si>
  <si>
    <t xml:space="preserve">Flag</t>
  </si>
  <si>
    <t xml:space="preserve">Maturing within horizon / thereafter</t>
  </si>
  <si>
    <t xml:space="preserve">Thereafter (beyond the 5-period horizon)</t>
  </si>
  <si>
    <t xml:space="preserve">Maturity concentration</t>
  </si>
  <si>
    <t xml:space="preserve">Debt due within alert window</t>
  </si>
  <si>
    <t xml:space="preserve">Maturity alert</t>
  </si>
  <si>
    <t xml:space="preserve">Refinancing risk engine — per tranche, selected scenario (see Debt Schedule for the period-by-period test)</t>
  </si>
  <si>
    <t xml:space="preserve">Tranche</t>
  </si>
  <si>
    <t xml:space="preserve">Balance at maturity</t>
  </si>
  <si>
    <t xml:space="preserve">Repaid from cash</t>
  </si>
  <si>
    <t xml:space="preserve">Test</t>
  </si>
  <si>
    <t xml:space="preserve">Resolution</t>
  </si>
  <si>
    <t xml:space="preserve">Recovery — waterfall by seniority (collateral pools, deficiency claims) at the valuation event</t>
  </si>
  <si>
    <t xml:space="preserve">Valuation event (default period, or trough-EBITDA period if no default is modelled)</t>
  </si>
  <si>
    <t xml:space="preserve">Valuation event period flag</t>
  </si>
  <si>
    <t xml:space="preserve">Default modelled? (1 = yes)</t>
  </si>
  <si>
    <t xml:space="preserve">Valuation period</t>
  </si>
  <si>
    <t xml:space="preserve">EBITDA at valuation event</t>
  </si>
  <si>
    <t xml:space="preserve">Cash at valuation event</t>
  </si>
  <si>
    <t xml:space="preserve">Going-concern value (distressed multiple × EBITDA)</t>
  </si>
  <si>
    <t xml:space="preserve">Liquidation value (asset base × (1 − decline) × recovery)</t>
  </si>
  <si>
    <t xml:space="preserve">Model recovery value (greater of the two + cash)</t>
  </si>
  <si>
    <t xml:space="preserve">Recovery value used (override if provided)</t>
  </si>
  <si>
    <t xml:space="preserve">Less: administrative / DIP costs</t>
  </si>
  <si>
    <t xml:space="preserve">Net value distributable to creditors</t>
  </si>
  <si>
    <t xml:space="preserve">Claim at valuation event (balance + accrued interest)</t>
  </si>
  <si>
    <t xml:space="preserve">  Tranche 1: 10.50% Senior Secured Notes due 2032</t>
  </si>
  <si>
    <t xml:space="preserve">  Tranche 2: 4.25% Senior Notes due 2029</t>
  </si>
  <si>
    <t xml:space="preserve">  Tranche 3: 4.25% Convertible Senior Notes due 2029</t>
  </si>
  <si>
    <t xml:space="preserve">Seniority rank</t>
  </si>
  <si>
    <t xml:space="preserve">Collateral share (specific lien; 0 = all-asset / pari)</t>
  </si>
  <si>
    <t xml:space="preserve">Paid from own collateral pool</t>
  </si>
  <si>
    <t xml:space="preserve">Deficiency claim (joins general creditors)</t>
  </si>
  <si>
    <t xml:space="preserve">General claim</t>
  </si>
  <si>
    <t xml:space="preserve">General rank</t>
  </si>
  <si>
    <t xml:space="preserve">General claims ahead</t>
  </si>
  <si>
    <t xml:space="preserve">General claims of same rank (pari passu)</t>
  </si>
  <si>
    <t xml:space="preserve">Recovery from general pool</t>
  </si>
  <si>
    <t xml:space="preserve">TOTAL RECOVERY</t>
  </si>
  <si>
    <t xml:space="preserve">Recovery %</t>
  </si>
  <si>
    <t xml:space="preserve">Loss amount</t>
  </si>
  <si>
    <t xml:space="preserve">Loss %</t>
  </si>
  <si>
    <t xml:space="preserve">Equity (residual after all claims)</t>
  </si>
  <si>
    <t xml:space="preserve">Check: recoveries + equity + costs − value (should be 0)</t>
  </si>
  <si>
    <t xml:space="preserve">Returns — face, purchase price, coupon, yield, recovery, IRR and MOIC (selected scenario)</t>
  </si>
  <si>
    <t xml:space="preserve">Value / t=0</t>
  </si>
  <si>
    <t xml:space="preserve">Position &amp; valuation inputs (links) — face value, purchase price, coupon, yield and recovery are distinct</t>
  </si>
  <si>
    <t xml:space="preserve">Target tranche #</t>
  </si>
  <si>
    <t xml:space="preserve">Face value (legal claim)</t>
  </si>
  <si>
    <t xml:space="preserve">Purchase price / OID (% of face)</t>
  </si>
  <si>
    <t xml:space="preserve">Cash investment (face × price × (1 + fees))</t>
  </si>
  <si>
    <t xml:space="preserve">Hold period (periods)</t>
  </si>
  <si>
    <t xml:space="preserve">Default period # (0 = no default)</t>
  </si>
  <si>
    <t xml:space="preserve">Our share of the tranche at the valuation event</t>
  </si>
  <si>
    <t xml:space="preserve">Recovery proceeds to our position if default</t>
  </si>
  <si>
    <t xml:space="preserve">Tranche recovery % at valuation event (waterfall)</t>
  </si>
  <si>
    <t xml:space="preserve">Last coupon period #</t>
  </si>
  <si>
    <t xml:space="preserve">Exit price assumption (no default)</t>
  </si>
  <si>
    <t xml:space="preserve">Exit EV (exit multiple × EBITDA + cash at hold period)</t>
  </si>
  <si>
    <t xml:space="preserve">Claim at exit (balance at hold period)</t>
  </si>
  <si>
    <t xml:space="preserve">Exit price used (lesser of assumption and valuation coverage)</t>
  </si>
  <si>
    <t xml:space="preserve">Principal proceeds received in period #</t>
  </si>
  <si>
    <t xml:space="preserve">Cash flows to the position ($M) — period # 0 … 6</t>
  </si>
  <si>
    <t xml:space="preserve">Period #</t>
  </si>
  <si>
    <t xml:space="preserve">Cash coupon rate on target tranche</t>
  </si>
  <si>
    <t xml:space="preserve">Cash interest received</t>
  </si>
  <si>
    <t xml:space="preserve">Exit proceeds / recovery</t>
  </si>
  <si>
    <t xml:space="preserve">Net cash flow</t>
  </si>
  <si>
    <t xml:space="preserve">Cash interest received (total)</t>
  </si>
  <si>
    <t xml:space="preserve">Exit / recovery proceeds (total)</t>
  </si>
  <si>
    <t xml:space="preserve">Total cash received</t>
  </si>
  <si>
    <t xml:space="preserve">Capital gain / (loss) vs purchase price (proceeds − face × price)</t>
  </si>
  <si>
    <t xml:space="preserve">Absolute profit</t>
  </si>
  <si>
    <t xml:space="preserve">Peak net leverage (projection)</t>
  </si>
  <si>
    <t xml:space="preserve">Minimum interest coverage (projection)</t>
  </si>
  <si>
    <t xml:space="preserve">Cumulative FCF (projection)</t>
  </si>
  <si>
    <t xml:space="preserve">Yield &amp; cross-checks (selected scenario)</t>
  </si>
  <si>
    <t xml:space="preserve">Current yield (year-1 cash coupon ÷ purchase price)</t>
  </si>
  <si>
    <t xml:space="preserve">Yield to maturity (annual coupons to final maturity at par; Excel RATE)</t>
  </si>
  <si>
    <t xml:space="preserve">Dates for XIRR (entry date, then each model-period end)</t>
  </si>
  <si>
    <t xml:space="preserve">XIRR (date-weighted cross-check; Excel XIRR)</t>
  </si>
  <si>
    <t xml:space="preserve">Summary by scenario (from Calc Engine)</t>
  </si>
  <si>
    <t xml:space="preserve">Default modelled?</t>
  </si>
  <si>
    <t xml:space="preserve">Cash investment</t>
  </si>
  <si>
    <t xml:space="preserve">Exit / recovery proceeds</t>
  </si>
  <si>
    <t xml:space="preserve">Capital gain / (loss) vs purchase price</t>
  </si>
  <si>
    <t xml:space="preserve">Recovery % of target tranche (valuation waterfall)</t>
  </si>
  <si>
    <t xml:space="preserve">Contractual-timing cross-check — coupons re-timed to the payment frequency (annual model flows otherwise unchanged)</t>
  </si>
  <si>
    <t xml:space="preserve">Convention: settlement on a coupon date (no accrued interest); coupon = annual coupon cash ÷ payments per year, paid at the end of each sub-period; exit / recovery proceeds on the annual dates. With 1 payment per year this reproduces the annual IRR exactly.</t>
  </si>
  <si>
    <t xml:space="preserve">Sub-periods per annual period (grid columns ÷ annual columns)</t>
  </si>
  <si>
    <t xml:space="preserve">Last sub-period carrying a coupon (5 coupon periods)</t>
  </si>
  <si>
    <t xml:space="preserve">Sub-period #</t>
  </si>
  <si>
    <t xml:space="preserve">Base Case · flows on contractual dates</t>
  </si>
  <si>
    <t xml:space="preserve">Downside · flows on contractual dates</t>
  </si>
  <si>
    <t xml:space="preserve">Severe Downside · flows on contractual dates</t>
  </si>
  <si>
    <t xml:space="preserve">Contractual-timing IRR (annualised effective)</t>
  </si>
  <si>
    <t xml:space="preserve">Expected (probability-weighted) flows on contractual dates</t>
  </si>
  <si>
    <t xml:space="preserve">Probability-weighted IRR on contractual timing (IRR of expected flows)</t>
  </si>
  <si>
    <t xml:space="preserve">(columns C, D, E = Base, Downside, Severe)</t>
  </si>
  <si>
    <t xml:space="preserve">Sensitivities — position IRR / MOIC under Base, Downside and Severe</t>
  </si>
  <si>
    <t xml:space="preserve">Axis values (blue) are inputs. Every cell is a formula: IRR over a cash-flow row, or an IRR / recovery from a full Calc Engine case. No data tables → recalculates in Excel and LibreOffice.</t>
  </si>
  <si>
    <t xml:space="preserve">Table 1 — Purchase price vs IRR</t>
  </si>
  <si>
    <t xml:space="preserve">Purchase price (% of face)</t>
  </si>
  <si>
    <t xml:space="preserve">Offset</t>
  </si>
  <si>
    <t xml:space="preserve">Table 2 — Exit / recovery value (% of face, received at exit or after default) vs IRR</t>
  </si>
  <si>
    <t xml:space="preserve">Proceeds (% of face)</t>
  </si>
  <si>
    <t xml:space="preserve">Table 3 — EBITDA margin shift (all periods) vs IRR — full model re-run</t>
  </si>
  <si>
    <t xml:space="preserve">EBITDA margin shift (pts)</t>
  </si>
  <si>
    <t xml:space="preserve">Table 4 — Revenue growth shift (all periods) vs IRR — full model re-run</t>
  </si>
  <si>
    <t xml:space="preserve">Revenue growth shift (pts)</t>
  </si>
  <si>
    <t xml:space="preserve">Table 5 — Interest rate (SOFR) shift vs IRR — full model re-run (floating coupons and interest burden both move)</t>
  </si>
  <si>
    <t xml:space="preserve">SOFR shift (pts)</t>
  </si>
  <si>
    <t xml:space="preserve">Table 6 — Distressed valuation multiple shift (x) vs target-tranche recovery % (valuation waterfall)</t>
  </si>
  <si>
    <t xml:space="preserve">Multiple shift (x EBITDA)</t>
  </si>
  <si>
    <t xml:space="preserve">Table 7 — Recovery / exit value (% of face) vs MOIC</t>
  </si>
  <si>
    <t xml:space="preserve">Tables 3-6 re-run the operating model, debt schedule, default test and recovery waterfall for every point (Calc Engine cases 4-63).</t>
  </si>
  <si>
    <t xml:space="preserve">Supporting cash flows for Tables 1-2 (period 0 → 6) and resulting IRR</t>
  </si>
  <si>
    <t xml:space="preserve">Case</t>
  </si>
  <si>
    <t xml:space="preserve">Investment Summary — every figure is a live link to the model</t>
  </si>
  <si>
    <t xml:space="preserve">Investment recommendation</t>
  </si>
  <si>
    <t xml:space="preserve">Instrument</t>
  </si>
  <si>
    <t xml:space="preserve">Face value / purchase price / cash investment ($M)</t>
  </si>
  <si>
    <t xml:space="preserve">Base-case IRR</t>
  </si>
  <si>
    <t xml:space="preserve">Downside IRR</t>
  </si>
  <si>
    <t xml:space="preserve">Severe downside IRR</t>
  </si>
  <si>
    <t xml:space="preserve">Base / Downside / Severe MOIC</t>
  </si>
  <si>
    <t xml:space="preserve">Probability-weighted IRR</t>
  </si>
  <si>
    <t xml:space="preserve">Target-tranche recovery — Downside (valuation waterfall)</t>
  </si>
  <si>
    <t xml:space="preserve">Target-tranche recovery — Severe (valuation waterfall)</t>
  </si>
  <si>
    <t xml:space="preserve">Recovery (selected scenario, from Recovery tab)</t>
  </si>
  <si>
    <t xml:space="preserve">Net leverage — base period (LTM Jun-26)</t>
  </si>
  <si>
    <t xml:space="preserve">Interest coverage — base period</t>
  </si>
  <si>
    <t xml:space="preserve">Net leverage — LTM Jun-27E (selected scenario)</t>
  </si>
  <si>
    <t xml:space="preserve">Interest coverage — LTM Jun-27E (selected scenario)</t>
  </si>
  <si>
    <t xml:space="preserve">Liquidity — LTM Jun-27E (selected scenario, $M)</t>
  </si>
  <si>
    <t xml:space="preserve">Covenant breaches (selected scenario, count of failed tests)</t>
  </si>
  <si>
    <t xml:space="preserve">Recommendation evidence (thresholds on Assumptions §3)</t>
  </si>
  <si>
    <t xml:space="preserve">Actual</t>
  </si>
  <si>
    <t xml:space="preserve">Required</t>
  </si>
  <si>
    <t xml:space="preserve">Result</t>
  </si>
  <si>
    <t xml:space="preserve">Core?</t>
  </si>
  <si>
    <t xml:space="preserve">Base-case IRR clears hurdle</t>
  </si>
  <si>
    <t xml:space="preserve">core</t>
  </si>
  <si>
    <t xml:space="preserve">Probability-weighted IRR clears hurdle</t>
  </si>
  <si>
    <t xml:space="preserve">Downside IRR stays above floor</t>
  </si>
  <si>
    <t xml:space="preserve">Downside recovery meets minimum (valuation waterfall)</t>
  </si>
  <si>
    <t xml:space="preserve">Base-case refinancing succeeds (failures = 0)</t>
  </si>
  <si>
    <t xml:space="preserve">Yield to maturity meets minimum</t>
  </si>
  <si>
    <t xml:space="preserve">Net leverage within maximum</t>
  </si>
  <si>
    <t xml:space="preserve">Covenant headroom (base case, minimum)</t>
  </si>
  <si>
    <t xml:space="preserve">Principal protected in severe case (recovery % × 100 ≥ price)</t>
  </si>
  <si>
    <t xml:space="preserve">No unresolved high-priority diligence</t>
  </si>
  <si>
    <t xml:space="preserve">Core test failures</t>
  </si>
  <si>
    <t xml:space="preserve">Secondary test failures</t>
  </si>
  <si>
    <t xml:space="preserve">DECISION (PROCEED / HOLD / PASS)</t>
  </si>
  <si>
    <t xml:space="preserve">Model integrity checks</t>
  </si>
  <si>
    <t xml:space="preserve">Check</t>
  </si>
  <si>
    <t xml:space="preserve">Status</t>
  </si>
  <si>
    <t xml:space="preserve">Scenario probabilities sum to 100%</t>
  </si>
  <si>
    <t xml:space="preserve">Credit score weights sum to 100</t>
  </si>
  <si>
    <t xml:space="preserve">Debt roll-forward bridge (sum of abs. differences)</t>
  </si>
  <si>
    <t xml:space="preserve">Recovery waterfall: recoveries + equity + costs = value</t>
  </si>
  <si>
    <t xml:space="preserve">Detailed tabs reconcile to Calc Engine (sum of abs. diffs)</t>
  </si>
  <si>
    <t xml:space="preserve">Model-calculated EBITDA / NOI equals company-reported figure (sum of abs. differences)</t>
  </si>
  <si>
    <t xml:space="preserve">Formula errors across model tabs (count)</t>
  </si>
  <si>
    <t xml:space="preserve">OVERALL MODEL STATUS</t>
  </si>
  <si>
    <t xml:space="preserve">Sources — which model input came from which source</t>
  </si>
  <si>
    <t xml:space="preserve">PUBLIC FILING datapoints: every reported historical number below is a blue input on the Historical Financials tab; the Value column here is a live LINK to that cell. Page = footer page of the cited filing where recoverable. Derived values are formulas, never hardcodes.</t>
  </si>
  <si>
    <t xml:space="preserve">Source document</t>
  </si>
  <si>
    <t xml:space="preserve">Form</t>
  </si>
  <si>
    <t xml:space="preserve">Accession</t>
  </si>
  <si>
    <t xml:space="preserve">Filed</t>
  </si>
  <si>
    <t xml:space="preserve">URL</t>
  </si>
  <si>
    <t xml:space="preserve">Retrieved</t>
  </si>
  <si>
    <t xml:space="preserve">Data type</t>
  </si>
  <si>
    <t xml:space="preserve">AMC Networks Inc. (now AMC Global Media Inc.) — Form 10-K, period ended 2025-12-31</t>
  </si>
  <si>
    <t xml:space="preserve">Annual report</t>
  </si>
  <si>
    <t xml:space="preserve">2025-12-31</t>
  </si>
  <si>
    <t xml:space="preserve">0001514991-26-000011</t>
  </si>
  <si>
    <t xml:space="preserve">2026-02-11</t>
  </si>
  <si>
    <t xml:space="preserve">https://www.sec.gov/Archives/edgar/data/1514991/000151499126000011/amcx-20251231.htm</t>
  </si>
  <si>
    <t xml:space="preserve">2026-10-07</t>
  </si>
  <si>
    <t xml:space="preserve">PUBLIC FILING</t>
  </si>
  <si>
    <t xml:space="preserve">AMC Networks Inc. — Form 10-K, period ended 2024-12-31</t>
  </si>
  <si>
    <t xml:space="preserve">2024-12-31</t>
  </si>
  <si>
    <t xml:space="preserve">0001514991-25-000009</t>
  </si>
  <si>
    <t xml:space="preserve">2025-02-14</t>
  </si>
  <si>
    <t xml:space="preserve">https://www.sec.gov/Archives/edgar/data/1514991/000151499125000009/amcx-20241231.htm</t>
  </si>
  <si>
    <t xml:space="preserve">AMC Global Media Inc. — Form 10-Q, period ended 2026-06-30</t>
  </si>
  <si>
    <t xml:space="preserve">Quarterly report</t>
  </si>
  <si>
    <t xml:space="preserve">2026-06-30</t>
  </si>
  <si>
    <t xml:space="preserve">0001514991-26-000089</t>
  </si>
  <si>
    <t xml:space="preserve">2026-07-30</t>
  </si>
  <si>
    <t xml:space="preserve">https://www.sec.gov/Archives/edgar/data/1514991/000151499126000089/amcx-20260630.htm</t>
  </si>
  <si>
    <t xml:space="preserve">SOFR — Secured Overnight Financing Rate (3.90% on 2026-10-06)</t>
  </si>
  <si>
    <t xml:space="preserve">Macro rate</t>
  </si>
  <si>
    <t xml:space="preserve">2026-10-06</t>
  </si>
  <si>
    <t xml:space="preserve">https://fred.stlouisfed.org/series/SOFR</t>
  </si>
  <si>
    <t xml:space="preserve">Datapoint register (each row: one reported figure or disclosure, with filing, page/section and the model cell it feeds)</t>
  </si>
  <si>
    <t xml:space="preserve">Datapoint ID</t>
  </si>
  <si>
    <t xml:space="preserve">Metric</t>
  </si>
  <si>
    <t xml:space="preserve">Value (US$M) — link to model cell</t>
  </si>
  <si>
    <t xml:space="preserve">Filing</t>
  </si>
  <si>
    <t xml:space="preserve">Filing date</t>
  </si>
  <si>
    <t xml:space="preserve">Page</t>
  </si>
  <si>
    <t xml:space="preserve">Section</t>
  </si>
  <si>
    <t xml:space="preserve">Source URL</t>
  </si>
  <si>
    <t xml:space="preserve">Kind</t>
  </si>
  <si>
    <t xml:space="preserve">Model cell</t>
  </si>
  <si>
    <t xml:space="preserve">Raw text in filing / note</t>
  </si>
  <si>
    <t xml:space="preserve">amcx.sbc.FY2023</t>
  </si>
  <si>
    <t xml:space="preserve">sbc</t>
  </si>
  <si>
    <t xml:space="preserve">FY2023</t>
  </si>
  <si>
    <t xml:space="preserve">US$M</t>
  </si>
  <si>
    <t xml:space="preserve">Form 10-K for period ended 2024-12-31</t>
  </si>
  <si>
    <t xml:space="preserve">58</t>
  </si>
  <si>
    <t xml:space="preserve">Non-GAAP reconciliation (MD&amp;A)</t>
  </si>
  <si>
    <t xml:space="preserve">reported</t>
  </si>
  <si>
    <t xml:space="preserve">Historical Financials!B9</t>
  </si>
  <si>
    <t xml:space="preserve">as printed: 25,665 ($ thousands) — AOI add-back (FY2024 10-K, consolidated column)</t>
  </si>
  <si>
    <t xml:space="preserve">amcx.revenue.FY2023</t>
  </si>
  <si>
    <t xml:space="preserve">revenue</t>
  </si>
  <si>
    <t xml:space="preserve">Form 10-K for period ended 2025-12-31</t>
  </si>
  <si>
    <t xml:space="preserve">F-5</t>
  </si>
  <si>
    <t xml:space="preserve">Consolidated Statements of Income (Loss)</t>
  </si>
  <si>
    <t xml:space="preserve">Historical Financials!B6</t>
  </si>
  <si>
    <t xml:space="preserve">as printed: 2,711,877 ($ thousands)</t>
  </si>
  <si>
    <t xml:space="preserve">amcx.direct_costs.FY2023</t>
  </si>
  <si>
    <t xml:space="preserve">direct_costs</t>
  </si>
  <si>
    <t xml:space="preserve">Historical Financials!B7</t>
  </si>
  <si>
    <t xml:space="preserve">as printed: 1,327,500 ($ thousands)</t>
  </si>
  <si>
    <t xml:space="preserve">amcx.sga.FY2023</t>
  </si>
  <si>
    <t xml:space="preserve">sga</t>
  </si>
  <si>
    <t xml:space="preserve">Historical Financials!B8</t>
  </si>
  <si>
    <t xml:space="preserve">as printed: 764,087 ($ thousands)</t>
  </si>
  <si>
    <t xml:space="preserve">amcx.cloud_amort.FY2023</t>
  </si>
  <si>
    <t xml:space="preserve">cloud_amort</t>
  </si>
  <si>
    <t xml:space="preserve">Historical Financials!B10</t>
  </si>
  <si>
    <t xml:space="preserve">as printed: 10,543 ($ thousands) — AOI add-back (FY2024 10-K)</t>
  </si>
  <si>
    <t xml:space="preserve">amcx.jv_aoi.FY2023</t>
  </si>
  <si>
    <t xml:space="preserve">jv_aoi</t>
  </si>
  <si>
    <t xml:space="preserve">Historical Financials!B11</t>
  </si>
  <si>
    <t xml:space="preserve">as printed: 13,606 ($ thousands) — AOI add-back (FY2024 10-K)</t>
  </si>
  <si>
    <t xml:space="preserve">amcx.da.FY2023</t>
  </si>
  <si>
    <t xml:space="preserve">da</t>
  </si>
  <si>
    <t xml:space="preserve">Historical Financials!B12</t>
  </si>
  <si>
    <t xml:space="preserve">as printed: 107,402 ($ thousands)</t>
  </si>
  <si>
    <t xml:space="preserve">amcx.interest_expense.FY2023</t>
  </si>
  <si>
    <t xml:space="preserve">interest_expense</t>
  </si>
  <si>
    <t xml:space="preserve">Historical Financials!B13</t>
  </si>
  <si>
    <t xml:space="preserve">as printed: 152,703 ($ thousands)</t>
  </si>
  <si>
    <t xml:space="preserve">amcx.taxes.FY2023</t>
  </si>
  <si>
    <t xml:space="preserve">taxes</t>
  </si>
  <si>
    <t xml:space="preserve">Historical Financials!B14</t>
  </si>
  <si>
    <t xml:space="preserve">as printed: 94,606 ($ thousands)</t>
  </si>
  <si>
    <t xml:space="preserve">amcx.capex.FY2023</t>
  </si>
  <si>
    <t xml:space="preserve">capex</t>
  </si>
  <si>
    <t xml:space="preserve">F-8</t>
  </si>
  <si>
    <t xml:space="preserve">Consolidated Statements of Cash Flows</t>
  </si>
  <si>
    <t xml:space="preserve">Historical Financials!B16</t>
  </si>
  <si>
    <t xml:space="preserve">as printed: 35,207 ($ thousands)</t>
  </si>
  <si>
    <t xml:space="preserve">amcx.cfo.FY2023</t>
  </si>
  <si>
    <t xml:space="preserve">cfo</t>
  </si>
  <si>
    <t xml:space="preserve">Historical Financials!B15</t>
  </si>
  <si>
    <t xml:space="preserve">as printed: 203,919 ($ thousands)</t>
  </si>
  <si>
    <t xml:space="preserve">amcx.sbc.FY2024</t>
  </si>
  <si>
    <t xml:space="preserve">FY2024</t>
  </si>
  <si>
    <t xml:space="preserve">60</t>
  </si>
  <si>
    <t xml:space="preserve">Historical Financials!C9</t>
  </si>
  <si>
    <t xml:space="preserve">as printed: 26,051 ($ thousands) — AOI add-back</t>
  </si>
  <si>
    <t xml:space="preserve">amcx.revenue.FY2024</t>
  </si>
  <si>
    <t xml:space="preserve">Historical Financials!C6</t>
  </si>
  <si>
    <t xml:space="preserve">as printed: 2,421,314 ($ thousands)</t>
  </si>
  <si>
    <t xml:space="preserve">amcx.direct_costs.FY2024</t>
  </si>
  <si>
    <t xml:space="preserve">Historical Financials!C7</t>
  </si>
  <si>
    <t xml:space="preserve">as printed: 1,132,593 ($ thousands)</t>
  </si>
  <si>
    <t xml:space="preserve">amcx.sga.FY2024</t>
  </si>
  <si>
    <t xml:space="preserve">Historical Financials!C8</t>
  </si>
  <si>
    <t xml:space="preserve">as printed: 781,329 ($ thousands)</t>
  </si>
  <si>
    <t xml:space="preserve">amcx.cloud_amort.FY2024</t>
  </si>
  <si>
    <t xml:space="preserve">Historical Financials!C10</t>
  </si>
  <si>
    <t xml:space="preserve">as printed: 13,452 ($ thousands) — AOI add-back</t>
  </si>
  <si>
    <t xml:space="preserve">amcx.jv_aoi.FY2024</t>
  </si>
  <si>
    <t xml:space="preserve">Historical Financials!C11</t>
  </si>
  <si>
    <t xml:space="preserve">as printed: 15,678 ($ thousands) — AOI add-back</t>
  </si>
  <si>
    <t xml:space="preserve">amcx.da.FY2024</t>
  </si>
  <si>
    <t xml:space="preserve">Historical Financials!C12</t>
  </si>
  <si>
    <t xml:space="preserve">as printed: 98,015 ($ thousands)</t>
  </si>
  <si>
    <t xml:space="preserve">amcx.interest_expense.FY2024</t>
  </si>
  <si>
    <t xml:space="preserve">Historical Financials!C13</t>
  </si>
  <si>
    <t xml:space="preserve">as printed: 166,186 ($ thousands)</t>
  </si>
  <si>
    <t xml:space="preserve">amcx.taxes.FY2024</t>
  </si>
  <si>
    <t xml:space="preserve">Historical Financials!C14</t>
  </si>
  <si>
    <t xml:space="preserve">as printed: 43,490 ($ thousands)</t>
  </si>
  <si>
    <t xml:space="preserve">amcx.capex.FY2024</t>
  </si>
  <si>
    <t xml:space="preserve">Historical Financials!C16</t>
  </si>
  <si>
    <t xml:space="preserve">as printed: 44,775 ($ thousands)</t>
  </si>
  <si>
    <t xml:space="preserve">amcx.cfo.FY2024</t>
  </si>
  <si>
    <t xml:space="preserve">Historical Financials!C15</t>
  </si>
  <si>
    <t xml:space="preserve">as printed: 375,615 ($ thousands)</t>
  </si>
  <si>
    <t xml:space="preserve">amcx.sbc.FY2025</t>
  </si>
  <si>
    <t xml:space="preserve">FY2025</t>
  </si>
  <si>
    <t xml:space="preserve">Historical Financials!D9</t>
  </si>
  <si>
    <t xml:space="preserve">as printed: 25,330 ($ thousands) — AOI add-back</t>
  </si>
  <si>
    <t xml:space="preserve">amcx.revenue.FY2025</t>
  </si>
  <si>
    <t xml:space="preserve">Historical Financials!D6</t>
  </si>
  <si>
    <t xml:space="preserve">as printed: 2,311,801 ($ thousands)</t>
  </si>
  <si>
    <t xml:space="preserve">amcx.direct_costs.FY2025</t>
  </si>
  <si>
    <t xml:space="preserve">Historical Financials!D7</t>
  </si>
  <si>
    <t xml:space="preserve">as printed: 1,141,393 ($ thousands)</t>
  </si>
  <si>
    <t xml:space="preserve">amcx.sga.FY2025</t>
  </si>
  <si>
    <t xml:space="preserve">Historical Financials!D8</t>
  </si>
  <si>
    <t xml:space="preserve">as printed: 818,341 ($ thousands)</t>
  </si>
  <si>
    <t xml:space="preserve">amcx.cloud_amort.FY2025</t>
  </si>
  <si>
    <t xml:space="preserve">Historical Financials!D10</t>
  </si>
  <si>
    <t xml:space="preserve">as printed: 10,733 ($ thousands) — AOI add-back</t>
  </si>
  <si>
    <t xml:space="preserve">amcx.jv_aoi.FY2025</t>
  </si>
  <si>
    <t xml:space="preserve">Historical Financials!D11</t>
  </si>
  <si>
    <t xml:space="preserve">as printed: 23,744 ($ thousands) — AOI add-back</t>
  </si>
  <si>
    <t xml:space="preserve">amcx.da.FY2025</t>
  </si>
  <si>
    <t xml:space="preserve">Historical Financials!D12</t>
  </si>
  <si>
    <t xml:space="preserve">as printed: 94,425 ($ thousands)</t>
  </si>
  <si>
    <t xml:space="preserve">amcx.interest_expense.FY2025</t>
  </si>
  <si>
    <t xml:space="preserve">Historical Financials!D13</t>
  </si>
  <si>
    <t xml:space="preserve">as printed: 172,353 ($ thousands)</t>
  </si>
  <si>
    <t xml:space="preserve">amcx.taxes.FY2025</t>
  </si>
  <si>
    <t xml:space="preserve">Historical Financials!D14</t>
  </si>
  <si>
    <t xml:space="preserve">as printed: 46,226 ($ thousands)</t>
  </si>
  <si>
    <t xml:space="preserve">amcx.capex.FY2025</t>
  </si>
  <si>
    <t xml:space="preserve">Historical Financials!D16</t>
  </si>
  <si>
    <t xml:space="preserve">as printed: 33,303 ($ thousands)</t>
  </si>
  <si>
    <t xml:space="preserve">amcx.cfo.FY2025</t>
  </si>
  <si>
    <t xml:space="preserve">Historical Financials!D15</t>
  </si>
  <si>
    <t xml:space="preserve">as printed: 305,670 ($ thousands)</t>
  </si>
  <si>
    <t xml:space="preserve">amcx.sbc.H1-2025</t>
  </si>
  <si>
    <t xml:space="preserve">H1-2025</t>
  </si>
  <si>
    <t xml:space="preserve">Form 10-Q for period ended 2026-06-30</t>
  </si>
  <si>
    <t xml:space="preserve">section only</t>
  </si>
  <si>
    <t xml:space="preserve">Historical Financials!E9</t>
  </si>
  <si>
    <t xml:space="preserve">as printed: 13,800 ($ thousands) — AOI add-back (reconciliation figure)</t>
  </si>
  <si>
    <t xml:space="preserve">amcx.revenue.H1-2025</t>
  </si>
  <si>
    <t xml:space="preserve">Condensed Consolidated Statements of Income (Loss) / MD&amp;A</t>
  </si>
  <si>
    <t xml:space="preserve">Historical Financials!E6</t>
  </si>
  <si>
    <t xml:space="preserve">as printed: 1,155,257 ($ thousands)</t>
  </si>
  <si>
    <t xml:space="preserve">amcx.direct_costs.H1-2025</t>
  </si>
  <si>
    <t xml:space="preserve">MD&amp;A results of operations</t>
  </si>
  <si>
    <t xml:space="preserve">Historical Financials!E7</t>
  </si>
  <si>
    <t xml:space="preserve">as printed: 551,222 ($ thousands)</t>
  </si>
  <si>
    <t xml:space="preserve">amcx.sga.H1-2025</t>
  </si>
  <si>
    <t xml:space="preserve">Historical Financials!E8</t>
  </si>
  <si>
    <t xml:space="preserve">as printed: 419,679 ($ thousands)</t>
  </si>
  <si>
    <t xml:space="preserve">amcx.cloud_amort.H1-2025</t>
  </si>
  <si>
    <t xml:space="preserve">Historical Financials!E10</t>
  </si>
  <si>
    <t xml:space="preserve">as printed: 5,938 ($ thousands)</t>
  </si>
  <si>
    <t xml:space="preserve">amcx.jv_aoi.H1-2025</t>
  </si>
  <si>
    <t xml:space="preserve">Historical Financials!E11</t>
  </si>
  <si>
    <t xml:space="preserve">as printed: 9,777 ($ thousands)</t>
  </si>
  <si>
    <t xml:space="preserve">amcx.da.H1-2025</t>
  </si>
  <si>
    <t xml:space="preserve">Historical Financials!E12</t>
  </si>
  <si>
    <t xml:space="preserve">as printed: 47,372 ($ thousands)</t>
  </si>
  <si>
    <t xml:space="preserve">amcx.interest_expense.H1-2025</t>
  </si>
  <si>
    <t xml:space="preserve">Historical Financials!E13</t>
  </si>
  <si>
    <t xml:space="preserve">as printed: 85,852 ($ thousands)</t>
  </si>
  <si>
    <t xml:space="preserve">amcx.taxes.H1-2025</t>
  </si>
  <si>
    <t xml:space="preserve">Historical Financials!E14</t>
  </si>
  <si>
    <t xml:space="preserve">as printed: 31,027 ($ thousands) — H1-2026 is a BENEFIT (sign flipped to a negative provision); H1-2025 is an expense</t>
  </si>
  <si>
    <t xml:space="preserve">amcx.capex.H1-2025</t>
  </si>
  <si>
    <t xml:space="preserve">Condensed Consolidated Statements of Cash Flows</t>
  </si>
  <si>
    <t xml:space="preserve">Historical Financials!E16</t>
  </si>
  <si>
    <t xml:space="preserve">as printed: 21,670 ($ thousands)</t>
  </si>
  <si>
    <t xml:space="preserve">amcx.cfo.H1-2025</t>
  </si>
  <si>
    <t xml:space="preserve">Historical Financials!E15</t>
  </si>
  <si>
    <t xml:space="preserve">as printed: 211,596 ($ thousands)</t>
  </si>
  <si>
    <t xml:space="preserve">amcx.sbc.H1-2026</t>
  </si>
  <si>
    <t xml:space="preserve">H1-2026</t>
  </si>
  <si>
    <t xml:space="preserve">Historical Financials!F9</t>
  </si>
  <si>
    <t xml:space="preserve">as printed: 12,826 ($ thousands) — AOI add-back (reconciliation figure)</t>
  </si>
  <si>
    <t xml:space="preserve">amcx.revenue.H1-2026</t>
  </si>
  <si>
    <t xml:space="preserve">Historical Financials!F6</t>
  </si>
  <si>
    <t xml:space="preserve">as printed: 1,089,622 ($ thousands)</t>
  </si>
  <si>
    <t xml:space="preserve">amcx.direct_costs.H1-2026</t>
  </si>
  <si>
    <t xml:space="preserve">Historical Financials!F7</t>
  </si>
  <si>
    <t xml:space="preserve">as printed: 571,961 ($ thousands)</t>
  </si>
  <si>
    <t xml:space="preserve">amcx.sga.H1-2026</t>
  </si>
  <si>
    <t xml:space="preserve">Historical Financials!F8</t>
  </si>
  <si>
    <t xml:space="preserve">as printed: 426,623 ($ thousands)</t>
  </si>
  <si>
    <t xml:space="preserve">amcx.cloud_amort.H1-2026</t>
  </si>
  <si>
    <t xml:space="preserve">Historical Financials!F10</t>
  </si>
  <si>
    <t xml:space="preserve">as printed: 4,416 ($ thousands)</t>
  </si>
  <si>
    <t xml:space="preserve">amcx.jv_aoi.H1-2026</t>
  </si>
  <si>
    <t xml:space="preserve">Historical Financials!F11</t>
  </si>
  <si>
    <t xml:space="preserve">as printed: 6,762 ($ thousands)</t>
  </si>
  <si>
    <t xml:space="preserve">amcx.da.H1-2026</t>
  </si>
  <si>
    <t xml:space="preserve">Historical Financials!F12</t>
  </si>
  <si>
    <t xml:space="preserve">as printed: 38,243 ($ thousands)</t>
  </si>
  <si>
    <t xml:space="preserve">amcx.interest_expense.H1-2026</t>
  </si>
  <si>
    <t xml:space="preserve">Historical Financials!F13</t>
  </si>
  <si>
    <t xml:space="preserve">as printed: 84,012 ($ thousands)</t>
  </si>
  <si>
    <t xml:space="preserve">amcx.taxes.H1-2026</t>
  </si>
  <si>
    <t xml:space="preserve">Historical Financials!F14</t>
  </si>
  <si>
    <t xml:space="preserve">as printed: 11,413 ($ thousands) — H1-2026 is a BENEFIT (sign flipped to a negative provision); H1-2025 is an expense</t>
  </si>
  <si>
    <t xml:space="preserve">amcx.capex.H1-2026</t>
  </si>
  <si>
    <t xml:space="preserve">Historical Financials!F16</t>
  </si>
  <si>
    <t xml:space="preserve">as printed: 16,577 ($ thousands)</t>
  </si>
  <si>
    <t xml:space="preserve">amcx.cfo.H1-2026</t>
  </si>
  <si>
    <t xml:space="preserve">Historical Financials!F15</t>
  </si>
  <si>
    <t xml:space="preserve">as printed: 124,659 ($ thousands)</t>
  </si>
  <si>
    <t xml:space="preserve">amcx.debt_2032_secured.2026-06-30</t>
  </si>
  <si>
    <t xml:space="preserve">debt_2032_secured</t>
  </si>
  <si>
    <t xml:space="preserve">Note 9 Long-term Debt</t>
  </si>
  <si>
    <t xml:space="preserve">Assumptions!$C$56</t>
  </si>
  <si>
    <t xml:space="preserve">as printed: 1,315,098 ($ thousands)</t>
  </si>
  <si>
    <t xml:space="preserve">amcx.debt_2029_unsecured.2026-06-30</t>
  </si>
  <si>
    <t xml:space="preserve">debt_2029_unsecured</t>
  </si>
  <si>
    <t xml:space="preserve">Assumptions!$C$57</t>
  </si>
  <si>
    <t xml:space="preserve">as printed: 276,706 ($ thousands)</t>
  </si>
  <si>
    <t xml:space="preserve">amcx.debt_2029_convert.2026-06-30</t>
  </si>
  <si>
    <t xml:space="preserve">debt_2029_convert</t>
  </si>
  <si>
    <t xml:space="preserve">Assumptions!$C$58</t>
  </si>
  <si>
    <t xml:space="preserve">as printed: 143,750 ($ thousands)</t>
  </si>
  <si>
    <t xml:space="preserve">amcx.cash.2026-06-30</t>
  </si>
  <si>
    <t xml:space="preserve">cash</t>
  </si>
  <si>
    <t xml:space="preserve">Consolidated Balance Sheets</t>
  </si>
  <si>
    <t xml:space="preserve">Assumptions!$C$11</t>
  </si>
  <si>
    <t xml:space="preserve">as printed: 463,996 ($ thousands)</t>
  </si>
  <si>
    <t xml:space="preserve">program_rights</t>
  </si>
  <si>
    <t xml:space="preserve">not a direct model input</t>
  </si>
  <si>
    <t xml:space="preserve">as printed: 1,627,782 ($ thousands) — Largest asset; content library carried at amortized cost</t>
  </si>
  <si>
    <t xml:space="preserve">ar</t>
  </si>
  <si>
    <t xml:space="preserve">as printed: 547,187 ($ thousands)</t>
  </si>
  <si>
    <t xml:space="preserve">ppe</t>
  </si>
  <si>
    <t xml:space="preserve">as printed: 110,555 ($ thousands)</t>
  </si>
  <si>
    <t xml:space="preserve">intangibles</t>
  </si>
  <si>
    <t xml:space="preserve">as printed: 169,447 ($ thousands)</t>
  </si>
  <si>
    <t xml:space="preserve">amcx.debt_total.FY2025</t>
  </si>
  <si>
    <t xml:space="preserve">debt_total</t>
  </si>
  <si>
    <t xml:space="preserve">F-27</t>
  </si>
  <si>
    <t xml:space="preserve">as printed: 1,778,251 ($ thousands) — Principal at 2025-12-31 (before the 2026 exchange/refinancing); used for covenant calibration</t>
  </si>
  <si>
    <t xml:space="preserve">amcx.fy25_undrawn_revolver</t>
  </si>
  <si>
    <t xml:space="preserve">fy25_undrawn_revolver</t>
  </si>
  <si>
    <t xml:space="preserve">n/a (text disclosure)</t>
  </si>
  <si>
    <t xml:space="preserve">text disclosure</t>
  </si>
  <si>
    <t xml:space="preserve">56</t>
  </si>
  <si>
    <t xml:space="preserve">MD&amp;A Liquidity: undrawn revolver at 2025-12-31</t>
  </si>
  <si>
    <t xml:space="preserve">undrawn $175.0 million Revolving Credit Facility — MD&amp;A Liquidity: undrawn revolver at 2025-12-31</t>
  </si>
  <si>
    <t xml:space="preserve">amcx.cov_net_lev_reported</t>
  </si>
  <si>
    <t xml:space="preserve">cov_net_lev_reported</t>
  </si>
  <si>
    <t xml:space="preserve">Total net leverage ratio at 2025-12-31 as reported by the company (credit-agreement definition)</t>
  </si>
  <si>
    <t xml:space="preserve">4.41:1.00 — Total net leverage ratio at 2025-12-31 as reported by the company (credit-agreement definition)</t>
  </si>
  <si>
    <t xml:space="preserve">amcx.cov_icr_reported</t>
  </si>
  <si>
    <t xml:space="preserve">cov_icr_reported</t>
  </si>
  <si>
    <t xml:space="preserve">Interest coverage at 2025-12-31 as reported by the company</t>
  </si>
  <si>
    <t xml:space="preserve">2.01:1.00 — Interest coverage at 2025-12-31 as reported by the company</t>
  </si>
  <si>
    <t xml:space="preserve">amcx.impairment.FY2023</t>
  </si>
  <si>
    <t xml:space="preserve">impairment</t>
  </si>
  <si>
    <t xml:space="preserve">Historical Financials!B17</t>
  </si>
  <si>
    <t xml:space="preserve">as printed: 96,689 ($ thousands)</t>
  </si>
  <si>
    <t xml:space="preserve">amcx.impairment.FY2024</t>
  </si>
  <si>
    <t xml:space="preserve">Historical Financials!C17</t>
  </si>
  <si>
    <t xml:space="preserve">as printed: 399,513 ($ thousands)</t>
  </si>
  <si>
    <t xml:space="preserve">amcx.impairment.FY2025</t>
  </si>
  <si>
    <t xml:space="preserve">Historical Financials!D17</t>
  </si>
  <si>
    <t xml:space="preserve">as printed: 97,784 ($ thousands)</t>
  </si>
  <si>
    <t xml:space="preserve">amcx.restructuring.FY2023</t>
  </si>
  <si>
    <t xml:space="preserve">restructuring</t>
  </si>
  <si>
    <t xml:space="preserve">Historical Financials!B18</t>
  </si>
  <si>
    <t xml:space="preserve">as printed: 27,787 ($ thousands)</t>
  </si>
  <si>
    <t xml:space="preserve">amcx.restructuring.FY2024</t>
  </si>
  <si>
    <t xml:space="preserve">Historical Financials!C18</t>
  </si>
  <si>
    <t xml:space="preserve">as printed: 49,464 ($ thousands)</t>
  </si>
  <si>
    <t xml:space="preserve">amcx.restructuring.FY2025</t>
  </si>
  <si>
    <t xml:space="preserve">Historical Financials!D18</t>
  </si>
  <si>
    <t xml:space="preserve">as printed: 26,536 ($ thousands)</t>
  </si>
  <si>
    <t xml:space="preserve">amcx.restructuring.H1-2025</t>
  </si>
  <si>
    <t xml:space="preserve">Historical Financials!E18</t>
  </si>
  <si>
    <t xml:space="preserve">as printed: 8,318 ($ thousands)</t>
  </si>
  <si>
    <t xml:space="preserve">amcx.restructuring.H1-2026</t>
  </si>
  <si>
    <t xml:space="preserve">Historical Financials!F18</t>
  </si>
  <si>
    <t xml:space="preserve">as printed: 5,680 ($ thousands)</t>
  </si>
  <si>
    <t xml:space="preserve">amcx.cash_interest.FY2023</t>
  </si>
  <si>
    <t xml:space="preserve">cash_interest</t>
  </si>
  <si>
    <t xml:space="preserve">F-46</t>
  </si>
  <si>
    <t xml:space="preserve">Note 19 Supplemental cash flow data</t>
  </si>
  <si>
    <t xml:space="preserve">Historical Financials!B19</t>
  </si>
  <si>
    <t xml:space="preserve">as printed: 149,535 ($ thousands)</t>
  </si>
  <si>
    <t xml:space="preserve">amcx.cash_interest.FY2024</t>
  </si>
  <si>
    <t xml:space="preserve">Historical Financials!C19</t>
  </si>
  <si>
    <t xml:space="preserve">as printed: 129,164 ($ thousands)</t>
  </si>
  <si>
    <t xml:space="preserve">amcx.cash_interest.FY2025</t>
  </si>
  <si>
    <t xml:space="preserve">Historical Financials!D19</t>
  </si>
  <si>
    <t xml:space="preserve">as printed: 156,563 ($ thousands)</t>
  </si>
  <si>
    <t xml:space="preserve">amcx.cash_interest.H1-2025</t>
  </si>
  <si>
    <t xml:space="preserve">Note: Supplemental data</t>
  </si>
  <si>
    <t xml:space="preserve">Historical Financials!E19</t>
  </si>
  <si>
    <t xml:space="preserve">as printed: 84,394 ($ thousands)</t>
  </si>
  <si>
    <t xml:space="preserve">amcx.cash_interest.H1-2026</t>
  </si>
  <si>
    <t xml:space="preserve">Historical Financials!F19</t>
  </si>
  <si>
    <t xml:space="preserve">as printed: 78,984 ($ thousands)</t>
  </si>
  <si>
    <t xml:space="preserve">amcx.aoi_reported.FY2023</t>
  </si>
  <si>
    <t xml:space="preserve">aoi_reported</t>
  </si>
  <si>
    <t xml:space="preserve">Historical Financials!B20</t>
  </si>
  <si>
    <t xml:space="preserve">as printed: 670,104 ($ thousands) — FY2024 10-K</t>
  </si>
  <si>
    <t xml:space="preserve">amcx.aoi_reported.FY2024</t>
  </si>
  <si>
    <t xml:space="preserve">Historical Financials!C20</t>
  </si>
  <si>
    <t xml:space="preserve">as printed: 562,573 ($ thousands) — Company-reported AOI; used only to check the model's calculated EBITDA</t>
  </si>
  <si>
    <t xml:space="preserve">amcx.aoi_reported.FY2025</t>
  </si>
  <si>
    <t xml:space="preserve">Historical Financials!D20</t>
  </si>
  <si>
    <t xml:space="preserve">as printed: 411,874 ($ thousands) — Company-reported AOI; used only to check the model's calculated EBITDA</t>
  </si>
  <si>
    <t xml:space="preserve">amcx.aoi_reported.H1-2025</t>
  </si>
  <si>
    <t xml:space="preserve">Historical Financials!E20</t>
  </si>
  <si>
    <t xml:space="preserve">as printed: 213,871 ($ thousands)</t>
  </si>
  <si>
    <t xml:space="preserve">amcx.aoi_reported.H1-2026</t>
  </si>
  <si>
    <t xml:space="preserve">Historical Financials!F20</t>
  </si>
  <si>
    <t xml:space="preserve">as printed: 115,042 ($ thousands)</t>
  </si>
  <si>
    <t xml:space="preserve">amcx.cash.FY2025</t>
  </si>
  <si>
    <t xml:space="preserve">F-4</t>
  </si>
  <si>
    <t xml:space="preserve">as printed: 502,379 ($ thousands)</t>
  </si>
  <si>
    <t xml:space="preserve">amcx.current_assets.2026-06-30</t>
  </si>
  <si>
    <t xml:space="preserve">current_assets</t>
  </si>
  <si>
    <t xml:space="preserve">as printed: 1,262,345 ($ thousands)</t>
  </si>
  <si>
    <t xml:space="preserve">amcx.current_liabilities.2026-06-30</t>
  </si>
  <si>
    <t xml:space="preserve">current_liabilities</t>
  </si>
  <si>
    <t xml:space="preserve">as printed: 716,838 ($ thousands)</t>
  </si>
  <si>
    <t xml:space="preserve">amcx.debt_total.2026-06-30</t>
  </si>
  <si>
    <t xml:space="preserve">as printed: 1,735,554 ($ thousands)</t>
  </si>
  <si>
    <t xml:space="preserve">Analyst notes, derivations and data-quality caveats</t>
  </si>
  <si>
    <t xml:space="preserve">• EBITDA = Adjusted Operating Income (AOI), the company's non-GAAP measure: revenue − technical &amp; operating − SG&amp;A + share-based compensation + cloud-computing amortization + majority-owned equity-investee AOI. Model-calculated AOI equals reported AOI in every period.</t>
  </si>
  <si>
    <t xml:space="preserve">• LTM Jun-26 = FY2025 + H1-2026 − H1-2025 for every flow line (formula in Excel). Balance-sheet and debt are as reported at 2026-06-30.</t>
  </si>
  <si>
    <t xml:space="preserve">• FCF = reported CFO − capex; 'ΔNWC &amp; other' is the derived plug (program-rights timing, restructuring, interest income, taxes paid vs provision).</t>
  </si>
  <si>
    <t xml:space="preserve">• Impairment and restructuring charges are shown as reported but excluded from EBITDA; they are captured in the cash plug rather than estimated.</t>
  </si>
  <si>
    <t xml:space="preserve">• The 2029 Secured Notes were exchanged into additional 2032 Secured Notes (Feb–Mar 2026) and the revolver / Term Loan A terminated (May 2026): debt is therefore taken at 2026-06-30, not at the FY2025 10-K.</t>
  </si>
  <si>
    <t xml:space="preserve">• Hypothetical purchase price of 95.0 is an underwriting assumption; no market price is available in the filings.</t>
  </si>
  <si>
    <t xml:space="preserve">• Credit-agreement covenants (max net leverage 5.50x, min interest coverage 1.50x) are real but terminated; they are listed for reference and not tested. Tested covenants are hypothetical.</t>
  </si>
  <si>
    <t xml:space="preserve">Macro: base rate (SOFR) path is an analyst assumption anchored on FRED SOFR; scenario drivers are ANALYST PROJECTIONS; purchase price, fees, hold and covenant thresholds marked hypothetical are UNDERWRITING ASSUMPTIONS.</t>
  </si>
  <si>
    <t xml:space="preserve">Calc Engine — supporting tab: identical model logic run for all scenarios and sensitivity cases</t>
  </si>
  <si>
    <t xml:space="preserve">Cases 1-3 run Base / Downside / Severe simultaneously. Cases 4-63 flex EBITDA margin, revenue growth, SOFR and the distressed multiple (axes on Sensitivities). Same row logic as the detailed tabs; Scenarios › Reconciliation proves the engine ties to them.</t>
  </si>
  <si>
    <t xml:space="preserve">CASE 1: Base Case</t>
  </si>
  <si>
    <t xml:space="preserve">Scenario index (structural input)</t>
  </si>
  <si>
    <t xml:space="preserve">Revenue growth adjustment</t>
  </si>
  <si>
    <t xml:space="preserve">EBITDA margin adjustment</t>
  </si>
  <si>
    <t xml:space="preserve">SOFR shift</t>
  </si>
  <si>
    <t xml:space="preserve">Distressed-multiple shift (x)</t>
  </si>
  <si>
    <t xml:space="preserve">CASE 2: Downside</t>
  </si>
  <si>
    <t xml:space="preserve">CASE 3: Severe Downside</t>
  </si>
  <si>
    <t xml:space="preserve">CASE 4: Base Case · EBITDA margin shift point 1</t>
  </si>
  <si>
    <t xml:space="preserve">CASE 5: Base Case · EBITDA margin shift point 2</t>
  </si>
  <si>
    <t xml:space="preserve">CASE 6: Base Case · EBITDA margin shift point 3</t>
  </si>
  <si>
    <t xml:space="preserve">CASE 7: Base Case · EBITDA margin shift point 4</t>
  </si>
  <si>
    <t xml:space="preserve">CASE 8: Base Case · EBITDA margin shift point 5</t>
  </si>
  <si>
    <t xml:space="preserve">CASE 9: Downside · EBITDA margin shift point 1</t>
  </si>
  <si>
    <t xml:space="preserve">CASE 10: Downside · EBITDA margin shift point 2</t>
  </si>
  <si>
    <t xml:space="preserve">CASE 11: Downside · EBITDA margin shift point 3</t>
  </si>
  <si>
    <t xml:space="preserve">CASE 12: Downside · EBITDA margin shift point 4</t>
  </si>
  <si>
    <t xml:space="preserve">CASE 13: Downside · EBITDA margin shift point 5</t>
  </si>
  <si>
    <t xml:space="preserve">CASE 14: Severe Downside · EBITDA margin shift point 1</t>
  </si>
  <si>
    <t xml:space="preserve">CASE 15: Severe Downside · EBITDA margin shift point 2</t>
  </si>
  <si>
    <t xml:space="preserve">CASE 16: Severe Downside · EBITDA margin shift point 3</t>
  </si>
  <si>
    <t xml:space="preserve">CASE 17: Severe Downside · EBITDA margin shift point 4</t>
  </si>
  <si>
    <t xml:space="preserve">CASE 18: Severe Downside · EBITDA margin shift point 5</t>
  </si>
  <si>
    <t xml:space="preserve">CASE 19: Base Case · revenue growth shift point 1</t>
  </si>
  <si>
    <t xml:space="preserve">CASE 20: Base Case · revenue growth shift point 2</t>
  </si>
  <si>
    <t xml:space="preserve">CASE 21: Base Case · revenue growth shift point 3</t>
  </si>
  <si>
    <t xml:space="preserve">CASE 22: Base Case · revenue growth shift point 4</t>
  </si>
  <si>
    <t xml:space="preserve">CASE 23: Base Case · revenue growth shift point 5</t>
  </si>
  <si>
    <t xml:space="preserve">CASE 24: Downside · revenue growth shift point 1</t>
  </si>
  <si>
    <t xml:space="preserve">CASE 25: Downside · revenue growth shift point 2</t>
  </si>
  <si>
    <t xml:space="preserve">CASE 26: Downside · revenue growth shift point 3</t>
  </si>
  <si>
    <t xml:space="preserve">CASE 27: Downside · revenue growth shift point 4</t>
  </si>
  <si>
    <t xml:space="preserve">CASE 28: Downside · revenue growth shift point 5</t>
  </si>
  <si>
    <t xml:space="preserve">CASE 29: Severe Downside · revenue growth shift point 1</t>
  </si>
  <si>
    <t xml:space="preserve">CASE 30: Severe Downside · revenue growth shift point 2</t>
  </si>
  <si>
    <t xml:space="preserve">CASE 31: Severe Downside · revenue growth shift point 3</t>
  </si>
  <si>
    <t xml:space="preserve">CASE 32: Severe Downside · revenue growth shift point 4</t>
  </si>
  <si>
    <t xml:space="preserve">CASE 33: Severe Downside · revenue growth shift point 5</t>
  </si>
  <si>
    <t xml:space="preserve">CASE 34: Base Case · SOFR shift point 1</t>
  </si>
  <si>
    <t xml:space="preserve">CASE 35: Base Case · SOFR shift point 2</t>
  </si>
  <si>
    <t xml:space="preserve">CASE 36: Base Case · SOFR shift point 3</t>
  </si>
  <si>
    <t xml:space="preserve">CASE 37: Base Case · SOFR shift point 4</t>
  </si>
  <si>
    <t xml:space="preserve">CASE 38: Base Case · SOFR shift point 5</t>
  </si>
  <si>
    <t xml:space="preserve">CASE 39: Downside · SOFR shift point 1</t>
  </si>
  <si>
    <t xml:space="preserve">CASE 40: Downside · SOFR shift point 2</t>
  </si>
  <si>
    <t xml:space="preserve">CASE 41: Downside · SOFR shift point 3</t>
  </si>
  <si>
    <t xml:space="preserve">CASE 42: Downside · SOFR shift point 4</t>
  </si>
  <si>
    <t xml:space="preserve">CASE 43: Downside · SOFR shift point 5</t>
  </si>
  <si>
    <t xml:space="preserve">CASE 44: Severe Downside · SOFR shift point 1</t>
  </si>
  <si>
    <t xml:space="preserve">CASE 45: Severe Downside · SOFR shift point 2</t>
  </si>
  <si>
    <t xml:space="preserve">CASE 46: Severe Downside · SOFR shift point 3</t>
  </si>
  <si>
    <t xml:space="preserve">CASE 47: Severe Downside · SOFR shift point 4</t>
  </si>
  <si>
    <t xml:space="preserve">CASE 48: Severe Downside · SOFR shift point 5</t>
  </si>
  <si>
    <t xml:space="preserve">CASE 49: Base Case · distressed-multiple shift point 1</t>
  </si>
  <si>
    <t xml:space="preserve">CASE 50: Base Case · distressed-multiple shift point 2</t>
  </si>
  <si>
    <t xml:space="preserve">CASE 51: Base Case · distressed-multiple shift point 3</t>
  </si>
  <si>
    <t xml:space="preserve">CASE 52: Base Case · distressed-multiple shift point 4</t>
  </si>
  <si>
    <t xml:space="preserve">CASE 53: Base Case · distressed-multiple shift point 5</t>
  </si>
  <si>
    <t xml:space="preserve">CASE 54: Downside · distressed-multiple shift point 1</t>
  </si>
  <si>
    <t xml:space="preserve">CASE 55: Downside · distressed-multiple shift point 2</t>
  </si>
  <si>
    <t xml:space="preserve">CASE 56: Downside · distressed-multiple shift point 3</t>
  </si>
  <si>
    <t xml:space="preserve">CASE 57: Downside · distressed-multiple shift point 4</t>
  </si>
  <si>
    <t xml:space="preserve">CASE 58: Downside · distressed-multiple shift point 5</t>
  </si>
  <si>
    <t xml:space="preserve">CASE 59: Severe Downside · distressed-multiple shift point 1</t>
  </si>
  <si>
    <t xml:space="preserve">CASE 60: Severe Downside · distressed-multiple shift point 2</t>
  </si>
  <si>
    <t xml:space="preserve">CASE 61: Severe Downside · distressed-multiple shift point 3</t>
  </si>
  <si>
    <t xml:space="preserve">CASE 62: Severe Downside · distressed-multiple shift point 4</t>
  </si>
  <si>
    <t xml:space="preserve">CASE 63: Severe Downside · distressed-multiple shift point 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</si>
</sst>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yyyy\-mm\-dd"/>
    <numFmt numFmtId="167" formatCode="0.0%;\(0.0%\);\–"/>
    <numFmt numFmtId="168" formatCode="#,##0.0;\(#,##0.0\);\–"/>
    <numFmt numFmtId="169" formatCode="0.00\x"/>
    <numFmt numFmtId="170" formatCode="0.0"/>
    <numFmt numFmtId="171" formatCode="0.00%"/>
    <numFmt numFmtId="172" formatCode="0.00"/>
    <numFmt numFmtId="173" formatCode="0.000"/>
    <numFmt numFmtId="174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7A33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7A33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8D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cripts/../models/_raw_amcx.xlsx" TargetMode="External"/><Relationship Id="rId2" Type="http://schemas.openxmlformats.org/officeDocument/2006/relationships/hyperlink" Target="../../scripts/../models/_raw_amcx.xlsx" TargetMode="External"/><Relationship Id="rId3" Type="http://schemas.openxmlformats.org/officeDocument/2006/relationships/hyperlink" Target="../../scripts/../models/_raw_amcx.xlsx" TargetMode="External"/><Relationship Id="rId4" Type="http://schemas.openxmlformats.org/officeDocument/2006/relationships/hyperlink" Target="../../scripts/../models/_raw_amcx.xlsx" TargetMode="External"/><Relationship Id="rId5" Type="http://schemas.openxmlformats.org/officeDocument/2006/relationships/hyperlink" Target="../../scripts/../models/_raw_amcx.xlsx" TargetMode="External"/><Relationship Id="rId6" Type="http://schemas.openxmlformats.org/officeDocument/2006/relationships/hyperlink" Target="../../scripts/../models/_raw_amcx.xlsx" TargetMode="External"/><Relationship Id="rId7" Type="http://schemas.openxmlformats.org/officeDocument/2006/relationships/hyperlink" Target="../../scripts/../models/_raw_amcx.xlsx" TargetMode="External"/><Relationship Id="rId8" Type="http://schemas.openxmlformats.org/officeDocument/2006/relationships/hyperlink" Target="../../scripts/../models/_raw_amcx.xlsx" TargetMode="External"/><Relationship Id="rId9" Type="http://schemas.openxmlformats.org/officeDocument/2006/relationships/hyperlink" Target="../../scripts/../models/_raw_amcx.xlsx" TargetMode="External"/><Relationship Id="rId10" Type="http://schemas.openxmlformats.org/officeDocument/2006/relationships/hyperlink" Target="../../scripts/../models/_raw_amcx.xlsx" TargetMode="External"/><Relationship Id="rId11" Type="http://schemas.openxmlformats.org/officeDocument/2006/relationships/hyperlink" Target="../../scripts/../models/_raw_amcx.xlsx" TargetMode="External"/><Relationship Id="rId12" Type="http://schemas.openxmlformats.org/officeDocument/2006/relationships/hyperlink" Target="../../scripts/../models/_raw_amcx.xlsx" TargetMode="External"/><Relationship Id="rId13" Type="http://schemas.openxmlformats.org/officeDocument/2006/relationships/hyperlink" Target="../../scripts/../models/_raw_amcx.xlsx" TargetMode="External"/><Relationship Id="rId14" Type="http://schemas.openxmlformats.org/officeDocument/2006/relationships/hyperlink" Target="../../scripts/../models/_raw_amcx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  <c r="B4" s="4" t="str">
        <f aca="false">'Investment Summary'!$D$53</f>
        <v>ALL CHECKS PASS</v>
      </c>
    </row>
    <row r="5" customFormat="false" ht="15" hidden="false" customHeight="false" outlineLevel="0" collapsed="false">
      <c r="A5" s="2" t="s">
        <v>4</v>
      </c>
      <c r="B5" s="4" t="str">
        <f aca="false">Assumptions!$D$10</f>
        <v>Downside</v>
      </c>
    </row>
    <row r="6" customFormat="false" ht="15" hidden="false" customHeight="false" outlineLevel="0" collapsed="false">
      <c r="A6" s="2" t="s">
        <v>5</v>
      </c>
      <c r="B6" s="4" t="str">
        <f aca="false">'Investment Summary'!$C$4</f>
        <v>HOLD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5" t="s">
        <v>7</v>
      </c>
      <c r="B9" s="3" t="s">
        <v>8</v>
      </c>
    </row>
    <row r="10" customFormat="false" ht="15" hidden="false" customHeight="false" outlineLevel="0" collapsed="false">
      <c r="A10" s="3" t="s">
        <v>9</v>
      </c>
      <c r="B10" s="3" t="s">
        <v>10</v>
      </c>
    </row>
    <row r="11" customFormat="false" ht="15" hidden="false" customHeight="false" outlineLevel="0" collapsed="false">
      <c r="A11" s="6" t="s">
        <v>11</v>
      </c>
      <c r="B11" s="3" t="s">
        <v>12</v>
      </c>
    </row>
    <row r="12" customFormat="false" ht="15" hidden="false" customHeight="false" outlineLevel="0" collapsed="false">
      <c r="A12" s="7" t="s">
        <v>13</v>
      </c>
      <c r="B12" s="3" t="s">
        <v>14</v>
      </c>
    </row>
    <row r="14" customFormat="false" ht="15" hidden="false" customHeight="false" outlineLevel="0" collapsed="false">
      <c r="A14" s="2" t="s">
        <v>15</v>
      </c>
      <c r="B14" s="3" t="s">
        <v>16</v>
      </c>
    </row>
    <row r="15" customFormat="false" ht="15" hidden="false" customHeight="false" outlineLevel="0" collapsed="false">
      <c r="A15" s="2" t="s">
        <v>17</v>
      </c>
      <c r="B15" s="3" t="s">
        <v>18</v>
      </c>
    </row>
    <row r="17" customFormat="false" ht="15" hidden="false" customHeight="false" outlineLevel="0" collapsed="false">
      <c r="A17" s="2" t="s">
        <v>19</v>
      </c>
    </row>
    <row r="18" customFormat="false" ht="15" hidden="false" customHeight="false" outlineLevel="0" collapsed="false">
      <c r="A18" s="8" t="s">
        <v>20</v>
      </c>
      <c r="B18" s="3" t="s">
        <v>21</v>
      </c>
    </row>
    <row r="19" customFormat="false" ht="15" hidden="false" customHeight="false" outlineLevel="0" collapsed="false">
      <c r="A19" s="8" t="s">
        <v>22</v>
      </c>
      <c r="B19" s="3" t="s">
        <v>23</v>
      </c>
    </row>
    <row r="20" customFormat="false" ht="15" hidden="false" customHeight="false" outlineLevel="0" collapsed="false">
      <c r="A20" s="8" t="s">
        <v>24</v>
      </c>
      <c r="B20" s="3" t="s">
        <v>25</v>
      </c>
    </row>
    <row r="21" customFormat="false" ht="15" hidden="false" customHeight="false" outlineLevel="0" collapsed="false">
      <c r="A21" s="8" t="s">
        <v>26</v>
      </c>
      <c r="B21" s="3" t="s">
        <v>27</v>
      </c>
    </row>
    <row r="22" customFormat="false" ht="15" hidden="false" customHeight="false" outlineLevel="0" collapsed="false">
      <c r="A22" s="8" t="s">
        <v>28</v>
      </c>
      <c r="B22" s="3" t="s">
        <v>29</v>
      </c>
    </row>
    <row r="23" customFormat="false" ht="15" hidden="false" customHeight="false" outlineLevel="0" collapsed="false">
      <c r="A23" s="8" t="s">
        <v>30</v>
      </c>
      <c r="B23" s="3" t="s">
        <v>31</v>
      </c>
    </row>
    <row r="24" customFormat="false" ht="15" hidden="false" customHeight="false" outlineLevel="0" collapsed="false">
      <c r="A24" s="8" t="s">
        <v>32</v>
      </c>
      <c r="B24" s="3" t="s">
        <v>33</v>
      </c>
    </row>
    <row r="25" customFormat="false" ht="15" hidden="false" customHeight="false" outlineLevel="0" collapsed="false">
      <c r="A25" s="8" t="s">
        <v>34</v>
      </c>
      <c r="B25" s="3" t="s">
        <v>35</v>
      </c>
    </row>
    <row r="26" customFormat="false" ht="15" hidden="false" customHeight="false" outlineLevel="0" collapsed="false">
      <c r="A26" s="8" t="s">
        <v>36</v>
      </c>
      <c r="B26" s="3" t="s">
        <v>37</v>
      </c>
    </row>
    <row r="27" customFormat="false" ht="15" hidden="false" customHeight="false" outlineLevel="0" collapsed="false">
      <c r="A27" s="8" t="s">
        <v>38</v>
      </c>
      <c r="B27" s="3" t="s">
        <v>39</v>
      </c>
    </row>
    <row r="28" customFormat="false" ht="15" hidden="false" customHeight="false" outlineLevel="0" collapsed="false">
      <c r="A28" s="8" t="s">
        <v>40</v>
      </c>
      <c r="B28" s="3" t="s">
        <v>41</v>
      </c>
    </row>
    <row r="29" customFormat="false" ht="15" hidden="false" customHeight="false" outlineLevel="0" collapsed="false">
      <c r="A29" s="8" t="s">
        <v>42</v>
      </c>
      <c r="B29" s="3" t="s">
        <v>43</v>
      </c>
    </row>
    <row r="30" customFormat="false" ht="15" hidden="false" customHeight="false" outlineLevel="0" collapsed="false">
      <c r="A30" s="8" t="s">
        <v>44</v>
      </c>
      <c r="B30" s="3" t="s">
        <v>45</v>
      </c>
    </row>
    <row r="31" customFormat="false" ht="15" hidden="false" customHeight="false" outlineLevel="0" collapsed="false">
      <c r="A31" s="8" t="s">
        <v>46</v>
      </c>
      <c r="B31" s="3" t="s">
        <v>47</v>
      </c>
    </row>
    <row r="33" customFormat="false" ht="15" hidden="false" customHeight="false" outlineLevel="0" collapsed="false">
      <c r="A33" s="3" t="s">
        <v>48</v>
      </c>
    </row>
  </sheetData>
  <hyperlinks>
    <hyperlink ref="A18" r:id="rId1" location="'Assumptions'!A1" display="Assumptions"/>
    <hyperlink ref="A19" r:id="rId2" location="'Historical%20Financials'!A1" display="Historical Financials"/>
    <hyperlink ref="A20" r:id="rId3" location="'Operating%20Model'!A1" display="Operating Model"/>
    <hyperlink ref="A21" r:id="rId4" location="'Debt%20Schedule'!A1" display="Debt Schedule"/>
    <hyperlink ref="A22" r:id="rId5" location="'Cash%20Flow'!A1" display="Cash Flow"/>
    <hyperlink ref="A23" r:id="rId6" location="'Credit%20Metrics'!A1" display="Credit Metrics"/>
    <hyperlink ref="A24" r:id="rId7" location="'Scenarios'!A1" display="Scenarios"/>
    <hyperlink ref="A25" r:id="rId8" location="'Capital%20Structure'!A1" display="Capital Structure"/>
    <hyperlink ref="A26" r:id="rId9" location="'Recovery'!A1" display="Recovery"/>
    <hyperlink ref="A27" r:id="rId10" location="'Returns'!A1" display="Returns"/>
    <hyperlink ref="A28" r:id="rId11" location="'Sensitivities'!A1" display="Sensitivities"/>
    <hyperlink ref="A29" r:id="rId12" location="'Investment%20Summary'!A1" display="Investment Summary"/>
    <hyperlink ref="A30" r:id="rId13" location="'Sources'!A1" display="Sources"/>
    <hyperlink ref="A31" r:id="rId14" location="'Calc%20Engine'!A1" display="Calc Eng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T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18" min="3" style="0" width="12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3" t="s">
        <v>50</v>
      </c>
    </row>
    <row r="4" customFormat="false" ht="15" hidden="false" customHeight="false" outlineLevel="0" collapsed="false">
      <c r="A4" s="9" t="s">
        <v>51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customFormat="false" ht="15" hidden="false" customHeight="false" outlineLevel="0" collapsed="false">
      <c r="A5" s="3" t="s">
        <v>52</v>
      </c>
      <c r="B5" s="3"/>
      <c r="C5" s="5" t="s">
        <v>53</v>
      </c>
    </row>
    <row r="6" customFormat="false" ht="15" hidden="false" customHeight="false" outlineLevel="0" collapsed="false">
      <c r="A6" s="3" t="s">
        <v>54</v>
      </c>
      <c r="B6" s="3"/>
      <c r="C6" s="11" t="n">
        <v>2026</v>
      </c>
    </row>
    <row r="7" customFormat="false" ht="15" hidden="false" customHeight="false" outlineLevel="0" collapsed="false">
      <c r="A7" s="3" t="s">
        <v>55</v>
      </c>
      <c r="B7" s="3"/>
      <c r="C7" s="11" t="n">
        <v>6</v>
      </c>
    </row>
    <row r="8" customFormat="false" ht="15" hidden="false" customHeight="false" outlineLevel="0" collapsed="false">
      <c r="A8" s="3" t="s">
        <v>56</v>
      </c>
      <c r="B8" s="3"/>
      <c r="C8" s="12" t="n">
        <v>46203</v>
      </c>
    </row>
    <row r="9" customFormat="false" ht="15" hidden="false" customHeight="false" outlineLevel="0" collapsed="false">
      <c r="A9" s="3" t="s">
        <v>57</v>
      </c>
      <c r="B9" s="3" t="s">
        <v>58</v>
      </c>
      <c r="C9" s="13" t="n">
        <v>0.25</v>
      </c>
    </row>
    <row r="10" customFormat="false" ht="15" hidden="false" customHeight="false" outlineLevel="0" collapsed="false">
      <c r="A10" s="3" t="s">
        <v>59</v>
      </c>
      <c r="B10" s="3" t="s">
        <v>60</v>
      </c>
      <c r="C10" s="11" t="n">
        <v>2</v>
      </c>
      <c r="D10" s="3" t="str">
        <f aca="false">CHOOSE(C10,"Base Case","Downside","Severe Downside")</f>
        <v>Downside</v>
      </c>
    </row>
    <row r="11" customFormat="false" ht="15" hidden="false" customHeight="false" outlineLevel="0" collapsed="false">
      <c r="A11" s="3" t="s">
        <v>61</v>
      </c>
      <c r="B11" s="3" t="s">
        <v>62</v>
      </c>
      <c r="C11" s="14" t="n">
        <v>463.996</v>
      </c>
    </row>
    <row r="12" customFormat="false" ht="15" hidden="false" customHeight="false" outlineLevel="0" collapsed="false">
      <c r="A12" s="3" t="s">
        <v>63</v>
      </c>
      <c r="B12" s="3" t="s">
        <v>62</v>
      </c>
      <c r="C12" s="14" t="n">
        <v>150</v>
      </c>
    </row>
    <row r="13" customFormat="false" ht="15" hidden="false" customHeight="false" outlineLevel="0" collapsed="false">
      <c r="A13" s="3" t="s">
        <v>64</v>
      </c>
      <c r="B13" s="3" t="s">
        <v>65</v>
      </c>
      <c r="C13" s="13" t="n">
        <v>0</v>
      </c>
    </row>
    <row r="14" customFormat="false" ht="15" hidden="false" customHeight="false" outlineLevel="0" collapsed="false">
      <c r="A14" s="3" t="s">
        <v>66</v>
      </c>
      <c r="B14" s="3" t="s">
        <v>67</v>
      </c>
      <c r="C14" s="14"/>
    </row>
    <row r="15" customFormat="false" ht="15" hidden="false" customHeight="false" outlineLevel="0" collapsed="false">
      <c r="A15" s="3" t="s">
        <v>68</v>
      </c>
      <c r="B15" s="3" t="s">
        <v>69</v>
      </c>
      <c r="C15" s="13" t="n">
        <v>0.04</v>
      </c>
    </row>
    <row r="16" customFormat="false" ht="15" hidden="false" customHeight="false" outlineLevel="0" collapsed="false">
      <c r="A16" s="3" t="s">
        <v>70</v>
      </c>
      <c r="B16" s="3" t="s">
        <v>71</v>
      </c>
      <c r="C16" s="11" t="n">
        <v>3</v>
      </c>
    </row>
    <row r="17" customFormat="false" ht="15" hidden="false" customHeight="false" outlineLevel="0" collapsed="false">
      <c r="A17" s="3" t="s">
        <v>72</v>
      </c>
      <c r="B17" s="3"/>
      <c r="C17" s="11" t="n">
        <v>99</v>
      </c>
    </row>
    <row r="18" customFormat="false" ht="15" hidden="false" customHeight="false" outlineLevel="0" collapsed="false">
      <c r="A18" s="3" t="s">
        <v>73</v>
      </c>
      <c r="B18" s="3" t="s">
        <v>74</v>
      </c>
      <c r="C18" s="11" t="n">
        <v>2</v>
      </c>
    </row>
    <row r="19" customFormat="false" ht="15" hidden="false" customHeight="false" outlineLevel="0" collapsed="false">
      <c r="A19" s="3" t="s">
        <v>75</v>
      </c>
      <c r="B19" s="3" t="s">
        <v>76</v>
      </c>
      <c r="C19" s="13" t="n">
        <v>0.25</v>
      </c>
    </row>
    <row r="20" customFormat="false" ht="15" hidden="false" customHeight="false" outlineLevel="0" collapsed="false">
      <c r="A20" s="3" t="s">
        <v>77</v>
      </c>
      <c r="B20" s="3" t="s">
        <v>76</v>
      </c>
      <c r="C20" s="13" t="n">
        <v>0.3</v>
      </c>
    </row>
    <row r="21" customFormat="false" ht="15" hidden="false" customHeight="false" outlineLevel="0" collapsed="false">
      <c r="A21" s="3" t="s">
        <v>78</v>
      </c>
      <c r="B21" s="3" t="s">
        <v>79</v>
      </c>
      <c r="C21" s="15" t="n">
        <v>5.5</v>
      </c>
    </row>
    <row r="22" customFormat="false" ht="15" hidden="false" customHeight="false" outlineLevel="0" collapsed="false">
      <c r="A22" s="3" t="s">
        <v>80</v>
      </c>
      <c r="B22" s="3" t="s">
        <v>81</v>
      </c>
      <c r="C22" s="11" t="n">
        <v>3</v>
      </c>
    </row>
    <row r="24" customFormat="false" ht="15" hidden="false" customHeight="false" outlineLevel="0" collapsed="false">
      <c r="A24" s="9" t="s">
        <v>82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customFormat="false" ht="15" hidden="false" customHeight="false" outlineLevel="0" collapsed="false">
      <c r="A25" s="3" t="s">
        <v>83</v>
      </c>
    </row>
    <row r="26" customFormat="false" ht="15" hidden="false" customHeight="false" outlineLevel="0" collapsed="false">
      <c r="A26" s="3" t="s">
        <v>84</v>
      </c>
      <c r="C26" s="14" t="n">
        <v>1627.782</v>
      </c>
      <c r="D26" s="3" t="s">
        <v>85</v>
      </c>
    </row>
    <row r="27" customFormat="false" ht="15" hidden="false" customHeight="false" outlineLevel="0" collapsed="false">
      <c r="A27" s="3" t="s">
        <v>86</v>
      </c>
      <c r="C27" s="14" t="n">
        <v>547.187</v>
      </c>
      <c r="D27" s="3" t="s">
        <v>87</v>
      </c>
    </row>
    <row r="28" customFormat="false" ht="15" hidden="false" customHeight="false" outlineLevel="0" collapsed="false">
      <c r="A28" s="3" t="s">
        <v>88</v>
      </c>
      <c r="C28" s="14" t="n">
        <v>110.555</v>
      </c>
      <c r="D28" s="3" t="s">
        <v>89</v>
      </c>
    </row>
    <row r="29" customFormat="false" ht="15" hidden="false" customHeight="false" outlineLevel="0" collapsed="false">
      <c r="A29" s="3" t="s">
        <v>90</v>
      </c>
      <c r="C29" s="14" t="n">
        <v>169.447</v>
      </c>
      <c r="D29" s="3" t="s">
        <v>91</v>
      </c>
    </row>
    <row r="30" customFormat="false" ht="15" hidden="false" customHeight="false" outlineLevel="0" collapsed="false">
      <c r="A30" s="2" t="s">
        <v>92</v>
      </c>
      <c r="C30" s="16" t="n">
        <f aca="false">SUM(C26:C29)</f>
        <v>2454.971</v>
      </c>
    </row>
    <row r="32" customFormat="false" ht="15" hidden="false" customHeight="false" outlineLevel="0" collapsed="false">
      <c r="A32" s="9" t="s">
        <v>93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customFormat="false" ht="15" hidden="false" customHeight="false" outlineLevel="0" collapsed="false">
      <c r="A33" s="3" t="s">
        <v>94</v>
      </c>
      <c r="B33" s="3"/>
      <c r="C33" s="11" t="n">
        <v>1</v>
      </c>
    </row>
    <row r="34" customFormat="false" ht="15" hidden="false" customHeight="false" outlineLevel="0" collapsed="false">
      <c r="A34" s="3" t="s">
        <v>95</v>
      </c>
      <c r="B34" s="3" t="s">
        <v>62</v>
      </c>
      <c r="C34" s="14" t="n">
        <v>100</v>
      </c>
    </row>
    <row r="35" customFormat="false" ht="15" hidden="false" customHeight="false" outlineLevel="0" collapsed="false">
      <c r="A35" s="3" t="s">
        <v>96</v>
      </c>
      <c r="B35" s="3" t="s">
        <v>97</v>
      </c>
      <c r="C35" s="17" t="n">
        <v>95</v>
      </c>
    </row>
    <row r="36" customFormat="false" ht="15" hidden="false" customHeight="false" outlineLevel="0" collapsed="false">
      <c r="A36" s="3" t="s">
        <v>98</v>
      </c>
      <c r="B36" s="3" t="s">
        <v>99</v>
      </c>
      <c r="C36" s="18" t="n">
        <v>0</v>
      </c>
    </row>
    <row r="37" customFormat="false" ht="15" hidden="false" customHeight="false" outlineLevel="0" collapsed="false">
      <c r="A37" s="3" t="s">
        <v>100</v>
      </c>
      <c r="B37" s="3" t="s">
        <v>81</v>
      </c>
      <c r="C37" s="11" t="n">
        <v>3</v>
      </c>
    </row>
    <row r="38" customFormat="false" ht="15" hidden="false" customHeight="false" outlineLevel="0" collapsed="false">
      <c r="A38" s="3" t="s">
        <v>101</v>
      </c>
      <c r="B38" s="3" t="s">
        <v>102</v>
      </c>
      <c r="C38" s="11" t="n">
        <v>2</v>
      </c>
    </row>
    <row r="39" customFormat="false" ht="15" hidden="false" customHeight="false" outlineLevel="0" collapsed="false">
      <c r="A39" s="3" t="s">
        <v>103</v>
      </c>
      <c r="B39" s="3" t="s">
        <v>81</v>
      </c>
      <c r="C39" s="11" t="n">
        <v>1</v>
      </c>
    </row>
    <row r="40" customFormat="false" ht="15" hidden="false" customHeight="false" outlineLevel="0" collapsed="false">
      <c r="A40" s="3" t="s">
        <v>104</v>
      </c>
      <c r="B40" s="3"/>
      <c r="C40" s="13" t="n">
        <v>0.12</v>
      </c>
    </row>
    <row r="41" customFormat="false" ht="15" hidden="false" customHeight="false" outlineLevel="0" collapsed="false">
      <c r="A41" s="3" t="s">
        <v>105</v>
      </c>
      <c r="B41" s="3"/>
      <c r="C41" s="13" t="n">
        <v>0</v>
      </c>
    </row>
    <row r="42" customFormat="false" ht="15" hidden="false" customHeight="false" outlineLevel="0" collapsed="false">
      <c r="A42" s="3" t="s">
        <v>106</v>
      </c>
      <c r="B42" s="3"/>
      <c r="C42" s="13" t="n">
        <v>0.1</v>
      </c>
    </row>
    <row r="43" customFormat="false" ht="15" hidden="false" customHeight="false" outlineLevel="0" collapsed="false">
      <c r="A43" s="3" t="s">
        <v>107</v>
      </c>
      <c r="B43" s="3"/>
      <c r="C43" s="15" t="n">
        <v>6</v>
      </c>
    </row>
    <row r="44" customFormat="false" ht="15" hidden="false" customHeight="false" outlineLevel="0" collapsed="false">
      <c r="A44" s="3" t="s">
        <v>108</v>
      </c>
      <c r="B44" s="3"/>
      <c r="C44" s="13" t="n">
        <v>0.7</v>
      </c>
    </row>
    <row r="45" customFormat="false" ht="15" hidden="false" customHeight="false" outlineLevel="0" collapsed="false">
      <c r="A45" s="3" t="s">
        <v>109</v>
      </c>
      <c r="B45" s="3"/>
      <c r="C45" s="13" t="n">
        <v>0.15</v>
      </c>
    </row>
    <row r="46" customFormat="false" ht="15" hidden="false" customHeight="false" outlineLevel="0" collapsed="false">
      <c r="A46" s="3" t="s">
        <v>110</v>
      </c>
      <c r="B46" s="3" t="s">
        <v>111</v>
      </c>
      <c r="C46" s="11" t="n">
        <v>2</v>
      </c>
    </row>
    <row r="47" customFormat="false" ht="15" hidden="false" customHeight="false" outlineLevel="0" collapsed="false">
      <c r="A47" s="3" t="s">
        <v>112</v>
      </c>
      <c r="B47" s="3" t="s">
        <v>111</v>
      </c>
      <c r="C47" s="11" t="n">
        <v>3</v>
      </c>
    </row>
    <row r="48" customFormat="false" ht="15" hidden="false" customHeight="false" outlineLevel="0" collapsed="false">
      <c r="A48" s="3" t="s">
        <v>113</v>
      </c>
      <c r="B48" s="3" t="s">
        <v>111</v>
      </c>
      <c r="C48" s="11" t="n">
        <v>6</v>
      </c>
    </row>
    <row r="50" customFormat="false" ht="15" hidden="false" customHeight="false" outlineLevel="0" collapsed="false">
      <c r="A50" s="9" t="s">
        <v>114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customFormat="false" ht="15" hidden="false" customHeight="false" outlineLevel="0" collapsed="false">
      <c r="A51" s="7" t="s">
        <v>115</v>
      </c>
      <c r="G51" s="19" t="n">
        <f aca="false">Assumptions!$C$6+1</f>
        <v>2027</v>
      </c>
      <c r="H51" s="19" t="n">
        <f aca="false">G51+1</f>
        <v>2028</v>
      </c>
      <c r="I51" s="19" t="n">
        <f aca="false">H51+1</f>
        <v>2029</v>
      </c>
      <c r="J51" s="19" t="n">
        <f aca="false">I51+1</f>
        <v>2030</v>
      </c>
      <c r="K51" s="19" t="n">
        <f aca="false">J51+1</f>
        <v>2031</v>
      </c>
    </row>
    <row r="52" customFormat="false" ht="15" hidden="false" customHeight="false" outlineLevel="0" collapsed="false">
      <c r="A52" s="3" t="s">
        <v>116</v>
      </c>
      <c r="B52" s="3" t="s">
        <v>117</v>
      </c>
      <c r="G52" s="18" t="n">
        <v>0.039</v>
      </c>
      <c r="H52" s="18" t="n">
        <v>0.0375</v>
      </c>
      <c r="I52" s="18" t="n">
        <v>0.035</v>
      </c>
      <c r="J52" s="18" t="n">
        <v>0.035</v>
      </c>
      <c r="K52" s="18" t="n">
        <v>0.035</v>
      </c>
    </row>
    <row r="54" customFormat="false" ht="15" hidden="false" customHeight="false" outlineLevel="0" collapsed="false">
      <c r="A54" s="9" t="s">
        <v>118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customFormat="false" ht="15" hidden="false" customHeight="false" outlineLevel="0" collapsed="false">
      <c r="A55" s="7" t="s">
        <v>119</v>
      </c>
      <c r="B55" s="7" t="s">
        <v>120</v>
      </c>
      <c r="C55" s="7" t="s">
        <v>121</v>
      </c>
      <c r="D55" s="7" t="s">
        <v>122</v>
      </c>
      <c r="E55" s="7" t="s">
        <v>123</v>
      </c>
      <c r="F55" s="7" t="s">
        <v>124</v>
      </c>
      <c r="G55" s="7" t="s">
        <v>125</v>
      </c>
      <c r="H55" s="7" t="s">
        <v>126</v>
      </c>
      <c r="I55" s="7" t="s">
        <v>127</v>
      </c>
      <c r="J55" s="7" t="s">
        <v>128</v>
      </c>
      <c r="K55" s="7" t="s">
        <v>129</v>
      </c>
      <c r="L55" s="7" t="s">
        <v>130</v>
      </c>
      <c r="M55" s="7" t="s">
        <v>131</v>
      </c>
      <c r="N55" s="7" t="s">
        <v>132</v>
      </c>
      <c r="O55" s="7" t="s">
        <v>133</v>
      </c>
      <c r="P55" s="7" t="s">
        <v>134</v>
      </c>
      <c r="Q55" s="7" t="s">
        <v>135</v>
      </c>
      <c r="R55" s="7" t="s">
        <v>136</v>
      </c>
      <c r="S55" s="7" t="s">
        <v>137</v>
      </c>
    </row>
    <row r="56" customFormat="false" ht="15" hidden="false" customHeight="false" outlineLevel="0" collapsed="false">
      <c r="A56" s="5" t="s">
        <v>138</v>
      </c>
      <c r="B56" s="5" t="s">
        <v>139</v>
      </c>
      <c r="C56" s="14" t="n">
        <v>1315.098</v>
      </c>
      <c r="D56" s="14" t="n">
        <v>0</v>
      </c>
      <c r="E56" s="18" t="n">
        <v>0.105</v>
      </c>
      <c r="F56" s="18" t="n">
        <v>0</v>
      </c>
      <c r="G56" s="18" t="n">
        <v>0</v>
      </c>
      <c r="H56" s="18" t="n">
        <v>0</v>
      </c>
      <c r="I56" s="11" t="n">
        <v>0</v>
      </c>
      <c r="J56" s="12" t="n">
        <v>48410</v>
      </c>
      <c r="K56" s="20" t="n">
        <f aca="false">YEAR(J56)+IF(MONTH(J56)&gt;Assumptions!$C$7,1,0)</f>
        <v>2033</v>
      </c>
      <c r="L56" s="13" t="n">
        <v>0</v>
      </c>
      <c r="M56" s="11" t="n">
        <v>1</v>
      </c>
      <c r="N56" s="11" t="n">
        <v>0</v>
      </c>
      <c r="O56" s="11" t="n">
        <v>1</v>
      </c>
      <c r="P56" s="11" t="n">
        <v>0</v>
      </c>
      <c r="Q56" s="13" t="n">
        <v>0</v>
      </c>
      <c r="R56" s="17" t="n">
        <v>95</v>
      </c>
      <c r="S56" s="3" t="s">
        <v>140</v>
      </c>
    </row>
    <row r="57" customFormat="false" ht="15" hidden="false" customHeight="false" outlineLevel="0" collapsed="false">
      <c r="A57" s="5" t="s">
        <v>141</v>
      </c>
      <c r="B57" s="5" t="s">
        <v>142</v>
      </c>
      <c r="C57" s="14" t="n">
        <v>276.706</v>
      </c>
      <c r="D57" s="14" t="n">
        <v>0</v>
      </c>
      <c r="E57" s="18" t="n">
        <v>0.0425</v>
      </c>
      <c r="F57" s="18" t="n">
        <v>0</v>
      </c>
      <c r="G57" s="18" t="n">
        <v>0</v>
      </c>
      <c r="H57" s="18" t="n">
        <v>0</v>
      </c>
      <c r="I57" s="11" t="n">
        <v>0</v>
      </c>
      <c r="J57" s="12" t="n">
        <v>47164</v>
      </c>
      <c r="K57" s="20" t="n">
        <f aca="false">YEAR(J57)+IF(MONTH(J57)&gt;Assumptions!$C$7,1,0)</f>
        <v>2029</v>
      </c>
      <c r="L57" s="13" t="n">
        <v>0</v>
      </c>
      <c r="M57" s="11" t="n">
        <v>2</v>
      </c>
      <c r="N57" s="11" t="n">
        <v>0</v>
      </c>
      <c r="O57" s="11" t="n">
        <v>0</v>
      </c>
      <c r="P57" s="11" t="n">
        <v>0</v>
      </c>
      <c r="Q57" s="13" t="n">
        <v>0</v>
      </c>
      <c r="R57" s="17" t="n">
        <v>100</v>
      </c>
      <c r="S57" s="3" t="s">
        <v>143</v>
      </c>
    </row>
    <row r="58" customFormat="false" ht="15" hidden="false" customHeight="false" outlineLevel="0" collapsed="false">
      <c r="A58" s="5" t="s">
        <v>144</v>
      </c>
      <c r="B58" s="5" t="s">
        <v>145</v>
      </c>
      <c r="C58" s="14" t="n">
        <v>143.75</v>
      </c>
      <c r="D58" s="14" t="n">
        <v>0</v>
      </c>
      <c r="E58" s="18" t="n">
        <v>0.0425</v>
      </c>
      <c r="F58" s="18" t="n">
        <v>0</v>
      </c>
      <c r="G58" s="18" t="n">
        <v>0</v>
      </c>
      <c r="H58" s="18" t="n">
        <v>0</v>
      </c>
      <c r="I58" s="11" t="n">
        <v>0</v>
      </c>
      <c r="J58" s="12" t="n">
        <v>47164</v>
      </c>
      <c r="K58" s="20" t="n">
        <f aca="false">YEAR(J58)+IF(MONTH(J58)&gt;Assumptions!$C$7,1,0)</f>
        <v>2029</v>
      </c>
      <c r="L58" s="13" t="n">
        <v>0</v>
      </c>
      <c r="M58" s="11" t="n">
        <v>2</v>
      </c>
      <c r="N58" s="11" t="n">
        <v>0</v>
      </c>
      <c r="O58" s="11" t="n">
        <v>0</v>
      </c>
      <c r="P58" s="11" t="n">
        <v>0</v>
      </c>
      <c r="Q58" s="13" t="n">
        <v>0</v>
      </c>
      <c r="R58" s="17" t="n">
        <v>100</v>
      </c>
      <c r="S58" s="3" t="s">
        <v>146</v>
      </c>
    </row>
    <row r="59" customFormat="false" ht="15" hidden="false" customHeight="false" outlineLevel="0" collapsed="false">
      <c r="A59" s="3" t="s">
        <v>147</v>
      </c>
    </row>
    <row r="61" customFormat="false" ht="15" hidden="false" customHeight="false" outlineLevel="0" collapsed="false">
      <c r="A61" s="9" t="s">
        <v>148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customFormat="false" ht="15" hidden="false" customHeight="false" outlineLevel="0" collapsed="false">
      <c r="A62" s="7" t="s">
        <v>149</v>
      </c>
      <c r="B62" s="7" t="s">
        <v>120</v>
      </c>
      <c r="C62" s="7" t="s">
        <v>150</v>
      </c>
      <c r="D62" s="7" t="s">
        <v>151</v>
      </c>
      <c r="E62" s="7" t="s">
        <v>152</v>
      </c>
      <c r="G62" s="19" t="n">
        <f aca="false">Assumptions!$C$6+1</f>
        <v>2027</v>
      </c>
      <c r="H62" s="19" t="n">
        <f aca="false">G62+1</f>
        <v>2028</v>
      </c>
      <c r="I62" s="19" t="n">
        <f aca="false">H62+1</f>
        <v>2029</v>
      </c>
      <c r="J62" s="19" t="n">
        <f aca="false">I62+1</f>
        <v>2030</v>
      </c>
      <c r="K62" s="19" t="n">
        <f aca="false">J62+1</f>
        <v>2031</v>
      </c>
    </row>
    <row r="63" customFormat="false" ht="15" hidden="false" customHeight="false" outlineLevel="0" collapsed="false">
      <c r="A63" s="3" t="s">
        <v>153</v>
      </c>
      <c r="B63" s="3" t="s">
        <v>154</v>
      </c>
      <c r="C63" s="3" t="s">
        <v>155</v>
      </c>
      <c r="D63" s="11" t="n">
        <v>0</v>
      </c>
      <c r="E63" s="15" t="n">
        <v>4.41</v>
      </c>
      <c r="G63" s="15" t="n">
        <v>5.5</v>
      </c>
      <c r="H63" s="15" t="n">
        <v>5.5</v>
      </c>
      <c r="I63" s="15" t="n">
        <v>5.5</v>
      </c>
      <c r="J63" s="15" t="n">
        <v>5.5</v>
      </c>
      <c r="K63" s="15" t="n">
        <v>5.5</v>
      </c>
    </row>
    <row r="64" customFormat="false" ht="15" hidden="false" customHeight="false" outlineLevel="0" collapsed="false">
      <c r="A64" s="3" t="s">
        <v>156</v>
      </c>
      <c r="B64" s="3" t="s">
        <v>157</v>
      </c>
      <c r="C64" s="3" t="s">
        <v>155</v>
      </c>
      <c r="D64" s="11" t="n">
        <v>0</v>
      </c>
      <c r="E64" s="15" t="n">
        <v>2.01</v>
      </c>
      <c r="G64" s="15" t="n">
        <v>1.5</v>
      </c>
      <c r="H64" s="15" t="n">
        <v>1.5</v>
      </c>
      <c r="I64" s="15" t="n">
        <v>1.5</v>
      </c>
      <c r="J64" s="15" t="n">
        <v>1.75</v>
      </c>
      <c r="K64" s="15" t="n">
        <v>1.75</v>
      </c>
    </row>
    <row r="65" customFormat="false" ht="15" hidden="false" customHeight="false" outlineLevel="0" collapsed="false">
      <c r="A65" s="3" t="s">
        <v>158</v>
      </c>
      <c r="B65" s="3" t="s">
        <v>154</v>
      </c>
      <c r="C65" s="3" t="s">
        <v>159</v>
      </c>
      <c r="D65" s="11" t="n">
        <v>1</v>
      </c>
      <c r="G65" s="15" t="n">
        <v>5.25</v>
      </c>
      <c r="H65" s="15" t="n">
        <v>5.25</v>
      </c>
      <c r="I65" s="15" t="n">
        <v>5</v>
      </c>
      <c r="J65" s="15" t="n">
        <v>5</v>
      </c>
      <c r="K65" s="15" t="n">
        <v>5</v>
      </c>
    </row>
    <row r="66" customFormat="false" ht="15" hidden="false" customHeight="false" outlineLevel="0" collapsed="false">
      <c r="A66" s="3" t="s">
        <v>160</v>
      </c>
      <c r="B66" s="3" t="s">
        <v>157</v>
      </c>
      <c r="C66" s="3" t="s">
        <v>159</v>
      </c>
      <c r="D66" s="11" t="n">
        <v>1</v>
      </c>
      <c r="G66" s="15" t="n">
        <v>1.4</v>
      </c>
      <c r="H66" s="15" t="n">
        <v>1.4</v>
      </c>
      <c r="I66" s="15" t="n">
        <v>1.4</v>
      </c>
      <c r="J66" s="15" t="n">
        <v>1.5</v>
      </c>
      <c r="K66" s="15" t="n">
        <v>1.5</v>
      </c>
    </row>
    <row r="67" customFormat="false" ht="15" hidden="false" customHeight="false" outlineLevel="0" collapsed="false">
      <c r="A67" s="3" t="s">
        <v>161</v>
      </c>
      <c r="B67" s="3" t="s">
        <v>162</v>
      </c>
      <c r="C67" s="3" t="s">
        <v>159</v>
      </c>
      <c r="D67" s="11" t="n">
        <v>1</v>
      </c>
      <c r="G67" s="15" t="n">
        <v>200</v>
      </c>
      <c r="H67" s="15" t="n">
        <v>200</v>
      </c>
      <c r="I67" s="15" t="n">
        <v>200</v>
      </c>
      <c r="J67" s="15" t="n">
        <v>200</v>
      </c>
      <c r="K67" s="15" t="n">
        <v>200</v>
      </c>
    </row>
    <row r="69" customFormat="false" ht="15" hidden="false" customHeight="false" outlineLevel="0" collapsed="false">
      <c r="A69" s="9" t="s">
        <v>163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customFormat="false" ht="15" hidden="false" customHeight="false" outlineLevel="0" collapsed="false">
      <c r="A70" s="7" t="s">
        <v>164</v>
      </c>
      <c r="B70" s="7"/>
      <c r="C70" s="7"/>
      <c r="D70" s="7"/>
      <c r="E70" s="7"/>
      <c r="F70" s="7"/>
      <c r="G70" s="19" t="n">
        <f aca="false">Assumptions!$C$6+1</f>
        <v>2027</v>
      </c>
      <c r="H70" s="19" t="n">
        <f aca="false">G70+1</f>
        <v>2028</v>
      </c>
      <c r="I70" s="19" t="n">
        <f aca="false">H70+1</f>
        <v>2029</v>
      </c>
      <c r="J70" s="19" t="n">
        <f aca="false">I70+1</f>
        <v>2030</v>
      </c>
      <c r="K70" s="19" t="n">
        <f aca="false">J70+1</f>
        <v>2031</v>
      </c>
    </row>
    <row r="71" customFormat="false" ht="15" hidden="false" customHeight="false" outlineLevel="0" collapsed="false">
      <c r="A71" s="3" t="s">
        <v>165</v>
      </c>
      <c r="G71" s="13" t="n">
        <v>-0.045</v>
      </c>
      <c r="H71" s="13" t="n">
        <v>-0.04</v>
      </c>
      <c r="I71" s="13" t="n">
        <v>-0.035</v>
      </c>
      <c r="J71" s="13" t="n">
        <v>-0.03</v>
      </c>
      <c r="K71" s="13" t="n">
        <v>-0.03</v>
      </c>
    </row>
    <row r="72" customFormat="false" ht="15" hidden="false" customHeight="false" outlineLevel="0" collapsed="false">
      <c r="A72" s="3" t="s">
        <v>166</v>
      </c>
      <c r="G72" s="13" t="n">
        <v>0.483246670103635</v>
      </c>
      <c r="H72" s="13" t="n">
        <v>0.483246670103635</v>
      </c>
      <c r="I72" s="13" t="n">
        <v>0.481246670103635</v>
      </c>
      <c r="J72" s="13" t="n">
        <v>0.479246670103635</v>
      </c>
      <c r="K72" s="13" t="n">
        <v>0.477246670103635</v>
      </c>
    </row>
    <row r="73" customFormat="false" ht="15" hidden="false" customHeight="false" outlineLevel="0" collapsed="false">
      <c r="A73" s="3" t="s">
        <v>167</v>
      </c>
      <c r="G73" s="13" t="n">
        <v>0.14</v>
      </c>
      <c r="H73" s="13" t="n">
        <v>0.14</v>
      </c>
      <c r="I73" s="13" t="n">
        <v>0.138</v>
      </c>
      <c r="J73" s="13" t="n">
        <v>0.136</v>
      </c>
      <c r="K73" s="13" t="n">
        <v>0.134</v>
      </c>
    </row>
    <row r="74" customFormat="false" ht="15" hidden="false" customHeight="false" outlineLevel="0" collapsed="false">
      <c r="A74" s="3" t="s">
        <v>168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</row>
    <row r="75" customFormat="false" ht="15" hidden="false" customHeight="false" outlineLevel="0" collapsed="false">
      <c r="A75" s="3" t="s">
        <v>169</v>
      </c>
      <c r="B75" s="3" t="s">
        <v>170</v>
      </c>
      <c r="C75" s="13" t="n">
        <v>0.014</v>
      </c>
    </row>
    <row r="76" customFormat="false" ht="15" hidden="false" customHeight="false" outlineLevel="0" collapsed="false">
      <c r="A76" s="3" t="s">
        <v>171</v>
      </c>
      <c r="B76" s="3" t="s">
        <v>172</v>
      </c>
      <c r="C76" s="13" t="n">
        <v>0</v>
      </c>
    </row>
    <row r="77" customFormat="false" ht="15" hidden="false" customHeight="false" outlineLevel="0" collapsed="false">
      <c r="A77" s="3" t="s">
        <v>173</v>
      </c>
      <c r="B77" s="3" t="s">
        <v>170</v>
      </c>
      <c r="C77" s="13" t="n">
        <v>-0.01</v>
      </c>
    </row>
    <row r="78" customFormat="false" ht="15" hidden="false" customHeight="false" outlineLevel="0" collapsed="false">
      <c r="A78" s="3" t="s">
        <v>174</v>
      </c>
      <c r="B78" s="3" t="s">
        <v>175</v>
      </c>
      <c r="C78" s="18" t="n">
        <v>0</v>
      </c>
    </row>
    <row r="79" customFormat="false" ht="15" hidden="false" customHeight="false" outlineLevel="0" collapsed="false">
      <c r="A79" s="3" t="s">
        <v>176</v>
      </c>
      <c r="B79" s="3" t="s">
        <v>65</v>
      </c>
      <c r="C79" s="18" t="n">
        <v>0.11</v>
      </c>
    </row>
    <row r="80" customFormat="false" ht="15" hidden="false" customHeight="false" outlineLevel="0" collapsed="false">
      <c r="A80" s="3" t="s">
        <v>177</v>
      </c>
      <c r="B80" s="3" t="s">
        <v>79</v>
      </c>
      <c r="C80" s="15" t="n">
        <v>6</v>
      </c>
    </row>
    <row r="81" customFormat="false" ht="15" hidden="false" customHeight="false" outlineLevel="0" collapsed="false">
      <c r="A81" s="3" t="s">
        <v>178</v>
      </c>
      <c r="B81" s="3" t="s">
        <v>79</v>
      </c>
      <c r="C81" s="15" t="n">
        <v>1.25</v>
      </c>
    </row>
    <row r="82" customFormat="false" ht="15" hidden="false" customHeight="false" outlineLevel="0" collapsed="false">
      <c r="A82" s="3" t="s">
        <v>179</v>
      </c>
      <c r="B82" s="3" t="s">
        <v>79</v>
      </c>
      <c r="C82" s="15" t="n">
        <v>5.5</v>
      </c>
    </row>
    <row r="83" customFormat="false" ht="15" hidden="false" customHeight="false" outlineLevel="0" collapsed="false">
      <c r="A83" s="3" t="s">
        <v>180</v>
      </c>
      <c r="B83" s="3" t="s">
        <v>97</v>
      </c>
      <c r="C83" s="17" t="n">
        <v>100</v>
      </c>
    </row>
    <row r="84" customFormat="false" ht="15" hidden="false" customHeight="false" outlineLevel="0" collapsed="false">
      <c r="A84" s="3" t="s">
        <v>181</v>
      </c>
      <c r="B84" s="3" t="s">
        <v>79</v>
      </c>
      <c r="C84" s="15" t="n">
        <v>5</v>
      </c>
    </row>
    <row r="85" customFormat="false" ht="15" hidden="false" customHeight="false" outlineLevel="0" collapsed="false">
      <c r="A85" s="3" t="s">
        <v>182</v>
      </c>
      <c r="B85" s="3" t="s">
        <v>65</v>
      </c>
      <c r="C85" s="13" t="n">
        <v>0</v>
      </c>
    </row>
    <row r="86" customFormat="false" ht="15" hidden="false" customHeight="false" outlineLevel="0" collapsed="false">
      <c r="A86" s="3" t="s">
        <v>183</v>
      </c>
      <c r="B86" s="3" t="s">
        <v>65</v>
      </c>
      <c r="C86" s="13" t="n">
        <v>0.3</v>
      </c>
    </row>
    <row r="87" customFormat="false" ht="15" hidden="false" customHeight="false" outlineLevel="0" collapsed="false">
      <c r="A87" s="3" t="s">
        <v>184</v>
      </c>
      <c r="C87" s="13" t="n">
        <v>0.45</v>
      </c>
    </row>
    <row r="89" customFormat="false" ht="15" hidden="false" customHeight="false" outlineLevel="0" collapsed="false">
      <c r="A89" s="7" t="s">
        <v>185</v>
      </c>
      <c r="B89" s="7"/>
      <c r="C89" s="7"/>
      <c r="D89" s="7"/>
      <c r="E89" s="7"/>
      <c r="F89" s="7"/>
      <c r="G89" s="19" t="n">
        <f aca="false">Assumptions!$C$6+1</f>
        <v>2027</v>
      </c>
      <c r="H89" s="19" t="n">
        <f aca="false">G89+1</f>
        <v>2028</v>
      </c>
      <c r="I89" s="19" t="n">
        <f aca="false">H89+1</f>
        <v>2029</v>
      </c>
      <c r="J89" s="19" t="n">
        <f aca="false">I89+1</f>
        <v>2030</v>
      </c>
      <c r="K89" s="19" t="n">
        <f aca="false">J89+1</f>
        <v>2031</v>
      </c>
    </row>
    <row r="90" customFormat="false" ht="15" hidden="false" customHeight="false" outlineLevel="0" collapsed="false">
      <c r="A90" s="3" t="s">
        <v>165</v>
      </c>
      <c r="G90" s="13" t="n">
        <v>-0.08</v>
      </c>
      <c r="H90" s="13" t="n">
        <v>-0.07</v>
      </c>
      <c r="I90" s="13" t="n">
        <v>-0.06</v>
      </c>
      <c r="J90" s="13" t="n">
        <v>-0.05</v>
      </c>
      <c r="K90" s="13" t="n">
        <v>-0.05</v>
      </c>
    </row>
    <row r="91" customFormat="false" ht="15" hidden="false" customHeight="false" outlineLevel="0" collapsed="false">
      <c r="A91" s="3" t="s">
        <v>166</v>
      </c>
      <c r="G91" s="13" t="n">
        <v>0.463246670103635</v>
      </c>
      <c r="H91" s="13" t="n">
        <v>0.453246670103635</v>
      </c>
      <c r="I91" s="13" t="n">
        <v>0.448246670103634</v>
      </c>
      <c r="J91" s="13" t="n">
        <v>0.443246670103635</v>
      </c>
      <c r="K91" s="13" t="n">
        <v>0.443246670103635</v>
      </c>
    </row>
    <row r="92" customFormat="false" ht="15" hidden="false" customHeight="false" outlineLevel="0" collapsed="false">
      <c r="A92" s="3" t="s">
        <v>167</v>
      </c>
      <c r="G92" s="13" t="n">
        <v>0.12</v>
      </c>
      <c r="H92" s="13" t="n">
        <v>0.11</v>
      </c>
      <c r="I92" s="13" t="n">
        <v>0.105</v>
      </c>
      <c r="J92" s="13" t="n">
        <v>0.1</v>
      </c>
      <c r="K92" s="13" t="n">
        <v>0.1</v>
      </c>
    </row>
    <row r="93" customFormat="false" ht="15" hidden="false" customHeight="false" outlineLevel="0" collapsed="false">
      <c r="A93" s="3" t="s">
        <v>168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</row>
    <row r="94" customFormat="false" ht="15" hidden="false" customHeight="false" outlineLevel="0" collapsed="false">
      <c r="A94" s="3" t="s">
        <v>169</v>
      </c>
      <c r="B94" s="3" t="s">
        <v>170</v>
      </c>
      <c r="C94" s="13" t="n">
        <v>0.013</v>
      </c>
    </row>
    <row r="95" customFormat="false" ht="15" hidden="false" customHeight="false" outlineLevel="0" collapsed="false">
      <c r="A95" s="3" t="s">
        <v>171</v>
      </c>
      <c r="B95" s="3" t="s">
        <v>172</v>
      </c>
      <c r="C95" s="13" t="n">
        <v>0</v>
      </c>
    </row>
    <row r="96" customFormat="false" ht="15" hidden="false" customHeight="false" outlineLevel="0" collapsed="false">
      <c r="A96" s="3" t="s">
        <v>173</v>
      </c>
      <c r="B96" s="3" t="s">
        <v>170</v>
      </c>
      <c r="C96" s="13" t="n">
        <v>0.005</v>
      </c>
    </row>
    <row r="97" customFormat="false" ht="15" hidden="false" customHeight="false" outlineLevel="0" collapsed="false">
      <c r="A97" s="3" t="s">
        <v>174</v>
      </c>
      <c r="B97" s="3" t="s">
        <v>175</v>
      </c>
      <c r="C97" s="18" t="n">
        <v>0.015</v>
      </c>
    </row>
    <row r="98" customFormat="false" ht="15" hidden="false" customHeight="false" outlineLevel="0" collapsed="false">
      <c r="A98" s="3" t="s">
        <v>176</v>
      </c>
      <c r="B98" s="3" t="s">
        <v>65</v>
      </c>
      <c r="C98" s="18" t="n">
        <v>0.13</v>
      </c>
    </row>
    <row r="99" customFormat="false" ht="15" hidden="false" customHeight="false" outlineLevel="0" collapsed="false">
      <c r="A99" s="3" t="s">
        <v>177</v>
      </c>
      <c r="B99" s="3" t="s">
        <v>79</v>
      </c>
      <c r="C99" s="15" t="n">
        <v>5.5</v>
      </c>
    </row>
    <row r="100" customFormat="false" ht="15" hidden="false" customHeight="false" outlineLevel="0" collapsed="false">
      <c r="A100" s="3" t="s">
        <v>178</v>
      </c>
      <c r="B100" s="3" t="s">
        <v>79</v>
      </c>
      <c r="C100" s="15" t="n">
        <v>1.5</v>
      </c>
    </row>
    <row r="101" customFormat="false" ht="15" hidden="false" customHeight="false" outlineLevel="0" collapsed="false">
      <c r="A101" s="3" t="s">
        <v>179</v>
      </c>
      <c r="B101" s="3" t="s">
        <v>79</v>
      </c>
      <c r="C101" s="15" t="n">
        <v>5</v>
      </c>
    </row>
    <row r="102" customFormat="false" ht="15" hidden="false" customHeight="false" outlineLevel="0" collapsed="false">
      <c r="A102" s="3" t="s">
        <v>180</v>
      </c>
      <c r="B102" s="3" t="s">
        <v>97</v>
      </c>
      <c r="C102" s="17" t="n">
        <v>95</v>
      </c>
    </row>
    <row r="103" customFormat="false" ht="15" hidden="false" customHeight="false" outlineLevel="0" collapsed="false">
      <c r="A103" s="3" t="s">
        <v>181</v>
      </c>
      <c r="B103" s="3" t="s">
        <v>79</v>
      </c>
      <c r="C103" s="15" t="n">
        <v>4.5</v>
      </c>
    </row>
    <row r="104" customFormat="false" ht="15" hidden="false" customHeight="false" outlineLevel="0" collapsed="false">
      <c r="A104" s="3" t="s">
        <v>182</v>
      </c>
      <c r="B104" s="3" t="s">
        <v>65</v>
      </c>
      <c r="C104" s="13" t="n">
        <v>0.15</v>
      </c>
    </row>
    <row r="105" customFormat="false" ht="15" hidden="false" customHeight="false" outlineLevel="0" collapsed="false">
      <c r="A105" s="3" t="s">
        <v>183</v>
      </c>
      <c r="B105" s="3" t="s">
        <v>65</v>
      </c>
      <c r="C105" s="13" t="n">
        <v>0.3</v>
      </c>
    </row>
    <row r="106" customFormat="false" ht="15" hidden="false" customHeight="false" outlineLevel="0" collapsed="false">
      <c r="A106" s="3" t="s">
        <v>184</v>
      </c>
      <c r="C106" s="13" t="n">
        <v>0.35</v>
      </c>
    </row>
    <row r="108" customFormat="false" ht="15" hidden="false" customHeight="false" outlineLevel="0" collapsed="false">
      <c r="A108" s="7" t="s">
        <v>186</v>
      </c>
      <c r="B108" s="7"/>
      <c r="C108" s="7"/>
      <c r="D108" s="7"/>
      <c r="E108" s="7"/>
      <c r="F108" s="7"/>
      <c r="G108" s="19" t="n">
        <f aca="false">Assumptions!$C$6+1</f>
        <v>2027</v>
      </c>
      <c r="H108" s="19" t="n">
        <f aca="false">G108+1</f>
        <v>2028</v>
      </c>
      <c r="I108" s="19" t="n">
        <f aca="false">H108+1</f>
        <v>2029</v>
      </c>
      <c r="J108" s="19" t="n">
        <f aca="false">I108+1</f>
        <v>2030</v>
      </c>
      <c r="K108" s="19" t="n">
        <f aca="false">J108+1</f>
        <v>2031</v>
      </c>
    </row>
    <row r="109" customFormat="false" ht="15" hidden="false" customHeight="false" outlineLevel="0" collapsed="false">
      <c r="A109" s="3" t="s">
        <v>165</v>
      </c>
      <c r="G109" s="13" t="n">
        <v>-0.14</v>
      </c>
      <c r="H109" s="13" t="n">
        <v>-0.12</v>
      </c>
      <c r="I109" s="13" t="n">
        <v>-0.1</v>
      </c>
      <c r="J109" s="13" t="n">
        <v>-0.08</v>
      </c>
      <c r="K109" s="13" t="n">
        <v>-0.06</v>
      </c>
    </row>
    <row r="110" customFormat="false" ht="15" hidden="false" customHeight="false" outlineLevel="0" collapsed="false">
      <c r="A110" s="3" t="s">
        <v>166</v>
      </c>
      <c r="G110" s="13" t="n">
        <v>0.433246670103635</v>
      </c>
      <c r="H110" s="13" t="n">
        <v>0.418246670103635</v>
      </c>
      <c r="I110" s="13" t="n">
        <v>0.413246670103635</v>
      </c>
      <c r="J110" s="13" t="n">
        <v>0.413246670103635</v>
      </c>
      <c r="K110" s="13" t="n">
        <v>0.413246670103635</v>
      </c>
    </row>
    <row r="111" customFormat="false" ht="15" hidden="false" customHeight="false" outlineLevel="0" collapsed="false">
      <c r="A111" s="3" t="s">
        <v>167</v>
      </c>
      <c r="G111" s="13" t="n">
        <v>0.09</v>
      </c>
      <c r="H111" s="13" t="n">
        <v>0.075</v>
      </c>
      <c r="I111" s="13" t="n">
        <v>0.07</v>
      </c>
      <c r="J111" s="13" t="n">
        <v>0.07</v>
      </c>
      <c r="K111" s="13" t="n">
        <v>0.07</v>
      </c>
    </row>
    <row r="112" customFormat="false" ht="15" hidden="false" customHeight="false" outlineLevel="0" collapsed="false">
      <c r="A112" s="3" t="s">
        <v>168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</row>
    <row r="113" customFormat="false" ht="15" hidden="false" customHeight="false" outlineLevel="0" collapsed="false">
      <c r="A113" s="3" t="s">
        <v>169</v>
      </c>
      <c r="B113" s="3" t="s">
        <v>170</v>
      </c>
      <c r="C113" s="13" t="n">
        <v>0.011</v>
      </c>
    </row>
    <row r="114" customFormat="false" ht="15" hidden="false" customHeight="false" outlineLevel="0" collapsed="false">
      <c r="A114" s="3" t="s">
        <v>171</v>
      </c>
      <c r="B114" s="3" t="s">
        <v>172</v>
      </c>
      <c r="C114" s="13" t="n">
        <v>0</v>
      </c>
    </row>
    <row r="115" customFormat="false" ht="15" hidden="false" customHeight="false" outlineLevel="0" collapsed="false">
      <c r="A115" s="3" t="s">
        <v>173</v>
      </c>
      <c r="B115" s="3" t="s">
        <v>170</v>
      </c>
      <c r="C115" s="13" t="n">
        <v>0.015</v>
      </c>
    </row>
    <row r="116" customFormat="false" ht="15" hidden="false" customHeight="false" outlineLevel="0" collapsed="false">
      <c r="A116" s="3" t="s">
        <v>174</v>
      </c>
      <c r="B116" s="3" t="s">
        <v>175</v>
      </c>
      <c r="C116" s="18" t="n">
        <v>0.03</v>
      </c>
    </row>
    <row r="117" customFormat="false" ht="15" hidden="false" customHeight="false" outlineLevel="0" collapsed="false">
      <c r="A117" s="3" t="s">
        <v>176</v>
      </c>
      <c r="B117" s="3" t="s">
        <v>65</v>
      </c>
      <c r="C117" s="18" t="n">
        <v>0.15</v>
      </c>
    </row>
    <row r="118" customFormat="false" ht="15" hidden="false" customHeight="false" outlineLevel="0" collapsed="false">
      <c r="A118" s="3" t="s">
        <v>177</v>
      </c>
      <c r="B118" s="3" t="s">
        <v>79</v>
      </c>
      <c r="C118" s="15" t="n">
        <v>5</v>
      </c>
    </row>
    <row r="119" customFormat="false" ht="15" hidden="false" customHeight="false" outlineLevel="0" collapsed="false">
      <c r="A119" s="3" t="s">
        <v>178</v>
      </c>
      <c r="B119" s="3" t="s">
        <v>79</v>
      </c>
      <c r="C119" s="15" t="n">
        <v>1.75</v>
      </c>
    </row>
    <row r="120" customFormat="false" ht="15" hidden="false" customHeight="false" outlineLevel="0" collapsed="false">
      <c r="A120" s="3" t="s">
        <v>179</v>
      </c>
      <c r="B120" s="3" t="s">
        <v>79</v>
      </c>
      <c r="C120" s="15" t="n">
        <v>4</v>
      </c>
    </row>
    <row r="121" customFormat="false" ht="15" hidden="false" customHeight="false" outlineLevel="0" collapsed="false">
      <c r="A121" s="3" t="s">
        <v>180</v>
      </c>
      <c r="B121" s="3" t="s">
        <v>97</v>
      </c>
      <c r="C121" s="17" t="n">
        <v>80</v>
      </c>
    </row>
    <row r="122" customFormat="false" ht="15" hidden="false" customHeight="false" outlineLevel="0" collapsed="false">
      <c r="A122" s="3" t="s">
        <v>181</v>
      </c>
      <c r="B122" s="3" t="s">
        <v>79</v>
      </c>
      <c r="C122" s="15" t="n">
        <v>4</v>
      </c>
    </row>
    <row r="123" customFormat="false" ht="15" hidden="false" customHeight="false" outlineLevel="0" collapsed="false">
      <c r="A123" s="3" t="s">
        <v>182</v>
      </c>
      <c r="B123" s="3" t="s">
        <v>65</v>
      </c>
      <c r="C123" s="13" t="n">
        <v>0.35</v>
      </c>
    </row>
    <row r="124" customFormat="false" ht="15" hidden="false" customHeight="false" outlineLevel="0" collapsed="false">
      <c r="A124" s="3" t="s">
        <v>183</v>
      </c>
      <c r="B124" s="3" t="s">
        <v>65</v>
      </c>
      <c r="C124" s="13" t="n">
        <v>0.3</v>
      </c>
    </row>
    <row r="125" customFormat="false" ht="15" hidden="false" customHeight="false" outlineLevel="0" collapsed="false">
      <c r="A125" s="3" t="s">
        <v>184</v>
      </c>
      <c r="C125" s="13" t="n">
        <v>0.2</v>
      </c>
    </row>
    <row r="127" customFormat="false" ht="15" hidden="false" customHeight="false" outlineLevel="0" collapsed="false">
      <c r="A127" s="3" t="s">
        <v>187</v>
      </c>
      <c r="C127" s="21" t="n">
        <f aca="false">Assumptions!$C$87+Assumptions!$C$106+Assumptions!$C$125</f>
        <v>1</v>
      </c>
    </row>
    <row r="129" customFormat="false" ht="15" hidden="false" customHeight="false" outlineLevel="0" collapsed="false">
      <c r="A129" s="9" t="s">
        <v>188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customFormat="false" ht="15" hidden="false" customHeight="false" outlineLevel="0" collapsed="false">
      <c r="A130" s="7" t="s">
        <v>189</v>
      </c>
      <c r="B130" s="7" t="s">
        <v>190</v>
      </c>
      <c r="C130" s="7" t="s">
        <v>191</v>
      </c>
      <c r="D130" s="7" t="s">
        <v>192</v>
      </c>
      <c r="E130" s="7" t="s">
        <v>193</v>
      </c>
    </row>
    <row r="131" customFormat="false" ht="15" hidden="false" customHeight="false" outlineLevel="0" collapsed="false">
      <c r="A131" s="3" t="s">
        <v>194</v>
      </c>
      <c r="B131" s="3" t="s">
        <v>79</v>
      </c>
      <c r="C131" s="11" t="n">
        <v>15</v>
      </c>
      <c r="D131" s="5" t="n">
        <v>2</v>
      </c>
      <c r="E131" s="5" t="n">
        <v>7</v>
      </c>
    </row>
    <row r="132" customFormat="false" ht="15" hidden="false" customHeight="false" outlineLevel="0" collapsed="false">
      <c r="A132" s="3" t="s">
        <v>195</v>
      </c>
      <c r="B132" s="3" t="s">
        <v>196</v>
      </c>
      <c r="C132" s="11" t="n">
        <v>15</v>
      </c>
      <c r="D132" s="5" t="n">
        <v>5</v>
      </c>
      <c r="E132" s="5" t="n">
        <v>1</v>
      </c>
    </row>
    <row r="133" customFormat="false" ht="15" hidden="false" customHeight="false" outlineLevel="0" collapsed="false">
      <c r="A133" s="3" t="s">
        <v>197</v>
      </c>
      <c r="B133" s="3" t="s">
        <v>79</v>
      </c>
      <c r="C133" s="11" t="n">
        <v>10</v>
      </c>
      <c r="D133" s="5" t="n">
        <v>2</v>
      </c>
      <c r="E133" s="5" t="n">
        <v>0.5</v>
      </c>
    </row>
    <row r="134" customFormat="false" ht="15" hidden="false" customHeight="false" outlineLevel="0" collapsed="false">
      <c r="A134" s="3" t="s">
        <v>198</v>
      </c>
      <c r="B134" s="3" t="s">
        <v>65</v>
      </c>
      <c r="C134" s="11" t="n">
        <v>10</v>
      </c>
      <c r="D134" s="5" t="n">
        <v>0.12</v>
      </c>
      <c r="E134" s="5" t="n">
        <v>-0.02</v>
      </c>
    </row>
    <row r="135" customFormat="false" ht="15" hidden="false" customHeight="false" outlineLevel="0" collapsed="false">
      <c r="A135" s="3" t="s">
        <v>199</v>
      </c>
      <c r="B135" s="3" t="s">
        <v>200</v>
      </c>
      <c r="C135" s="11" t="n">
        <v>10</v>
      </c>
      <c r="D135" s="5" t="n">
        <v>0</v>
      </c>
      <c r="E135" s="5" t="n">
        <v>0.5</v>
      </c>
    </row>
    <row r="136" customFormat="false" ht="15" hidden="false" customHeight="false" outlineLevel="0" collapsed="false">
      <c r="A136" s="3" t="s">
        <v>201</v>
      </c>
      <c r="B136" s="3" t="s">
        <v>202</v>
      </c>
      <c r="C136" s="11" t="n">
        <v>10</v>
      </c>
      <c r="D136" s="5" t="n">
        <v>0.01</v>
      </c>
      <c r="E136" s="5" t="n">
        <v>0.05</v>
      </c>
    </row>
    <row r="137" customFormat="false" ht="15" hidden="false" customHeight="false" outlineLevel="0" collapsed="false">
      <c r="A137" s="3" t="s">
        <v>203</v>
      </c>
      <c r="B137" s="3" t="s">
        <v>202</v>
      </c>
      <c r="C137" s="11" t="n">
        <v>8</v>
      </c>
      <c r="D137" s="5" t="n">
        <v>0.03</v>
      </c>
      <c r="E137" s="5" t="n">
        <v>0.15</v>
      </c>
    </row>
    <row r="138" customFormat="false" ht="15" hidden="false" customHeight="false" outlineLevel="0" collapsed="false">
      <c r="A138" s="3" t="s">
        <v>204</v>
      </c>
      <c r="B138" s="3" t="s">
        <v>205</v>
      </c>
      <c r="C138" s="11" t="n">
        <v>12</v>
      </c>
      <c r="D138" s="5" t="n">
        <v>2</v>
      </c>
      <c r="E138" s="5" t="n">
        <v>0.6</v>
      </c>
    </row>
    <row r="139" customFormat="false" ht="15" hidden="false" customHeight="false" outlineLevel="0" collapsed="false">
      <c r="A139" s="3" t="s">
        <v>206</v>
      </c>
      <c r="B139" s="3" t="s">
        <v>207</v>
      </c>
      <c r="C139" s="11" t="n">
        <v>10</v>
      </c>
      <c r="D139" s="5" t="n">
        <v>1</v>
      </c>
      <c r="E139" s="5" t="n">
        <v>0</v>
      </c>
    </row>
    <row r="140" customFormat="false" ht="15" hidden="false" customHeight="false" outlineLevel="0" collapsed="false">
      <c r="A140" s="3" t="s">
        <v>208</v>
      </c>
      <c r="B140" s="3" t="s">
        <v>207</v>
      </c>
      <c r="C140" s="22" t="n">
        <v>0.3</v>
      </c>
    </row>
    <row r="141" customFormat="false" ht="15" hidden="false" customHeight="false" outlineLevel="0" collapsed="false">
      <c r="A141" s="3" t="s">
        <v>209</v>
      </c>
      <c r="C141" s="20" t="n">
        <f aca="false">SUM(C131:C139)</f>
        <v>100</v>
      </c>
    </row>
    <row r="143" customFormat="false" ht="15" hidden="false" customHeight="false" outlineLevel="0" collapsed="false">
      <c r="A143" s="9" t="s">
        <v>210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customFormat="false" ht="15" hidden="false" customHeight="false" outlineLevel="0" collapsed="false">
      <c r="A144" s="3" t="s">
        <v>211</v>
      </c>
      <c r="B144" s="3"/>
      <c r="C144" s="11" t="n">
        <v>75</v>
      </c>
    </row>
    <row r="145" customFormat="false" ht="15" hidden="false" customHeight="false" outlineLevel="0" collapsed="false">
      <c r="A145" s="3" t="s">
        <v>212</v>
      </c>
      <c r="B145" s="3"/>
      <c r="C145" s="11" t="n">
        <v>60</v>
      </c>
    </row>
    <row r="146" customFormat="false" ht="15" hidden="false" customHeight="false" outlineLevel="0" collapsed="false">
      <c r="A146" s="3" t="s">
        <v>213</v>
      </c>
      <c r="B146" s="3"/>
      <c r="C146" s="11" t="n">
        <v>45</v>
      </c>
    </row>
  </sheetData>
  <dataValidations count="1">
    <dataValidation allowBlank="false" errorStyle="stop" operator="between" showDropDown="false" showErrorMessage="false" showInputMessage="false" sqref="C1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3" t="s">
        <v>215</v>
      </c>
    </row>
    <row r="4" customFormat="false" ht="15" hidden="false" customHeight="false" outlineLevel="0" collapsed="false">
      <c r="A4" s="7" t="s">
        <v>216</v>
      </c>
      <c r="B4" s="7" t="s">
        <v>217</v>
      </c>
      <c r="C4" s="7" t="s">
        <v>218</v>
      </c>
      <c r="D4" s="7" t="s">
        <v>219</v>
      </c>
      <c r="E4" s="7" t="s">
        <v>220</v>
      </c>
      <c r="F4" s="7" t="s">
        <v>221</v>
      </c>
      <c r="G4" s="7" t="s">
        <v>222</v>
      </c>
      <c r="H4" s="7" t="s">
        <v>223</v>
      </c>
    </row>
    <row r="5" customFormat="false" ht="15" hidden="false" customHeight="false" outlineLevel="0" collapsed="false">
      <c r="A5" s="23" t="s">
        <v>224</v>
      </c>
      <c r="B5" s="24"/>
      <c r="C5" s="24"/>
      <c r="D5" s="24"/>
      <c r="E5" s="24"/>
      <c r="F5" s="24"/>
      <c r="G5" s="24"/>
      <c r="H5" s="24"/>
    </row>
    <row r="6" customFormat="false" ht="15" hidden="false" customHeight="false" outlineLevel="0" collapsed="false">
      <c r="A6" s="3" t="s">
        <v>225</v>
      </c>
      <c r="B6" s="14" t="n">
        <v>2711.877</v>
      </c>
      <c r="C6" s="14" t="n">
        <v>2421.314</v>
      </c>
      <c r="D6" s="14" t="n">
        <v>2311.801</v>
      </c>
      <c r="E6" s="14" t="n">
        <v>1155.257</v>
      </c>
      <c r="F6" s="14" t="n">
        <v>1089.622</v>
      </c>
      <c r="G6" s="25" t="n">
        <f aca="false">D6+F6-E6</f>
        <v>2246.166</v>
      </c>
      <c r="H6" s="3" t="s">
        <v>226</v>
      </c>
    </row>
    <row r="7" customFormat="false" ht="15" hidden="false" customHeight="false" outlineLevel="0" collapsed="false">
      <c r="A7" s="3" t="s">
        <v>227</v>
      </c>
      <c r="B7" s="14" t="n">
        <v>1327.5</v>
      </c>
      <c r="C7" s="14" t="n">
        <v>1132.593</v>
      </c>
      <c r="D7" s="14" t="n">
        <v>1141.393</v>
      </c>
      <c r="E7" s="14" t="n">
        <v>551.222</v>
      </c>
      <c r="F7" s="14" t="n">
        <v>571.961</v>
      </c>
      <c r="G7" s="25" t="n">
        <f aca="false">D7+F7-E7</f>
        <v>1162.132</v>
      </c>
      <c r="H7" s="3" t="s">
        <v>228</v>
      </c>
    </row>
    <row r="8" customFormat="false" ht="15" hidden="false" customHeight="false" outlineLevel="0" collapsed="false">
      <c r="A8" s="3" t="s">
        <v>229</v>
      </c>
      <c r="B8" s="14" t="n">
        <v>764.087</v>
      </c>
      <c r="C8" s="14" t="n">
        <v>781.329</v>
      </c>
      <c r="D8" s="14" t="n">
        <v>818.341</v>
      </c>
      <c r="E8" s="14" t="n">
        <v>419.679</v>
      </c>
      <c r="F8" s="14" t="n">
        <v>426.623</v>
      </c>
      <c r="G8" s="25" t="n">
        <f aca="false">D8+F8-E8</f>
        <v>825.285</v>
      </c>
      <c r="H8" s="3" t="s">
        <v>230</v>
      </c>
    </row>
    <row r="9" customFormat="false" ht="15" hidden="false" customHeight="false" outlineLevel="0" collapsed="false">
      <c r="A9" s="3" t="s">
        <v>231</v>
      </c>
      <c r="B9" s="14" t="n">
        <v>25.665</v>
      </c>
      <c r="C9" s="14" t="n">
        <v>26.051</v>
      </c>
      <c r="D9" s="14" t="n">
        <v>25.33</v>
      </c>
      <c r="E9" s="14" t="n">
        <v>13.8</v>
      </c>
      <c r="F9" s="14" t="n">
        <v>12.826</v>
      </c>
      <c r="G9" s="25" t="n">
        <f aca="false">D9+F9-E9</f>
        <v>24.356</v>
      </c>
      <c r="H9" s="3" t="s">
        <v>232</v>
      </c>
    </row>
    <row r="10" customFormat="false" ht="15" hidden="false" customHeight="false" outlineLevel="0" collapsed="false">
      <c r="A10" s="3" t="s">
        <v>233</v>
      </c>
      <c r="B10" s="14" t="n">
        <v>10.543</v>
      </c>
      <c r="C10" s="14" t="n">
        <v>13.452</v>
      </c>
      <c r="D10" s="14" t="n">
        <v>10.733</v>
      </c>
      <c r="E10" s="14" t="n">
        <v>5.938</v>
      </c>
      <c r="F10" s="14" t="n">
        <v>4.416</v>
      </c>
      <c r="G10" s="25" t="n">
        <f aca="false">D10+F10-E10</f>
        <v>9.211</v>
      </c>
      <c r="H10" s="3" t="s">
        <v>234</v>
      </c>
    </row>
    <row r="11" customFormat="false" ht="15" hidden="false" customHeight="false" outlineLevel="0" collapsed="false">
      <c r="A11" s="3" t="s">
        <v>235</v>
      </c>
      <c r="B11" s="14" t="n">
        <v>13.606</v>
      </c>
      <c r="C11" s="14" t="n">
        <v>15.678</v>
      </c>
      <c r="D11" s="14" t="n">
        <v>23.744</v>
      </c>
      <c r="E11" s="14" t="n">
        <v>9.777</v>
      </c>
      <c r="F11" s="14" t="n">
        <v>6.762</v>
      </c>
      <c r="G11" s="25" t="n">
        <f aca="false">D11+F11-E11</f>
        <v>20.729</v>
      </c>
      <c r="H11" s="3" t="s">
        <v>236</v>
      </c>
    </row>
    <row r="12" customFormat="false" ht="15" hidden="false" customHeight="false" outlineLevel="0" collapsed="false">
      <c r="A12" s="3" t="s">
        <v>237</v>
      </c>
      <c r="B12" s="14" t="n">
        <v>107.402</v>
      </c>
      <c r="C12" s="14" t="n">
        <v>98.015</v>
      </c>
      <c r="D12" s="14" t="n">
        <v>94.425</v>
      </c>
      <c r="E12" s="14" t="n">
        <v>47.372</v>
      </c>
      <c r="F12" s="14" t="n">
        <v>38.243</v>
      </c>
      <c r="G12" s="25" t="n">
        <f aca="false">D12+F12-E12</f>
        <v>85.296</v>
      </c>
      <c r="H12" s="3" t="s">
        <v>238</v>
      </c>
    </row>
    <row r="13" customFormat="false" ht="15" hidden="false" customHeight="false" outlineLevel="0" collapsed="false">
      <c r="A13" s="3" t="s">
        <v>239</v>
      </c>
      <c r="B13" s="14" t="n">
        <v>152.703</v>
      </c>
      <c r="C13" s="14" t="n">
        <v>166.186</v>
      </c>
      <c r="D13" s="14" t="n">
        <v>172.353</v>
      </c>
      <c r="E13" s="14" t="n">
        <v>85.852</v>
      </c>
      <c r="F13" s="14" t="n">
        <v>84.012</v>
      </c>
      <c r="G13" s="25" t="n">
        <f aca="false">D13+F13-E13</f>
        <v>170.513</v>
      </c>
      <c r="H13" s="3" t="s">
        <v>240</v>
      </c>
    </row>
    <row r="14" customFormat="false" ht="15" hidden="false" customHeight="false" outlineLevel="0" collapsed="false">
      <c r="A14" s="3" t="s">
        <v>241</v>
      </c>
      <c r="B14" s="14" t="n">
        <v>94.606</v>
      </c>
      <c r="C14" s="14" t="n">
        <v>43.49</v>
      </c>
      <c r="D14" s="14" t="n">
        <v>46.226</v>
      </c>
      <c r="E14" s="14" t="n">
        <v>31.027</v>
      </c>
      <c r="F14" s="14" t="n">
        <v>-11.413</v>
      </c>
      <c r="G14" s="25" t="n">
        <f aca="false">D14+F14-E14</f>
        <v>3.786</v>
      </c>
      <c r="H14" s="3" t="s">
        <v>242</v>
      </c>
    </row>
    <row r="15" customFormat="false" ht="15" hidden="false" customHeight="false" outlineLevel="0" collapsed="false">
      <c r="A15" s="3" t="s">
        <v>243</v>
      </c>
      <c r="B15" s="14" t="n">
        <v>203.919</v>
      </c>
      <c r="C15" s="14" t="n">
        <v>375.615</v>
      </c>
      <c r="D15" s="14" t="n">
        <v>305.67</v>
      </c>
      <c r="E15" s="14" t="n">
        <v>211.596</v>
      </c>
      <c r="F15" s="14" t="n">
        <v>124.659</v>
      </c>
      <c r="G15" s="25" t="n">
        <f aca="false">D15+F15-E15</f>
        <v>218.733</v>
      </c>
      <c r="H15" s="3" t="s">
        <v>244</v>
      </c>
    </row>
    <row r="16" customFormat="false" ht="15" hidden="false" customHeight="false" outlineLevel="0" collapsed="false">
      <c r="A16" s="3" t="s">
        <v>245</v>
      </c>
      <c r="B16" s="14" t="n">
        <v>35.207</v>
      </c>
      <c r="C16" s="14" t="n">
        <v>44.775</v>
      </c>
      <c r="D16" s="14" t="n">
        <v>33.303</v>
      </c>
      <c r="E16" s="14" t="n">
        <v>21.67</v>
      </c>
      <c r="F16" s="14" t="n">
        <v>16.577</v>
      </c>
      <c r="G16" s="25" t="n">
        <f aca="false">D16+F16-E16</f>
        <v>28.21</v>
      </c>
      <c r="H16" s="3" t="s">
        <v>246</v>
      </c>
    </row>
    <row r="17" customFormat="false" ht="15" hidden="false" customHeight="false" outlineLevel="0" collapsed="false">
      <c r="A17" s="3" t="s">
        <v>247</v>
      </c>
      <c r="B17" s="14" t="n">
        <v>96.689</v>
      </c>
      <c r="C17" s="14" t="n">
        <v>399.513</v>
      </c>
      <c r="D17" s="14" t="n">
        <v>97.784</v>
      </c>
      <c r="E17" s="14" t="n">
        <v>0</v>
      </c>
      <c r="F17" s="14" t="n">
        <v>0</v>
      </c>
      <c r="G17" s="25" t="n">
        <f aca="false">D17+F17-E17</f>
        <v>97.784</v>
      </c>
      <c r="H17" s="3" t="s">
        <v>248</v>
      </c>
    </row>
    <row r="18" customFormat="false" ht="15" hidden="false" customHeight="false" outlineLevel="0" collapsed="false">
      <c r="A18" s="3" t="s">
        <v>249</v>
      </c>
      <c r="B18" s="14" t="n">
        <v>27.787</v>
      </c>
      <c r="C18" s="14" t="n">
        <v>49.464</v>
      </c>
      <c r="D18" s="14" t="n">
        <v>26.536</v>
      </c>
      <c r="E18" s="14" t="n">
        <v>8.318</v>
      </c>
      <c r="F18" s="14" t="n">
        <v>5.68</v>
      </c>
      <c r="G18" s="25" t="n">
        <f aca="false">D18+F18-E18</f>
        <v>23.898</v>
      </c>
      <c r="H18" s="3" t="s">
        <v>250</v>
      </c>
    </row>
    <row r="19" customFormat="false" ht="15" hidden="false" customHeight="false" outlineLevel="0" collapsed="false">
      <c r="A19" s="3" t="s">
        <v>251</v>
      </c>
      <c r="B19" s="14" t="n">
        <v>149.535</v>
      </c>
      <c r="C19" s="14" t="n">
        <v>129.164</v>
      </c>
      <c r="D19" s="14" t="n">
        <v>156.563</v>
      </c>
      <c r="E19" s="14" t="n">
        <v>84.394</v>
      </c>
      <c r="F19" s="14" t="n">
        <v>78.984</v>
      </c>
      <c r="G19" s="25" t="n">
        <f aca="false">D19+F19-E19</f>
        <v>151.153</v>
      </c>
      <c r="H19" s="3" t="s">
        <v>252</v>
      </c>
    </row>
    <row r="20" customFormat="false" ht="15" hidden="false" customHeight="false" outlineLevel="0" collapsed="false">
      <c r="A20" s="3" t="s">
        <v>253</v>
      </c>
      <c r="B20" s="14" t="n">
        <v>670.104</v>
      </c>
      <c r="C20" s="14" t="n">
        <v>562.573</v>
      </c>
      <c r="D20" s="14" t="n">
        <v>411.874</v>
      </c>
      <c r="E20" s="14" t="n">
        <v>213.871</v>
      </c>
      <c r="F20" s="14" t="n">
        <v>115.042</v>
      </c>
      <c r="G20" s="25" t="n">
        <f aca="false">D20+F20-E20</f>
        <v>313.045</v>
      </c>
      <c r="H20" s="3" t="s">
        <v>254</v>
      </c>
    </row>
    <row r="22" customFormat="false" ht="15" hidden="false" customHeight="false" outlineLevel="0" collapsed="false">
      <c r="A22" s="23" t="s">
        <v>255</v>
      </c>
      <c r="B22" s="24"/>
      <c r="C22" s="24"/>
      <c r="D22" s="24"/>
      <c r="E22" s="24"/>
      <c r="F22" s="24"/>
      <c r="G22" s="24"/>
      <c r="H22" s="24"/>
    </row>
    <row r="23" customFormat="false" ht="15" hidden="false" customHeight="false" outlineLevel="0" collapsed="false">
      <c r="A23" s="2" t="s">
        <v>256</v>
      </c>
      <c r="B23" s="16" t="n">
        <f aca="false">B6</f>
        <v>2711.877</v>
      </c>
      <c r="C23" s="16" t="n">
        <f aca="false">C6</f>
        <v>2421.314</v>
      </c>
      <c r="D23" s="16" t="n">
        <f aca="false">D6</f>
        <v>2311.801</v>
      </c>
      <c r="E23" s="16" t="n">
        <f aca="false">E6</f>
        <v>1155.257</v>
      </c>
      <c r="F23" s="16" t="n">
        <f aca="false">F6</f>
        <v>1089.622</v>
      </c>
      <c r="G23" s="16" t="n">
        <f aca="false">G6</f>
        <v>2246.166</v>
      </c>
    </row>
    <row r="24" customFormat="false" ht="15" hidden="false" customHeight="false" outlineLevel="0" collapsed="false">
      <c r="A24" s="3" t="s">
        <v>257</v>
      </c>
      <c r="B24" s="25" t="n">
        <f aca="false">B7</f>
        <v>1327.5</v>
      </c>
      <c r="C24" s="25" t="n">
        <f aca="false">C7</f>
        <v>1132.593</v>
      </c>
      <c r="D24" s="25" t="n">
        <f aca="false">D7</f>
        <v>1141.393</v>
      </c>
      <c r="E24" s="25" t="n">
        <f aca="false">E7</f>
        <v>551.222</v>
      </c>
      <c r="F24" s="25" t="n">
        <f aca="false">F7</f>
        <v>571.961</v>
      </c>
      <c r="G24" s="25" t="n">
        <f aca="false">G7</f>
        <v>1162.132</v>
      </c>
    </row>
    <row r="25" customFormat="false" ht="15" hidden="false" customHeight="false" outlineLevel="0" collapsed="false">
      <c r="A25" s="2" t="s">
        <v>258</v>
      </c>
      <c r="B25" s="16" t="n">
        <f aca="false">B23-B24</f>
        <v>1384.377</v>
      </c>
      <c r="C25" s="16" t="n">
        <f aca="false">C23-C24</f>
        <v>1288.721</v>
      </c>
      <c r="D25" s="16" t="n">
        <f aca="false">D23-D24</f>
        <v>1170.408</v>
      </c>
      <c r="E25" s="16" t="n">
        <f aca="false">E23-E24</f>
        <v>604.035</v>
      </c>
      <c r="F25" s="16" t="n">
        <f aca="false">F23-F24</f>
        <v>517.661</v>
      </c>
      <c r="G25" s="16" t="n">
        <f aca="false">G23-G24</f>
        <v>1084.034</v>
      </c>
    </row>
    <row r="26" customFormat="false" ht="15" hidden="false" customHeight="false" outlineLevel="0" collapsed="false">
      <c r="A26" s="3" t="s">
        <v>259</v>
      </c>
      <c r="B26" s="25" t="n">
        <f aca="false">B8-B9-B10-B11</f>
        <v>714.273</v>
      </c>
      <c r="C26" s="25" t="n">
        <f aca="false">C8-C9-C10-C11</f>
        <v>726.148</v>
      </c>
      <c r="D26" s="25" t="n">
        <f aca="false">D8-D9-D10-D11</f>
        <v>758.534</v>
      </c>
      <c r="E26" s="25" t="n">
        <f aca="false">E8-E9-E10-E11</f>
        <v>390.164</v>
      </c>
      <c r="F26" s="25" t="n">
        <f aca="false">F8-F9-F10-F11</f>
        <v>402.619</v>
      </c>
      <c r="G26" s="25" t="n">
        <f aca="false">G8-G9-G10-G11</f>
        <v>770.989</v>
      </c>
    </row>
    <row r="27" customFormat="false" ht="15" hidden="false" customHeight="false" outlineLevel="0" collapsed="false">
      <c r="A27" s="2" t="s">
        <v>260</v>
      </c>
      <c r="B27" s="16" t="n">
        <f aca="false">B25-B26</f>
        <v>670.104</v>
      </c>
      <c r="C27" s="16" t="n">
        <f aca="false">C25-C26</f>
        <v>562.573</v>
      </c>
      <c r="D27" s="16" t="n">
        <f aca="false">D25-D26</f>
        <v>411.874</v>
      </c>
      <c r="E27" s="16" t="n">
        <f aca="false">E25-E26</f>
        <v>213.871</v>
      </c>
      <c r="F27" s="16" t="n">
        <f aca="false">F25-F26</f>
        <v>115.042</v>
      </c>
      <c r="G27" s="16" t="n">
        <f aca="false">G25-G26</f>
        <v>313.045</v>
      </c>
    </row>
    <row r="28" customFormat="false" ht="15" hidden="false" customHeight="false" outlineLevel="0" collapsed="false">
      <c r="A28" s="3" t="s">
        <v>261</v>
      </c>
      <c r="B28" s="25" t="n">
        <f aca="false">B12</f>
        <v>107.402</v>
      </c>
      <c r="C28" s="25" t="n">
        <f aca="false">C12</f>
        <v>98.015</v>
      </c>
      <c r="D28" s="25" t="n">
        <f aca="false">D12</f>
        <v>94.425</v>
      </c>
      <c r="E28" s="25" t="n">
        <f aca="false">E12</f>
        <v>47.372</v>
      </c>
      <c r="F28" s="25" t="n">
        <f aca="false">F12</f>
        <v>38.243</v>
      </c>
      <c r="G28" s="25" t="n">
        <f aca="false">G12</f>
        <v>85.296</v>
      </c>
    </row>
    <row r="29" customFormat="false" ht="15" hidden="false" customHeight="false" outlineLevel="0" collapsed="false">
      <c r="A29" s="3" t="s">
        <v>262</v>
      </c>
      <c r="B29" s="25" t="n">
        <f aca="false">B9</f>
        <v>25.665</v>
      </c>
      <c r="C29" s="25" t="n">
        <f aca="false">C9</f>
        <v>26.051</v>
      </c>
      <c r="D29" s="25" t="n">
        <f aca="false">D9</f>
        <v>25.33</v>
      </c>
      <c r="E29" s="25" t="n">
        <f aca="false">E9</f>
        <v>13.8</v>
      </c>
      <c r="F29" s="25" t="n">
        <f aca="false">F9</f>
        <v>12.826</v>
      </c>
      <c r="G29" s="25" t="n">
        <f aca="false">G9</f>
        <v>24.356</v>
      </c>
    </row>
    <row r="30" customFormat="false" ht="15" hidden="false" customHeight="false" outlineLevel="0" collapsed="false">
      <c r="A30" s="2" t="s">
        <v>263</v>
      </c>
      <c r="B30" s="16" t="n">
        <f aca="false">B27-B28-B29</f>
        <v>537.037</v>
      </c>
      <c r="C30" s="16" t="n">
        <f aca="false">C27-C28-C29</f>
        <v>438.507</v>
      </c>
      <c r="D30" s="16" t="n">
        <f aca="false">D27-D28-D29</f>
        <v>292.119</v>
      </c>
      <c r="E30" s="16" t="n">
        <f aca="false">E27-E28-E29</f>
        <v>152.699</v>
      </c>
      <c r="F30" s="16" t="n">
        <f aca="false">F27-F28-F29</f>
        <v>63.9730000000001</v>
      </c>
      <c r="G30" s="16" t="n">
        <f aca="false">G27-G28-G29</f>
        <v>203.393</v>
      </c>
    </row>
    <row r="31" customFormat="false" ht="15" hidden="false" customHeight="false" outlineLevel="0" collapsed="false">
      <c r="A31" s="3" t="s">
        <v>239</v>
      </c>
      <c r="B31" s="25" t="n">
        <f aca="false">B13</f>
        <v>152.703</v>
      </c>
      <c r="C31" s="25" t="n">
        <f aca="false">C13</f>
        <v>166.186</v>
      </c>
      <c r="D31" s="25" t="n">
        <f aca="false">D13</f>
        <v>172.353</v>
      </c>
      <c r="E31" s="25" t="n">
        <f aca="false">E13</f>
        <v>85.852</v>
      </c>
      <c r="F31" s="25" t="n">
        <f aca="false">F13</f>
        <v>84.012</v>
      </c>
      <c r="G31" s="25" t="n">
        <f aca="false">G13</f>
        <v>170.513</v>
      </c>
    </row>
    <row r="32" customFormat="false" ht="15" hidden="false" customHeight="false" outlineLevel="0" collapsed="false">
      <c r="A32" s="2" t="s">
        <v>264</v>
      </c>
      <c r="B32" s="16" t="n">
        <f aca="false">B30-B31</f>
        <v>384.334</v>
      </c>
      <c r="C32" s="16" t="n">
        <f aca="false">C30-C31</f>
        <v>272.321</v>
      </c>
      <c r="D32" s="16" t="n">
        <f aca="false">D30-D31</f>
        <v>119.766</v>
      </c>
      <c r="E32" s="16" t="n">
        <f aca="false">E30-E31</f>
        <v>66.8470000000001</v>
      </c>
      <c r="F32" s="16" t="n">
        <f aca="false">F30-F31</f>
        <v>-20.0389999999999</v>
      </c>
      <c r="G32" s="16" t="n">
        <f aca="false">G30-G31</f>
        <v>32.8799999999997</v>
      </c>
    </row>
    <row r="33" customFormat="false" ht="15" hidden="false" customHeight="false" outlineLevel="0" collapsed="false">
      <c r="A33" s="3" t="s">
        <v>265</v>
      </c>
      <c r="B33" s="25" t="n">
        <f aca="false">B14</f>
        <v>94.606</v>
      </c>
      <c r="C33" s="25" t="n">
        <f aca="false">C14</f>
        <v>43.49</v>
      </c>
      <c r="D33" s="25" t="n">
        <f aca="false">D14</f>
        <v>46.226</v>
      </c>
      <c r="E33" s="25" t="n">
        <f aca="false">E14</f>
        <v>31.027</v>
      </c>
      <c r="F33" s="25" t="n">
        <f aca="false">F14</f>
        <v>-11.413</v>
      </c>
      <c r="G33" s="25" t="n">
        <f aca="false">G14</f>
        <v>3.786</v>
      </c>
    </row>
    <row r="34" customFormat="false" ht="15" hidden="false" customHeight="false" outlineLevel="0" collapsed="false">
      <c r="A34" s="2" t="s">
        <v>266</v>
      </c>
      <c r="B34" s="16" t="n">
        <f aca="false">B32-B33</f>
        <v>289.728</v>
      </c>
      <c r="C34" s="16" t="n">
        <f aca="false">C32-C33</f>
        <v>228.831</v>
      </c>
      <c r="D34" s="16" t="n">
        <f aca="false">D32-D33</f>
        <v>73.5399999999999</v>
      </c>
      <c r="E34" s="16" t="n">
        <f aca="false">E32-E33</f>
        <v>35.8200000000001</v>
      </c>
      <c r="F34" s="16" t="n">
        <f aca="false">F32-F33</f>
        <v>-8.62599999999991</v>
      </c>
      <c r="G34" s="16" t="n">
        <f aca="false">G32-G33</f>
        <v>29.0939999999997</v>
      </c>
    </row>
    <row r="35" customFormat="false" ht="15" hidden="false" customHeight="false" outlineLevel="0" collapsed="false">
      <c r="A35" s="3" t="s">
        <v>267</v>
      </c>
      <c r="B35" s="25" t="n">
        <f aca="false">B16</f>
        <v>35.207</v>
      </c>
      <c r="C35" s="25" t="n">
        <f aca="false">C16</f>
        <v>44.775</v>
      </c>
      <c r="D35" s="25" t="n">
        <f aca="false">D16</f>
        <v>33.303</v>
      </c>
      <c r="E35" s="25" t="n">
        <f aca="false">E16</f>
        <v>21.67</v>
      </c>
      <c r="F35" s="25" t="n">
        <f aca="false">F16</f>
        <v>16.577</v>
      </c>
      <c r="G35" s="25" t="n">
        <f aca="false">G16</f>
        <v>28.21</v>
      </c>
    </row>
    <row r="36" customFormat="false" ht="15" hidden="false" customHeight="false" outlineLevel="0" collapsed="false">
      <c r="A36" s="3" t="s">
        <v>268</v>
      </c>
      <c r="B36" s="25" t="n">
        <f aca="false">B15</f>
        <v>203.919</v>
      </c>
      <c r="C36" s="25" t="n">
        <f aca="false">C15</f>
        <v>375.615</v>
      </c>
      <c r="D36" s="25" t="n">
        <f aca="false">D15</f>
        <v>305.67</v>
      </c>
      <c r="E36" s="25" t="n">
        <f aca="false">E15</f>
        <v>211.596</v>
      </c>
      <c r="F36" s="25" t="n">
        <f aca="false">F15</f>
        <v>124.659</v>
      </c>
      <c r="G36" s="25" t="n">
        <f aca="false">G15</f>
        <v>218.733</v>
      </c>
    </row>
    <row r="37" customFormat="false" ht="15" hidden="false" customHeight="false" outlineLevel="0" collapsed="false">
      <c r="A37" s="2" t="s">
        <v>269</v>
      </c>
      <c r="B37" s="16" t="n">
        <f aca="false">B36-B35</f>
        <v>168.712</v>
      </c>
      <c r="C37" s="16" t="n">
        <f aca="false">C36-C35</f>
        <v>330.84</v>
      </c>
      <c r="D37" s="16" t="n">
        <f aca="false">D36-D35</f>
        <v>272.367</v>
      </c>
      <c r="E37" s="16" t="n">
        <f aca="false">E36-E35</f>
        <v>189.926</v>
      </c>
      <c r="F37" s="16" t="n">
        <f aca="false">F36-F35</f>
        <v>108.082</v>
      </c>
      <c r="G37" s="16" t="n">
        <f aca="false">G36-G35</f>
        <v>190.523</v>
      </c>
    </row>
    <row r="38" customFormat="false" ht="15" hidden="false" customHeight="false" outlineLevel="0" collapsed="false">
      <c r="A38" s="3" t="s">
        <v>270</v>
      </c>
      <c r="B38" s="25" t="n">
        <f aca="false">B34+B28+B29-B35-B37</f>
        <v>218.876</v>
      </c>
      <c r="C38" s="25" t="n">
        <f aca="false">C34+C28+C29-C35-C37</f>
        <v>-22.7180000000001</v>
      </c>
      <c r="D38" s="25" t="n">
        <f aca="false">D34+D28+D29-D35-D37</f>
        <v>-112.375</v>
      </c>
      <c r="E38" s="25" t="n">
        <f aca="false">E34+E28+E29-E35-E37</f>
        <v>-114.604</v>
      </c>
      <c r="F38" s="25" t="n">
        <f aca="false">F34+F28+F29-F35-F37</f>
        <v>-82.2159999999999</v>
      </c>
      <c r="G38" s="25" t="n">
        <f aca="false">G34+G28+G29-G35-G37</f>
        <v>-79.9870000000003</v>
      </c>
    </row>
    <row r="40" customFormat="false" ht="15" hidden="false" customHeight="false" outlineLevel="0" collapsed="false">
      <c r="A40" s="23" t="s">
        <v>271</v>
      </c>
      <c r="B40" s="24"/>
      <c r="C40" s="24"/>
      <c r="D40" s="24"/>
      <c r="E40" s="24"/>
      <c r="F40" s="24"/>
      <c r="G40" s="24"/>
      <c r="H40" s="24"/>
    </row>
    <row r="41" customFormat="false" ht="15" hidden="false" customHeight="false" outlineLevel="0" collapsed="false">
      <c r="A41" s="3" t="s">
        <v>166</v>
      </c>
      <c r="B41" s="21" t="n">
        <f aca="false">B25/B23</f>
        <v>0.510486648177628</v>
      </c>
      <c r="C41" s="21" t="n">
        <f aca="false">C25/C23</f>
        <v>0.532240345531393</v>
      </c>
      <c r="D41" s="21" t="n">
        <f aca="false">D25/D23</f>
        <v>0.506275410383506</v>
      </c>
      <c r="E41" s="21" t="n">
        <f aca="false">E25/E23</f>
        <v>0.522857684480596</v>
      </c>
      <c r="F41" s="21" t="n">
        <f aca="false">F25/F23</f>
        <v>0.475083102213428</v>
      </c>
      <c r="G41" s="21" t="n">
        <f aca="false">G25/G23</f>
        <v>0.482615265300962</v>
      </c>
    </row>
    <row r="42" customFormat="false" ht="15" hidden="false" customHeight="false" outlineLevel="0" collapsed="false">
      <c r="A42" s="3" t="s">
        <v>167</v>
      </c>
      <c r="B42" s="21" t="n">
        <f aca="false">B27/B23</f>
        <v>0.247099702530756</v>
      </c>
      <c r="C42" s="21" t="n">
        <f aca="false">C27/C23</f>
        <v>0.232342025858687</v>
      </c>
      <c r="D42" s="21" t="n">
        <f aca="false">D27/D23</f>
        <v>0.17816152860908</v>
      </c>
      <c r="E42" s="21" t="n">
        <f aca="false">E27/E23</f>
        <v>0.18512850387403</v>
      </c>
      <c r="F42" s="21" t="n">
        <f aca="false">F27/F23</f>
        <v>0.105579733155168</v>
      </c>
      <c r="G42" s="21" t="n">
        <f aca="false">G27/G23</f>
        <v>0.139368595197327</v>
      </c>
    </row>
    <row r="43" customFormat="false" ht="15" hidden="false" customHeight="false" outlineLevel="0" collapsed="false">
      <c r="A43" s="3" t="s">
        <v>272</v>
      </c>
      <c r="C43" s="21" t="n">
        <f aca="false">C23/B23-1</f>
        <v>-0.107144608697223</v>
      </c>
      <c r="D43" s="21" t="n">
        <f aca="false">D23/C23-1</f>
        <v>-0.0452287476964987</v>
      </c>
      <c r="F43" s="21" t="n">
        <f aca="false">F23/E23-1</f>
        <v>-0.0568141980529008</v>
      </c>
    </row>
    <row r="44" customFormat="false" ht="15" hidden="false" customHeight="false" outlineLevel="0" collapsed="false">
      <c r="A44" s="3" t="s">
        <v>273</v>
      </c>
      <c r="C44" s="21" t="n">
        <f aca="false">C27/B27-1</f>
        <v>-0.160469121211036</v>
      </c>
      <c r="D44" s="21" t="n">
        <f aca="false">D27/C27-1</f>
        <v>-0.267874569167024</v>
      </c>
      <c r="F44" s="21" t="n">
        <f aca="false">F27/E27-1</f>
        <v>-0.462096310392713</v>
      </c>
    </row>
    <row r="45" customFormat="false" ht="15" hidden="false" customHeight="false" outlineLevel="0" collapsed="false">
      <c r="A45" s="3" t="s">
        <v>274</v>
      </c>
      <c r="B45" s="26" t="n">
        <f aca="false">B27-B20</f>
        <v>0</v>
      </c>
      <c r="C45" s="26" t="n">
        <f aca="false">C27-C20</f>
        <v>0</v>
      </c>
      <c r="D45" s="26" t="n">
        <f aca="false">D27-D20</f>
        <v>0</v>
      </c>
      <c r="E45" s="26" t="n">
        <f aca="false">E27-E20</f>
        <v>0</v>
      </c>
      <c r="F45" s="26" t="n">
        <f aca="false">F27-F20</f>
        <v>0</v>
      </c>
      <c r="G45" s="26" t="n">
        <f aca="false">G27-G20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217</v>
      </c>
      <c r="D4" s="7" t="s">
        <v>218</v>
      </c>
      <c r="E4" s="7" t="s">
        <v>219</v>
      </c>
      <c r="F4" s="7" t="s">
        <v>222</v>
      </c>
      <c r="G4" s="7" t="s">
        <v>276</v>
      </c>
      <c r="H4" s="7" t="s">
        <v>277</v>
      </c>
      <c r="I4" s="7" t="s">
        <v>278</v>
      </c>
      <c r="J4" s="7" t="s">
        <v>279</v>
      </c>
      <c r="K4" s="7" t="s">
        <v>280</v>
      </c>
    </row>
    <row r="6" customFormat="false" ht="15" hidden="false" customHeight="false" outlineLevel="0" collapsed="false">
      <c r="A6" s="23" t="s">
        <v>281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282</v>
      </c>
      <c r="C7" s="20" t="n">
        <f aca="false">D7-1</f>
        <v>2023</v>
      </c>
      <c r="D7" s="20" t="n">
        <f aca="false">E7-1</f>
        <v>2024</v>
      </c>
      <c r="E7" s="20" t="n">
        <f aca="false">F7-1</f>
        <v>2025</v>
      </c>
      <c r="F7" s="27" t="n">
        <f aca="false">Assumptions!$C$6</f>
        <v>2026</v>
      </c>
      <c r="G7" s="20" t="n">
        <f aca="false">F7+1</f>
        <v>2027</v>
      </c>
      <c r="H7" s="20" t="n">
        <f aca="false">G7+1</f>
        <v>2028</v>
      </c>
      <c r="I7" s="20" t="n">
        <f aca="false">H7+1</f>
        <v>2029</v>
      </c>
      <c r="J7" s="20" t="n">
        <f aca="false">I7+1</f>
        <v>2030</v>
      </c>
      <c r="K7" s="20" t="n">
        <f aca="false">J7+1</f>
        <v>2031</v>
      </c>
    </row>
    <row r="8" customFormat="false" ht="15" hidden="false" customHeight="false" outlineLevel="0" collapsed="false">
      <c r="A8" s="3" t="s">
        <v>283</v>
      </c>
      <c r="G8" s="20" t="n">
        <f aca="false">G7-Assumptions!$C$6</f>
        <v>1</v>
      </c>
      <c r="H8" s="20" t="n">
        <f aca="false">H7-Assumptions!$C$6</f>
        <v>2</v>
      </c>
      <c r="I8" s="20" t="n">
        <f aca="false">I7-Assumptions!$C$6</f>
        <v>3</v>
      </c>
      <c r="J8" s="20" t="n">
        <f aca="false">J7-Assumptions!$C$6</f>
        <v>4</v>
      </c>
      <c r="K8" s="20" t="n">
        <f aca="false">K7-Assumptions!$C$6</f>
        <v>5</v>
      </c>
    </row>
    <row r="9" customFormat="false" ht="15" hidden="false" customHeight="false" outlineLevel="0" collapsed="false">
      <c r="A9" s="3" t="s">
        <v>165</v>
      </c>
      <c r="G9" s="21" t="n">
        <f aca="false">CHOOSE(Assumptions!$C$10,Assumptions!$G$71,Assumptions!$G$90,Assumptions!$G$109)</f>
        <v>-0.08</v>
      </c>
      <c r="H9" s="21" t="n">
        <f aca="false">CHOOSE(Assumptions!$C$10,Assumptions!$H$71,Assumptions!$H$90,Assumptions!$H$109)</f>
        <v>-0.07</v>
      </c>
      <c r="I9" s="21" t="n">
        <f aca="false">CHOOSE(Assumptions!$C$10,Assumptions!$I$71,Assumptions!$I$90,Assumptions!$I$109)</f>
        <v>-0.06</v>
      </c>
      <c r="J9" s="21" t="n">
        <f aca="false">CHOOSE(Assumptions!$C$10,Assumptions!$J$71,Assumptions!$J$90,Assumptions!$J$109)</f>
        <v>-0.05</v>
      </c>
      <c r="K9" s="21" t="n">
        <f aca="false">CHOOSE(Assumptions!$C$10,Assumptions!$K$71,Assumptions!$K$90,Assumptions!$K$109)</f>
        <v>-0.05</v>
      </c>
    </row>
    <row r="10" customFormat="false" ht="15" hidden="false" customHeight="false" outlineLevel="0" collapsed="false">
      <c r="A10" s="3" t="s">
        <v>166</v>
      </c>
      <c r="G10" s="21" t="n">
        <f aca="false">CHOOSE(Assumptions!$C$10,Assumptions!$G$72,Assumptions!$G$91,Assumptions!$G$110)</f>
        <v>0.463246670103635</v>
      </c>
      <c r="H10" s="21" t="n">
        <f aca="false">CHOOSE(Assumptions!$C$10,Assumptions!$H$72,Assumptions!$H$91,Assumptions!$H$110)</f>
        <v>0.453246670103635</v>
      </c>
      <c r="I10" s="21" t="n">
        <f aca="false">CHOOSE(Assumptions!$C$10,Assumptions!$I$72,Assumptions!$I$91,Assumptions!$I$110)</f>
        <v>0.448246670103634</v>
      </c>
      <c r="J10" s="21" t="n">
        <f aca="false">CHOOSE(Assumptions!$C$10,Assumptions!$J$72,Assumptions!$J$91,Assumptions!$J$110)</f>
        <v>0.443246670103635</v>
      </c>
      <c r="K10" s="21" t="n">
        <f aca="false">CHOOSE(Assumptions!$C$10,Assumptions!$K$72,Assumptions!$K$91,Assumptions!$K$110)</f>
        <v>0.443246670103635</v>
      </c>
    </row>
    <row r="11" customFormat="false" ht="15" hidden="false" customHeight="false" outlineLevel="0" collapsed="false">
      <c r="A11" s="3" t="s">
        <v>167</v>
      </c>
      <c r="G11" s="21" t="n">
        <f aca="false">CHOOSE(Assumptions!$C$10,Assumptions!$G$73,Assumptions!$G$92,Assumptions!$G$111)</f>
        <v>0.12</v>
      </c>
      <c r="H11" s="21" t="n">
        <f aca="false">CHOOSE(Assumptions!$C$10,Assumptions!$H$73,Assumptions!$H$92,Assumptions!$H$111)</f>
        <v>0.11</v>
      </c>
      <c r="I11" s="21" t="n">
        <f aca="false">CHOOSE(Assumptions!$C$10,Assumptions!$I$73,Assumptions!$I$92,Assumptions!$I$111)</f>
        <v>0.105</v>
      </c>
      <c r="J11" s="21" t="n">
        <f aca="false">CHOOSE(Assumptions!$C$10,Assumptions!$J$73,Assumptions!$J$92,Assumptions!$J$111)</f>
        <v>0.1</v>
      </c>
      <c r="K11" s="21" t="n">
        <f aca="false">CHOOSE(Assumptions!$C$10,Assumptions!$K$73,Assumptions!$K$92,Assumptions!$K$111)</f>
        <v>0.1</v>
      </c>
    </row>
    <row r="12" customFormat="false" ht="15" hidden="false" customHeight="false" outlineLevel="0" collapsed="false">
      <c r="A12" s="23" t="s">
        <v>284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2" t="s">
        <v>256</v>
      </c>
      <c r="C13" s="28" t="n">
        <f aca="false">'Historical Financials'!B23</f>
        <v>2711.877</v>
      </c>
      <c r="D13" s="28" t="n">
        <f aca="false">'Historical Financials'!C23</f>
        <v>2421.314</v>
      </c>
      <c r="E13" s="28" t="n">
        <f aca="false">'Historical Financials'!D23</f>
        <v>2311.801</v>
      </c>
      <c r="F13" s="28" t="n">
        <f aca="false">'Historical Financials'!G23</f>
        <v>2246.166</v>
      </c>
      <c r="G13" s="16" t="n">
        <f aca="false">F13*(1+G9)</f>
        <v>2066.47272</v>
      </c>
      <c r="H13" s="16" t="n">
        <f aca="false">G13*(1+H9)</f>
        <v>1921.8196296</v>
      </c>
      <c r="I13" s="16" t="n">
        <f aca="false">H13*(1+I9)</f>
        <v>1806.510451824</v>
      </c>
      <c r="J13" s="16" t="n">
        <f aca="false">I13*(1+J9)</f>
        <v>1716.1849292328</v>
      </c>
      <c r="K13" s="16" t="n">
        <f aca="false">J13*(1+K9)</f>
        <v>1630.37568277116</v>
      </c>
    </row>
    <row r="14" customFormat="false" ht="15" hidden="false" customHeight="false" outlineLevel="0" collapsed="false">
      <c r="A14" s="3" t="s">
        <v>257</v>
      </c>
      <c r="C14" s="29" t="n">
        <f aca="false">'Historical Financials'!B24</f>
        <v>1327.5</v>
      </c>
      <c r="D14" s="29" t="n">
        <f aca="false">'Historical Financials'!C24</f>
        <v>1132.593</v>
      </c>
      <c r="E14" s="29" t="n">
        <f aca="false">'Historical Financials'!D24</f>
        <v>1141.393</v>
      </c>
      <c r="F14" s="29" t="n">
        <f aca="false">'Historical Financials'!G24</f>
        <v>1162.132</v>
      </c>
      <c r="G14" s="25" t="n">
        <f aca="false">G13*(1-G10)</f>
        <v>1109.1861136</v>
      </c>
      <c r="H14" s="25" t="n">
        <f aca="false">H13*(1-H10)</f>
        <v>1050.761281944</v>
      </c>
      <c r="I14" s="25" t="n">
        <f aca="false">I13*(1-I10)</f>
        <v>996.74815728648</v>
      </c>
      <c r="J14" s="25" t="n">
        <f aca="false">J13*(1-J10)</f>
        <v>955.49167406832</v>
      </c>
      <c r="K14" s="25" t="n">
        <f aca="false">K13*(1-K10)</f>
        <v>907.717090364904</v>
      </c>
    </row>
    <row r="15" customFormat="false" ht="15" hidden="false" customHeight="false" outlineLevel="0" collapsed="false">
      <c r="A15" s="2" t="s">
        <v>258</v>
      </c>
      <c r="C15" s="16" t="n">
        <f aca="false">C13-C14</f>
        <v>1384.377</v>
      </c>
      <c r="D15" s="16" t="n">
        <f aca="false">D13-D14</f>
        <v>1288.721</v>
      </c>
      <c r="E15" s="16" t="n">
        <f aca="false">E13-E14</f>
        <v>1170.408</v>
      </c>
      <c r="F15" s="16" t="n">
        <f aca="false">F13-F14</f>
        <v>1084.034</v>
      </c>
      <c r="G15" s="16" t="n">
        <f aca="false">G13-G14</f>
        <v>957.2866064</v>
      </c>
      <c r="H15" s="16" t="n">
        <f aca="false">H13-H14</f>
        <v>871.058347656</v>
      </c>
      <c r="I15" s="16" t="n">
        <f aca="false">I13-I14</f>
        <v>809.76229453752</v>
      </c>
      <c r="J15" s="16" t="n">
        <f aca="false">J13-J14</f>
        <v>760.69325516448</v>
      </c>
      <c r="K15" s="16" t="n">
        <f aca="false">K13-K14</f>
        <v>722.658592406256</v>
      </c>
    </row>
    <row r="16" customFormat="false" ht="15" hidden="false" customHeight="false" outlineLevel="0" collapsed="false">
      <c r="A16" s="3" t="s">
        <v>285</v>
      </c>
      <c r="C16" s="29" t="n">
        <f aca="false">'Historical Financials'!B26</f>
        <v>714.273</v>
      </c>
      <c r="D16" s="29" t="n">
        <f aca="false">'Historical Financials'!C26</f>
        <v>726.148</v>
      </c>
      <c r="E16" s="29" t="n">
        <f aca="false">'Historical Financials'!D26</f>
        <v>758.534</v>
      </c>
      <c r="F16" s="29" t="n">
        <f aca="false">'Historical Financials'!G26</f>
        <v>770.989</v>
      </c>
      <c r="G16" s="25" t="n">
        <f aca="false">G15-G17</f>
        <v>709.30988</v>
      </c>
      <c r="H16" s="25" t="n">
        <f aca="false">H15-H17</f>
        <v>659.6581884</v>
      </c>
      <c r="I16" s="25" t="n">
        <f aca="false">I15-I17</f>
        <v>620.078697096</v>
      </c>
      <c r="J16" s="25" t="n">
        <f aca="false">J15-J17</f>
        <v>589.0747622412</v>
      </c>
      <c r="K16" s="25" t="n">
        <f aca="false">K15-K17</f>
        <v>559.62102412914</v>
      </c>
    </row>
    <row r="17" customFormat="false" ht="15" hidden="false" customHeight="false" outlineLevel="0" collapsed="false">
      <c r="A17" s="2" t="s">
        <v>286</v>
      </c>
      <c r="C17" s="16" t="n">
        <f aca="false">C15-C16</f>
        <v>670.104</v>
      </c>
      <c r="D17" s="16" t="n">
        <f aca="false">D15-D16</f>
        <v>562.573</v>
      </c>
      <c r="E17" s="16" t="n">
        <f aca="false">E15-E16</f>
        <v>411.874</v>
      </c>
      <c r="F17" s="16" t="n">
        <f aca="false">F15-F16</f>
        <v>313.045</v>
      </c>
      <c r="G17" s="16" t="n">
        <f aca="false">G13*G11</f>
        <v>247.9767264</v>
      </c>
      <c r="H17" s="16" t="n">
        <f aca="false">H13*H11</f>
        <v>211.400159256</v>
      </c>
      <c r="I17" s="16" t="n">
        <f aca="false">I13*I11</f>
        <v>189.68359744152</v>
      </c>
      <c r="J17" s="16" t="n">
        <f aca="false">J13*J11</f>
        <v>171.61849292328</v>
      </c>
      <c r="K17" s="16" t="n">
        <f aca="false">K13*K11</f>
        <v>163.037568277116</v>
      </c>
    </row>
    <row r="18" customFormat="false" ht="15" hidden="false" customHeight="false" outlineLevel="0" collapsed="false">
      <c r="A18" s="3" t="s">
        <v>287</v>
      </c>
      <c r="C18" s="29" t="n">
        <f aca="false">'Historical Financials'!B28</f>
        <v>107.402</v>
      </c>
      <c r="D18" s="29" t="n">
        <f aca="false">'Historical Financials'!C28</f>
        <v>98.015</v>
      </c>
      <c r="E18" s="29" t="n">
        <f aca="false">'Historical Financials'!D28</f>
        <v>94.425</v>
      </c>
      <c r="F18" s="29" t="n">
        <f aca="false">'Historical Financials'!G28</f>
        <v>85.296</v>
      </c>
      <c r="G18" s="25" t="n">
        <f aca="false">G13*'Historical Financials'!G28/'Historical Financials'!G23</f>
        <v>78.47232</v>
      </c>
      <c r="H18" s="25" t="n">
        <f aca="false">H13*'Historical Financials'!G28/'Historical Financials'!G23</f>
        <v>72.9792576</v>
      </c>
      <c r="I18" s="25" t="n">
        <f aca="false">I13*'Historical Financials'!G28/'Historical Financials'!G23</f>
        <v>68.600502144</v>
      </c>
      <c r="J18" s="25" t="n">
        <f aca="false">J13*'Historical Financials'!G28/'Historical Financials'!G23</f>
        <v>65.1704770368</v>
      </c>
      <c r="K18" s="25" t="n">
        <f aca="false">K13*'Historical Financials'!G28/'Historical Financials'!G23</f>
        <v>61.91195318496</v>
      </c>
    </row>
    <row r="19" customFormat="false" ht="15" hidden="false" customHeight="false" outlineLevel="0" collapsed="false">
      <c r="A19" s="3" t="s">
        <v>288</v>
      </c>
      <c r="C19" s="29" t="n">
        <f aca="false">'Historical Financials'!B29</f>
        <v>25.665</v>
      </c>
      <c r="D19" s="29" t="n">
        <f aca="false">'Historical Financials'!C29</f>
        <v>26.051</v>
      </c>
      <c r="E19" s="29" t="n">
        <f aca="false">'Historical Financials'!D29</f>
        <v>25.33</v>
      </c>
      <c r="F19" s="29" t="n">
        <f aca="false">'Historical Financials'!G29</f>
        <v>24.356</v>
      </c>
      <c r="G19" s="25" t="n">
        <f aca="false">G13*'Historical Financials'!G29/'Historical Financials'!G23</f>
        <v>22.40752</v>
      </c>
      <c r="H19" s="25" t="n">
        <f aca="false">H13*'Historical Financials'!G29/'Historical Financials'!G23</f>
        <v>20.8389936</v>
      </c>
      <c r="I19" s="25" t="n">
        <f aca="false">I13*'Historical Financials'!G29/'Historical Financials'!G23</f>
        <v>19.588653984</v>
      </c>
      <c r="J19" s="25" t="n">
        <f aca="false">J13*'Historical Financials'!G29/'Historical Financials'!G23</f>
        <v>18.6092212848</v>
      </c>
      <c r="K19" s="25" t="n">
        <f aca="false">K13*'Historical Financials'!G29/'Historical Financials'!G23</f>
        <v>17.67876022056</v>
      </c>
    </row>
    <row r="20" customFormat="false" ht="15" hidden="false" customHeight="false" outlineLevel="0" collapsed="false">
      <c r="A20" s="2" t="s">
        <v>289</v>
      </c>
      <c r="C20" s="16" t="n">
        <f aca="false">C17-C18-C19</f>
        <v>537.037</v>
      </c>
      <c r="D20" s="16" t="n">
        <f aca="false">D17-D18-D19</f>
        <v>438.507</v>
      </c>
      <c r="E20" s="16" t="n">
        <f aca="false">E17-E18-E19</f>
        <v>292.119</v>
      </c>
      <c r="F20" s="16" t="n">
        <f aca="false">F17-F18-F19</f>
        <v>203.393</v>
      </c>
      <c r="G20" s="16" t="n">
        <f aca="false">G17-G18-G19</f>
        <v>147.0968864</v>
      </c>
      <c r="H20" s="16" t="n">
        <f aca="false">H17-H18-H19</f>
        <v>117.581908056</v>
      </c>
      <c r="I20" s="16" t="n">
        <f aca="false">I17-I18-I19</f>
        <v>101.49444131352</v>
      </c>
      <c r="J20" s="16" t="n">
        <f aca="false">J17-J18-J19</f>
        <v>87.83879460168</v>
      </c>
      <c r="K20" s="16" t="n">
        <f aca="false">K17-K18-K19</f>
        <v>83.446854871596</v>
      </c>
    </row>
    <row r="21" customFormat="false" ht="15" hidden="false" customHeight="false" outlineLevel="0" collapsed="false">
      <c r="A21" s="3" t="s">
        <v>290</v>
      </c>
      <c r="G21" s="25" t="n">
        <f aca="false">'Debt Schedule'!G21+'Debt Schedule'!G34+'Debt Schedule'!G47</f>
        <v>155.95467</v>
      </c>
      <c r="H21" s="25" t="n">
        <f aca="false">'Debt Schedule'!H21+'Debt Schedule'!H34+'Debt Schedule'!H47</f>
        <v>155.95467</v>
      </c>
      <c r="I21" s="25" t="n">
        <f aca="false">'Debt Schedule'!I21+'Debt Schedule'!I34+'Debt Schedule'!I47</f>
        <v>155.95467</v>
      </c>
      <c r="J21" s="25" t="n">
        <f aca="false">'Debt Schedule'!J21+'Debt Schedule'!J34+'Debt Schedule'!J47</f>
        <v>138.08529</v>
      </c>
      <c r="K21" s="25" t="n">
        <f aca="false">'Debt Schedule'!K21+'Debt Schedule'!K34+'Debt Schedule'!K47</f>
        <v>138.08529</v>
      </c>
    </row>
    <row r="22" customFormat="false" ht="15" hidden="false" customHeight="false" outlineLevel="0" collapsed="false">
      <c r="A22" s="3" t="s">
        <v>291</v>
      </c>
      <c r="G22" s="25" t="n">
        <f aca="false">'Debt Schedule'!G22+'Debt Schedule'!G35+'Debt Schedule'!G48</f>
        <v>0</v>
      </c>
      <c r="H22" s="25" t="n">
        <f aca="false">'Debt Schedule'!H22+'Debt Schedule'!H35+'Debt Schedule'!H48</f>
        <v>0</v>
      </c>
      <c r="I22" s="25" t="n">
        <f aca="false">'Debt Schedule'!I22+'Debt Schedule'!I35+'Debt Schedule'!I48</f>
        <v>0</v>
      </c>
      <c r="J22" s="25" t="n">
        <f aca="false">'Debt Schedule'!J22+'Debt Schedule'!J35+'Debt Schedule'!J48</f>
        <v>0</v>
      </c>
      <c r="K22" s="25" t="n">
        <f aca="false">'Debt Schedule'!K22+'Debt Schedule'!K35+'Debt Schedule'!K48</f>
        <v>0</v>
      </c>
    </row>
    <row r="23" customFormat="false" ht="15" hidden="false" customHeight="false" outlineLevel="0" collapsed="false">
      <c r="A23" s="3" t="s">
        <v>239</v>
      </c>
      <c r="C23" s="29" t="n">
        <f aca="false">'Historical Financials'!B31</f>
        <v>152.703</v>
      </c>
      <c r="D23" s="29" t="n">
        <f aca="false">'Historical Financials'!C31</f>
        <v>166.186</v>
      </c>
      <c r="E23" s="29" t="n">
        <f aca="false">'Historical Financials'!D31</f>
        <v>172.353</v>
      </c>
      <c r="F23" s="29" t="n">
        <f aca="false">'Historical Financials'!G31</f>
        <v>170.513</v>
      </c>
      <c r="G23" s="25" t="n">
        <f aca="false">G21+G22</f>
        <v>155.95467</v>
      </c>
      <c r="H23" s="25" t="n">
        <f aca="false">H21+H22</f>
        <v>155.95467</v>
      </c>
      <c r="I23" s="25" t="n">
        <f aca="false">I21+I22</f>
        <v>155.95467</v>
      </c>
      <c r="J23" s="25" t="n">
        <f aca="false">J21+J22</f>
        <v>138.08529</v>
      </c>
      <c r="K23" s="25" t="n">
        <f aca="false">K21+K22</f>
        <v>138.08529</v>
      </c>
    </row>
    <row r="24" customFormat="false" ht="15" hidden="false" customHeight="false" outlineLevel="0" collapsed="false">
      <c r="A24" s="2" t="s">
        <v>264</v>
      </c>
      <c r="C24" s="16" t="n">
        <f aca="false">C20-C23</f>
        <v>384.334</v>
      </c>
      <c r="D24" s="16" t="n">
        <f aca="false">D20-D23</f>
        <v>272.321</v>
      </c>
      <c r="E24" s="16" t="n">
        <f aca="false">E20-E23</f>
        <v>119.766</v>
      </c>
      <c r="F24" s="16" t="n">
        <f aca="false">F20-F23</f>
        <v>32.8799999999997</v>
      </c>
      <c r="G24" s="16" t="n">
        <f aca="false">G20-G23</f>
        <v>-8.85778360000006</v>
      </c>
      <c r="H24" s="16" t="n">
        <f aca="false">H20-H23</f>
        <v>-38.372761944</v>
      </c>
      <c r="I24" s="16" t="n">
        <f aca="false">I20-I23</f>
        <v>-54.46022868648</v>
      </c>
      <c r="J24" s="16" t="n">
        <f aca="false">J20-J23</f>
        <v>-50.24649539832</v>
      </c>
      <c r="K24" s="16" t="n">
        <f aca="false">K20-K23</f>
        <v>-54.638435128404</v>
      </c>
    </row>
    <row r="25" customFormat="false" ht="15" hidden="false" customHeight="false" outlineLevel="0" collapsed="false">
      <c r="A25" s="3" t="s">
        <v>292</v>
      </c>
      <c r="C25" s="29" t="n">
        <f aca="false">'Historical Financials'!B33</f>
        <v>94.606</v>
      </c>
      <c r="D25" s="29" t="n">
        <f aca="false">'Historical Financials'!C33</f>
        <v>43.49</v>
      </c>
      <c r="E25" s="29" t="n">
        <f aca="false">'Historical Financials'!D33</f>
        <v>46.226</v>
      </c>
      <c r="F25" s="29" t="n">
        <f aca="false">'Historical Financials'!G33</f>
        <v>3.786</v>
      </c>
      <c r="G25" s="25" t="n">
        <f aca="false">MAX(0,G24)*Assumptions!$C$9</f>
        <v>0</v>
      </c>
      <c r="H25" s="25" t="n">
        <f aca="false">MAX(0,H24)*Assumptions!$C$9</f>
        <v>0</v>
      </c>
      <c r="I25" s="25" t="n">
        <f aca="false">MAX(0,I24)*Assumptions!$C$9</f>
        <v>0</v>
      </c>
      <c r="J25" s="25" t="n">
        <f aca="false">MAX(0,J24)*Assumptions!$C$9</f>
        <v>0</v>
      </c>
      <c r="K25" s="25" t="n">
        <f aca="false">MAX(0,K24)*Assumptions!$C$9</f>
        <v>0</v>
      </c>
    </row>
    <row r="26" customFormat="false" ht="15" hidden="false" customHeight="false" outlineLevel="0" collapsed="false">
      <c r="A26" s="2" t="s">
        <v>293</v>
      </c>
      <c r="C26" s="16" t="n">
        <f aca="false">C24-C25</f>
        <v>289.728</v>
      </c>
      <c r="D26" s="16" t="n">
        <f aca="false">D24-D25</f>
        <v>228.831</v>
      </c>
      <c r="E26" s="16" t="n">
        <f aca="false">E24-E25</f>
        <v>73.5399999999999</v>
      </c>
      <c r="F26" s="16" t="n">
        <f aca="false">F24-F25</f>
        <v>29.0939999999997</v>
      </c>
      <c r="G26" s="16" t="n">
        <f aca="false">G24-G25</f>
        <v>-8.85778360000006</v>
      </c>
      <c r="H26" s="16" t="n">
        <f aca="false">H24-H25</f>
        <v>-38.372761944</v>
      </c>
      <c r="I26" s="16" t="n">
        <f aca="false">I24-I25</f>
        <v>-54.46022868648</v>
      </c>
      <c r="J26" s="16" t="n">
        <f aca="false">J24-J25</f>
        <v>-50.24649539832</v>
      </c>
      <c r="K26" s="16" t="n">
        <f aca="false">K24-K25</f>
        <v>-54.638435128404</v>
      </c>
    </row>
    <row r="27" customFormat="false" ht="15" hidden="false" customHeight="false" outlineLevel="0" collapsed="false">
      <c r="A27" s="23" t="s">
        <v>294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customFormat="false" ht="15" hidden="false" customHeight="false" outlineLevel="0" collapsed="false">
      <c r="A28" s="3" t="s">
        <v>169</v>
      </c>
      <c r="C28" s="29" t="n">
        <f aca="false">'Historical Financials'!B35</f>
        <v>35.207</v>
      </c>
      <c r="D28" s="29" t="n">
        <f aca="false">'Historical Financials'!C35</f>
        <v>44.775</v>
      </c>
      <c r="E28" s="29" t="n">
        <f aca="false">'Historical Financials'!D35</f>
        <v>33.303</v>
      </c>
      <c r="F28" s="29" t="n">
        <f aca="false">'Historical Financials'!G35</f>
        <v>28.21</v>
      </c>
      <c r="G28" s="25" t="n">
        <f aca="false">G13*CHOOSE(Assumptions!$C$10,Assumptions!$C$75,Assumptions!$C$94,Assumptions!$C$113)</f>
        <v>26.86414536</v>
      </c>
      <c r="H28" s="25" t="n">
        <f aca="false">H13*CHOOSE(Assumptions!$C$10,Assumptions!$C$75,Assumptions!$C$94,Assumptions!$C$113)</f>
        <v>24.9836551848</v>
      </c>
      <c r="I28" s="25" t="n">
        <f aca="false">I13*CHOOSE(Assumptions!$C$10,Assumptions!$C$75,Assumptions!$C$94,Assumptions!$C$113)</f>
        <v>23.484635873712</v>
      </c>
      <c r="J28" s="25" t="n">
        <f aca="false">J13*CHOOSE(Assumptions!$C$10,Assumptions!$C$75,Assumptions!$C$94,Assumptions!$C$113)</f>
        <v>22.3104040800264</v>
      </c>
      <c r="K28" s="25" t="n">
        <f aca="false">K13*CHOOSE(Assumptions!$C$10,Assumptions!$C$75,Assumptions!$C$94,Assumptions!$C$113)</f>
        <v>21.1948838760251</v>
      </c>
    </row>
    <row r="29" customFormat="false" ht="15" hidden="false" customHeight="false" outlineLevel="0" collapsed="false">
      <c r="A29" s="3" t="s">
        <v>295</v>
      </c>
      <c r="C29" s="29" t="n">
        <f aca="false">'Historical Financials'!B38</f>
        <v>218.876</v>
      </c>
      <c r="D29" s="29" t="n">
        <f aca="false">'Historical Financials'!C38</f>
        <v>-22.7180000000001</v>
      </c>
      <c r="E29" s="29" t="n">
        <f aca="false">'Historical Financials'!D38</f>
        <v>-112.375</v>
      </c>
      <c r="F29" s="29" t="n">
        <f aca="false">'Historical Financials'!G38</f>
        <v>-79.9870000000003</v>
      </c>
      <c r="G29" s="25" t="n">
        <f aca="false">CHOOSE(Assumptions!$C$10,Assumptions!$C$76,Assumptions!$C$95,Assumptions!$C$114)*(G13-F13)+CHOOSE(Assumptions!$C$10,Assumptions!$C$77,Assumptions!$C$96,Assumptions!$C$115)*G13</f>
        <v>10.3323636</v>
      </c>
      <c r="H29" s="25" t="n">
        <f aca="false">CHOOSE(Assumptions!$C$10,Assumptions!$C$76,Assumptions!$C$95,Assumptions!$C$114)*(H13-G13)+CHOOSE(Assumptions!$C$10,Assumptions!$C$77,Assumptions!$C$96,Assumptions!$C$115)*H13</f>
        <v>9.609098148</v>
      </c>
      <c r="I29" s="25" t="n">
        <f aca="false">CHOOSE(Assumptions!$C$10,Assumptions!$C$76,Assumptions!$C$95,Assumptions!$C$114)*(I13-H13)+CHOOSE(Assumptions!$C$10,Assumptions!$C$77,Assumptions!$C$96,Assumptions!$C$115)*I13</f>
        <v>9.03255225912</v>
      </c>
      <c r="J29" s="25" t="n">
        <f aca="false">CHOOSE(Assumptions!$C$10,Assumptions!$C$76,Assumptions!$C$95,Assumptions!$C$114)*(J13-I13)+CHOOSE(Assumptions!$C$10,Assumptions!$C$77,Assumptions!$C$96,Assumptions!$C$115)*J13</f>
        <v>8.580924646164</v>
      </c>
      <c r="K29" s="25" t="n">
        <f aca="false">CHOOSE(Assumptions!$C$10,Assumptions!$C$76,Assumptions!$C$95,Assumptions!$C$114)*(K13-J13)+CHOOSE(Assumptions!$C$10,Assumptions!$C$77,Assumptions!$C$96,Assumptions!$C$115)*K13</f>
        <v>8.1518784138558</v>
      </c>
    </row>
    <row r="30" customFormat="false" ht="15" hidden="false" customHeight="false" outlineLevel="0" collapsed="false">
      <c r="A30" s="2" t="s">
        <v>296</v>
      </c>
      <c r="C30" s="28" t="n">
        <f aca="false">'Historical Financials'!B37</f>
        <v>168.712</v>
      </c>
      <c r="D30" s="28" t="n">
        <f aca="false">'Historical Financials'!C37</f>
        <v>330.84</v>
      </c>
      <c r="E30" s="28" t="n">
        <f aca="false">'Historical Financials'!D37</f>
        <v>272.367</v>
      </c>
      <c r="F30" s="28" t="n">
        <f aca="false">'Historical Financials'!G37</f>
        <v>190.523</v>
      </c>
      <c r="G30" s="16" t="n">
        <f aca="false">G26+G18+G19+G22-G28-G29</f>
        <v>54.8255474399999</v>
      </c>
      <c r="H30" s="16" t="n">
        <f aca="false">H26+H18+H19+H22-H28-H29</f>
        <v>20.8527359232</v>
      </c>
      <c r="I30" s="16" t="n">
        <f aca="false">I26+I18+I19+I22-I28-I29</f>
        <v>1.21173930868796</v>
      </c>
      <c r="J30" s="16" t="n">
        <f aca="false">J26+J18+J19+J22-J28-J29</f>
        <v>2.6418741970896</v>
      </c>
      <c r="K30" s="16" t="n">
        <f aca="false">K26+K18+K19+K22-K28-K29</f>
        <v>-4.39448401276491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217</v>
      </c>
      <c r="D4" s="7" t="s">
        <v>218</v>
      </c>
      <c r="E4" s="7" t="s">
        <v>219</v>
      </c>
      <c r="F4" s="7" t="s">
        <v>222</v>
      </c>
      <c r="G4" s="7" t="s">
        <v>276</v>
      </c>
      <c r="H4" s="7" t="s">
        <v>277</v>
      </c>
      <c r="I4" s="7" t="s">
        <v>278</v>
      </c>
      <c r="J4" s="7" t="s">
        <v>279</v>
      </c>
      <c r="K4" s="7" t="s">
        <v>280</v>
      </c>
    </row>
    <row r="6" customFormat="false" ht="15" hidden="false" customHeight="false" outlineLevel="0" collapsed="false">
      <c r="A6" s="23" t="s">
        <v>298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299</v>
      </c>
      <c r="G7" s="30" t="n">
        <f aca="false">Assumptions!$G$52</f>
        <v>0.039</v>
      </c>
      <c r="H7" s="30" t="n">
        <f aca="false">Assumptions!$H$52</f>
        <v>0.0375</v>
      </c>
      <c r="I7" s="30" t="n">
        <f aca="false">Assumptions!$I$52</f>
        <v>0.035</v>
      </c>
      <c r="J7" s="30" t="n">
        <f aca="false">Assumptions!$J$52</f>
        <v>0.035</v>
      </c>
      <c r="K7" s="30" t="n">
        <f aca="false">Assumptions!$K$52</f>
        <v>0.035</v>
      </c>
    </row>
    <row r="8" customFormat="false" ht="15" hidden="false" customHeight="false" outlineLevel="0" collapsed="false">
      <c r="A8" s="3" t="s">
        <v>300</v>
      </c>
      <c r="C8" s="31" t="n">
        <f aca="false">CHOOSE(Assumptions!$C$10,Assumptions!$C$78,Assumptions!$C$97,Assumptions!$C$116)</f>
        <v>0.015</v>
      </c>
    </row>
    <row r="9" customFormat="false" ht="15" hidden="false" customHeight="false" outlineLevel="0" collapsed="false">
      <c r="A9" s="3" t="s">
        <v>301</v>
      </c>
      <c r="C9" s="31" t="n">
        <f aca="false">CHOOSE(Assumptions!$C$10,Assumptions!$C$79,Assumptions!$C$98,Assumptions!$C$117)</f>
        <v>0.13</v>
      </c>
    </row>
    <row r="10" customFormat="false" ht="15" hidden="false" customHeight="false" outlineLevel="0" collapsed="false">
      <c r="A10" s="3" t="s">
        <v>302</v>
      </c>
      <c r="C10" s="32" t="n">
        <f aca="false">CHOOSE(Assumptions!$C$10,Assumptions!$C$80,Assumptions!$C$99,Assumptions!$C$118)</f>
        <v>5.5</v>
      </c>
    </row>
    <row r="11" customFormat="false" ht="15" hidden="false" customHeight="false" outlineLevel="0" collapsed="false">
      <c r="A11" s="3" t="s">
        <v>303</v>
      </c>
      <c r="C11" s="32" t="n">
        <f aca="false">CHOOSE(Assumptions!$C$10,Assumptions!$C$81,Assumptions!$C$100,Assumptions!$C$119)</f>
        <v>1.5</v>
      </c>
    </row>
    <row r="12" customFormat="false" ht="15" hidden="false" customHeight="false" outlineLevel="0" collapsed="false">
      <c r="A12" s="3" t="s">
        <v>304</v>
      </c>
      <c r="G12" s="25" t="n">
        <f aca="false">G17+G30+G43</f>
        <v>1735.554</v>
      </c>
      <c r="H12" s="25" t="n">
        <f aca="false">H17+H30+H43</f>
        <v>1735.554</v>
      </c>
      <c r="I12" s="25" t="n">
        <f aca="false">I17+I30+I43</f>
        <v>1735.554</v>
      </c>
      <c r="J12" s="25" t="n">
        <f aca="false">J17+J30+J43</f>
        <v>1315.098</v>
      </c>
      <c r="K12" s="25" t="n">
        <f aca="false">K17+K30+K43</f>
        <v>1315.098</v>
      </c>
    </row>
    <row r="13" customFormat="false" ht="15" hidden="false" customHeight="false" outlineLevel="0" collapsed="false">
      <c r="A13" s="3" t="s">
        <v>305</v>
      </c>
      <c r="G13" s="29" t="n">
        <f aca="false">'Cash Flow'!F19</f>
        <v>463.996</v>
      </c>
      <c r="H13" s="29" t="n">
        <f aca="false">'Cash Flow'!G19</f>
        <v>518.82154744</v>
      </c>
      <c r="I13" s="29" t="n">
        <f aca="false">'Cash Flow'!H19</f>
        <v>539.6742833632</v>
      </c>
      <c r="J13" s="29" t="n">
        <f aca="false">'Cash Flow'!I19</f>
        <v>120.430022671888</v>
      </c>
      <c r="K13" s="29" t="n">
        <f aca="false">'Cash Flow'!J19</f>
        <v>123.071896868977</v>
      </c>
    </row>
    <row r="14" customFormat="false" ht="15" hidden="false" customHeight="false" outlineLevel="0" collapsed="false">
      <c r="A14" s="3" t="s">
        <v>306</v>
      </c>
      <c r="G14" s="25" t="n">
        <f aca="false">G17*IF(G18=1,$C$9,IF(Assumptions!$I$56=1,MAX(G7,Assumptions!$G$56)+Assumptions!$F$56+$C$8,Assumptions!$E$56))+G30*IF(G31=1,$C$9,IF(Assumptions!$I$57=1,MAX(G7,Assumptions!$G$57)+Assumptions!$F$57+$C$8,Assumptions!$E$57))+G43*IF(G44=1,$C$9,IF(Assumptions!$I$58=1,MAX(G7,Assumptions!$G$58)+Assumptions!$F$58+$C$8,Assumptions!$E$58))</f>
        <v>155.95467</v>
      </c>
      <c r="H14" s="25" t="n">
        <f aca="false">H17*IF(OR(H18=1,Recovery!G35=1),$C$9,IF(Assumptions!$I$56=1,MAX(H7,Assumptions!$G$56)+Assumptions!$F$56+$C$8,Assumptions!$E$56))+H30*IF(OR(H31=1,Recovery!G36=1),$C$9,IF(Assumptions!$I$57=1,MAX(H7,Assumptions!$G$57)+Assumptions!$F$57+$C$8,Assumptions!$E$57))+H43*IF(OR(H44=1,Recovery!G37=1),$C$9,IF(Assumptions!$I$58=1,MAX(H7,Assumptions!$G$58)+Assumptions!$F$58+$C$8,Assumptions!$E$58))</f>
        <v>155.95467</v>
      </c>
      <c r="I14" s="25" t="n">
        <f aca="false">I17*IF(OR(I18=1,Recovery!H35=1),$C$9,IF(Assumptions!$I$56=1,MAX(I7,Assumptions!$G$56)+Assumptions!$F$56+$C$8,Assumptions!$E$56))+I30*IF(OR(I31=1,Recovery!H36=1),$C$9,IF(Assumptions!$I$57=1,MAX(I7,Assumptions!$G$57)+Assumptions!$F$57+$C$8,Assumptions!$E$57))+I43*IF(OR(I44=1,Recovery!H37=1),$C$9,IF(Assumptions!$I$58=1,MAX(I7,Assumptions!$G$58)+Assumptions!$F$58+$C$8,Assumptions!$E$58))</f>
        <v>192.74457</v>
      </c>
      <c r="J14" s="25" t="n">
        <f aca="false">J17*IF(OR(J18=1,Recovery!I35=1),$C$9,IF(Assumptions!$I$56=1,MAX(J7,Assumptions!$G$56)+Assumptions!$F$56+$C$8,Assumptions!$E$56))+J30*IF(OR(J31=1,Recovery!I36=1),$C$9,IF(Assumptions!$I$57=1,MAX(J7,Assumptions!$G$57)+Assumptions!$F$57+$C$8,Assumptions!$E$57))+J43*IF(OR(J44=1,Recovery!I37=1),$C$9,IF(Assumptions!$I$58=1,MAX(J7,Assumptions!$G$58)+Assumptions!$F$58+$C$8,Assumptions!$E$58))</f>
        <v>138.08529</v>
      </c>
      <c r="K14" s="25" t="n">
        <f aca="false">K17*IF(OR(K18=1,Recovery!J35=1),$C$9,IF(Assumptions!$I$56=1,MAX(K7,Assumptions!$G$56)+Assumptions!$F$56+$C$8,Assumptions!$E$56))+K30*IF(OR(K31=1,Recovery!J36=1),$C$9,IF(Assumptions!$I$57=1,MAX(K7,Assumptions!$G$57)+Assumptions!$F$57+$C$8,Assumptions!$E$57))+K43*IF(OR(K44=1,Recovery!J37=1),$C$9,IF(Assumptions!$I$58=1,MAX(K7,Assumptions!$G$58)+Assumptions!$F$58+$C$8,Assumptions!$E$58))</f>
        <v>138.08529</v>
      </c>
    </row>
    <row r="15" customFormat="false" ht="15" hidden="false" customHeight="false" outlineLevel="0" collapsed="false">
      <c r="A15" s="3" t="s">
        <v>307</v>
      </c>
      <c r="G15" s="20" t="n">
        <f aca="false">IF('Operating Model'!G17&lt;=0,0,IF(AND((G12-G13)/'Operating Model'!G17&lt;=$C$10,'Operating Model'!G17/G14&gt;=$C$11),1,0))</f>
        <v>1</v>
      </c>
      <c r="H15" s="20" t="n">
        <f aca="false">IF('Operating Model'!H17&lt;=0,0,IF(AND((H12-H13)/'Operating Model'!H17&lt;=$C$10,'Operating Model'!H17/H14&gt;=$C$11),1,0))</f>
        <v>0</v>
      </c>
      <c r="I15" s="20" t="n">
        <f aca="false">IF('Operating Model'!I17&lt;=0,0,IF(AND((I12-I13)/'Operating Model'!I17&lt;=$C$10,'Operating Model'!I17/I14&gt;=$C$11),1,0))</f>
        <v>0</v>
      </c>
      <c r="J15" s="20" t="n">
        <f aca="false">IF('Operating Model'!J17&lt;=0,0,IF(AND((J12-J13)/'Operating Model'!J17&lt;=$C$10,'Operating Model'!J17/J14&gt;=$C$11),1,0))</f>
        <v>0</v>
      </c>
      <c r="K15" s="20" t="n">
        <f aca="false">IF('Operating Model'!K17&lt;=0,0,IF(AND((K12-K13)/'Operating Model'!K17&lt;=$C$10,'Operating Model'!K17/K14&gt;=$C$11),1,0))</f>
        <v>0</v>
      </c>
    </row>
    <row r="16" customFormat="false" ht="15" hidden="false" customHeight="false" outlineLevel="0" collapsed="false">
      <c r="A16" s="23" t="s">
        <v>308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5" hidden="false" customHeight="false" outlineLevel="0" collapsed="false">
      <c r="A17" s="3" t="s">
        <v>309</v>
      </c>
      <c r="G17" s="25" t="n">
        <f aca="false">F28</f>
        <v>1315.098</v>
      </c>
      <c r="H17" s="25" t="n">
        <f aca="false">G28</f>
        <v>1315.098</v>
      </c>
      <c r="I17" s="25" t="n">
        <f aca="false">H28</f>
        <v>1315.098</v>
      </c>
      <c r="J17" s="25" t="n">
        <f aca="false">I28</f>
        <v>1315.098</v>
      </c>
      <c r="K17" s="25" t="n">
        <f aca="false">J28</f>
        <v>1315.098</v>
      </c>
    </row>
    <row r="18" customFormat="false" ht="15" hidden="false" customHeight="false" outlineLevel="0" collapsed="false">
      <c r="A18" s="3" t="s">
        <v>310</v>
      </c>
      <c r="G18" s="20" t="n">
        <f aca="false">IF('Operating Model'!G7=Assumptions!$K$56,1,0)</f>
        <v>0</v>
      </c>
      <c r="H18" s="20" t="n">
        <f aca="false">IF('Operating Model'!H7=Assumptions!$K$56,1,0)</f>
        <v>0</v>
      </c>
      <c r="I18" s="20" t="n">
        <f aca="false">IF('Operating Model'!I7=Assumptions!$K$56,1,0)</f>
        <v>0</v>
      </c>
      <c r="J18" s="20" t="n">
        <f aca="false">IF('Operating Model'!J7=Assumptions!$K$56,1,0)</f>
        <v>0</v>
      </c>
      <c r="K18" s="20" t="n">
        <f aca="false">IF('Operating Model'!K7=Assumptions!$K$56,1,0)</f>
        <v>0</v>
      </c>
    </row>
    <row r="20" customFormat="false" ht="15" hidden="false" customHeight="false" outlineLevel="0" collapsed="false">
      <c r="A20" s="3" t="s">
        <v>311</v>
      </c>
      <c r="G20" s="31" t="n">
        <f aca="false">IF(Assumptions!$I$56=1,MAX(G7,Assumptions!$G$56)+Assumptions!$F$56+$C$8,Assumptions!$E$56)</f>
        <v>0.105</v>
      </c>
      <c r="H20" s="31" t="n">
        <f aca="false">IF(Recovery!G35=1,$C$9,IF(Assumptions!$I$56=1,MAX(H7,Assumptions!$G$56)+Assumptions!$F$56+$C$8,Assumptions!$E$56))</f>
        <v>0.105</v>
      </c>
      <c r="I20" s="31" t="n">
        <f aca="false">IF(Recovery!H35=1,$C$9,IF(Assumptions!$I$56=1,MAX(I7,Assumptions!$G$56)+Assumptions!$F$56+$C$8,Assumptions!$E$56))</f>
        <v>0.105</v>
      </c>
      <c r="J20" s="31" t="n">
        <f aca="false">IF(Recovery!I35=1,$C$9,IF(Assumptions!$I$56=1,MAX(J7,Assumptions!$G$56)+Assumptions!$F$56+$C$8,Assumptions!$E$56))</f>
        <v>0.105</v>
      </c>
      <c r="K20" s="31" t="n">
        <f aca="false">IF(Recovery!J35=1,$C$9,IF(Assumptions!$I$56=1,MAX(K7,Assumptions!$G$56)+Assumptions!$F$56+$C$8,Assumptions!$E$56))</f>
        <v>0.105</v>
      </c>
    </row>
    <row r="21" customFormat="false" ht="15" hidden="false" customHeight="false" outlineLevel="0" collapsed="false">
      <c r="A21" s="3" t="s">
        <v>312</v>
      </c>
      <c r="G21" s="25" t="n">
        <f aca="false">G17*G20</f>
        <v>138.08529</v>
      </c>
      <c r="H21" s="25" t="n">
        <f aca="false">H17*H20</f>
        <v>138.08529</v>
      </c>
      <c r="I21" s="25" t="n">
        <f aca="false">I17*I20</f>
        <v>138.08529</v>
      </c>
      <c r="J21" s="25" t="n">
        <f aca="false">J17*J20</f>
        <v>138.08529</v>
      </c>
      <c r="K21" s="25" t="n">
        <f aca="false">K17*K20</f>
        <v>138.08529</v>
      </c>
    </row>
    <row r="22" customFormat="false" ht="15" hidden="false" customHeight="false" outlineLevel="0" collapsed="false">
      <c r="A22" s="3" t="s">
        <v>313</v>
      </c>
      <c r="G22" s="25" t="n">
        <f aca="false">G17*Assumptions!$H$56</f>
        <v>0</v>
      </c>
      <c r="H22" s="25" t="n">
        <f aca="false">H17*Assumptions!$H$56</f>
        <v>0</v>
      </c>
      <c r="I22" s="25" t="n">
        <f aca="false">I17*Assumptions!$H$56</f>
        <v>0</v>
      </c>
      <c r="J22" s="25" t="n">
        <f aca="false">J17*Assumptions!$H$56</f>
        <v>0</v>
      </c>
      <c r="K22" s="25" t="n">
        <f aca="false">K17*Assumptions!$H$56</f>
        <v>0</v>
      </c>
    </row>
    <row r="23" customFormat="false" ht="15" hidden="false" customHeight="false" outlineLevel="0" collapsed="false">
      <c r="A23" s="3" t="s">
        <v>314</v>
      </c>
      <c r="G23" s="25" t="n">
        <f aca="false">MIN(G17,Assumptions!$L$56*Assumptions!$C$56)</f>
        <v>0</v>
      </c>
      <c r="H23" s="25" t="n">
        <f aca="false">MIN(H17,Assumptions!$L$56*Assumptions!$C$56)</f>
        <v>0</v>
      </c>
      <c r="I23" s="25" t="n">
        <f aca="false">MIN(I17,Assumptions!$L$56*Assumptions!$C$56)</f>
        <v>0</v>
      </c>
      <c r="J23" s="25" t="n">
        <f aca="false">MIN(J17,Assumptions!$L$56*Assumptions!$C$56)</f>
        <v>0</v>
      </c>
      <c r="K23" s="25" t="n">
        <f aca="false">MIN(K17,Assumptions!$L$56*Assumptions!$C$56)</f>
        <v>0</v>
      </c>
    </row>
    <row r="24" customFormat="false" ht="15" hidden="false" customHeight="false" outlineLevel="0" collapsed="false">
      <c r="A24" s="3" t="s">
        <v>315</v>
      </c>
      <c r="G24" s="25" t="n">
        <f aca="false">IF(AND(Assumptions!$P$56=1,'Operating Model'!G7&lt;Assumptions!$K$56),MIN(MAX(0,-'Cash Flow'!G11),MAX(0,Assumptions!$D$56-G17)),0)</f>
        <v>0</v>
      </c>
      <c r="H24" s="25" t="n">
        <f aca="false">IF(AND(Assumptions!$P$56=1,OR('Operating Model'!H7&lt;Assumptions!$K$56,Recovery!G35=1)),MIN(MAX(0,-'Cash Flow'!H11),MAX(0,Assumptions!$D$56-H17)),0)</f>
        <v>0</v>
      </c>
      <c r="I24" s="25" t="n">
        <f aca="false">IF(AND(Assumptions!$P$56=1,OR('Operating Model'!I7&lt;Assumptions!$K$56,Recovery!H35=1)),MIN(MAX(0,-'Cash Flow'!I11),MAX(0,Assumptions!$D$56-I17)),0)</f>
        <v>0</v>
      </c>
      <c r="J24" s="25" t="n">
        <f aca="false">IF(AND(Assumptions!$P$56=1,OR('Operating Model'!J7&lt;Assumptions!$K$56,Recovery!I35=1)),MIN(MAX(0,-'Cash Flow'!J11),MAX(0,Assumptions!$D$56-J17)),0)</f>
        <v>0</v>
      </c>
      <c r="K24" s="25" t="n">
        <f aca="false">IF(AND(Assumptions!$P$56=1,OR('Operating Model'!K7&lt;Assumptions!$K$56,Recovery!J35=1)),MIN(MAX(0,-'Cash Flow'!K11),MAX(0,Assumptions!$D$56-K17)),0)</f>
        <v>0</v>
      </c>
    </row>
    <row r="25" customFormat="false" ht="15" hidden="false" customHeight="false" outlineLevel="0" collapsed="false">
      <c r="A25" s="3" t="s">
        <v>316</v>
      </c>
      <c r="G25" s="25" t="n">
        <f aca="false">G18*MIN(G17-G23+G22,MAX(0,'Cash Flow'!G13-Assumptions!$C$12*G15))</f>
        <v>0</v>
      </c>
      <c r="H25" s="25" t="n">
        <f aca="false">H18*MIN(H17-H23+H22,MAX(0,'Cash Flow'!H13-Assumptions!$C$12*H15))</f>
        <v>0</v>
      </c>
      <c r="I25" s="25" t="n">
        <f aca="false">I18*MIN(I17-I23+I22,MAX(0,'Cash Flow'!I13-Assumptions!$C$12*I15))</f>
        <v>0</v>
      </c>
      <c r="J25" s="25" t="n">
        <f aca="false">J18*MIN(J17-J23+J22,MAX(0,'Cash Flow'!J13-Assumptions!$C$12*J15))</f>
        <v>0</v>
      </c>
      <c r="K25" s="25" t="n">
        <f aca="false">K18*MIN(K17-K23+K22,MAX(0,'Cash Flow'!K13-Assumptions!$C$12*K15))</f>
        <v>0</v>
      </c>
    </row>
    <row r="26" customFormat="false" ht="15" hidden="false" customHeight="false" outlineLevel="0" collapsed="false">
      <c r="A26" s="3" t="s">
        <v>317</v>
      </c>
      <c r="G26" s="25" t="n">
        <f aca="false">Assumptions!$N$56*MIN(G17+G24+G22-G23-G25,MAX(0,'Cash Flow'!G17))</f>
        <v>0</v>
      </c>
      <c r="H26" s="25" t="n">
        <f aca="false">Assumptions!$N$56*MIN(H17+H24+H22-H23-H25,MAX(0,'Cash Flow'!H17))</f>
        <v>0</v>
      </c>
      <c r="I26" s="25" t="n">
        <f aca="false">Assumptions!$N$56*MIN(I17+I24+I22-I23-I25,MAX(0,'Cash Flow'!I17))</f>
        <v>0</v>
      </c>
      <c r="J26" s="25" t="n">
        <f aca="false">Assumptions!$N$56*MIN(J17+J24+J22-J23-J25,MAX(0,'Cash Flow'!J17))</f>
        <v>0</v>
      </c>
      <c r="K26" s="25" t="n">
        <f aca="false">Assumptions!$N$56*MIN(K17+K24+K22-K23-K25,MAX(0,'Cash Flow'!K17))</f>
        <v>0</v>
      </c>
    </row>
    <row r="27" customFormat="false" ht="15" hidden="false" customHeight="false" outlineLevel="0" collapsed="false">
      <c r="A27" s="3" t="s">
        <v>318</v>
      </c>
      <c r="G27" s="25" t="n">
        <f aca="false">G18*(1-G15)*(G17-G23+G22-G25)</f>
        <v>0</v>
      </c>
      <c r="H27" s="25" t="n">
        <f aca="false">H18*(1-H15)*(H17-H23+H22-H25)</f>
        <v>0</v>
      </c>
      <c r="I27" s="25" t="n">
        <f aca="false">I18*(1-I15)*(I17-I23+I22-I25)</f>
        <v>0</v>
      </c>
      <c r="J27" s="25" t="n">
        <f aca="false">J18*(1-J15)*(J17-J23+J22-J25)</f>
        <v>0</v>
      </c>
      <c r="K27" s="25" t="n">
        <f aca="false">K18*(1-K15)*(K17-K23+K22-K25)</f>
        <v>0</v>
      </c>
    </row>
    <row r="28" customFormat="false" ht="15" hidden="false" customHeight="false" outlineLevel="0" collapsed="false">
      <c r="A28" s="2" t="s">
        <v>319</v>
      </c>
      <c r="F28" s="28" t="n">
        <f aca="false">Assumptions!$C$56</f>
        <v>1315.098</v>
      </c>
      <c r="G28" s="16" t="n">
        <f aca="false">G17+G24+G22-G23-G25-G26</f>
        <v>1315.098</v>
      </c>
      <c r="H28" s="16" t="n">
        <f aca="false">H17+H24+H22-H23-H25-H26</f>
        <v>1315.098</v>
      </c>
      <c r="I28" s="16" t="n">
        <f aca="false">I17+I24+I22-I23-I25-I26</f>
        <v>1315.098</v>
      </c>
      <c r="J28" s="16" t="n">
        <f aca="false">J17+J24+J22-J23-J25-J26</f>
        <v>1315.098</v>
      </c>
      <c r="K28" s="16" t="n">
        <f aca="false">K17+K24+K22-K23-K25-K26</f>
        <v>1315.098</v>
      </c>
    </row>
    <row r="29" customFormat="false" ht="15" hidden="false" customHeight="false" outlineLevel="0" collapsed="false">
      <c r="A29" s="23" t="s">
        <v>320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customFormat="false" ht="15" hidden="false" customHeight="false" outlineLevel="0" collapsed="false">
      <c r="A30" s="3" t="s">
        <v>309</v>
      </c>
      <c r="G30" s="25" t="n">
        <f aca="false">F41</f>
        <v>276.706</v>
      </c>
      <c r="H30" s="25" t="n">
        <f aca="false">G41</f>
        <v>276.706</v>
      </c>
      <c r="I30" s="25" t="n">
        <f aca="false">H41</f>
        <v>276.706</v>
      </c>
      <c r="J30" s="25" t="n">
        <f aca="false">I41</f>
        <v>0</v>
      </c>
      <c r="K30" s="25" t="n">
        <f aca="false">J41</f>
        <v>0</v>
      </c>
    </row>
    <row r="31" customFormat="false" ht="15" hidden="false" customHeight="false" outlineLevel="0" collapsed="false">
      <c r="A31" s="3" t="s">
        <v>310</v>
      </c>
      <c r="G31" s="20" t="n">
        <f aca="false">IF('Operating Model'!G7=Assumptions!$K$57,1,0)</f>
        <v>0</v>
      </c>
      <c r="H31" s="20" t="n">
        <f aca="false">IF('Operating Model'!H7=Assumptions!$K$57,1,0)</f>
        <v>0</v>
      </c>
      <c r="I31" s="20" t="n">
        <f aca="false">IF('Operating Model'!I7=Assumptions!$K$57,1,0)</f>
        <v>1</v>
      </c>
      <c r="J31" s="20" t="n">
        <f aca="false">IF('Operating Model'!J7=Assumptions!$K$57,1,0)</f>
        <v>0</v>
      </c>
      <c r="K31" s="20" t="n">
        <f aca="false">IF('Operating Model'!K7=Assumptions!$K$57,1,0)</f>
        <v>0</v>
      </c>
    </row>
    <row r="33" customFormat="false" ht="15" hidden="false" customHeight="false" outlineLevel="0" collapsed="false">
      <c r="A33" s="3" t="s">
        <v>311</v>
      </c>
      <c r="G33" s="31" t="n">
        <f aca="false">IF(Assumptions!$I$57=1,MAX(G7,Assumptions!$G$57)+Assumptions!$F$57+$C$8,Assumptions!$E$57)</f>
        <v>0.0425</v>
      </c>
      <c r="H33" s="31" t="n">
        <f aca="false">IF(Recovery!G36=1,$C$9,IF(Assumptions!$I$57=1,MAX(H7,Assumptions!$G$57)+Assumptions!$F$57+$C$8,Assumptions!$E$57))</f>
        <v>0.0425</v>
      </c>
      <c r="I33" s="31" t="n">
        <f aca="false">IF(Recovery!H36=1,$C$9,IF(Assumptions!$I$57=1,MAX(I7,Assumptions!$G$57)+Assumptions!$F$57+$C$8,Assumptions!$E$57))</f>
        <v>0.0425</v>
      </c>
      <c r="J33" s="31" t="n">
        <f aca="false">IF(Recovery!I36=1,$C$9,IF(Assumptions!$I$57=1,MAX(J7,Assumptions!$G$57)+Assumptions!$F$57+$C$8,Assumptions!$E$57))</f>
        <v>0.0425</v>
      </c>
      <c r="K33" s="31" t="n">
        <f aca="false">IF(Recovery!J36=1,$C$9,IF(Assumptions!$I$57=1,MAX(K7,Assumptions!$G$57)+Assumptions!$F$57+$C$8,Assumptions!$E$57))</f>
        <v>0.0425</v>
      </c>
    </row>
    <row r="34" customFormat="false" ht="15" hidden="false" customHeight="false" outlineLevel="0" collapsed="false">
      <c r="A34" s="3" t="s">
        <v>312</v>
      </c>
      <c r="G34" s="25" t="n">
        <f aca="false">G30*G33</f>
        <v>11.760005</v>
      </c>
      <c r="H34" s="25" t="n">
        <f aca="false">H30*H33</f>
        <v>11.760005</v>
      </c>
      <c r="I34" s="25" t="n">
        <f aca="false">I30*I33</f>
        <v>11.760005</v>
      </c>
      <c r="J34" s="25" t="n">
        <f aca="false">J30*J33</f>
        <v>0</v>
      </c>
      <c r="K34" s="25" t="n">
        <f aca="false">K30*K33</f>
        <v>0</v>
      </c>
    </row>
    <row r="35" customFormat="false" ht="15" hidden="false" customHeight="false" outlineLevel="0" collapsed="false">
      <c r="A35" s="3" t="s">
        <v>313</v>
      </c>
      <c r="G35" s="25" t="n">
        <f aca="false">G30*Assumptions!$H$57</f>
        <v>0</v>
      </c>
      <c r="H35" s="25" t="n">
        <f aca="false">H30*Assumptions!$H$57</f>
        <v>0</v>
      </c>
      <c r="I35" s="25" t="n">
        <f aca="false">I30*Assumptions!$H$57</f>
        <v>0</v>
      </c>
      <c r="J35" s="25" t="n">
        <f aca="false">J30*Assumptions!$H$57</f>
        <v>0</v>
      </c>
      <c r="K35" s="25" t="n">
        <f aca="false">K30*Assumptions!$H$57</f>
        <v>0</v>
      </c>
    </row>
    <row r="36" customFormat="false" ht="15" hidden="false" customHeight="false" outlineLevel="0" collapsed="false">
      <c r="A36" s="3" t="s">
        <v>314</v>
      </c>
      <c r="G36" s="25" t="n">
        <f aca="false">MIN(G30,Assumptions!$L$57*Assumptions!$C$57)</f>
        <v>0</v>
      </c>
      <c r="H36" s="25" t="n">
        <f aca="false">MIN(H30,Assumptions!$L$57*Assumptions!$C$57)</f>
        <v>0</v>
      </c>
      <c r="I36" s="25" t="n">
        <f aca="false">MIN(I30,Assumptions!$L$57*Assumptions!$C$57)</f>
        <v>0</v>
      </c>
      <c r="J36" s="25" t="n">
        <f aca="false">MIN(J30,Assumptions!$L$57*Assumptions!$C$57)</f>
        <v>0</v>
      </c>
      <c r="K36" s="25" t="n">
        <f aca="false">MIN(K30,Assumptions!$L$57*Assumptions!$C$57)</f>
        <v>0</v>
      </c>
    </row>
    <row r="37" customFormat="false" ht="15" hidden="false" customHeight="false" outlineLevel="0" collapsed="false">
      <c r="A37" s="3" t="s">
        <v>315</v>
      </c>
      <c r="G37" s="25" t="n">
        <f aca="false">IF(AND(Assumptions!$P$57=1,'Operating Model'!G7&lt;Assumptions!$K$57),MIN(MAX(0,-'Cash Flow'!G11),MAX(0,Assumptions!$D$57-G30)),0)</f>
        <v>0</v>
      </c>
      <c r="H37" s="25" t="n">
        <f aca="false">IF(AND(Assumptions!$P$57=1,OR('Operating Model'!H7&lt;Assumptions!$K$57,Recovery!G36=1)),MIN(MAX(0,-'Cash Flow'!H11),MAX(0,Assumptions!$D$57-H30)),0)</f>
        <v>0</v>
      </c>
      <c r="I37" s="25" t="n">
        <f aca="false">IF(AND(Assumptions!$P$57=1,OR('Operating Model'!I7&lt;Assumptions!$K$57,Recovery!H36=1)),MIN(MAX(0,-'Cash Flow'!I11),MAX(0,Assumptions!$D$57-I30)),0)</f>
        <v>0</v>
      </c>
      <c r="J37" s="25" t="n">
        <f aca="false">IF(AND(Assumptions!$P$57=1,OR('Operating Model'!J7&lt;Assumptions!$K$57,Recovery!I36=1)),MIN(MAX(0,-'Cash Flow'!J11),MAX(0,Assumptions!$D$57-J30)),0)</f>
        <v>0</v>
      </c>
      <c r="K37" s="25" t="n">
        <f aca="false">IF(AND(Assumptions!$P$57=1,OR('Operating Model'!K7&lt;Assumptions!$K$57,Recovery!J36=1)),MIN(MAX(0,-'Cash Flow'!K11),MAX(0,Assumptions!$D$57-K30)),0)</f>
        <v>0</v>
      </c>
    </row>
    <row r="38" customFormat="false" ht="15" hidden="false" customHeight="false" outlineLevel="0" collapsed="false">
      <c r="A38" s="3" t="s">
        <v>316</v>
      </c>
      <c r="G38" s="25" t="n">
        <f aca="false">G31*MIN(G30-G36+G35,MAX(0,'Cash Flow'!G13-Assumptions!$C$12*G15-G25))</f>
        <v>0</v>
      </c>
      <c r="H38" s="25" t="n">
        <f aca="false">H31*MIN(H30-H36+H35,MAX(0,'Cash Flow'!H13-Assumptions!$C$12*H15-H25))</f>
        <v>0</v>
      </c>
      <c r="I38" s="25" t="n">
        <f aca="false">I31*MIN(I30-I36+I35,MAX(0,'Cash Flow'!I13-Assumptions!$C$12*I15-I25))</f>
        <v>276.706</v>
      </c>
      <c r="J38" s="25" t="n">
        <f aca="false">J31*MIN(J30-J36+J35,MAX(0,'Cash Flow'!J13-Assumptions!$C$12*J15-J25))</f>
        <v>0</v>
      </c>
      <c r="K38" s="25" t="n">
        <f aca="false">K31*MIN(K30-K36+K35,MAX(0,'Cash Flow'!K13-Assumptions!$C$12*K15-K25))</f>
        <v>0</v>
      </c>
    </row>
    <row r="39" customFormat="false" ht="15" hidden="false" customHeight="false" outlineLevel="0" collapsed="false">
      <c r="A39" s="3" t="s">
        <v>317</v>
      </c>
      <c r="G39" s="25" t="n">
        <f aca="false">Assumptions!$N$57*MIN(G30+G37+G35-G36-G38,MAX(0,'Cash Flow'!G17-G26))</f>
        <v>0</v>
      </c>
      <c r="H39" s="25" t="n">
        <f aca="false">Assumptions!$N$57*MIN(H30+H37+H35-H36-H38,MAX(0,'Cash Flow'!H17-H26))</f>
        <v>0</v>
      </c>
      <c r="I39" s="25" t="n">
        <f aca="false">Assumptions!$N$57*MIN(I30+I37+I35-I36-I38,MAX(0,'Cash Flow'!I17-I26))</f>
        <v>0</v>
      </c>
      <c r="J39" s="25" t="n">
        <f aca="false">Assumptions!$N$57*MIN(J30+J37+J35-J36-J38,MAX(0,'Cash Flow'!J17-J26))</f>
        <v>0</v>
      </c>
      <c r="K39" s="25" t="n">
        <f aca="false">Assumptions!$N$57*MIN(K30+K37+K35-K36-K38,MAX(0,'Cash Flow'!K17-K26))</f>
        <v>0</v>
      </c>
    </row>
    <row r="40" customFormat="false" ht="15" hidden="false" customHeight="false" outlineLevel="0" collapsed="false">
      <c r="A40" s="3" t="s">
        <v>318</v>
      </c>
      <c r="G40" s="25" t="n">
        <f aca="false">G31*(1-G15)*(G30-G36+G35-G38)</f>
        <v>0</v>
      </c>
      <c r="H40" s="25" t="n">
        <f aca="false">H31*(1-H15)*(H30-H36+H35-H38)</f>
        <v>0</v>
      </c>
      <c r="I40" s="25" t="n">
        <f aca="false">I31*(1-I15)*(I30-I36+I35-I38)</f>
        <v>0</v>
      </c>
      <c r="J40" s="25" t="n">
        <f aca="false">J31*(1-J15)*(J30-J36+J35-J38)</f>
        <v>0</v>
      </c>
      <c r="K40" s="25" t="n">
        <f aca="false">K31*(1-K15)*(K30-K36+K35-K38)</f>
        <v>0</v>
      </c>
    </row>
    <row r="41" customFormat="false" ht="15" hidden="false" customHeight="false" outlineLevel="0" collapsed="false">
      <c r="A41" s="2" t="s">
        <v>319</v>
      </c>
      <c r="F41" s="28" t="n">
        <f aca="false">Assumptions!$C$57</f>
        <v>276.706</v>
      </c>
      <c r="G41" s="16" t="n">
        <f aca="false">G30+G37+G35-G36-G38-G39</f>
        <v>276.706</v>
      </c>
      <c r="H41" s="16" t="n">
        <f aca="false">H30+H37+H35-H36-H38-H39</f>
        <v>276.706</v>
      </c>
      <c r="I41" s="16" t="n">
        <f aca="false">I30+I37+I35-I36-I38-I39</f>
        <v>0</v>
      </c>
      <c r="J41" s="16" t="n">
        <f aca="false">J30+J37+J35-J36-J38-J39</f>
        <v>0</v>
      </c>
      <c r="K41" s="16" t="n">
        <f aca="false">K30+K37+K35-K36-K38-K39</f>
        <v>0</v>
      </c>
    </row>
    <row r="42" customFormat="false" ht="15" hidden="false" customHeight="false" outlineLevel="0" collapsed="false">
      <c r="A42" s="23" t="s">
        <v>321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customFormat="false" ht="15" hidden="false" customHeight="false" outlineLevel="0" collapsed="false">
      <c r="A43" s="3" t="s">
        <v>309</v>
      </c>
      <c r="G43" s="25" t="n">
        <f aca="false">F54</f>
        <v>143.75</v>
      </c>
      <c r="H43" s="25" t="n">
        <f aca="false">G54</f>
        <v>143.75</v>
      </c>
      <c r="I43" s="25" t="n">
        <f aca="false">H54</f>
        <v>143.75</v>
      </c>
      <c r="J43" s="25" t="n">
        <f aca="false">I54</f>
        <v>0</v>
      </c>
      <c r="K43" s="25" t="n">
        <f aca="false">J54</f>
        <v>0</v>
      </c>
    </row>
    <row r="44" customFormat="false" ht="15" hidden="false" customHeight="false" outlineLevel="0" collapsed="false">
      <c r="A44" s="3" t="s">
        <v>310</v>
      </c>
      <c r="G44" s="20" t="n">
        <f aca="false">IF('Operating Model'!G7=Assumptions!$K$58,1,0)</f>
        <v>0</v>
      </c>
      <c r="H44" s="20" t="n">
        <f aca="false">IF('Operating Model'!H7=Assumptions!$K$58,1,0)</f>
        <v>0</v>
      </c>
      <c r="I44" s="20" t="n">
        <f aca="false">IF('Operating Model'!I7=Assumptions!$K$58,1,0)</f>
        <v>1</v>
      </c>
      <c r="J44" s="20" t="n">
        <f aca="false">IF('Operating Model'!J7=Assumptions!$K$58,1,0)</f>
        <v>0</v>
      </c>
      <c r="K44" s="20" t="n">
        <f aca="false">IF('Operating Model'!K7=Assumptions!$K$58,1,0)</f>
        <v>0</v>
      </c>
    </row>
    <row r="46" customFormat="false" ht="15" hidden="false" customHeight="false" outlineLevel="0" collapsed="false">
      <c r="A46" s="3" t="s">
        <v>311</v>
      </c>
      <c r="G46" s="31" t="n">
        <f aca="false">IF(Assumptions!$I$58=1,MAX(G7,Assumptions!$G$58)+Assumptions!$F$58+$C$8,Assumptions!$E$58)</f>
        <v>0.0425</v>
      </c>
      <c r="H46" s="31" t="n">
        <f aca="false">IF(Recovery!G37=1,$C$9,IF(Assumptions!$I$58=1,MAX(H7,Assumptions!$G$58)+Assumptions!$F$58+$C$8,Assumptions!$E$58))</f>
        <v>0.0425</v>
      </c>
      <c r="I46" s="31" t="n">
        <f aca="false">IF(Recovery!H37=1,$C$9,IF(Assumptions!$I$58=1,MAX(I7,Assumptions!$G$58)+Assumptions!$F$58+$C$8,Assumptions!$E$58))</f>
        <v>0.0425</v>
      </c>
      <c r="J46" s="31" t="n">
        <f aca="false">IF(Recovery!I37=1,$C$9,IF(Assumptions!$I$58=1,MAX(J7,Assumptions!$G$58)+Assumptions!$F$58+$C$8,Assumptions!$E$58))</f>
        <v>0.0425</v>
      </c>
      <c r="K46" s="31" t="n">
        <f aca="false">IF(Recovery!J37=1,$C$9,IF(Assumptions!$I$58=1,MAX(K7,Assumptions!$G$58)+Assumptions!$F$58+$C$8,Assumptions!$E$58))</f>
        <v>0.0425</v>
      </c>
    </row>
    <row r="47" customFormat="false" ht="15" hidden="false" customHeight="false" outlineLevel="0" collapsed="false">
      <c r="A47" s="3" t="s">
        <v>312</v>
      </c>
      <c r="G47" s="25" t="n">
        <f aca="false">G43*G46</f>
        <v>6.109375</v>
      </c>
      <c r="H47" s="25" t="n">
        <f aca="false">H43*H46</f>
        <v>6.109375</v>
      </c>
      <c r="I47" s="25" t="n">
        <f aca="false">I43*I46</f>
        <v>6.109375</v>
      </c>
      <c r="J47" s="25" t="n">
        <f aca="false">J43*J46</f>
        <v>0</v>
      </c>
      <c r="K47" s="25" t="n">
        <f aca="false">K43*K46</f>
        <v>0</v>
      </c>
    </row>
    <row r="48" customFormat="false" ht="15" hidden="false" customHeight="false" outlineLevel="0" collapsed="false">
      <c r="A48" s="3" t="s">
        <v>313</v>
      </c>
      <c r="G48" s="25" t="n">
        <f aca="false">G43*Assumptions!$H$58</f>
        <v>0</v>
      </c>
      <c r="H48" s="25" t="n">
        <f aca="false">H43*Assumptions!$H$58</f>
        <v>0</v>
      </c>
      <c r="I48" s="25" t="n">
        <f aca="false">I43*Assumptions!$H$58</f>
        <v>0</v>
      </c>
      <c r="J48" s="25" t="n">
        <f aca="false">J43*Assumptions!$H$58</f>
        <v>0</v>
      </c>
      <c r="K48" s="25" t="n">
        <f aca="false">K43*Assumptions!$H$58</f>
        <v>0</v>
      </c>
    </row>
    <row r="49" customFormat="false" ht="15" hidden="false" customHeight="false" outlineLevel="0" collapsed="false">
      <c r="A49" s="3" t="s">
        <v>314</v>
      </c>
      <c r="G49" s="25" t="n">
        <f aca="false">MIN(G43,Assumptions!$L$58*Assumptions!$C$58)</f>
        <v>0</v>
      </c>
      <c r="H49" s="25" t="n">
        <f aca="false">MIN(H43,Assumptions!$L$58*Assumptions!$C$58)</f>
        <v>0</v>
      </c>
      <c r="I49" s="25" t="n">
        <f aca="false">MIN(I43,Assumptions!$L$58*Assumptions!$C$58)</f>
        <v>0</v>
      </c>
      <c r="J49" s="25" t="n">
        <f aca="false">MIN(J43,Assumptions!$L$58*Assumptions!$C$58)</f>
        <v>0</v>
      </c>
      <c r="K49" s="25" t="n">
        <f aca="false">MIN(K43,Assumptions!$L$58*Assumptions!$C$58)</f>
        <v>0</v>
      </c>
    </row>
    <row r="50" customFormat="false" ht="15" hidden="false" customHeight="false" outlineLevel="0" collapsed="false">
      <c r="A50" s="3" t="s">
        <v>315</v>
      </c>
      <c r="G50" s="25" t="n">
        <f aca="false">IF(AND(Assumptions!$P$58=1,'Operating Model'!G7&lt;Assumptions!$K$58),MIN(MAX(0,-'Cash Flow'!G11),MAX(0,Assumptions!$D$58-G43)),0)</f>
        <v>0</v>
      </c>
      <c r="H50" s="25" t="n">
        <f aca="false">IF(AND(Assumptions!$P$58=1,OR('Operating Model'!H7&lt;Assumptions!$K$58,Recovery!G37=1)),MIN(MAX(0,-'Cash Flow'!H11),MAX(0,Assumptions!$D$58-H43)),0)</f>
        <v>0</v>
      </c>
      <c r="I50" s="25" t="n">
        <f aca="false">IF(AND(Assumptions!$P$58=1,OR('Operating Model'!I7&lt;Assumptions!$K$58,Recovery!H37=1)),MIN(MAX(0,-'Cash Flow'!I11),MAX(0,Assumptions!$D$58-I43)),0)</f>
        <v>0</v>
      </c>
      <c r="J50" s="25" t="n">
        <f aca="false">IF(AND(Assumptions!$P$58=1,OR('Operating Model'!J7&lt;Assumptions!$K$58,Recovery!I37=1)),MIN(MAX(0,-'Cash Flow'!J11),MAX(0,Assumptions!$D$58-J43)),0)</f>
        <v>0</v>
      </c>
      <c r="K50" s="25" t="n">
        <f aca="false">IF(AND(Assumptions!$P$58=1,OR('Operating Model'!K7&lt;Assumptions!$K$58,Recovery!J37=1)),MIN(MAX(0,-'Cash Flow'!K11),MAX(0,Assumptions!$D$58-K43)),0)</f>
        <v>0</v>
      </c>
    </row>
    <row r="51" customFormat="false" ht="15" hidden="false" customHeight="false" outlineLevel="0" collapsed="false">
      <c r="A51" s="3" t="s">
        <v>316</v>
      </c>
      <c r="G51" s="25" t="n">
        <f aca="false">G44*MIN(G43-G49+G48,MAX(0,'Cash Flow'!G13-Assumptions!$C$12*G15-G25-G38))</f>
        <v>0</v>
      </c>
      <c r="H51" s="25" t="n">
        <f aca="false">H44*MIN(H43-H49+H48,MAX(0,'Cash Flow'!H13-Assumptions!$C$12*H15-H25-H38))</f>
        <v>0</v>
      </c>
      <c r="I51" s="25" t="n">
        <f aca="false">I44*MIN(I43-I49+I48,MAX(0,'Cash Flow'!I13-Assumptions!$C$12*I15-I25-I38))</f>
        <v>143.75</v>
      </c>
      <c r="J51" s="25" t="n">
        <f aca="false">J44*MIN(J43-J49+J48,MAX(0,'Cash Flow'!J13-Assumptions!$C$12*J15-J25-J38))</f>
        <v>0</v>
      </c>
      <c r="K51" s="25" t="n">
        <f aca="false">K44*MIN(K43-K49+K48,MAX(0,'Cash Flow'!K13-Assumptions!$C$12*K15-K25-K38))</f>
        <v>0</v>
      </c>
    </row>
    <row r="52" customFormat="false" ht="15" hidden="false" customHeight="false" outlineLevel="0" collapsed="false">
      <c r="A52" s="3" t="s">
        <v>317</v>
      </c>
      <c r="G52" s="25" t="n">
        <f aca="false">Assumptions!$N$58*MIN(G43+G50+G48-G49-G51,MAX(0,'Cash Flow'!G17-G26-G39))</f>
        <v>0</v>
      </c>
      <c r="H52" s="25" t="n">
        <f aca="false">Assumptions!$N$58*MIN(H43+H50+H48-H49-H51,MAX(0,'Cash Flow'!H17-H26-H39))</f>
        <v>0</v>
      </c>
      <c r="I52" s="25" t="n">
        <f aca="false">Assumptions!$N$58*MIN(I43+I50+I48-I49-I51,MAX(0,'Cash Flow'!I17-I26-I39))</f>
        <v>0</v>
      </c>
      <c r="J52" s="25" t="n">
        <f aca="false">Assumptions!$N$58*MIN(J43+J50+J48-J49-J51,MAX(0,'Cash Flow'!J17-J26-J39))</f>
        <v>0</v>
      </c>
      <c r="K52" s="25" t="n">
        <f aca="false">Assumptions!$N$58*MIN(K43+K50+K48-K49-K51,MAX(0,'Cash Flow'!K17-K26-K39))</f>
        <v>0</v>
      </c>
    </row>
    <row r="53" customFormat="false" ht="15" hidden="false" customHeight="false" outlineLevel="0" collapsed="false">
      <c r="A53" s="3" t="s">
        <v>318</v>
      </c>
      <c r="G53" s="25" t="n">
        <f aca="false">G44*(1-G15)*(G43-G49+G48-G51)</f>
        <v>0</v>
      </c>
      <c r="H53" s="25" t="n">
        <f aca="false">H44*(1-H15)*(H43-H49+H48-H51)</f>
        <v>0</v>
      </c>
      <c r="I53" s="25" t="n">
        <f aca="false">I44*(1-I15)*(I43-I49+I48-I51)</f>
        <v>0</v>
      </c>
      <c r="J53" s="25" t="n">
        <f aca="false">J44*(1-J15)*(J43-J49+J48-J51)</f>
        <v>0</v>
      </c>
      <c r="K53" s="25" t="n">
        <f aca="false">K44*(1-K15)*(K43-K49+K48-K51)</f>
        <v>0</v>
      </c>
    </row>
    <row r="54" customFormat="false" ht="15" hidden="false" customHeight="false" outlineLevel="0" collapsed="false">
      <c r="A54" s="2" t="s">
        <v>319</v>
      </c>
      <c r="F54" s="28" t="n">
        <f aca="false">Assumptions!$C$58</f>
        <v>143.75</v>
      </c>
      <c r="G54" s="16" t="n">
        <f aca="false">G43+G50+G48-G49-G51-G52</f>
        <v>143.75</v>
      </c>
      <c r="H54" s="16" t="n">
        <f aca="false">H43+H50+H48-H49-H51-H52</f>
        <v>143.75</v>
      </c>
      <c r="I54" s="16" t="n">
        <f aca="false">I43+I50+I48-I49-I51-I52</f>
        <v>0</v>
      </c>
      <c r="J54" s="16" t="n">
        <f aca="false">J43+J50+J48-J49-J51-J52</f>
        <v>0</v>
      </c>
      <c r="K54" s="16" t="n">
        <f aca="false">K43+K50+K48-K49-K51-K52</f>
        <v>0</v>
      </c>
    </row>
    <row r="55" customFormat="false" ht="15" hidden="false" customHeight="false" outlineLevel="0" collapsed="false">
      <c r="A55" s="23" t="s">
        <v>322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customFormat="false" ht="15" hidden="false" customHeight="false" outlineLevel="0" collapsed="false">
      <c r="A56" s="2" t="s">
        <v>323</v>
      </c>
      <c r="F56" s="16" t="n">
        <f aca="false">F28+F41+F54</f>
        <v>1735.554</v>
      </c>
      <c r="G56" s="16" t="n">
        <f aca="false">G28+G41+G54</f>
        <v>1735.554</v>
      </c>
      <c r="H56" s="16" t="n">
        <f aca="false">H28+H41+H54</f>
        <v>1735.554</v>
      </c>
      <c r="I56" s="16" t="n">
        <f aca="false">I28+I41+I54</f>
        <v>1315.098</v>
      </c>
      <c r="J56" s="16" t="n">
        <f aca="false">J28+J41+J54</f>
        <v>1315.098</v>
      </c>
      <c r="K56" s="16" t="n">
        <f aca="false">K28+K41+K54</f>
        <v>1315.098</v>
      </c>
    </row>
    <row r="57" customFormat="false" ht="15" hidden="false" customHeight="false" outlineLevel="0" collapsed="false">
      <c r="A57" s="3" t="s">
        <v>324</v>
      </c>
      <c r="G57" s="25" t="n">
        <f aca="false">G18*Assumptions!$C$56+G31*Assumptions!$C$57+G44*Assumptions!$C$58</f>
        <v>0</v>
      </c>
      <c r="H57" s="25" t="n">
        <f aca="false">H18*Assumptions!$C$56+H31*Assumptions!$C$57+H44*Assumptions!$C$58</f>
        <v>0</v>
      </c>
      <c r="I57" s="25" t="n">
        <f aca="false">I18*Assumptions!$C$56+I31*Assumptions!$C$57+I44*Assumptions!$C$58</f>
        <v>420.456</v>
      </c>
      <c r="J57" s="25" t="n">
        <f aca="false">J18*Assumptions!$C$56+J31*Assumptions!$C$57+J44*Assumptions!$C$58</f>
        <v>0</v>
      </c>
      <c r="K57" s="25" t="n">
        <f aca="false">K18*Assumptions!$C$56+K31*Assumptions!$C$57+K44*Assumptions!$C$58</f>
        <v>0</v>
      </c>
    </row>
    <row r="58" customFormat="false" ht="15" hidden="false" customHeight="false" outlineLevel="0" collapsed="false">
      <c r="A58" s="23" t="s">
        <v>325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customFormat="false" ht="15" hidden="false" customHeight="false" outlineLevel="0" collapsed="false">
      <c r="A59" s="3" t="s">
        <v>326</v>
      </c>
      <c r="C59" s="25" t="n">
        <f aca="false">SUMPRODUCT($G$18:$K$18,$G$17:$K$17-$G$23:$K$23+$G$22:$K$22)</f>
        <v>0</v>
      </c>
    </row>
    <row r="60" customFormat="false" ht="15" hidden="false" customHeight="false" outlineLevel="0" collapsed="false">
      <c r="A60" s="3" t="s">
        <v>327</v>
      </c>
      <c r="C60" s="25" t="n">
        <f aca="false">SUMPRODUCT($G$18:$K$18,$G$25:$K$25)</f>
        <v>0</v>
      </c>
    </row>
    <row r="61" customFormat="false" ht="15" hidden="false" customHeight="false" outlineLevel="0" collapsed="false">
      <c r="A61" s="3" t="s">
        <v>328</v>
      </c>
      <c r="C61" s="3" t="str">
        <f aca="false">IF(SUM($G$18:$K$18)=0,"n/a (beyond horizon)",IF(SUMPRODUCT($G$18:$K$18,$G$15:$K$15)&gt;0,"REFINANCING PASS","REFINANCING FAILURE"))</f>
        <v>n/a (beyond horizon)</v>
      </c>
    </row>
    <row r="62" customFormat="false" ht="15" hidden="false" customHeight="false" outlineLevel="0" collapsed="false">
      <c r="A62" s="3" t="s">
        <v>329</v>
      </c>
      <c r="C62" s="3" t="str">
        <f aca="false">IF(SUM($G$18:$K$18)=0,"n/a",IF(C60&gt;=C59-0.001,"Repaid from cash",IF(SUMPRODUCT($G$18:$K$18,$G$15:$K$15)&gt;0,IF(C60&gt;0,"Partly repaid; remainder refinanced","Refinanced"),IF(SUM($G$27:$K$27)&gt;0.001,IF(C60&gt;0,"Partial repayment; PAYMENT DEFAULT","PAYMENT DEFAULT"),"Repaid from cash"))))</f>
        <v>n/a</v>
      </c>
    </row>
    <row r="63" customFormat="false" ht="15" hidden="false" customHeight="false" outlineLevel="0" collapsed="false">
      <c r="A63" s="3" t="s">
        <v>330</v>
      </c>
      <c r="C63" s="25" t="n">
        <f aca="false">SUMPRODUCT($G$31:$K$31,$G$30:$K$30-$G$36:$K$36+$G$35:$K$35)</f>
        <v>276.706</v>
      </c>
    </row>
    <row r="64" customFormat="false" ht="15" hidden="false" customHeight="false" outlineLevel="0" collapsed="false">
      <c r="A64" s="3" t="s">
        <v>331</v>
      </c>
      <c r="C64" s="25" t="n">
        <f aca="false">SUMPRODUCT($G$31:$K$31,$G$38:$K$38)</f>
        <v>276.706</v>
      </c>
    </row>
    <row r="65" customFormat="false" ht="15" hidden="false" customHeight="false" outlineLevel="0" collapsed="false">
      <c r="A65" s="3" t="s">
        <v>332</v>
      </c>
      <c r="C65" s="3" t="str">
        <f aca="false">IF(SUM($G$31:$K$31)=0,"n/a (beyond horizon)",IF(SUMPRODUCT($G$31:$K$31,$G$15:$K$15)&gt;0,"REFINANCING PASS","REFINANCING FAILURE"))</f>
        <v>REFINANCING FAILURE</v>
      </c>
    </row>
    <row r="66" customFormat="false" ht="15" hidden="false" customHeight="false" outlineLevel="0" collapsed="false">
      <c r="A66" s="3" t="s">
        <v>333</v>
      </c>
      <c r="C66" s="3" t="str">
        <f aca="false">IF(SUM($G$31:$K$31)=0,"n/a",IF(C64&gt;=C63-0.001,"Repaid from cash",IF(SUMPRODUCT($G$31:$K$31,$G$15:$K$15)&gt;0,IF(C64&gt;0,"Partly repaid; remainder refinanced","Refinanced"),IF(SUM($G$40:$K$40)&gt;0.001,IF(C64&gt;0,"Partial repayment; PAYMENT DEFAULT","PAYMENT DEFAULT"),"Repaid from cash"))))</f>
        <v>Repaid from cash</v>
      </c>
    </row>
    <row r="67" customFormat="false" ht="15" hidden="false" customHeight="false" outlineLevel="0" collapsed="false">
      <c r="A67" s="3" t="s">
        <v>334</v>
      </c>
      <c r="C67" s="25" t="n">
        <f aca="false">SUMPRODUCT($G$44:$K$44,$G$43:$K$43-$G$49:$K$49+$G$48:$K$48)</f>
        <v>143.75</v>
      </c>
    </row>
    <row r="68" customFormat="false" ht="15" hidden="false" customHeight="false" outlineLevel="0" collapsed="false">
      <c r="A68" s="3" t="s">
        <v>335</v>
      </c>
      <c r="C68" s="25" t="n">
        <f aca="false">SUMPRODUCT($G$44:$K$44,$G$51:$K$51)</f>
        <v>143.75</v>
      </c>
    </row>
    <row r="69" customFormat="false" ht="15" hidden="false" customHeight="false" outlineLevel="0" collapsed="false">
      <c r="A69" s="3" t="s">
        <v>336</v>
      </c>
      <c r="C69" s="3" t="str">
        <f aca="false">IF(SUM($G$44:$K$44)=0,"n/a (beyond horizon)",IF(SUMPRODUCT($G$44:$K$44,$G$15:$K$15)&gt;0,"REFINANCING PASS","REFINANCING FAILURE"))</f>
        <v>REFINANCING FAILURE</v>
      </c>
    </row>
    <row r="70" customFormat="false" ht="15" hidden="false" customHeight="false" outlineLevel="0" collapsed="false">
      <c r="A70" s="3" t="s">
        <v>337</v>
      </c>
      <c r="C70" s="3" t="str">
        <f aca="false">IF(SUM($G$44:$K$44)=0,"n/a",IF(C68&gt;=C67-0.001,"Repaid from cash",IF(SUMPRODUCT($G$44:$K$44,$G$15:$K$15)&gt;0,IF(C68&gt;0,"Partly repaid; remainder refinanced","Refinanced"),IF(SUM($G$53:$K$53)&gt;0.001,IF(C68&gt;0,"Partial repayment; PAYMENT DEFAULT","PAYMENT DEFAULT"),"Repaid from cash"))))</f>
        <v>Repaid from cash</v>
      </c>
    </row>
    <row r="71" customFormat="false" ht="15" hidden="false" customHeight="false" outlineLevel="0" collapsed="false">
      <c r="A71" s="3" t="s">
        <v>338</v>
      </c>
      <c r="C71" s="20" t="n">
        <f aca="false">IF(C61="REFINANCING FAILURE",1,0)+IF(C65="REFINANCING FAILURE",1,0)+IF(C69="REFINANCING FAILURE",1,0)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339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217</v>
      </c>
      <c r="D4" s="7" t="s">
        <v>218</v>
      </c>
      <c r="E4" s="7" t="s">
        <v>219</v>
      </c>
      <c r="F4" s="7" t="s">
        <v>222</v>
      </c>
      <c r="G4" s="7" t="s">
        <v>276</v>
      </c>
      <c r="H4" s="7" t="s">
        <v>277</v>
      </c>
      <c r="I4" s="7" t="s">
        <v>278</v>
      </c>
      <c r="J4" s="7" t="s">
        <v>279</v>
      </c>
      <c r="K4" s="7" t="s">
        <v>280</v>
      </c>
    </row>
    <row r="6" customFormat="false" ht="15" hidden="false" customHeight="false" outlineLevel="0" collapsed="false">
      <c r="A6" s="23" t="s">
        <v>340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305</v>
      </c>
      <c r="G7" s="25" t="n">
        <f aca="false">F19</f>
        <v>463.996</v>
      </c>
      <c r="H7" s="25" t="n">
        <f aca="false">G19</f>
        <v>518.82154744</v>
      </c>
      <c r="I7" s="25" t="n">
        <f aca="false">H19</f>
        <v>539.6742833632</v>
      </c>
      <c r="J7" s="25" t="n">
        <f aca="false">I19</f>
        <v>120.430022671888</v>
      </c>
      <c r="K7" s="25" t="n">
        <f aca="false">J19</f>
        <v>123.071896868977</v>
      </c>
    </row>
    <row r="8" customFormat="false" ht="15" hidden="false" customHeight="false" outlineLevel="0" collapsed="false">
      <c r="A8" s="3" t="s">
        <v>341</v>
      </c>
      <c r="G8" s="29" t="n">
        <f aca="false">'Operating Model'!G30</f>
        <v>54.8255474399999</v>
      </c>
      <c r="H8" s="29" t="n">
        <f aca="false">'Operating Model'!H30</f>
        <v>20.8527359232</v>
      </c>
      <c r="I8" s="29" t="n">
        <f aca="false">'Operating Model'!I30</f>
        <v>1.21173930868796</v>
      </c>
      <c r="J8" s="29" t="n">
        <f aca="false">'Operating Model'!J30</f>
        <v>2.6418741970896</v>
      </c>
      <c r="K8" s="29" t="n">
        <f aca="false">'Operating Model'!K30</f>
        <v>-4.39448401276491</v>
      </c>
    </row>
    <row r="9" customFormat="false" ht="15" hidden="false" customHeight="false" outlineLevel="0" collapsed="false">
      <c r="A9" s="3" t="s">
        <v>342</v>
      </c>
      <c r="G9" s="25" t="n">
        <f aca="false">CHOOSE(Assumptions!$C$10,Assumptions!$G$74,Assumptions!$G$93,Assumptions!$G$112)</f>
        <v>0</v>
      </c>
      <c r="H9" s="25" t="n">
        <f aca="false">CHOOSE(Assumptions!$C$10,Assumptions!$H$74,Assumptions!$H$93,Assumptions!$H$112)</f>
        <v>0</v>
      </c>
      <c r="I9" s="25" t="n">
        <f aca="false">CHOOSE(Assumptions!$C$10,Assumptions!$I$74,Assumptions!$I$93,Assumptions!$I$112)</f>
        <v>0</v>
      </c>
      <c r="J9" s="25" t="n">
        <f aca="false">CHOOSE(Assumptions!$C$10,Assumptions!$J$74,Assumptions!$J$93,Assumptions!$J$112)</f>
        <v>0</v>
      </c>
      <c r="K9" s="25" t="n">
        <f aca="false">CHOOSE(Assumptions!$C$10,Assumptions!$K$74,Assumptions!$K$93,Assumptions!$K$112)</f>
        <v>0</v>
      </c>
    </row>
    <row r="10" customFormat="false" ht="15" hidden="false" customHeight="false" outlineLevel="0" collapsed="false">
      <c r="A10" s="3" t="s">
        <v>343</v>
      </c>
      <c r="G10" s="25" t="n">
        <f aca="false">'Debt Schedule'!G23+'Debt Schedule'!G36+'Debt Schedule'!G49</f>
        <v>0</v>
      </c>
      <c r="H10" s="25" t="n">
        <f aca="false">'Debt Schedule'!H23+'Debt Schedule'!H36+'Debt Schedule'!H49</f>
        <v>0</v>
      </c>
      <c r="I10" s="25" t="n">
        <f aca="false">'Debt Schedule'!I23+'Debt Schedule'!I36+'Debt Schedule'!I49</f>
        <v>0</v>
      </c>
      <c r="J10" s="25" t="n">
        <f aca="false">'Debt Schedule'!J23+'Debt Schedule'!J36+'Debt Schedule'!J49</f>
        <v>0</v>
      </c>
      <c r="K10" s="25" t="n">
        <f aca="false">'Debt Schedule'!K23+'Debt Schedule'!K36+'Debt Schedule'!K49</f>
        <v>0</v>
      </c>
    </row>
    <row r="11" customFormat="false" ht="15" hidden="false" customHeight="false" outlineLevel="0" collapsed="false">
      <c r="A11" s="2" t="s">
        <v>344</v>
      </c>
      <c r="G11" s="16" t="n">
        <f aca="false">G7+G8+G9-G10</f>
        <v>518.82154744</v>
      </c>
      <c r="H11" s="16" t="n">
        <f aca="false">H7+H8+H9-H10</f>
        <v>539.6742833632</v>
      </c>
      <c r="I11" s="16" t="n">
        <f aca="false">I7+I8+I9-I10</f>
        <v>540.886022671888</v>
      </c>
      <c r="J11" s="16" t="n">
        <f aca="false">J7+J8+J9-J10</f>
        <v>123.071896868977</v>
      </c>
      <c r="K11" s="16" t="n">
        <f aca="false">K7+K8+K9-K10</f>
        <v>118.677412856212</v>
      </c>
    </row>
    <row r="12" customFormat="false" ht="15" hidden="false" customHeight="false" outlineLevel="0" collapsed="false">
      <c r="A12" s="3" t="s">
        <v>345</v>
      </c>
      <c r="G12" s="25" t="n">
        <f aca="false">'Debt Schedule'!G24+'Debt Schedule'!G37+'Debt Schedule'!G50</f>
        <v>0</v>
      </c>
      <c r="H12" s="25" t="n">
        <f aca="false">'Debt Schedule'!H24+'Debt Schedule'!H37+'Debt Schedule'!H50</f>
        <v>0</v>
      </c>
      <c r="I12" s="25" t="n">
        <f aca="false">'Debt Schedule'!I24+'Debt Schedule'!I37+'Debt Schedule'!I50</f>
        <v>0</v>
      </c>
      <c r="J12" s="25" t="n">
        <f aca="false">'Debt Schedule'!J24+'Debt Schedule'!J37+'Debt Schedule'!J50</f>
        <v>0</v>
      </c>
      <c r="K12" s="25" t="n">
        <f aca="false">'Debt Schedule'!K24+'Debt Schedule'!K37+'Debt Schedule'!K50</f>
        <v>0</v>
      </c>
    </row>
    <row r="13" customFormat="false" ht="15" hidden="false" customHeight="false" outlineLevel="0" collapsed="false">
      <c r="A13" s="2" t="s">
        <v>346</v>
      </c>
      <c r="G13" s="16" t="n">
        <f aca="false">G11+G12</f>
        <v>518.82154744</v>
      </c>
      <c r="H13" s="16" t="n">
        <f aca="false">H11+H12</f>
        <v>539.6742833632</v>
      </c>
      <c r="I13" s="16" t="n">
        <f aca="false">I11+I12</f>
        <v>540.886022671888</v>
      </c>
      <c r="J13" s="16" t="n">
        <f aca="false">J11+J12</f>
        <v>123.071896868977</v>
      </c>
      <c r="K13" s="16" t="n">
        <f aca="false">K11+K12</f>
        <v>118.677412856212</v>
      </c>
    </row>
    <row r="14" customFormat="false" ht="15" hidden="false" customHeight="false" outlineLevel="0" collapsed="false">
      <c r="A14" s="3" t="s">
        <v>347</v>
      </c>
      <c r="G14" s="25" t="n">
        <f aca="false">'Debt Schedule'!G25+'Debt Schedule'!G38+'Debt Schedule'!G51</f>
        <v>0</v>
      </c>
      <c r="H14" s="25" t="n">
        <f aca="false">'Debt Schedule'!H25+'Debt Schedule'!H38+'Debt Schedule'!H51</f>
        <v>0</v>
      </c>
      <c r="I14" s="25" t="n">
        <f aca="false">'Debt Schedule'!I25+'Debt Schedule'!I38+'Debt Schedule'!I51</f>
        <v>420.456</v>
      </c>
      <c r="J14" s="25" t="n">
        <f aca="false">'Debt Schedule'!J25+'Debt Schedule'!J38+'Debt Schedule'!J51</f>
        <v>0</v>
      </c>
      <c r="K14" s="25" t="n">
        <f aca="false">'Debt Schedule'!K25+'Debt Schedule'!K38+'Debt Schedule'!K51</f>
        <v>0</v>
      </c>
    </row>
    <row r="15" customFormat="false" ht="15" hidden="false" customHeight="false" outlineLevel="0" collapsed="false">
      <c r="A15" s="2" t="s">
        <v>348</v>
      </c>
      <c r="G15" s="16" t="n">
        <f aca="false">G13-G14</f>
        <v>518.82154744</v>
      </c>
      <c r="H15" s="16" t="n">
        <f aca="false">H13-H14</f>
        <v>539.6742833632</v>
      </c>
      <c r="I15" s="16" t="n">
        <f aca="false">I13-I14</f>
        <v>120.430022671888</v>
      </c>
      <c r="J15" s="16" t="n">
        <f aca="false">J13-J14</f>
        <v>123.071896868977</v>
      </c>
      <c r="K15" s="16" t="n">
        <f aca="false">K13-K14</f>
        <v>118.677412856212</v>
      </c>
    </row>
    <row r="16" customFormat="false" ht="15" hidden="false" customHeight="false" outlineLevel="0" collapsed="false">
      <c r="A16" s="3" t="s">
        <v>349</v>
      </c>
      <c r="G16" s="25" t="n">
        <f aca="false">MAX(0,-G15)</f>
        <v>0</v>
      </c>
      <c r="H16" s="25" t="n">
        <f aca="false">MAX(0,-H15)</f>
        <v>0</v>
      </c>
      <c r="I16" s="25" t="n">
        <f aca="false">MAX(0,-I15)</f>
        <v>0</v>
      </c>
      <c r="J16" s="25" t="n">
        <f aca="false">MAX(0,-J15)</f>
        <v>0</v>
      </c>
      <c r="K16" s="25" t="n">
        <f aca="false">MAX(0,-K15)</f>
        <v>0</v>
      </c>
    </row>
    <row r="17" customFormat="false" ht="15" hidden="false" customHeight="false" outlineLevel="0" collapsed="false">
      <c r="A17" s="3" t="s">
        <v>350</v>
      </c>
      <c r="G17" s="25" t="n">
        <f aca="false">MAX(0,G15-Assumptions!$C$12)*Assumptions!$C$13</f>
        <v>0</v>
      </c>
      <c r="H17" s="25" t="n">
        <f aca="false">MAX(0,H15-Assumptions!$C$12)*Assumptions!$C$13</f>
        <v>0</v>
      </c>
      <c r="I17" s="25" t="n">
        <f aca="false">MAX(0,I15-Assumptions!$C$12)*Assumptions!$C$13</f>
        <v>0</v>
      </c>
      <c r="J17" s="25" t="n">
        <f aca="false">MAX(0,J15-Assumptions!$C$12)*Assumptions!$C$13</f>
        <v>0</v>
      </c>
      <c r="K17" s="25" t="n">
        <f aca="false">MAX(0,K15-Assumptions!$C$12)*Assumptions!$C$13</f>
        <v>0</v>
      </c>
    </row>
    <row r="18" customFormat="false" ht="15" hidden="false" customHeight="false" outlineLevel="0" collapsed="false">
      <c r="A18" s="3" t="s">
        <v>351</v>
      </c>
      <c r="G18" s="25" t="n">
        <f aca="false">'Debt Schedule'!G26+'Debt Schedule'!G39+'Debt Schedule'!G52</f>
        <v>0</v>
      </c>
      <c r="H18" s="25" t="n">
        <f aca="false">'Debt Schedule'!H26+'Debt Schedule'!H39+'Debt Schedule'!H52</f>
        <v>0</v>
      </c>
      <c r="I18" s="25" t="n">
        <f aca="false">'Debt Schedule'!I26+'Debt Schedule'!I39+'Debt Schedule'!I52</f>
        <v>0</v>
      </c>
      <c r="J18" s="25" t="n">
        <f aca="false">'Debt Schedule'!J26+'Debt Schedule'!J39+'Debt Schedule'!J52</f>
        <v>0</v>
      </c>
      <c r="K18" s="25" t="n">
        <f aca="false">'Debt Schedule'!K26+'Debt Schedule'!K39+'Debt Schedule'!K52</f>
        <v>0</v>
      </c>
    </row>
    <row r="19" customFormat="false" ht="15" hidden="false" customHeight="false" outlineLevel="0" collapsed="false">
      <c r="A19" s="2" t="s">
        <v>352</v>
      </c>
      <c r="F19" s="28" t="n">
        <f aca="false">Assumptions!$C$11</f>
        <v>463.996</v>
      </c>
      <c r="G19" s="16" t="n">
        <f aca="false">G15-G18</f>
        <v>518.82154744</v>
      </c>
      <c r="H19" s="16" t="n">
        <f aca="false">H15-H18</f>
        <v>539.6742833632</v>
      </c>
      <c r="I19" s="16" t="n">
        <f aca="false">I15-I18</f>
        <v>120.430022671888</v>
      </c>
      <c r="J19" s="16" t="n">
        <f aca="false">J15-J18</f>
        <v>123.071896868977</v>
      </c>
      <c r="K19" s="16" t="n">
        <f aca="false">K15-K18</f>
        <v>118.677412856212</v>
      </c>
    </row>
    <row r="20" customFormat="false" ht="15" hidden="false" customHeight="false" outlineLevel="0" collapsed="false">
      <c r="A20" s="3" t="s">
        <v>353</v>
      </c>
      <c r="G20" s="25" t="n">
        <f aca="false">'Debt Schedule'!G27+'Debt Schedule'!G40+'Debt Schedule'!G53</f>
        <v>0</v>
      </c>
      <c r="H20" s="25" t="n">
        <f aca="false">'Debt Schedule'!H27+'Debt Schedule'!H40+'Debt Schedule'!H53</f>
        <v>0</v>
      </c>
      <c r="I20" s="25" t="n">
        <f aca="false">'Debt Schedule'!I27+'Debt Schedule'!I40+'Debt Schedule'!I53</f>
        <v>0</v>
      </c>
      <c r="J20" s="25" t="n">
        <f aca="false">'Debt Schedule'!J27+'Debt Schedule'!J40+'Debt Schedule'!J53</f>
        <v>0</v>
      </c>
      <c r="K20" s="25" t="n">
        <f aca="false">'Debt Schedule'!K27+'Debt Schedule'!K40+'Debt Schedule'!K53</f>
        <v>0</v>
      </c>
    </row>
    <row r="21" customFormat="false" ht="15" hidden="false" customHeight="false" outlineLevel="0" collapsed="false">
      <c r="A21" s="3" t="s">
        <v>354</v>
      </c>
      <c r="G21" s="20" t="n">
        <f aca="false">IF(OR(G16&gt;0.001,G20&gt;0.001),1,0)</f>
        <v>0</v>
      </c>
      <c r="H21" s="20" t="n">
        <f aca="false">IF(OR(H16&gt;0.001,H20&gt;0.001),1,0)</f>
        <v>0</v>
      </c>
      <c r="I21" s="20" t="n">
        <f aca="false">IF(OR(I16&gt;0.001,I20&gt;0.001),1,0)</f>
        <v>0</v>
      </c>
      <c r="J21" s="20" t="n">
        <f aca="false">IF(OR(J16&gt;0.001,J20&gt;0.001),1,0)</f>
        <v>0</v>
      </c>
      <c r="K21" s="20" t="n">
        <f aca="false">IF(OR(K16&gt;0.001,K20&gt;0.001),1,0)</f>
        <v>0</v>
      </c>
    </row>
    <row r="22" customFormat="false" ht="15" hidden="false" customHeight="false" outlineLevel="0" collapsed="false">
      <c r="A22" s="3" t="s">
        <v>355</v>
      </c>
      <c r="G22" s="20" t="n">
        <f aca="false">IF(G21=1,1,0)</f>
        <v>0</v>
      </c>
      <c r="H22" s="20" t="n">
        <f aca="false">IF(AND(H21=1,SUM($G$21:G21)=0),1,0)</f>
        <v>0</v>
      </c>
      <c r="I22" s="20" t="n">
        <f aca="false">IF(AND(I21=1,SUM($G$21:H21)=0),1,0)</f>
        <v>0</v>
      </c>
      <c r="J22" s="20" t="n">
        <f aca="false">IF(AND(J21=1,SUM($G$21:I21)=0),1,0)</f>
        <v>0</v>
      </c>
      <c r="K22" s="20" t="n">
        <f aca="false">IF(AND(K21=1,SUM($G$21:J21)=0),1,0)</f>
        <v>0</v>
      </c>
    </row>
    <row r="23" customFormat="false" ht="15" hidden="false" customHeight="false" outlineLevel="0" collapsed="false">
      <c r="A23" s="3" t="s">
        <v>356</v>
      </c>
      <c r="G23" s="25" t="n">
        <f aca="false">('Debt Schedule'!G56-'Debt Schedule'!F56)-(G12+'Operating Model'!G22-G10-G14-G18)</f>
        <v>0</v>
      </c>
      <c r="H23" s="25" t="n">
        <f aca="false">('Debt Schedule'!H56-'Debt Schedule'!G56)-(H12+'Operating Model'!H22-H10-H14-H18)</f>
        <v>0</v>
      </c>
      <c r="I23" s="25" t="n">
        <f aca="false">('Debt Schedule'!I56-'Debt Schedule'!H56)-(I12+'Operating Model'!I22-I10-I14-I18)</f>
        <v>0</v>
      </c>
      <c r="J23" s="25" t="n">
        <f aca="false">('Debt Schedule'!J56-'Debt Schedule'!I56)-(J12+'Operating Model'!J22-J10-J14-J18)</f>
        <v>0</v>
      </c>
      <c r="K23" s="25" t="n">
        <f aca="false">('Debt Schedule'!K56-'Debt Schedule'!J56)-(K12+'Operating Model'!K22-K10-K14-K18)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8" min="3" style="0" width="1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217</v>
      </c>
      <c r="D4" s="7" t="s">
        <v>218</v>
      </c>
      <c r="E4" s="7" t="s">
        <v>219</v>
      </c>
      <c r="F4" s="7" t="s">
        <v>222</v>
      </c>
      <c r="G4" s="7" t="s">
        <v>276</v>
      </c>
      <c r="H4" s="7" t="s">
        <v>277</v>
      </c>
      <c r="I4" s="7" t="s">
        <v>278</v>
      </c>
      <c r="J4" s="7" t="s">
        <v>279</v>
      </c>
      <c r="K4" s="7" t="s">
        <v>280</v>
      </c>
    </row>
    <row r="6" customFormat="false" ht="15" hidden="false" customHeight="false" outlineLevel="0" collapsed="false">
      <c r="A6" s="23" t="s">
        <v>358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359</v>
      </c>
      <c r="F7" s="29" t="n">
        <f aca="false">'Debt Schedule'!F56</f>
        <v>1735.554</v>
      </c>
      <c r="G7" s="29" t="n">
        <f aca="false">'Debt Schedule'!G56</f>
        <v>1735.554</v>
      </c>
      <c r="H7" s="29" t="n">
        <f aca="false">'Debt Schedule'!H56</f>
        <v>1735.554</v>
      </c>
      <c r="I7" s="29" t="n">
        <f aca="false">'Debt Schedule'!I56</f>
        <v>1315.098</v>
      </c>
      <c r="J7" s="29" t="n">
        <f aca="false">'Debt Schedule'!J56</f>
        <v>1315.098</v>
      </c>
      <c r="K7" s="29" t="n">
        <f aca="false">'Debt Schedule'!K56</f>
        <v>1315.098</v>
      </c>
    </row>
    <row r="8" customFormat="false" ht="15" hidden="false" customHeight="false" outlineLevel="0" collapsed="false">
      <c r="A8" s="3" t="s">
        <v>360</v>
      </c>
      <c r="F8" s="25" t="n">
        <f aca="false">Assumptions!$O$56*'Debt Schedule'!F28+Assumptions!$O$57*'Debt Schedule'!F41+Assumptions!$O$58*'Debt Schedule'!F54</f>
        <v>1315.098</v>
      </c>
      <c r="G8" s="25" t="n">
        <f aca="false">Assumptions!$O$56*'Debt Schedule'!G28+Assumptions!$O$57*'Debt Schedule'!G41+Assumptions!$O$58*'Debt Schedule'!G54</f>
        <v>1315.098</v>
      </c>
      <c r="H8" s="25" t="n">
        <f aca="false">Assumptions!$O$56*'Debt Schedule'!H28+Assumptions!$O$57*'Debt Schedule'!H41+Assumptions!$O$58*'Debt Schedule'!H54</f>
        <v>1315.098</v>
      </c>
      <c r="I8" s="25" t="n">
        <f aca="false">Assumptions!$O$56*'Debt Schedule'!I28+Assumptions!$O$57*'Debt Schedule'!I41+Assumptions!$O$58*'Debt Schedule'!I54</f>
        <v>1315.098</v>
      </c>
      <c r="J8" s="25" t="n">
        <f aca="false">Assumptions!$O$56*'Debt Schedule'!J28+Assumptions!$O$57*'Debt Schedule'!J41+Assumptions!$O$58*'Debt Schedule'!J54</f>
        <v>1315.098</v>
      </c>
      <c r="K8" s="25" t="n">
        <f aca="false">Assumptions!$O$56*'Debt Schedule'!K28+Assumptions!$O$57*'Debt Schedule'!K41+Assumptions!$O$58*'Debt Schedule'!K54</f>
        <v>1315.098</v>
      </c>
    </row>
    <row r="9" customFormat="false" ht="15" hidden="false" customHeight="false" outlineLevel="0" collapsed="false">
      <c r="A9" s="3" t="s">
        <v>361</v>
      </c>
      <c r="F9" s="25" t="n">
        <f aca="false">F7-'Cash Flow'!F19</f>
        <v>1271.558</v>
      </c>
      <c r="G9" s="25" t="n">
        <f aca="false">G7-'Cash Flow'!G19</f>
        <v>1216.73245256</v>
      </c>
      <c r="H9" s="25" t="n">
        <f aca="false">H7-'Cash Flow'!H19</f>
        <v>1195.8797166368</v>
      </c>
      <c r="I9" s="25" t="n">
        <f aca="false">I7-'Cash Flow'!I19</f>
        <v>1194.66797732811</v>
      </c>
      <c r="J9" s="25" t="n">
        <f aca="false">J7-'Cash Flow'!J19</f>
        <v>1192.02610313102</v>
      </c>
      <c r="K9" s="25" t="n">
        <f aca="false">K7-'Cash Flow'!K19</f>
        <v>1196.42058714379</v>
      </c>
    </row>
    <row r="10" customFormat="false" ht="15" hidden="false" customHeight="false" outlineLevel="0" collapsed="false">
      <c r="A10" s="3" t="s">
        <v>362</v>
      </c>
      <c r="F10" s="32" t="n">
        <f aca="false">IF('Operating Model'!F17&gt;0,F7/'Operating Model'!F17,0)</f>
        <v>5.54410388282835</v>
      </c>
      <c r="G10" s="32" t="n">
        <f aca="false">IF('Operating Model'!G17&gt;0,G7/'Operating Model'!G17,0)</f>
        <v>6.99885842190068</v>
      </c>
      <c r="H10" s="32" t="n">
        <f aca="false">IF('Operating Model'!H17&gt;0,H7/'Operating Model'!H17,0)</f>
        <v>8.20980460047</v>
      </c>
      <c r="I10" s="32" t="n">
        <f aca="false">IF('Operating Model'!I17&gt;0,I7/'Operating Model'!I17,0)</f>
        <v>6.93311397368161</v>
      </c>
      <c r="J10" s="32" t="n">
        <f aca="false">IF('Operating Model'!J17&gt;0,J7/'Operating Model'!J17,0)</f>
        <v>7.66291544459547</v>
      </c>
      <c r="K10" s="32" t="n">
        <f aca="false">IF('Operating Model'!K17&gt;0,K7/'Operating Model'!K17,0)</f>
        <v>8.0662267837847</v>
      </c>
    </row>
    <row r="11" customFormat="false" ht="15" hidden="false" customHeight="false" outlineLevel="0" collapsed="false">
      <c r="A11" s="3" t="s">
        <v>363</v>
      </c>
      <c r="F11" s="32" t="n">
        <f aca="false">IF('Operating Model'!F17&gt;0,F9/'Operating Model'!F17,0)</f>
        <v>4.06190164353368</v>
      </c>
      <c r="G11" s="32" t="n">
        <f aca="false">IF('Operating Model'!G17&gt;0,G9/'Operating Model'!G17,0)</f>
        <v>4.9066397085884</v>
      </c>
      <c r="H11" s="32" t="n">
        <f aca="false">IF('Operating Model'!H17&gt;0,H9/'Operating Model'!H17,0)</f>
        <v>5.65694804036842</v>
      </c>
      <c r="I11" s="32" t="n">
        <f aca="false">IF('Operating Model'!I17&gt;0,I9/'Operating Model'!I17,0)</f>
        <v>6.29821446578391</v>
      </c>
      <c r="J11" s="32" t="n">
        <f aca="false">IF('Operating Model'!J17&gt;0,J9/'Operating Model'!J17,0)</f>
        <v>6.94579053123316</v>
      </c>
      <c r="K11" s="32" t="n">
        <f aca="false">IF('Operating Model'!K17&gt;0,K9/'Operating Model'!K17,0)</f>
        <v>7.33831226622703</v>
      </c>
    </row>
    <row r="12" customFormat="false" ht="15" hidden="false" customHeight="false" outlineLevel="0" collapsed="false">
      <c r="A12" s="3" t="s">
        <v>364</v>
      </c>
      <c r="F12" s="32" t="n">
        <f aca="false">IF('Operating Model'!F23&gt;0,'Operating Model'!F17/'Operating Model'!F23,0)</f>
        <v>1.83590107499135</v>
      </c>
      <c r="G12" s="32" t="n">
        <f aca="false">IF('Operating Model'!G21&gt;0,'Operating Model'!G17/'Operating Model'!G21,0)</f>
        <v>1.59005643370602</v>
      </c>
      <c r="H12" s="32" t="n">
        <f aca="false">IF('Operating Model'!H21&gt;0,'Operating Model'!H17/'Operating Model'!H21,0)</f>
        <v>1.35552310973439</v>
      </c>
      <c r="I12" s="32" t="n">
        <f aca="false">IF('Operating Model'!I21&gt;0,'Operating Model'!I17/'Operating Model'!I21,0)</f>
        <v>1.21627391755258</v>
      </c>
      <c r="J12" s="32" t="n">
        <f aca="false">IF('Operating Model'!J21&gt;0,'Operating Model'!J17/'Operating Model'!J21,0)</f>
        <v>1.24284413584734</v>
      </c>
      <c r="K12" s="32" t="n">
        <f aca="false">IF('Operating Model'!K21&gt;0,'Operating Model'!K17/'Operating Model'!K21,0)</f>
        <v>1.18070192905498</v>
      </c>
    </row>
    <row r="13" customFormat="false" ht="15" hidden="false" customHeight="false" outlineLevel="0" collapsed="false">
      <c r="A13" s="3" t="s">
        <v>365</v>
      </c>
      <c r="F13" s="32" t="n">
        <f aca="false">IF('Operating Model'!F23&gt;0,'Operating Model'!F20/'Operating Model'!F23,0)</f>
        <v>1.19282987220916</v>
      </c>
      <c r="G13" s="32" t="n">
        <f aca="false">IF('Operating Model'!G21&gt;0,'Operating Model'!G20/'Operating Model'!G21,0)</f>
        <v>0.943202831951104</v>
      </c>
      <c r="H13" s="32" t="n">
        <f aca="false">IF('Operating Model'!H21&gt;0,'Operating Model'!H20/'Operating Model'!H21,0)</f>
        <v>0.75394926010231</v>
      </c>
      <c r="I13" s="32" t="n">
        <f aca="false">IF('Operating Model'!I21&gt;0,'Operating Model'!I20/'Operating Model'!I21,0)</f>
        <v>0.65079449889843</v>
      </c>
      <c r="J13" s="32" t="n">
        <f aca="false">IF('Operating Model'!J21&gt;0,'Operating Model'!J20/'Operating Model'!J21,0)</f>
        <v>0.636119854632452</v>
      </c>
      <c r="K13" s="32" t="n">
        <f aca="false">IF('Operating Model'!K21&gt;0,'Operating Model'!K20/'Operating Model'!K21,0)</f>
        <v>0.604313861900829</v>
      </c>
    </row>
    <row r="14" customFormat="false" ht="15" hidden="false" customHeight="false" outlineLevel="0" collapsed="false">
      <c r="A14" s="3" t="s">
        <v>198</v>
      </c>
      <c r="F14" s="21" t="n">
        <f aca="false">IF(F7&gt;0,'Operating Model'!F30/F7,0)</f>
        <v>0.109776474831668</v>
      </c>
      <c r="G14" s="21" t="n">
        <f aca="false">IF(G7&gt;0,'Operating Model'!G30/G7,0)</f>
        <v>0.0315896523185104</v>
      </c>
      <c r="H14" s="21" t="n">
        <f aca="false">IF(H7&gt;0,'Operating Model'!H30/H7,0)</f>
        <v>0.0120150314673009</v>
      </c>
      <c r="I14" s="21" t="n">
        <f aca="false">IF(I7&gt;0,'Operating Model'!I30/I7,0)</f>
        <v>0.000921406091932281</v>
      </c>
      <c r="J14" s="21" t="n">
        <f aca="false">IF(J7&gt;0,'Operating Model'!J30/J7,0)</f>
        <v>0.00200888009645638</v>
      </c>
      <c r="K14" s="21" t="n">
        <f aca="false">IF(K7&gt;0,'Operating Model'!K30/K7,0)</f>
        <v>-0.00334156390836645</v>
      </c>
    </row>
    <row r="15" customFormat="false" ht="15" hidden="false" customHeight="false" outlineLevel="0" collapsed="false">
      <c r="A15" s="3" t="s">
        <v>366</v>
      </c>
      <c r="G15" s="32" t="n">
        <f aca="false">IF('Operating Model'!G21+'Cash Flow'!G10&gt;0,('Operating Model'!G17-'Operating Model'!G28-'Operating Model'!G25)/('Operating Model'!G21+'Cash Flow'!G10),0)</f>
        <v>1.41780032005454</v>
      </c>
      <c r="H15" s="32" t="n">
        <f aca="false">IF('Operating Model'!H21+'Cash Flow'!H10&gt;0,('Operating Model'!H17-'Operating Model'!H28-'Operating Model'!H25)/('Operating Model'!H21+'Cash Flow'!H10),0)</f>
        <v>1.1953249240385</v>
      </c>
      <c r="I15" s="32" t="n">
        <f aca="false">IF('Operating Model'!I21+'Cash Flow'!I10&gt;0,('Operating Model'!I17-'Operating Model'!I28-'Operating Model'!I25)/('Operating Model'!I21+'Cash Flow'!I10),0)</f>
        <v>1.06568762299845</v>
      </c>
      <c r="J15" s="32" t="n">
        <f aca="false">IF('Operating Model'!J21+'Cash Flow'!J10&gt;0,('Operating Model'!J17-'Operating Model'!J28-'Operating Model'!J25)/('Operating Model'!J21+'Cash Flow'!J10),0)</f>
        <v>1.08127439818719</v>
      </c>
      <c r="K15" s="32" t="n">
        <f aca="false">IF('Operating Model'!K21+'Cash Flow'!K10&gt;0,('Operating Model'!K17-'Operating Model'!K28-'Operating Model'!K25)/('Operating Model'!K21+'Cash Flow'!K10),0)</f>
        <v>1.02721067827783</v>
      </c>
    </row>
    <row r="16" customFormat="false" ht="15" hidden="false" customHeight="false" outlineLevel="0" collapsed="false">
      <c r="A16" s="3" t="s">
        <v>367</v>
      </c>
      <c r="F16" s="25" t="n">
        <f aca="false">MAX(0,'Cash Flow'!F19)+Assumptions!$P$56*MAX(0,Assumptions!$D$56-'Debt Schedule'!F28)+Assumptions!$P$57*MAX(0,Assumptions!$D$57-'Debt Schedule'!F41)+Assumptions!$P$58*MAX(0,Assumptions!$D$58-'Debt Schedule'!F54)</f>
        <v>463.996</v>
      </c>
      <c r="G16" s="25" t="n">
        <f aca="false">MAX(0,'Cash Flow'!G19)+Assumptions!$P$56*MAX(0,Assumptions!$D$56-'Debt Schedule'!G28)+Assumptions!$P$57*MAX(0,Assumptions!$D$57-'Debt Schedule'!G41)+Assumptions!$P$58*MAX(0,Assumptions!$D$58-'Debt Schedule'!G54)</f>
        <v>518.82154744</v>
      </c>
      <c r="H16" s="25" t="n">
        <f aca="false">MAX(0,'Cash Flow'!H19)+Assumptions!$P$56*MAX(0,Assumptions!$D$56-'Debt Schedule'!H28)+Assumptions!$P$57*MAX(0,Assumptions!$D$57-'Debt Schedule'!H41)+Assumptions!$P$58*MAX(0,Assumptions!$D$58-'Debt Schedule'!H54)</f>
        <v>539.6742833632</v>
      </c>
      <c r="I16" s="25" t="n">
        <f aca="false">MAX(0,'Cash Flow'!I19)+Assumptions!$P$56*MAX(0,Assumptions!$D$56-'Debt Schedule'!I28)+Assumptions!$P$57*MAX(0,Assumptions!$D$57-'Debt Schedule'!I41)+Assumptions!$P$58*MAX(0,Assumptions!$D$58-'Debt Schedule'!I54)</f>
        <v>120.430022671888</v>
      </c>
      <c r="J16" s="25" t="n">
        <f aca="false">MAX(0,'Cash Flow'!J19)+Assumptions!$P$56*MAX(0,Assumptions!$D$56-'Debt Schedule'!J28)+Assumptions!$P$57*MAX(0,Assumptions!$D$57-'Debt Schedule'!J41)+Assumptions!$P$58*MAX(0,Assumptions!$D$58-'Debt Schedule'!J54)</f>
        <v>123.071896868977</v>
      </c>
      <c r="K16" s="25" t="n">
        <f aca="false">MAX(0,'Cash Flow'!K19)+Assumptions!$P$56*MAX(0,Assumptions!$D$56-'Debt Schedule'!K28)+Assumptions!$P$57*MAX(0,Assumptions!$D$57-'Debt Schedule'!K41)+Assumptions!$P$58*MAX(0,Assumptions!$D$58-'Debt Schedule'!K54)</f>
        <v>118.677412856212</v>
      </c>
    </row>
    <row r="17" customFormat="false" ht="15" hidden="false" customHeight="false" outlineLevel="0" collapsed="false">
      <c r="A17" s="3" t="s">
        <v>368</v>
      </c>
      <c r="G17" s="21" t="n">
        <f aca="false">IF(G7&gt;0,G7/(G7+MAX(0,'Operating Model'!G17*CHOOSE(Assumptions!$C$10,Assumptions!$C$82,Assumptions!$C$101,Assumptions!$C$120)-G9)),0)</f>
        <v>0.986836236277321</v>
      </c>
      <c r="H17" s="21" t="n">
        <f aca="false">IF(H7&gt;0,H7/(H7+MAX(0,'Operating Model'!H17*CHOOSE(Assumptions!$C$10,Assumptions!$C$82,Assumptions!$C$101,Assumptions!$C$120)-H9)),0)</f>
        <v>1</v>
      </c>
      <c r="I17" s="21" t="n">
        <f aca="false">IF(I7&gt;0,I7/(I7+MAX(0,'Operating Model'!I17*CHOOSE(Assumptions!$C$10,Assumptions!$C$82,Assumptions!$C$101,Assumptions!$C$120)-I9)),0)</f>
        <v>1</v>
      </c>
      <c r="J17" s="21" t="n">
        <f aca="false">IF(J7&gt;0,J7/(J7+MAX(0,'Operating Model'!J17*CHOOSE(Assumptions!$C$10,Assumptions!$C$82,Assumptions!$C$101,Assumptions!$C$120)-J9)),0)</f>
        <v>1</v>
      </c>
      <c r="K17" s="21" t="n">
        <f aca="false">IF(K7&gt;0,K7/(K7+MAX(0,'Operating Model'!K17*CHOOSE(Assumptions!$C$10,Assumptions!$C$82,Assumptions!$C$101,Assumptions!$C$120)-K9)),0)</f>
        <v>1</v>
      </c>
    </row>
    <row r="18" customFormat="false" ht="15" hidden="false" customHeight="false" outlineLevel="0" collapsed="false">
      <c r="A18" s="3" t="s">
        <v>369</v>
      </c>
      <c r="F18" s="21" t="n">
        <f aca="false">IF(F7&gt;0,MAX(0,'Cash Flow'!F19)/F7,0)</f>
        <v>0.267347486739105</v>
      </c>
      <c r="G18" s="21" t="n">
        <f aca="false">IF(G7&gt;0,MAX(0,'Cash Flow'!G19)/G7,0)</f>
        <v>0.298937139057615</v>
      </c>
      <c r="H18" s="21" t="n">
        <f aca="false">IF(H7&gt;0,MAX(0,'Cash Flow'!H19)/H7,0)</f>
        <v>0.310952170524916</v>
      </c>
      <c r="I18" s="21" t="n">
        <f aca="false">IF(I7&gt;0,MAX(0,'Cash Flow'!I19)/I7,0)</f>
        <v>0.0915749416939937</v>
      </c>
      <c r="J18" s="21" t="n">
        <f aca="false">IF(J7&gt;0,MAX(0,'Cash Flow'!J19)/J7,0)</f>
        <v>0.0935838217904501</v>
      </c>
      <c r="K18" s="21" t="n">
        <f aca="false">IF(K7&gt;0,MAX(0,'Cash Flow'!K19)/K7,0)</f>
        <v>0.0902422578820836</v>
      </c>
    </row>
    <row r="19" customFormat="false" ht="15" hidden="false" customHeight="false" outlineLevel="0" collapsed="false">
      <c r="A19" s="3" t="s">
        <v>370</v>
      </c>
      <c r="G19" s="25" t="n">
        <f aca="false">Assumptions!$C$30*(1-CHOOSE(Assumptions!$C$10,Assumptions!$C$85,Assumptions!$C$104,Assumptions!$C$123))</f>
        <v>2086.72535</v>
      </c>
      <c r="H19" s="25" t="n">
        <f aca="false">Assumptions!$C$30*(1-CHOOSE(Assumptions!$C$10,Assumptions!$C$85,Assumptions!$C$104,Assumptions!$C$123))</f>
        <v>2086.72535</v>
      </c>
      <c r="I19" s="25" t="n">
        <f aca="false">Assumptions!$C$30*(1-CHOOSE(Assumptions!$C$10,Assumptions!$C$85,Assumptions!$C$104,Assumptions!$C$123))</f>
        <v>2086.72535</v>
      </c>
      <c r="J19" s="25" t="n">
        <f aca="false">Assumptions!$C$30*(1-CHOOSE(Assumptions!$C$10,Assumptions!$C$85,Assumptions!$C$104,Assumptions!$C$123))</f>
        <v>2086.72535</v>
      </c>
      <c r="K19" s="25" t="n">
        <f aca="false">Assumptions!$C$30*(1-CHOOSE(Assumptions!$C$10,Assumptions!$C$85,Assumptions!$C$104,Assumptions!$C$123))</f>
        <v>2086.72535</v>
      </c>
    </row>
    <row r="20" customFormat="false" ht="15" hidden="false" customHeight="false" outlineLevel="0" collapsed="false">
      <c r="A20" s="23" t="s">
        <v>371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customFormat="false" ht="15" hidden="false" customHeight="false" outlineLevel="0" collapsed="false">
      <c r="A21" s="23" t="s">
        <v>372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customFormat="false" ht="15" hidden="false" customHeight="false" outlineLevel="0" collapsed="false">
      <c r="A22" s="3" t="s">
        <v>373</v>
      </c>
      <c r="G22" s="32" t="n">
        <f aca="false">IF('Operating Model'!G17&gt;0,G9/'Operating Model'!G17,99)</f>
        <v>4.9066397085884</v>
      </c>
      <c r="H22" s="32" t="n">
        <f aca="false">IF('Operating Model'!H17&gt;0,H9/'Operating Model'!H17,99)</f>
        <v>5.65694804036842</v>
      </c>
      <c r="I22" s="32" t="n">
        <f aca="false">IF('Operating Model'!I17&gt;0,I9/'Operating Model'!I17,99)</f>
        <v>6.29821446578391</v>
      </c>
      <c r="J22" s="32" t="n">
        <f aca="false">IF('Operating Model'!J17&gt;0,J9/'Operating Model'!J17,99)</f>
        <v>6.94579053123316</v>
      </c>
      <c r="K22" s="32" t="n">
        <f aca="false">IF('Operating Model'!K17&gt;0,K9/'Operating Model'!K17,99)</f>
        <v>7.33831226622703</v>
      </c>
    </row>
    <row r="23" customFormat="false" ht="15" hidden="false" customHeight="false" outlineLevel="0" collapsed="false">
      <c r="A23" s="3" t="s">
        <v>374</v>
      </c>
      <c r="G23" s="33" t="n">
        <f aca="false">Assumptions!$G$65</f>
        <v>5.25</v>
      </c>
      <c r="H23" s="33" t="n">
        <f aca="false">Assumptions!$H$65</f>
        <v>5.25</v>
      </c>
      <c r="I23" s="33" t="n">
        <f aca="false">Assumptions!$I$65</f>
        <v>5</v>
      </c>
      <c r="J23" s="33" t="n">
        <f aca="false">Assumptions!$J$65</f>
        <v>5</v>
      </c>
      <c r="K23" s="33" t="n">
        <f aca="false">Assumptions!$K$65</f>
        <v>5</v>
      </c>
    </row>
    <row r="24" customFormat="false" ht="15" hidden="false" customHeight="false" outlineLevel="0" collapsed="false">
      <c r="A24" s="3" t="s">
        <v>375</v>
      </c>
      <c r="G24" s="32" t="n">
        <f aca="false">G23-G22</f>
        <v>0.343360291411604</v>
      </c>
      <c r="H24" s="32" t="n">
        <f aca="false">H23-H22</f>
        <v>-0.406948040368418</v>
      </c>
      <c r="I24" s="32" t="n">
        <f aca="false">I23-I22</f>
        <v>-1.29821446578391</v>
      </c>
      <c r="J24" s="32" t="n">
        <f aca="false">J23-J22</f>
        <v>-1.94579053123316</v>
      </c>
      <c r="K24" s="32" t="n">
        <f aca="false">K23-K22</f>
        <v>-2.33831226622703</v>
      </c>
    </row>
    <row r="25" customFormat="false" ht="15" hidden="false" customHeight="false" outlineLevel="0" collapsed="false">
      <c r="A25" s="3" t="s">
        <v>376</v>
      </c>
      <c r="G25" s="21" t="n">
        <f aca="false">IF(G23=0,0,G24/ABS(G23))</f>
        <v>0.0654019602688769</v>
      </c>
      <c r="H25" s="21" t="n">
        <f aca="false">IF(H23=0,0,H24/ABS(H23))</f>
        <v>-0.0775139124511272</v>
      </c>
      <c r="I25" s="21" t="n">
        <f aca="false">IF(I23=0,0,I24/ABS(I23))</f>
        <v>-0.259642893156781</v>
      </c>
      <c r="J25" s="21" t="n">
        <f aca="false">IF(J23=0,0,J24/ABS(J23))</f>
        <v>-0.389158106246632</v>
      </c>
      <c r="K25" s="21" t="n">
        <f aca="false">IF(K23=0,0,K24/ABS(K23))</f>
        <v>-0.467662453245407</v>
      </c>
    </row>
    <row r="26" customFormat="false" ht="15" hidden="false" customHeight="false" outlineLevel="0" collapsed="false">
      <c r="A26" s="3" t="s">
        <v>377</v>
      </c>
      <c r="G26" s="20" t="n">
        <f aca="false">IF(G24&lt;0,1,0)</f>
        <v>0</v>
      </c>
      <c r="H26" s="20" t="n">
        <f aca="false">IF(H24&lt;0,1,0)</f>
        <v>1</v>
      </c>
      <c r="I26" s="20" t="n">
        <f aca="false">IF(I24&lt;0,1,0)</f>
        <v>1</v>
      </c>
      <c r="J26" s="20" t="n">
        <f aca="false">IF(J24&lt;0,1,0)</f>
        <v>1</v>
      </c>
      <c r="K26" s="20" t="n">
        <f aca="false">IF(K24&lt;0,1,0)</f>
        <v>1</v>
      </c>
    </row>
    <row r="27" customFormat="false" ht="15" hidden="false" customHeight="false" outlineLevel="0" collapsed="false">
      <c r="A27" s="3" t="s">
        <v>378</v>
      </c>
      <c r="C27" s="20" t="n">
        <f aca="false">IFERROR(INDEX('Operating Model'!$G$7:$K$7,MATCH(1,$G$26:$K$26,0)),0)</f>
        <v>2028</v>
      </c>
    </row>
    <row r="28" customFormat="false" ht="15" hidden="false" customHeight="false" outlineLevel="0" collapsed="false">
      <c r="A28" s="3" t="s">
        <v>379</v>
      </c>
      <c r="C28" s="21" t="n">
        <f aca="false">MIN($G$25:$K$25)</f>
        <v>-0.467662453245407</v>
      </c>
    </row>
    <row r="29" customFormat="false" ht="15" hidden="false" customHeight="false" outlineLevel="0" collapsed="false">
      <c r="A29" s="23" t="s">
        <v>380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customFormat="false" ht="15" hidden="false" customHeight="false" outlineLevel="0" collapsed="false">
      <c r="A30" s="3" t="s">
        <v>373</v>
      </c>
      <c r="G30" s="32" t="n">
        <f aca="false">IF('Operating Model'!G21&gt;0,'Operating Model'!G17/'Operating Model'!G21,99)</f>
        <v>1.59005643370602</v>
      </c>
      <c r="H30" s="32" t="n">
        <f aca="false">IF('Operating Model'!H21&gt;0,'Operating Model'!H17/'Operating Model'!H21,99)</f>
        <v>1.35552310973439</v>
      </c>
      <c r="I30" s="32" t="n">
        <f aca="false">IF('Operating Model'!I21&gt;0,'Operating Model'!I17/'Operating Model'!I21,99)</f>
        <v>1.21627391755258</v>
      </c>
      <c r="J30" s="32" t="n">
        <f aca="false">IF('Operating Model'!J21&gt;0,'Operating Model'!J17/'Operating Model'!J21,99)</f>
        <v>1.24284413584734</v>
      </c>
      <c r="K30" s="32" t="n">
        <f aca="false">IF('Operating Model'!K21&gt;0,'Operating Model'!K17/'Operating Model'!K21,99)</f>
        <v>1.18070192905498</v>
      </c>
    </row>
    <row r="31" customFormat="false" ht="15" hidden="false" customHeight="false" outlineLevel="0" collapsed="false">
      <c r="A31" s="3" t="s">
        <v>374</v>
      </c>
      <c r="G31" s="33" t="n">
        <f aca="false">Assumptions!$G$66</f>
        <v>1.4</v>
      </c>
      <c r="H31" s="33" t="n">
        <f aca="false">Assumptions!$H$66</f>
        <v>1.4</v>
      </c>
      <c r="I31" s="33" t="n">
        <f aca="false">Assumptions!$I$66</f>
        <v>1.4</v>
      </c>
      <c r="J31" s="33" t="n">
        <f aca="false">Assumptions!$J$66</f>
        <v>1.5</v>
      </c>
      <c r="K31" s="33" t="n">
        <f aca="false">Assumptions!$K$66</f>
        <v>1.5</v>
      </c>
    </row>
    <row r="32" customFormat="false" ht="15" hidden="false" customHeight="false" outlineLevel="0" collapsed="false">
      <c r="A32" s="3" t="s">
        <v>375</v>
      </c>
      <c r="G32" s="32" t="n">
        <f aca="false">G30-G31</f>
        <v>0.190056433706025</v>
      </c>
      <c r="H32" s="32" t="n">
        <f aca="false">H30-H31</f>
        <v>-0.0444768902656139</v>
      </c>
      <c r="I32" s="32" t="n">
        <f aca="false">I30-I31</f>
        <v>-0.183726082447419</v>
      </c>
      <c r="J32" s="32" t="n">
        <f aca="false">J30-J31</f>
        <v>-0.257155864152655</v>
      </c>
      <c r="K32" s="32" t="n">
        <f aca="false">K30-K31</f>
        <v>-0.319298070945023</v>
      </c>
    </row>
    <row r="33" customFormat="false" ht="15" hidden="false" customHeight="false" outlineLevel="0" collapsed="false">
      <c r="A33" s="3" t="s">
        <v>376</v>
      </c>
      <c r="G33" s="21" t="n">
        <f aca="false">IF(G31=0,0,G32/ABS(G31))</f>
        <v>0.135754595504304</v>
      </c>
      <c r="H33" s="21" t="n">
        <f aca="false">IF(H31=0,0,H32/ABS(H31))</f>
        <v>-0.0317692073325813</v>
      </c>
      <c r="I33" s="21" t="n">
        <f aca="false">IF(I31=0,0,I32/ABS(I31))</f>
        <v>-0.131232916033871</v>
      </c>
      <c r="J33" s="21" t="n">
        <f aca="false">IF(J31=0,0,J32/ABS(J31))</f>
        <v>-0.171437242768437</v>
      </c>
      <c r="K33" s="21" t="n">
        <f aca="false">IF(K31=0,0,K32/ABS(K31))</f>
        <v>-0.212865380630015</v>
      </c>
    </row>
    <row r="34" customFormat="false" ht="15" hidden="false" customHeight="false" outlineLevel="0" collapsed="false">
      <c r="A34" s="3" t="s">
        <v>377</v>
      </c>
      <c r="G34" s="20" t="n">
        <f aca="false">IF(G32&lt;0,1,0)</f>
        <v>0</v>
      </c>
      <c r="H34" s="20" t="n">
        <f aca="false">IF(H32&lt;0,1,0)</f>
        <v>1</v>
      </c>
      <c r="I34" s="20" t="n">
        <f aca="false">IF(I32&lt;0,1,0)</f>
        <v>1</v>
      </c>
      <c r="J34" s="20" t="n">
        <f aca="false">IF(J32&lt;0,1,0)</f>
        <v>1</v>
      </c>
      <c r="K34" s="20" t="n">
        <f aca="false">IF(K32&lt;0,1,0)</f>
        <v>1</v>
      </c>
    </row>
    <row r="35" customFormat="false" ht="15" hidden="false" customHeight="false" outlineLevel="0" collapsed="false">
      <c r="A35" s="3" t="s">
        <v>378</v>
      </c>
      <c r="C35" s="20" t="n">
        <f aca="false">IFERROR(INDEX('Operating Model'!$G$7:$K$7,MATCH(1,$G$34:$K$34,0)),0)</f>
        <v>2028</v>
      </c>
    </row>
    <row r="36" customFormat="false" ht="15" hidden="false" customHeight="false" outlineLevel="0" collapsed="false">
      <c r="A36" s="3" t="s">
        <v>379</v>
      </c>
      <c r="C36" s="21" t="n">
        <f aca="false">MIN($G$33:$K$33)</f>
        <v>-0.212865380630015</v>
      </c>
    </row>
    <row r="37" customFormat="false" ht="15" hidden="false" customHeight="false" outlineLevel="0" collapsed="false">
      <c r="A37" s="23" t="s">
        <v>381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customFormat="false" ht="15" hidden="false" customHeight="false" outlineLevel="0" collapsed="false">
      <c r="A38" s="3" t="s">
        <v>373</v>
      </c>
      <c r="G38" s="25" t="n">
        <f aca="false">G16</f>
        <v>518.82154744</v>
      </c>
      <c r="H38" s="25" t="n">
        <f aca="false">H16</f>
        <v>539.6742833632</v>
      </c>
      <c r="I38" s="25" t="n">
        <f aca="false">I16</f>
        <v>120.430022671888</v>
      </c>
      <c r="J38" s="25" t="n">
        <f aca="false">J16</f>
        <v>123.071896868977</v>
      </c>
      <c r="K38" s="25" t="n">
        <f aca="false">K16</f>
        <v>118.677412856212</v>
      </c>
    </row>
    <row r="39" customFormat="false" ht="15" hidden="false" customHeight="false" outlineLevel="0" collapsed="false">
      <c r="A39" s="3" t="s">
        <v>374</v>
      </c>
      <c r="G39" s="29" t="n">
        <f aca="false">Assumptions!$G$67</f>
        <v>200</v>
      </c>
      <c r="H39" s="29" t="n">
        <f aca="false">Assumptions!$H$67</f>
        <v>200</v>
      </c>
      <c r="I39" s="29" t="n">
        <f aca="false">Assumptions!$I$67</f>
        <v>200</v>
      </c>
      <c r="J39" s="29" t="n">
        <f aca="false">Assumptions!$J$67</f>
        <v>200</v>
      </c>
      <c r="K39" s="29" t="n">
        <f aca="false">Assumptions!$K$67</f>
        <v>200</v>
      </c>
    </row>
    <row r="40" customFormat="false" ht="15" hidden="false" customHeight="false" outlineLevel="0" collapsed="false">
      <c r="A40" s="3" t="s">
        <v>375</v>
      </c>
      <c r="G40" s="25" t="n">
        <f aca="false">G38-G39</f>
        <v>318.82154744</v>
      </c>
      <c r="H40" s="25" t="n">
        <f aca="false">H38-H39</f>
        <v>339.6742833632</v>
      </c>
      <c r="I40" s="25" t="n">
        <f aca="false">I38-I39</f>
        <v>-79.5699773281123</v>
      </c>
      <c r="J40" s="25" t="n">
        <f aca="false">J38-J39</f>
        <v>-76.9281031310227</v>
      </c>
      <c r="K40" s="25" t="n">
        <f aca="false">K38-K39</f>
        <v>-81.3225871437876</v>
      </c>
    </row>
    <row r="41" customFormat="false" ht="15" hidden="false" customHeight="false" outlineLevel="0" collapsed="false">
      <c r="A41" s="3" t="s">
        <v>376</v>
      </c>
      <c r="G41" s="21" t="n">
        <f aca="false">IF(G39=0,0,G40/ABS(G39))</f>
        <v>1.5941077372</v>
      </c>
      <c r="H41" s="21" t="n">
        <f aca="false">IF(H39=0,0,H40/ABS(H39))</f>
        <v>1.698371416816</v>
      </c>
      <c r="I41" s="21" t="n">
        <f aca="false">IF(I39=0,0,I40/ABS(I39))</f>
        <v>-0.397849886640561</v>
      </c>
      <c r="J41" s="21" t="n">
        <f aca="false">IF(J39=0,0,J40/ABS(J39))</f>
        <v>-0.384640515655113</v>
      </c>
      <c r="K41" s="21" t="n">
        <f aca="false">IF(K39=0,0,K40/ABS(K39))</f>
        <v>-0.406612935718938</v>
      </c>
    </row>
    <row r="42" customFormat="false" ht="15" hidden="false" customHeight="false" outlineLevel="0" collapsed="false">
      <c r="A42" s="3" t="s">
        <v>377</v>
      </c>
      <c r="G42" s="20" t="n">
        <f aca="false">IF(G40&lt;0,1,0)</f>
        <v>0</v>
      </c>
      <c r="H42" s="20" t="n">
        <f aca="false">IF(H40&lt;0,1,0)</f>
        <v>0</v>
      </c>
      <c r="I42" s="20" t="n">
        <f aca="false">IF(I40&lt;0,1,0)</f>
        <v>1</v>
      </c>
      <c r="J42" s="20" t="n">
        <f aca="false">IF(J40&lt;0,1,0)</f>
        <v>1</v>
      </c>
      <c r="K42" s="20" t="n">
        <f aca="false">IF(K40&lt;0,1,0)</f>
        <v>1</v>
      </c>
    </row>
    <row r="43" customFormat="false" ht="15" hidden="false" customHeight="false" outlineLevel="0" collapsed="false">
      <c r="A43" s="3" t="s">
        <v>378</v>
      </c>
      <c r="C43" s="20" t="n">
        <f aca="false">IFERROR(INDEX('Operating Model'!$G$7:$K$7,MATCH(1,$G$42:$K$42,0)),0)</f>
        <v>2029</v>
      </c>
    </row>
    <row r="44" customFormat="false" ht="15" hidden="false" customHeight="false" outlineLevel="0" collapsed="false">
      <c r="A44" s="3" t="s">
        <v>379</v>
      </c>
      <c r="C44" s="21" t="n">
        <f aca="false">MIN($G$41:$K$41)</f>
        <v>-0.406612935718938</v>
      </c>
    </row>
    <row r="45" customFormat="false" ht="15" hidden="false" customHeight="false" outlineLevel="0" collapsed="false">
      <c r="A45" s="3" t="s">
        <v>382</v>
      </c>
      <c r="G45" s="20" t="n">
        <f aca="false">G26+G34+G42</f>
        <v>0</v>
      </c>
      <c r="H45" s="20" t="n">
        <f aca="false">H26+H34+H42</f>
        <v>2</v>
      </c>
      <c r="I45" s="20" t="n">
        <f aca="false">I26+I34+I42</f>
        <v>3</v>
      </c>
      <c r="J45" s="20" t="n">
        <f aca="false">J26+J34+J42</f>
        <v>3</v>
      </c>
      <c r="K45" s="20" t="n">
        <f aca="false">K26+K34+K42</f>
        <v>3</v>
      </c>
    </row>
    <row r="46" customFormat="false" ht="15" hidden="false" customHeight="false" outlineLevel="0" collapsed="false">
      <c r="A46" s="3" t="s">
        <v>383</v>
      </c>
      <c r="C46" s="20" t="n">
        <f aca="false">SUM($G$45:$K$45)</f>
        <v>11</v>
      </c>
    </row>
    <row r="47" customFormat="false" ht="15" hidden="false" customHeight="false" outlineLevel="0" collapsed="false">
      <c r="A47" s="3" t="s">
        <v>384</v>
      </c>
      <c r="C47" s="21" t="n">
        <f aca="false">MIN(C28,C36,C44)</f>
        <v>-0.467662453245407</v>
      </c>
    </row>
    <row r="50" customFormat="false" ht="15" hidden="false" customHeight="false" outlineLevel="0" collapsed="false">
      <c r="A50" s="9" t="s">
        <v>385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customFormat="false" ht="15" hidden="false" customHeight="false" outlineLevel="0" collapsed="false">
      <c r="A51" s="7" t="s">
        <v>189</v>
      </c>
      <c r="B51" s="7"/>
      <c r="C51" s="7" t="s">
        <v>386</v>
      </c>
      <c r="D51" s="7" t="s">
        <v>387</v>
      </c>
      <c r="E51" s="7" t="s">
        <v>388</v>
      </c>
      <c r="F51" s="7" t="s">
        <v>191</v>
      </c>
      <c r="G51" s="7" t="s">
        <v>389</v>
      </c>
      <c r="H51" s="7" t="s">
        <v>390</v>
      </c>
      <c r="I51" s="7" t="s">
        <v>391</v>
      </c>
      <c r="J51" s="7" t="s">
        <v>392</v>
      </c>
    </row>
    <row r="52" customFormat="false" ht="15" hidden="false" customHeight="false" outlineLevel="0" collapsed="false">
      <c r="A52" s="3" t="s">
        <v>393</v>
      </c>
      <c r="C52" s="33" t="n">
        <f aca="false">'Credit Metrics'!F11</f>
        <v>4.06190164353368</v>
      </c>
      <c r="D52" s="6" t="n">
        <f aca="false">Assumptions!$D$131</f>
        <v>2</v>
      </c>
      <c r="E52" s="6" t="n">
        <f aca="false">Assumptions!$E$131</f>
        <v>7</v>
      </c>
      <c r="F52" s="27" t="n">
        <f aca="false">Assumptions!$C$131</f>
        <v>15</v>
      </c>
      <c r="G52" s="34" t="n">
        <f aca="false">F52*H52</f>
        <v>8.81429506939896</v>
      </c>
      <c r="H52" s="21" t="n">
        <f aca="false">MAX(0,MIN(1,(C52-E52)/(D52-E52)))</f>
        <v>0.587619671293264</v>
      </c>
      <c r="I52" s="33" t="n">
        <f aca="false">'Credit Metrics'!G11</f>
        <v>4.9066397085884</v>
      </c>
      <c r="J52" s="34" t="n">
        <f aca="false">F52*MAX(0,MIN(1,(I52-E52)/(D52-E52)))</f>
        <v>6.28008087423481</v>
      </c>
    </row>
    <row r="53" customFormat="false" ht="15" hidden="false" customHeight="false" outlineLevel="0" collapsed="false">
      <c r="A53" s="3" t="s">
        <v>394</v>
      </c>
      <c r="C53" s="33" t="n">
        <f aca="false">'Credit Metrics'!F12</f>
        <v>1.83590107499135</v>
      </c>
      <c r="D53" s="6" t="n">
        <f aca="false">Assumptions!$D$132</f>
        <v>5</v>
      </c>
      <c r="E53" s="6" t="n">
        <f aca="false">Assumptions!$E$132</f>
        <v>1</v>
      </c>
      <c r="F53" s="27" t="n">
        <f aca="false">Assumptions!$C$132</f>
        <v>15</v>
      </c>
      <c r="G53" s="34" t="n">
        <f aca="false">F53*H53</f>
        <v>3.13462903121756</v>
      </c>
      <c r="H53" s="21" t="n">
        <f aca="false">MAX(0,MIN(1,(C53-E53)/(D53-E53)))</f>
        <v>0.208975268747837</v>
      </c>
      <c r="I53" s="33" t="n">
        <f aca="false">'Credit Metrics'!G12</f>
        <v>1.59005643370602</v>
      </c>
      <c r="J53" s="34" t="n">
        <f aca="false">F53*MAX(0,MIN(1,(I53-E53)/(D53-E53)))</f>
        <v>2.21271162639759</v>
      </c>
    </row>
    <row r="54" customFormat="false" ht="15" hidden="false" customHeight="false" outlineLevel="0" collapsed="false">
      <c r="A54" s="3" t="s">
        <v>395</v>
      </c>
      <c r="C54" s="32" t="n">
        <f aca="false">'Credit Metrics'!F16/(SUMPRODUCT((Assumptions!$K$56:$K$58&lt;=Assumptions!$C$6+1)*Assumptions!$C$56:$C$58)+SUMPRODUCT(Assumptions!$L$56:$L$58*Assumptions!$C$56:$C$58)+'Operating Model'!F23)</f>
        <v>2.72117668447567</v>
      </c>
      <c r="D54" s="6" t="n">
        <f aca="false">Assumptions!$D$133</f>
        <v>2</v>
      </c>
      <c r="E54" s="6" t="n">
        <f aca="false">Assumptions!$E$133</f>
        <v>0.5</v>
      </c>
      <c r="F54" s="27" t="n">
        <f aca="false">Assumptions!$C$133</f>
        <v>10</v>
      </c>
      <c r="G54" s="34" t="n">
        <f aca="false">F54*H54</f>
        <v>10</v>
      </c>
      <c r="H54" s="21" t="n">
        <f aca="false">MAX(0,MIN(1,(C54-E54)/(D54-E54)))</f>
        <v>1</v>
      </c>
      <c r="I54" s="32" t="n">
        <f aca="false">'Credit Metrics'!G16/(SUMPRODUCT((Assumptions!$K$56:$K$58&lt;=Assumptions!$C$6+1)*Assumptions!$C$56:$C$58)+SUMPRODUCT(Assumptions!$L$56:$L$58*Assumptions!$C$56:$C$58)+'Operating Model'!F23)</f>
        <v>3.04270963175828</v>
      </c>
      <c r="J54" s="34" t="n">
        <f aca="false">F54*MAX(0,MIN(1,(I54-E54)/(D54-E54)))</f>
        <v>10</v>
      </c>
    </row>
    <row r="55" customFormat="false" ht="15" hidden="false" customHeight="false" outlineLevel="0" collapsed="false">
      <c r="A55" s="3" t="s">
        <v>396</v>
      </c>
      <c r="C55" s="35" t="n">
        <f aca="false">'Credit Metrics'!F14</f>
        <v>0.109776474831668</v>
      </c>
      <c r="D55" s="6" t="n">
        <f aca="false">Assumptions!$D$134</f>
        <v>0.12</v>
      </c>
      <c r="E55" s="6" t="n">
        <f aca="false">Assumptions!$E$134</f>
        <v>-0.02</v>
      </c>
      <c r="F55" s="27" t="n">
        <f aca="false">Assumptions!$C$134</f>
        <v>10</v>
      </c>
      <c r="G55" s="34" t="n">
        <f aca="false">F55*H55</f>
        <v>9.26974820226197</v>
      </c>
      <c r="H55" s="21" t="n">
        <f aca="false">MAX(0,MIN(1,(C55-E55)/(D55-E55)))</f>
        <v>0.926974820226197</v>
      </c>
      <c r="I55" s="35" t="n">
        <f aca="false">'Credit Metrics'!G14</f>
        <v>0.0315896523185104</v>
      </c>
      <c r="J55" s="34" t="n">
        <f aca="false">F55*MAX(0,MIN(1,(I55-E55)/(D55-E55)))</f>
        <v>3.68497516560788</v>
      </c>
    </row>
    <row r="56" customFormat="false" ht="15" hidden="false" customHeight="false" outlineLevel="0" collapsed="false">
      <c r="A56" s="3" t="s">
        <v>397</v>
      </c>
      <c r="C56" s="21" t="n">
        <f aca="false">SUMPRODUCT((Assumptions!$K$56:$K$58&lt;=Assumptions!$C$6+Assumptions!$C$22)*Assumptions!$C$56:$C$58)/SUM(Assumptions!$C$56:$C$58)</f>
        <v>0.242260396392161</v>
      </c>
      <c r="D56" s="6" t="n">
        <f aca="false">Assumptions!$D$135</f>
        <v>0</v>
      </c>
      <c r="E56" s="6" t="n">
        <f aca="false">Assumptions!$E$135</f>
        <v>0.5</v>
      </c>
      <c r="F56" s="27" t="n">
        <f aca="false">Assumptions!$C$135</f>
        <v>10</v>
      </c>
      <c r="G56" s="34" t="n">
        <f aca="false">F56*H56</f>
        <v>5.15479207215679</v>
      </c>
      <c r="H56" s="21" t="n">
        <f aca="false">MAX(0,MIN(1,(C56-E56)/(D56-E56)))</f>
        <v>0.515479207215679</v>
      </c>
      <c r="I56" s="21" t="n">
        <f aca="false">C56</f>
        <v>0.242260396392161</v>
      </c>
      <c r="J56" s="34" t="n">
        <f aca="false">F56*MAX(0,MIN(1,(I56-E56)/(D56-E56)))</f>
        <v>5.15479207215679</v>
      </c>
    </row>
    <row r="57" customFormat="false" ht="15" hidden="false" customHeight="false" outlineLevel="0" collapsed="false">
      <c r="A57" s="3" t="s">
        <v>398</v>
      </c>
      <c r="C57" s="31" t="n">
        <f aca="false">STDEVP('Historical Financials'!B42:D42)</f>
        <v>0.0296381644480132</v>
      </c>
      <c r="D57" s="6" t="n">
        <f aca="false">Assumptions!$D$136</f>
        <v>0.01</v>
      </c>
      <c r="E57" s="6" t="n">
        <f aca="false">Assumptions!$E$136</f>
        <v>0.05</v>
      </c>
      <c r="F57" s="27" t="n">
        <f aca="false">Assumptions!$C$136</f>
        <v>10</v>
      </c>
      <c r="G57" s="34" t="n">
        <f aca="false">F57*H57</f>
        <v>5.0904588879967</v>
      </c>
      <c r="H57" s="21" t="n">
        <f aca="false">MAX(0,MIN(1,(C57-E57)/(D57-E57)))</f>
        <v>0.50904588879967</v>
      </c>
      <c r="I57" s="31" t="n">
        <f aca="false">C57</f>
        <v>0.0296381644480132</v>
      </c>
      <c r="J57" s="34" t="n">
        <f aca="false">F57*MAX(0,MIN(1,(I57-E57)/(D57-E57)))</f>
        <v>5.0904588879967</v>
      </c>
    </row>
    <row r="58" customFormat="false" ht="15" hidden="false" customHeight="false" outlineLevel="0" collapsed="false">
      <c r="A58" s="3" t="s">
        <v>399</v>
      </c>
      <c r="C58" s="31" t="n">
        <f aca="false">STDEVP('Historical Financials'!C43:D43)</f>
        <v>0.0309579305003624</v>
      </c>
      <c r="D58" s="6" t="n">
        <f aca="false">Assumptions!$D$137</f>
        <v>0.03</v>
      </c>
      <c r="E58" s="6" t="n">
        <f aca="false">Assumptions!$E$137</f>
        <v>0.15</v>
      </c>
      <c r="F58" s="27" t="n">
        <f aca="false">Assumptions!$C$137</f>
        <v>8</v>
      </c>
      <c r="G58" s="34" t="n">
        <f aca="false">F58*H58</f>
        <v>7.93613796664251</v>
      </c>
      <c r="H58" s="21" t="n">
        <f aca="false">MAX(0,MIN(1,(C58-E58)/(D58-E58)))</f>
        <v>0.992017245830314</v>
      </c>
      <c r="I58" s="31" t="n">
        <f aca="false">C58</f>
        <v>0.0309579305003624</v>
      </c>
      <c r="J58" s="34" t="n">
        <f aca="false">F58*MAX(0,MIN(1,(I58-E58)/(D58-E58)))</f>
        <v>7.93613796664251</v>
      </c>
    </row>
    <row r="59" customFormat="false" ht="15" hidden="false" customHeight="false" outlineLevel="0" collapsed="false">
      <c r="A59" s="3" t="s">
        <v>400</v>
      </c>
      <c r="C59" s="32" t="n">
        <f aca="false">Assumptions!$C$30/'Credit Metrics'!F7</f>
        <v>1.41451720891427</v>
      </c>
      <c r="D59" s="6" t="n">
        <f aca="false">Assumptions!$D$138</f>
        <v>2</v>
      </c>
      <c r="E59" s="6" t="n">
        <f aca="false">Assumptions!$E$138</f>
        <v>0.6</v>
      </c>
      <c r="F59" s="27" t="n">
        <f aca="false">Assumptions!$C$138</f>
        <v>12</v>
      </c>
      <c r="G59" s="34" t="n">
        <f aca="false">F59*H59</f>
        <v>6.98157607640804</v>
      </c>
      <c r="H59" s="21" t="n">
        <f aca="false">MAX(0,MIN(1,(C59-E59)/(D59-E59)))</f>
        <v>0.581798006367337</v>
      </c>
      <c r="I59" s="32" t="n">
        <f aca="false">C59</f>
        <v>1.41451720891427</v>
      </c>
      <c r="J59" s="34" t="n">
        <f aca="false">F59*MAX(0,MIN(1,(I59-E59)/(D59-E59)))</f>
        <v>6.98157607640804</v>
      </c>
    </row>
    <row r="60" customFormat="false" ht="15" hidden="false" customHeight="false" outlineLevel="0" collapsed="false">
      <c r="A60" s="3" t="s">
        <v>401</v>
      </c>
      <c r="C60" s="36" t="n">
        <f aca="false">Assumptions!$C$140</f>
        <v>0.3</v>
      </c>
      <c r="D60" s="6" t="n">
        <f aca="false">Assumptions!$D$139</f>
        <v>1</v>
      </c>
      <c r="E60" s="6" t="n">
        <f aca="false">Assumptions!$E$139</f>
        <v>0</v>
      </c>
      <c r="F60" s="27" t="n">
        <f aca="false">Assumptions!$C$139</f>
        <v>10</v>
      </c>
      <c r="G60" s="34" t="n">
        <f aca="false">F60*H60</f>
        <v>3</v>
      </c>
      <c r="H60" s="21" t="n">
        <f aca="false">MAX(0,MIN(1,(C60-E60)/(D60-E60)))</f>
        <v>0.3</v>
      </c>
      <c r="I60" s="37" t="n">
        <f aca="false">C60</f>
        <v>0.3</v>
      </c>
      <c r="J60" s="34" t="n">
        <f aca="false">F60*MAX(0,MIN(1,(I60-E60)/(D60-E60)))</f>
        <v>3</v>
      </c>
    </row>
    <row r="61" customFormat="false" ht="15" hidden="false" customHeight="false" outlineLevel="0" collapsed="false">
      <c r="A61" s="2" t="s">
        <v>402</v>
      </c>
      <c r="F61" s="19" t="n">
        <f aca="false">SUM(F52:F60)</f>
        <v>100</v>
      </c>
      <c r="G61" s="38" t="n">
        <f aca="false">SUM(G52:G60)</f>
        <v>59.3816373060825</v>
      </c>
      <c r="J61" s="38" t="n">
        <f aca="false">SUM(J52:J60)</f>
        <v>50.3407326694443</v>
      </c>
    </row>
    <row r="62" customFormat="false" ht="15" hidden="false" customHeight="false" outlineLevel="0" collapsed="false">
      <c r="A62" s="2" t="s">
        <v>403</v>
      </c>
      <c r="G62" s="2" t="str">
        <f aca="false">IF(G61&gt;=Assumptions!$C$144,"Low",IF(G61&gt;=Assumptions!$C$145,"Moderate",IF(G61&gt;=Assumptions!$C$146,"Elevated","High")))</f>
        <v>Elevated</v>
      </c>
    </row>
    <row r="63" customFormat="false" ht="15" hidden="false" customHeight="false" outlineLevel="0" collapsed="false">
      <c r="A63" s="3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6"/>
  </cols>
  <sheetData>
    <row r="1" customFormat="false" ht="17.35" hidden="false" customHeight="false" outlineLevel="0" collapsed="false">
      <c r="A1" s="1" t="s">
        <v>405</v>
      </c>
    </row>
    <row r="2" customFormat="false" ht="15" hidden="false" customHeight="false" outlineLevel="0" collapsed="false">
      <c r="A2" s="3" t="str">
        <f aca="false">"Active scenario for the detailed tabs: "&amp;Assumptions!$D$10</f>
        <v>Active scenario for the detailed tabs: Downside</v>
      </c>
    </row>
    <row r="4" customFormat="false" ht="15" hidden="false" customHeight="false" outlineLevel="0" collapsed="false">
      <c r="A4" s="7" t="s">
        <v>406</v>
      </c>
      <c r="B4" s="7"/>
      <c r="C4" s="7" t="s">
        <v>164</v>
      </c>
      <c r="D4" s="7" t="s">
        <v>185</v>
      </c>
      <c r="E4" s="7" t="s">
        <v>186</v>
      </c>
      <c r="F4" s="7" t="s">
        <v>407</v>
      </c>
    </row>
    <row r="5" customFormat="false" ht="15" hidden="false" customHeight="false" outlineLevel="0" collapsed="false">
      <c r="A5" s="3" t="s">
        <v>408</v>
      </c>
      <c r="C5" s="21" t="n">
        <f aca="false">AVERAGE(Assumptions!$G$71:$K$71)</f>
        <v>-0.036</v>
      </c>
      <c r="D5" s="21" t="n">
        <f aca="false">AVERAGE(Assumptions!$G$90:$K$90)</f>
        <v>-0.062</v>
      </c>
      <c r="E5" s="21" t="n">
        <f aca="false">AVERAGE(Assumptions!$G$109:$K$109)</f>
        <v>-0.1</v>
      </c>
      <c r="F5" s="21" t="n">
        <f aca="false">CHOOSE(Assumptions!$C$10,C5,D5,E5)</f>
        <v>-0.062</v>
      </c>
    </row>
    <row r="6" customFormat="false" ht="15" hidden="false" customHeight="false" outlineLevel="0" collapsed="false">
      <c r="A6" s="3" t="s">
        <v>409</v>
      </c>
      <c r="C6" s="21" t="n">
        <f aca="false">AVERAGE(Assumptions!$G$73:$K$73)</f>
        <v>0.1376</v>
      </c>
      <c r="D6" s="21" t="n">
        <f aca="false">AVERAGE(Assumptions!$G$92:$K$92)</f>
        <v>0.107</v>
      </c>
      <c r="E6" s="21" t="n">
        <f aca="false">AVERAGE(Assumptions!$G$111:$K$111)</f>
        <v>0.075</v>
      </c>
      <c r="F6" s="21" t="n">
        <f aca="false">CHOOSE(Assumptions!$C$10,C6,D6,E6)</f>
        <v>0.107</v>
      </c>
    </row>
    <row r="7" customFormat="false" ht="15" hidden="false" customHeight="false" outlineLevel="0" collapsed="false">
      <c r="A7" s="3" t="s">
        <v>174</v>
      </c>
      <c r="C7" s="30" t="n">
        <f aca="false">Assumptions!$C$78</f>
        <v>0</v>
      </c>
      <c r="D7" s="30" t="n">
        <f aca="false">Assumptions!$C$97</f>
        <v>0.015</v>
      </c>
      <c r="E7" s="30" t="n">
        <f aca="false">Assumptions!$C$116</f>
        <v>0.03</v>
      </c>
      <c r="F7" s="31" t="n">
        <f aca="false">CHOOSE(Assumptions!$C$10,C7,D7,E7)</f>
        <v>0.015</v>
      </c>
    </row>
    <row r="8" customFormat="false" ht="15" hidden="false" customHeight="false" outlineLevel="0" collapsed="false">
      <c r="A8" s="3" t="s">
        <v>410</v>
      </c>
      <c r="C8" s="30" t="n">
        <f aca="false">Assumptions!$C$79</f>
        <v>0.11</v>
      </c>
      <c r="D8" s="30" t="n">
        <f aca="false">Assumptions!$C$98</f>
        <v>0.13</v>
      </c>
      <c r="E8" s="30" t="n">
        <f aca="false">Assumptions!$C$117</f>
        <v>0.15</v>
      </c>
      <c r="F8" s="31" t="n">
        <f aca="false">CHOOSE(Assumptions!$C$10,C8,D8,E8)</f>
        <v>0.13</v>
      </c>
    </row>
    <row r="9" customFormat="false" ht="15" hidden="false" customHeight="false" outlineLevel="0" collapsed="false">
      <c r="A9" s="3" t="s">
        <v>411</v>
      </c>
      <c r="C9" s="3" t="str">
        <f aca="false">TEXT(Assumptions!$C$80,"0.0")&amp;"x / "&amp;TEXT(Assumptions!$C$81,"0.00")&amp;"x"</f>
        <v>6.0x / 1.25x</v>
      </c>
      <c r="D9" s="3" t="str">
        <f aca="false">TEXT(Assumptions!$C$99,"0.0")&amp;"x / "&amp;TEXT(Assumptions!$C$100,"0.00")&amp;"x"</f>
        <v>5.5x / 1.50x</v>
      </c>
      <c r="E9" s="3" t="str">
        <f aca="false">TEXT(Assumptions!$C$118,"0.0")&amp;"x / "&amp;TEXT(Assumptions!$C$119,"0.00")&amp;"x"</f>
        <v>5.0x / 1.75x</v>
      </c>
      <c r="F9" s="3" t="str">
        <f aca="false">CHOOSE(Assumptions!$C$10,C9,D9,E9)</f>
        <v>5.5x / 1.50x</v>
      </c>
    </row>
    <row r="10" customFormat="false" ht="15" hidden="false" customHeight="false" outlineLevel="0" collapsed="false">
      <c r="A10" s="3" t="s">
        <v>412</v>
      </c>
      <c r="C10" s="3" t="str">
        <f aca="false">TEXT(Assumptions!$C$82,"0.0")&amp;"x / "&amp;TEXT(Assumptions!$C$84,"0.0")&amp;"x"</f>
        <v>5.5x / 5.0x</v>
      </c>
      <c r="D10" s="3" t="str">
        <f aca="false">TEXT(Assumptions!$C$101,"0.0")&amp;"x / "&amp;TEXT(Assumptions!$C$103,"0.0")&amp;"x"</f>
        <v>5.0x / 4.5x</v>
      </c>
      <c r="E10" s="3" t="str">
        <f aca="false">TEXT(Assumptions!$C$120,"0.0")&amp;"x / "&amp;TEXT(Assumptions!$C$122,"0.0")&amp;"x"</f>
        <v>4.0x / 4.0x</v>
      </c>
      <c r="F10" s="3" t="str">
        <f aca="false">CHOOSE(Assumptions!$C$10,C10,D10,E10)</f>
        <v>5.0x / 4.5x</v>
      </c>
    </row>
    <row r="11" customFormat="false" ht="15" hidden="false" customHeight="false" outlineLevel="0" collapsed="false">
      <c r="A11" s="3" t="s">
        <v>182</v>
      </c>
      <c r="C11" s="35" t="n">
        <f aca="false">Assumptions!$C$85</f>
        <v>0</v>
      </c>
      <c r="D11" s="35" t="n">
        <f aca="false">Assumptions!$C$104</f>
        <v>0.15</v>
      </c>
      <c r="E11" s="35" t="n">
        <f aca="false">Assumptions!$C$123</f>
        <v>0.35</v>
      </c>
      <c r="F11" s="21" t="n">
        <f aca="false">CHOOSE(Assumptions!$C$10,C11,D11,E11)</f>
        <v>0.15</v>
      </c>
    </row>
    <row r="12" customFormat="false" ht="15" hidden="false" customHeight="false" outlineLevel="0" collapsed="false">
      <c r="A12" s="3" t="s">
        <v>184</v>
      </c>
      <c r="C12" s="35" t="n">
        <f aca="false">Assumptions!$C$87</f>
        <v>0.45</v>
      </c>
      <c r="D12" s="35" t="n">
        <f aca="false">Assumptions!$C$106</f>
        <v>0.35</v>
      </c>
      <c r="E12" s="35" t="n">
        <f aca="false">Assumptions!$C$125</f>
        <v>0.2</v>
      </c>
      <c r="F12" s="21" t="n">
        <f aca="false">CHOOSE(Assumptions!$C$10,C12,D12,E12)</f>
        <v>0.35</v>
      </c>
    </row>
    <row r="14" customFormat="false" ht="15" hidden="false" customHeight="false" outlineLevel="0" collapsed="false">
      <c r="A14" s="7" t="s">
        <v>413</v>
      </c>
      <c r="B14" s="7"/>
      <c r="C14" s="7" t="s">
        <v>164</v>
      </c>
      <c r="D14" s="7" t="s">
        <v>185</v>
      </c>
      <c r="E14" s="7" t="s">
        <v>186</v>
      </c>
      <c r="F14" s="7" t="s">
        <v>407</v>
      </c>
    </row>
    <row r="15" customFormat="false" ht="15" hidden="false" customHeight="false" outlineLevel="0" collapsed="false">
      <c r="A15" s="3" t="s">
        <v>414</v>
      </c>
      <c r="C15" s="29" t="n">
        <f aca="false">'Calc Engine'!K19</f>
        <v>1869.76590235325</v>
      </c>
      <c r="D15" s="29" t="n">
        <f aca="false">'Calc Engine'!K343</f>
        <v>1630.37568277116</v>
      </c>
      <c r="E15" s="29" t="n">
        <f aca="false">'Calc Engine'!K667</f>
        <v>1323.06494510362</v>
      </c>
      <c r="F15" s="25" t="n">
        <f aca="false">CHOOSE(Assumptions!$C$10,C15,D15,E15)</f>
        <v>1630.37568277116</v>
      </c>
    </row>
    <row r="16" customFormat="false" ht="15" hidden="false" customHeight="false" outlineLevel="0" collapsed="false">
      <c r="A16" s="3" t="s">
        <v>415</v>
      </c>
      <c r="C16" s="25" t="n">
        <f aca="false">MIN('Calc Engine'!$G$23:$K$23)</f>
        <v>250.548630915336</v>
      </c>
      <c r="D16" s="25" t="n">
        <f aca="false">MIN('Calc Engine'!$G$347:$K$347)</f>
        <v>163.037568277116</v>
      </c>
      <c r="E16" s="25" t="n">
        <f aca="false">MIN('Calc Engine'!$G$671:$K$671)</f>
        <v>92.6145461572531</v>
      </c>
      <c r="F16" s="25" t="n">
        <f aca="false">CHOOSE(Assumptions!$C$10,C16,D16,E16)</f>
        <v>163.037568277116</v>
      </c>
    </row>
    <row r="17" customFormat="false" ht="15" hidden="false" customHeight="false" outlineLevel="0" collapsed="false">
      <c r="A17" s="3" t="s">
        <v>416</v>
      </c>
      <c r="C17" s="29" t="n">
        <f aca="false">'Calc Engine'!C325</f>
        <v>555.588348849095</v>
      </c>
      <c r="D17" s="29" t="n">
        <f aca="false">'Calc Engine'!C649</f>
        <v>75.1374128562126</v>
      </c>
      <c r="E17" s="29" t="n">
        <f aca="false">'Calc Engine'!C973</f>
        <v>-362.406198194027</v>
      </c>
      <c r="F17" s="25" t="n">
        <f aca="false">CHOOSE(Assumptions!$C$10,C17,D17,E17)</f>
        <v>75.1374128562126</v>
      </c>
    </row>
    <row r="18" customFormat="false" ht="15" hidden="false" customHeight="false" outlineLevel="0" collapsed="false">
      <c r="A18" s="3" t="s">
        <v>417</v>
      </c>
      <c r="C18" s="33" t="n">
        <f aca="false">'Calc Engine'!C323</f>
        <v>3.81499621093561</v>
      </c>
      <c r="D18" s="33" t="n">
        <f aca="false">'Calc Engine'!C647</f>
        <v>7.33831226622703</v>
      </c>
      <c r="E18" s="33" t="n">
        <f aca="false">'Calc Engine'!C971</f>
        <v>17.6426302993449</v>
      </c>
      <c r="F18" s="32" t="n">
        <f aca="false">CHOOSE(Assumptions!$C$10,C18,D18,E18)</f>
        <v>7.33831226622703</v>
      </c>
    </row>
    <row r="19" customFormat="false" ht="15" hidden="false" customHeight="false" outlineLevel="0" collapsed="false">
      <c r="A19" s="3" t="s">
        <v>418</v>
      </c>
      <c r="C19" s="33" t="n">
        <f aca="false">'Calc Engine'!C324</f>
        <v>1.75842750947116</v>
      </c>
      <c r="D19" s="33" t="n">
        <f aca="false">'Calc Engine'!C648</f>
        <v>1.18070192905498</v>
      </c>
      <c r="E19" s="33" t="n">
        <f aca="false">'Calc Engine'!C972</f>
        <v>0.641091448545568</v>
      </c>
      <c r="F19" s="32" t="n">
        <f aca="false">CHOOSE(Assumptions!$C$10,C19,D19,E19)</f>
        <v>1.18070192905498</v>
      </c>
    </row>
    <row r="20" customFormat="false" ht="15" hidden="false" customHeight="false" outlineLevel="0" collapsed="false">
      <c r="A20" s="3" t="s">
        <v>419</v>
      </c>
      <c r="C20" s="27" t="n">
        <f aca="false">'Calc Engine'!C164</f>
        <v>0</v>
      </c>
      <c r="D20" s="27" t="n">
        <f aca="false">'Calc Engine'!C488</f>
        <v>11</v>
      </c>
      <c r="E20" s="27" t="n">
        <f aca="false">'Calc Engine'!C812</f>
        <v>13</v>
      </c>
      <c r="F20" s="20" t="n">
        <f aca="false">CHOOSE(Assumptions!$C$10,C20,D20,E20)</f>
        <v>11</v>
      </c>
    </row>
    <row r="21" customFormat="false" ht="15" hidden="false" customHeight="false" outlineLevel="0" collapsed="false">
      <c r="A21" s="3" t="s">
        <v>420</v>
      </c>
      <c r="C21" s="27" t="n">
        <f aca="false">'Calc Engine'!C103</f>
        <v>0</v>
      </c>
      <c r="D21" s="27" t="n">
        <f aca="false">'Calc Engine'!C427</f>
        <v>2</v>
      </c>
      <c r="E21" s="27" t="n">
        <f aca="false">'Calc Engine'!C751</f>
        <v>2</v>
      </c>
      <c r="F21" s="20" t="n">
        <f aca="false">CHOOSE(Assumptions!$C$10,C21,D21,E21)</f>
        <v>2</v>
      </c>
    </row>
    <row r="22" customFormat="false" ht="15" hidden="false" customHeight="false" outlineLevel="0" collapsed="false">
      <c r="A22" s="2" t="s">
        <v>421</v>
      </c>
      <c r="C22" s="39" t="n">
        <f aca="false">'Calc Engine'!C169</f>
        <v>0</v>
      </c>
      <c r="D22" s="39" t="n">
        <f aca="false">'Calc Engine'!C493</f>
        <v>0</v>
      </c>
      <c r="E22" s="39" t="n">
        <f aca="false">'Calc Engine'!C817</f>
        <v>1</v>
      </c>
      <c r="F22" s="19" t="n">
        <f aca="false">CHOOSE(Assumptions!$C$10,C22,D22,E22)</f>
        <v>0</v>
      </c>
    </row>
    <row r="23" customFormat="false" ht="15" hidden="false" customHeight="false" outlineLevel="0" collapsed="false">
      <c r="A23" s="3" t="s">
        <v>422</v>
      </c>
      <c r="C23" s="27" t="n">
        <f aca="false">'Calc Engine'!C170</f>
        <v>2031</v>
      </c>
      <c r="D23" s="27" t="n">
        <f aca="false">'Calc Engine'!C494</f>
        <v>2031</v>
      </c>
      <c r="E23" s="27" t="n">
        <f aca="false">'Calc Engine'!C818</f>
        <v>2029</v>
      </c>
      <c r="F23" s="20" t="n">
        <f aca="false">CHOOSE(Assumptions!$C$10,C23,D23,E23)</f>
        <v>2031</v>
      </c>
    </row>
    <row r="24" customFormat="false" ht="15" hidden="false" customHeight="false" outlineLevel="0" collapsed="false">
      <c r="A24" s="3" t="s">
        <v>423</v>
      </c>
      <c r="C24" s="29" t="n">
        <f aca="false">'Calc Engine'!C176</f>
        <v>1851.87150342577</v>
      </c>
      <c r="D24" s="29" t="n">
        <f aca="false">'Calc Engine'!C500</f>
        <v>852.346470103234</v>
      </c>
      <c r="E24" s="29" t="n">
        <f aca="false">'Calc Engine'!C824</f>
        <v>478.719345</v>
      </c>
      <c r="F24" s="25" t="n">
        <f aca="false">CHOOSE(Assumptions!$C$10,C24,D24,E24)</f>
        <v>852.346470103234</v>
      </c>
    </row>
    <row r="25" customFormat="false" ht="15" hidden="false" customHeight="false" outlineLevel="0" collapsed="false">
      <c r="A25" s="3" t="s">
        <v>424</v>
      </c>
      <c r="C25" s="35" t="n">
        <f aca="false">'Calc Engine'!C247</f>
        <v>1</v>
      </c>
      <c r="D25" s="35" t="n">
        <f aca="false">'Calc Engine'!C571</f>
        <v>0.606284007392095</v>
      </c>
      <c r="E25" s="35" t="n">
        <f aca="false">'Calc Engine'!C895</f>
        <v>0.340518665921812</v>
      </c>
      <c r="F25" s="21" t="n">
        <f aca="false">CHOOSE(Assumptions!$C$10,C25,D25,E25)</f>
        <v>0.606284007392095</v>
      </c>
    </row>
    <row r="26" customFormat="false" ht="15" hidden="false" customHeight="false" outlineLevel="0" collapsed="false">
      <c r="A26" s="3" t="s">
        <v>425</v>
      </c>
      <c r="C26" s="40" t="n">
        <f aca="false">'Calc Engine'!C308</f>
        <v>100</v>
      </c>
      <c r="D26" s="40" t="n">
        <f aca="false">'Calc Engine'!C632</f>
        <v>81.2751604731729</v>
      </c>
      <c r="E26" s="40" t="n">
        <f aca="false">'Calc Engine'!C956</f>
        <v>32.5735727723409</v>
      </c>
      <c r="F26" s="34" t="n">
        <f aca="false">CHOOSE(Assumptions!$C$10,C26,D26,E26)</f>
        <v>81.2751604731729</v>
      </c>
    </row>
    <row r="27" customFormat="false" ht="15" hidden="false" customHeight="false" outlineLevel="0" collapsed="false">
      <c r="A27" s="2" t="s">
        <v>426</v>
      </c>
      <c r="C27" s="41" t="n">
        <f aca="false">'Calc Engine'!C322</f>
        <v>0.126033624615204</v>
      </c>
      <c r="D27" s="41" t="n">
        <f aca="false">'Calc Engine'!C646</f>
        <v>0.0653848807562152</v>
      </c>
      <c r="E27" s="41" t="n">
        <f aca="false">'Calc Engine'!C970</f>
        <v>-0.10811295237651</v>
      </c>
      <c r="F27" s="42" t="n">
        <f aca="false">CHOOSE(Assumptions!$C$10,C27,D27,E27)</f>
        <v>0.0653848807562152</v>
      </c>
    </row>
    <row r="28" customFormat="false" ht="15" hidden="false" customHeight="false" outlineLevel="0" collapsed="false">
      <c r="A28" s="2" t="s">
        <v>427</v>
      </c>
      <c r="C28" s="43" t="n">
        <f aca="false">'Calc Engine'!C321</f>
        <v>1.38421052631579</v>
      </c>
      <c r="D28" s="43" t="n">
        <f aca="false">'Calc Engine'!C645</f>
        <v>1.18710695234919</v>
      </c>
      <c r="E28" s="43" t="n">
        <f aca="false">'Calc Engine'!C969</f>
        <v>0.699428716739221</v>
      </c>
      <c r="F28" s="44" t="n">
        <f aca="false">CHOOSE(Assumptions!$C$10,C28,D28,E28)</f>
        <v>1.18710695234919</v>
      </c>
    </row>
    <row r="29" customFormat="false" ht="15" hidden="false" customHeight="false" outlineLevel="0" collapsed="false">
      <c r="A29" s="3" t="s">
        <v>428</v>
      </c>
      <c r="C29" s="29" t="n">
        <f aca="false">'Calc Engine'!C320</f>
        <v>36.5</v>
      </c>
      <c r="D29" s="29" t="n">
        <f aca="false">'Calc Engine'!C644</f>
        <v>17.7751604731729</v>
      </c>
      <c r="E29" s="29" t="n">
        <f aca="false">'Calc Engine'!C968</f>
        <v>-28.554271909774</v>
      </c>
      <c r="F29" s="25" t="n">
        <f aca="false">CHOOSE(Assumptions!$C$10,C29,D29,E29)</f>
        <v>17.7751604731729</v>
      </c>
    </row>
    <row r="31" customFormat="false" ht="15" hidden="false" customHeight="false" outlineLevel="0" collapsed="false">
      <c r="A31" s="2" t="s">
        <v>429</v>
      </c>
      <c r="C31" s="42" t="n">
        <f aca="false">IF(SUM(D38:I38)&lt;=0,-1,IFERROR(IRR(C38:I38,MAX(-0.9,(SUM(D38:I38)/-C38)^(1/(COLUMNS(C38:I38)-1))-1)),IRR(C38:I38,0.1)))</f>
        <v>0.0610922495868439</v>
      </c>
    </row>
    <row r="32" customFormat="false" ht="15" hidden="false" customHeight="false" outlineLevel="0" collapsed="false">
      <c r="A32" s="3" t="s">
        <v>430</v>
      </c>
      <c r="C32" s="21" t="n">
        <f aca="false">SUMPRODUCT(C12:E12,C27:E27)</f>
        <v>0.0579772488662152</v>
      </c>
    </row>
    <row r="33" customFormat="false" ht="15" hidden="false" customHeight="false" outlineLevel="0" collapsed="false">
      <c r="A33" s="2" t="s">
        <v>431</v>
      </c>
      <c r="C33" s="44" t="n">
        <f aca="false">SUMPRODUCT(C12:E12,C28:E28)</f>
        <v>1.17826791351217</v>
      </c>
    </row>
    <row r="34" customFormat="false" ht="15" hidden="false" customHeight="false" outlineLevel="0" collapsed="false">
      <c r="A34" s="2" t="s">
        <v>432</v>
      </c>
      <c r="C34" s="42" t="n">
        <f aca="false">SUMPRODUCT(C12:E12,C22:E22)</f>
        <v>0.2</v>
      </c>
    </row>
    <row r="36" customFormat="false" ht="15" hidden="false" customHeight="false" outlineLevel="0" collapsed="false">
      <c r="A36" s="9" t="s">
        <v>433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7"/>
      <c r="B37" s="7"/>
      <c r="C37" s="7" t="s">
        <v>434</v>
      </c>
      <c r="D37" s="7" t="s">
        <v>435</v>
      </c>
      <c r="E37" s="7" t="s">
        <v>436</v>
      </c>
      <c r="F37" s="7" t="s">
        <v>437</v>
      </c>
      <c r="G37" s="7" t="s">
        <v>438</v>
      </c>
      <c r="H37" s="7" t="s">
        <v>439</v>
      </c>
      <c r="I37" s="7" t="s">
        <v>440</v>
      </c>
    </row>
    <row r="38" customFormat="false" ht="15" hidden="false" customHeight="false" outlineLevel="0" collapsed="false">
      <c r="A38" s="3" t="s">
        <v>441</v>
      </c>
      <c r="C38" s="25" t="n">
        <f aca="false">C$12*'Calc Engine'!C315+D$12*'Calc Engine'!C639+E$12*'Calc Engine'!C963</f>
        <v>-95</v>
      </c>
      <c r="D38" s="25" t="n">
        <f aca="false">C$12*'Calc Engine'!D315+D$12*'Calc Engine'!D639+E$12*'Calc Engine'!D963</f>
        <v>10.5</v>
      </c>
      <c r="E38" s="25" t="n">
        <f aca="false">C$12*'Calc Engine'!E315+D$12*'Calc Engine'!E639+E$12*'Calc Engine'!E963</f>
        <v>10.5</v>
      </c>
      <c r="F38" s="25" t="n">
        <f aca="false">C$12*'Calc Engine'!F315+D$12*'Calc Engine'!F639+E$12*'Calc Engine'!F963</f>
        <v>83.9463061656105</v>
      </c>
      <c r="G38" s="25" t="n">
        <f aca="false">C$12*'Calc Engine'!G315+D$12*'Calc Engine'!G639+E$12*'Calc Engine'!G963</f>
        <v>6.9891456180452</v>
      </c>
      <c r="H38" s="25" t="n">
        <f aca="false">C$12*'Calc Engine'!H315+D$12*'Calc Engine'!H639+E$12*'Calc Engine'!H963</f>
        <v>0</v>
      </c>
      <c r="I38" s="25" t="n">
        <f aca="false">C$12*'Calc Engine'!I315+D$12*'Calc Engine'!I639+E$12*'Calc Engine'!I963</f>
        <v>0</v>
      </c>
    </row>
    <row r="40" customFormat="false" ht="15" hidden="false" customHeight="false" outlineLevel="0" collapsed="false">
      <c r="A40" s="7" t="s">
        <v>442</v>
      </c>
      <c r="B40" s="7"/>
      <c r="C40" s="7" t="s">
        <v>443</v>
      </c>
      <c r="D40" s="7" t="s">
        <v>46</v>
      </c>
      <c r="E40" s="7" t="s">
        <v>444</v>
      </c>
    </row>
    <row r="41" customFormat="false" ht="15" hidden="false" customHeight="false" outlineLevel="0" collapsed="false">
      <c r="A41" s="3" t="s">
        <v>445</v>
      </c>
      <c r="C41" s="29" t="n">
        <f aca="false">'Operating Model'!K17</f>
        <v>163.037568277116</v>
      </c>
      <c r="D41" s="25" t="n">
        <f aca="false">CHOOSE(Assumptions!$C$10,'Calc Engine'!K23,'Calc Engine'!K347,'Calc Engine'!K671)</f>
        <v>163.037568277116</v>
      </c>
      <c r="E41" s="25" t="n">
        <f aca="false">C41-D41</f>
        <v>0</v>
      </c>
    </row>
    <row r="42" customFormat="false" ht="15" hidden="false" customHeight="false" outlineLevel="0" collapsed="false">
      <c r="A42" s="3" t="s">
        <v>446</v>
      </c>
      <c r="C42" s="29" t="n">
        <f aca="false">'Debt Schedule'!K56</f>
        <v>1315.098</v>
      </c>
      <c r="D42" s="25" t="n">
        <f aca="false">CHOOSE(Assumptions!$C$10,'Calc Engine'!K88,'Calc Engine'!K412,'Calc Engine'!K736)</f>
        <v>1315.098</v>
      </c>
      <c r="E42" s="25" t="n">
        <f aca="false">C42-D42</f>
        <v>0</v>
      </c>
    </row>
    <row r="43" customFormat="false" ht="15" hidden="false" customHeight="false" outlineLevel="0" collapsed="false">
      <c r="A43" s="3" t="s">
        <v>447</v>
      </c>
      <c r="C43" s="29" t="n">
        <f aca="false">'Cash Flow'!K19</f>
        <v>118.677412856212</v>
      </c>
      <c r="D43" s="25" t="n">
        <f aca="false">CHOOSE(Assumptions!$C$10,'Calc Engine'!K118,'Calc Engine'!K442,'Calc Engine'!K766)</f>
        <v>118.677412856212</v>
      </c>
      <c r="E43" s="25" t="n">
        <f aca="false">C43-D43</f>
        <v>0</v>
      </c>
    </row>
    <row r="44" customFormat="false" ht="15" hidden="false" customHeight="false" outlineLevel="0" collapsed="false">
      <c r="A44" s="3" t="s">
        <v>448</v>
      </c>
      <c r="C44" s="29" t="n">
        <f aca="false">Returns!C93</f>
        <v>75.1374128562126</v>
      </c>
      <c r="D44" s="25" t="n">
        <f aca="false">CHOOSE(Assumptions!$C$10,'Calc Engine'!C325,'Calc Engine'!C649,'Calc Engine'!C973)</f>
        <v>75.1374128562126</v>
      </c>
      <c r="E44" s="25" t="n">
        <f aca="false">C44-D44</f>
        <v>0</v>
      </c>
    </row>
    <row r="45" customFormat="false" ht="15" hidden="false" customHeight="false" outlineLevel="0" collapsed="false">
      <c r="A45" s="3" t="s">
        <v>449</v>
      </c>
      <c r="C45" s="29" t="n">
        <f aca="false">Recovery!C15</f>
        <v>852.346470103234</v>
      </c>
      <c r="D45" s="25" t="n">
        <f aca="false">CHOOSE(Assumptions!$C$10,'Calc Engine'!C176,'Calc Engine'!C500,'Calc Engine'!C824)</f>
        <v>852.346470103234</v>
      </c>
      <c r="E45" s="25" t="n">
        <f aca="false">C45-D45</f>
        <v>0</v>
      </c>
    </row>
    <row r="46" customFormat="false" ht="15" hidden="false" customHeight="false" outlineLevel="0" collapsed="false">
      <c r="A46" s="3" t="s">
        <v>450</v>
      </c>
      <c r="C46" s="27" t="n">
        <f aca="false">'Credit Metrics'!C46</f>
        <v>11</v>
      </c>
      <c r="D46" s="20" t="n">
        <f aca="false">CHOOSE(Assumptions!$C$10,'Calc Engine'!C164,'Calc Engine'!C488,'Calc Engine'!C812)</f>
        <v>11</v>
      </c>
      <c r="E46" s="20" t="n">
        <f aca="false">C46-D46</f>
        <v>0</v>
      </c>
    </row>
    <row r="47" customFormat="false" ht="15" hidden="false" customHeight="false" outlineLevel="0" collapsed="false">
      <c r="A47" s="3" t="s">
        <v>426</v>
      </c>
      <c r="C47" s="30" t="n">
        <f aca="false">Returns!C90</f>
        <v>0.0653848807562152</v>
      </c>
      <c r="D47" s="31" t="n">
        <f aca="false">CHOOSE(Assumptions!$C$10,'Calc Engine'!C322,'Calc Engine'!C646,'Calc Engine'!C970)</f>
        <v>0.0653848807562152</v>
      </c>
      <c r="E47" s="31" t="n">
        <f aca="false">C47-D47</f>
        <v>0</v>
      </c>
    </row>
    <row r="48" customFormat="false" ht="15" hidden="false" customHeight="false" outlineLevel="0" collapsed="false">
      <c r="A48" s="3" t="s">
        <v>427</v>
      </c>
      <c r="C48" s="33" t="n">
        <f aca="false">Returns!C89</f>
        <v>1.18710695234919</v>
      </c>
      <c r="D48" s="32" t="n">
        <f aca="false">CHOOSE(Assumptions!$C$10,'Calc Engine'!C321,'Calc Engine'!C645,'Calc Engine'!C969)</f>
        <v>1.18710695234919</v>
      </c>
      <c r="E48" s="32" t="n">
        <f aca="false">C48-D48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451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as of "&amp;TEXT(Assumptions!$C$8,"yyyy-mm-dd")&amp;" · $M"</f>
        <v>AMC Networks (AMC Global Media) · PUBLIC DATA CASE · HYPOTHETICAL INVESTMENT TERMS · as of 2026-06-30 · $M</v>
      </c>
    </row>
    <row r="4" customFormat="false" ht="15" hidden="false" customHeight="false" outlineLevel="0" collapsed="false">
      <c r="A4" s="7" t="s">
        <v>119</v>
      </c>
      <c r="B4" s="7" t="s">
        <v>120</v>
      </c>
      <c r="C4" s="7" t="s">
        <v>131</v>
      </c>
      <c r="D4" s="7" t="s">
        <v>452</v>
      </c>
      <c r="E4" s="7" t="s">
        <v>453</v>
      </c>
      <c r="F4" s="7" t="s">
        <v>454</v>
      </c>
      <c r="G4" s="7" t="s">
        <v>455</v>
      </c>
      <c r="H4" s="7" t="s">
        <v>128</v>
      </c>
      <c r="I4" s="7" t="s">
        <v>456</v>
      </c>
      <c r="J4" s="7" t="s">
        <v>457</v>
      </c>
      <c r="K4" s="7" t="s">
        <v>136</v>
      </c>
      <c r="L4" s="7" t="s">
        <v>458</v>
      </c>
    </row>
    <row r="5" customFormat="false" ht="15" hidden="false" customHeight="false" outlineLevel="0" collapsed="false">
      <c r="A5" s="6" t="str">
        <f aca="false">Assumptions!$A$56</f>
        <v>10.50% Senior Secured Notes due 2032</v>
      </c>
      <c r="B5" s="6" t="str">
        <f aca="false">Assumptions!$B$56</f>
        <v>senior_notes</v>
      </c>
      <c r="C5" s="27" t="n">
        <f aca="false">Assumptions!$M$56</f>
        <v>1</v>
      </c>
      <c r="D5" s="3" t="str">
        <f aca="false">IF(Assumptions!$O$56=1,"Secured","Unsecured")</f>
        <v>Secured</v>
      </c>
      <c r="E5" s="29" t="n">
        <f aca="false">Assumptions!$C$56</f>
        <v>1315.098</v>
      </c>
      <c r="F5" s="30" t="n">
        <f aca="false">'Debt Schedule'!G20</f>
        <v>0.105</v>
      </c>
      <c r="G5" s="25" t="n">
        <f aca="false">E5*F5</f>
        <v>138.08529</v>
      </c>
      <c r="H5" s="45" t="n">
        <f aca="false">Assumptions!$J$56</f>
        <v>48410</v>
      </c>
      <c r="I5" s="32" t="n">
        <f aca="false">SUMIF($C$5:$C$7,"&lt;="&amp;C5,$E$5:$E$7)/'Operating Model'!F17</f>
        <v>4.20098707853504</v>
      </c>
      <c r="J5" s="21" t="n">
        <f aca="false">E5/($E$8+$E$12)</f>
        <v>0.60167078158988</v>
      </c>
      <c r="K5" s="40" t="n">
        <f aca="false">Assumptions!$R$56</f>
        <v>95</v>
      </c>
      <c r="L5" s="25" t="n">
        <f aca="false">E5*K5/100</f>
        <v>1249.3431</v>
      </c>
    </row>
    <row r="6" customFormat="false" ht="15" hidden="false" customHeight="false" outlineLevel="0" collapsed="false">
      <c r="A6" s="6" t="str">
        <f aca="false">Assumptions!$A$57</f>
        <v>4.25% Senior Notes due 2029</v>
      </c>
      <c r="B6" s="6" t="str">
        <f aca="false">Assumptions!$B$57</f>
        <v>unsecured_notes</v>
      </c>
      <c r="C6" s="27" t="n">
        <f aca="false">Assumptions!$M$57</f>
        <v>2</v>
      </c>
      <c r="D6" s="3" t="str">
        <f aca="false">IF(Assumptions!$O$57=1,"Secured","Unsecured")</f>
        <v>Unsecured</v>
      </c>
      <c r="E6" s="29" t="n">
        <f aca="false">Assumptions!$C$57</f>
        <v>276.706</v>
      </c>
      <c r="F6" s="30" t="n">
        <f aca="false">'Debt Schedule'!G33</f>
        <v>0.0425</v>
      </c>
      <c r="G6" s="25" t="n">
        <f aca="false">E6*F6</f>
        <v>11.760005</v>
      </c>
      <c r="H6" s="45" t="n">
        <f aca="false">Assumptions!$J$57</f>
        <v>47164</v>
      </c>
      <c r="I6" s="32" t="n">
        <f aca="false">SUMIF($C$5:$C$7,"&lt;="&amp;C6,$E$5:$E$7)/'Operating Model'!F17</f>
        <v>5.54410388282835</v>
      </c>
      <c r="J6" s="21" t="n">
        <f aca="false">E6/($E$8+$E$12)</f>
        <v>0.126595824258427</v>
      </c>
      <c r="K6" s="40" t="n">
        <f aca="false">Assumptions!$R$57</f>
        <v>100</v>
      </c>
      <c r="L6" s="25" t="n">
        <f aca="false">E6*K6/100</f>
        <v>276.706</v>
      </c>
    </row>
    <row r="7" customFormat="false" ht="15" hidden="false" customHeight="false" outlineLevel="0" collapsed="false">
      <c r="A7" s="6" t="str">
        <f aca="false">Assumptions!$A$58</f>
        <v>4.25% Convertible Senior Notes due 2029</v>
      </c>
      <c r="B7" s="6" t="str">
        <f aca="false">Assumptions!$B$58</f>
        <v>convertible</v>
      </c>
      <c r="C7" s="27" t="n">
        <f aca="false">Assumptions!$M$58</f>
        <v>2</v>
      </c>
      <c r="D7" s="3" t="str">
        <f aca="false">IF(Assumptions!$O$58=1,"Secured","Unsecured")</f>
        <v>Unsecured</v>
      </c>
      <c r="E7" s="29" t="n">
        <f aca="false">Assumptions!$C$58</f>
        <v>143.75</v>
      </c>
      <c r="F7" s="30" t="n">
        <f aca="false">'Debt Schedule'!G46</f>
        <v>0.0425</v>
      </c>
      <c r="G7" s="25" t="n">
        <f aca="false">E7*F7</f>
        <v>6.109375</v>
      </c>
      <c r="H7" s="45" t="n">
        <f aca="false">Assumptions!$J$58</f>
        <v>47164</v>
      </c>
      <c r="I7" s="32" t="n">
        <f aca="false">SUMIF($C$5:$C$7,"&lt;="&amp;C7,$E$5:$E$7)/'Operating Model'!F17</f>
        <v>5.54410388282835</v>
      </c>
      <c r="J7" s="21" t="n">
        <f aca="false">E7/($E$8+$E$12)</f>
        <v>0.0657670948123602</v>
      </c>
      <c r="K7" s="40" t="n">
        <f aca="false">Assumptions!$R$58</f>
        <v>100</v>
      </c>
      <c r="L7" s="25" t="n">
        <f aca="false">E7*K7/100</f>
        <v>143.75</v>
      </c>
    </row>
    <row r="8" customFormat="false" ht="15" hidden="false" customHeight="false" outlineLevel="0" collapsed="false">
      <c r="A8" s="2" t="s">
        <v>459</v>
      </c>
      <c r="E8" s="16" t="n">
        <f aca="false">SUM(E5:E7)</f>
        <v>1735.554</v>
      </c>
      <c r="G8" s="16" t="n">
        <f aca="false">SUM(G5:G7)</f>
        <v>155.95467</v>
      </c>
      <c r="I8" s="44" t="n">
        <f aca="false">E8/'Operating Model'!F17</f>
        <v>5.54410388282835</v>
      </c>
      <c r="L8" s="16" t="n">
        <f aca="false">SUM(L5:L7)</f>
        <v>1669.7991</v>
      </c>
    </row>
    <row r="9" customFormat="false" ht="15" hidden="false" customHeight="false" outlineLevel="0" collapsed="false">
      <c r="A9" s="3" t="s">
        <v>460</v>
      </c>
      <c r="E9" s="29" t="n">
        <f aca="false">Assumptions!$C$11</f>
        <v>463.996</v>
      </c>
    </row>
    <row r="10" customFormat="false" ht="15" hidden="false" customHeight="false" outlineLevel="0" collapsed="false">
      <c r="A10" s="2" t="s">
        <v>361</v>
      </c>
      <c r="E10" s="16" t="n">
        <f aca="false">E8-E9</f>
        <v>1271.558</v>
      </c>
      <c r="I10" s="44" t="n">
        <f aca="false">E10/'Operating Model'!F17</f>
        <v>4.06190164353368</v>
      </c>
    </row>
    <row r="11" customFormat="false" ht="15" hidden="false" customHeight="false" outlineLevel="0" collapsed="false">
      <c r="A11" s="3" t="s">
        <v>461</v>
      </c>
      <c r="E11" s="25" t="n">
        <f aca="false">'Operating Model'!F17*Assumptions!$C$21</f>
        <v>1721.7475</v>
      </c>
    </row>
    <row r="12" customFormat="false" ht="15" hidden="false" customHeight="false" outlineLevel="0" collapsed="false">
      <c r="A12" s="2" t="s">
        <v>462</v>
      </c>
      <c r="E12" s="16" t="n">
        <f aca="false">MAX(0,E11-E10)</f>
        <v>450.189499999999</v>
      </c>
    </row>
    <row r="13" customFormat="false" ht="15" hidden="false" customHeight="false" outlineLevel="0" collapsed="false">
      <c r="A13" s="3" t="s">
        <v>367</v>
      </c>
      <c r="E13" s="29" t="n">
        <f aca="false">'Credit Metrics'!F16</f>
        <v>463.996</v>
      </c>
    </row>
    <row r="14" customFormat="false" ht="15" hidden="false" customHeight="false" outlineLevel="0" collapsed="false">
      <c r="A14" s="3" t="s">
        <v>463</v>
      </c>
      <c r="E14" s="29" t="n">
        <f aca="false">Assumptions!$C$30</f>
        <v>2454.971</v>
      </c>
    </row>
    <row r="15" customFormat="false" ht="15" hidden="false" customHeight="false" outlineLevel="0" collapsed="false">
      <c r="A15" s="3" t="s">
        <v>464</v>
      </c>
      <c r="E15" s="21" t="n">
        <f aca="false">SUMIF($C$5:$C$7,"&lt;="&amp;INDEX($C$5:$C$7,Assumptions!$C$33),$E$5:$E$7)/E14</f>
        <v>0.53568779427537</v>
      </c>
    </row>
    <row r="18" customFormat="false" ht="15" hidden="false" customHeight="false" outlineLevel="0" collapsed="false">
      <c r="A18" s="9" t="s">
        <v>465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false" outlineLevel="0" collapsed="false">
      <c r="A19" s="7" t="s">
        <v>466</v>
      </c>
      <c r="B19" s="7"/>
      <c r="C19" s="7" t="s">
        <v>467</v>
      </c>
      <c r="D19" s="7" t="s">
        <v>200</v>
      </c>
      <c r="E19" s="7" t="s">
        <v>468</v>
      </c>
      <c r="F19" s="7" t="s">
        <v>469</v>
      </c>
      <c r="G19" s="7" t="s">
        <v>470</v>
      </c>
      <c r="H19" s="7" t="s">
        <v>471</v>
      </c>
      <c r="I19" s="7" t="s">
        <v>472</v>
      </c>
      <c r="J19" s="7" t="s">
        <v>473</v>
      </c>
    </row>
    <row r="20" customFormat="false" ht="15" hidden="false" customHeight="false" outlineLevel="0" collapsed="false">
      <c r="A20" s="3" t="str">
        <f aca="false">"LTM Jun-27E"&amp;" (period ending "&amp;'Operating Model'!G7&amp;")"</f>
        <v>LTM Jun-27E (period ending 2027)</v>
      </c>
      <c r="C20" s="29" t="n">
        <f aca="false">'Debt Schedule'!G57</f>
        <v>0</v>
      </c>
      <c r="D20" s="21" t="n">
        <f aca="false">C20/$E$8</f>
        <v>0</v>
      </c>
      <c r="E20" s="21" t="n">
        <f aca="false">SUM($D$20:D20)</f>
        <v>0</v>
      </c>
      <c r="F20" s="25" t="n">
        <f aca="false">MAX(0,Assumptions!$C$11)+('Credit Metrics'!F16-MAX(0,Assumptions!$C$11))+MAX(0,'Operating Model'!G30)</f>
        <v>518.82154744</v>
      </c>
      <c r="G20" s="25" t="n">
        <f aca="false">MAX(0,C20-F20)</f>
        <v>0</v>
      </c>
      <c r="H20" s="32" t="n">
        <f aca="false">IF(C20&gt;0,F20/C20,0)</f>
        <v>0</v>
      </c>
      <c r="I20" s="3" t="str">
        <f aca="false">IF(AND(G20&gt;0,D20&gt;=Assumptions!$C$19),"High",IF(OR(G20&gt;0,D20&gt;=Assumptions!$C$20),"Medium","Low"))</f>
        <v>Low</v>
      </c>
      <c r="J20" s="3" t="str">
        <f aca="false">IF(I20="High","$"&amp;TEXT(C20,"#,##0")&amp;"M maturity; only $"&amp;TEXT(F20,"#,##0")&amp;"M projected liquidity; $"&amp;TEXT(G20,"#,##0")&amp;"M refinancing requirement","–")</f>
        <v>–</v>
      </c>
    </row>
    <row r="21" customFormat="false" ht="15" hidden="false" customHeight="false" outlineLevel="0" collapsed="false">
      <c r="A21" s="3" t="str">
        <f aca="false">"LTM Jun-28E"&amp;" (period ending "&amp;'Operating Model'!H7&amp;")"</f>
        <v>LTM Jun-28E (period ending 2028)</v>
      </c>
      <c r="C21" s="29" t="n">
        <f aca="false">'Debt Schedule'!H57</f>
        <v>0</v>
      </c>
      <c r="D21" s="21" t="n">
        <f aca="false">C21/$E$8</f>
        <v>0</v>
      </c>
      <c r="E21" s="21" t="n">
        <f aca="false">SUM($D$20:D21)</f>
        <v>0</v>
      </c>
      <c r="F21" s="25" t="n">
        <f aca="false">MAX(0,'Cash Flow'!G19)+('Credit Metrics'!G16-MAX(0,'Cash Flow'!G19))+MAX(0,'Operating Model'!H30)</f>
        <v>539.6742833632</v>
      </c>
      <c r="G21" s="25" t="n">
        <f aca="false">MAX(0,C21-F21)</f>
        <v>0</v>
      </c>
      <c r="H21" s="32" t="n">
        <f aca="false">IF(C21&gt;0,F21/C21,0)</f>
        <v>0</v>
      </c>
      <c r="I21" s="3" t="str">
        <f aca="false">IF(AND(G21&gt;0,D21&gt;=Assumptions!$C$19),"High",IF(OR(G21&gt;0,D21&gt;=Assumptions!$C$20),"Medium","Low"))</f>
        <v>Low</v>
      </c>
      <c r="J21" s="3" t="str">
        <f aca="false">IF(I21="High","$"&amp;TEXT(C21,"#,##0")&amp;"M maturity; only $"&amp;TEXT(F21,"#,##0")&amp;"M projected liquidity; $"&amp;TEXT(G21,"#,##0")&amp;"M refinancing requirement","–")</f>
        <v>–</v>
      </c>
    </row>
    <row r="22" customFormat="false" ht="15" hidden="false" customHeight="false" outlineLevel="0" collapsed="false">
      <c r="A22" s="3" t="str">
        <f aca="false">"LTM Jun-29E"&amp;" (period ending "&amp;'Operating Model'!I7&amp;")"</f>
        <v>LTM Jun-29E (period ending 2029)</v>
      </c>
      <c r="C22" s="29" t="n">
        <f aca="false">'Debt Schedule'!I57</f>
        <v>420.456</v>
      </c>
      <c r="D22" s="21" t="n">
        <f aca="false">C22/$E$8</f>
        <v>0.242260396392161</v>
      </c>
      <c r="E22" s="21" t="n">
        <f aca="false">SUM($D$20:D22)</f>
        <v>0.242260396392161</v>
      </c>
      <c r="F22" s="25" t="n">
        <f aca="false">MAX(0,'Cash Flow'!H19)+('Credit Metrics'!H16-MAX(0,'Cash Flow'!H19))+MAX(0,'Operating Model'!I30)</f>
        <v>540.886022671888</v>
      </c>
      <c r="G22" s="25" t="n">
        <f aca="false">MAX(0,C22-F22)</f>
        <v>0</v>
      </c>
      <c r="H22" s="32" t="n">
        <f aca="false">IF(C22&gt;0,F22/C22,0)</f>
        <v>1.28642717114725</v>
      </c>
      <c r="I22" s="3" t="str">
        <f aca="false">IF(AND(G22&gt;0,D22&gt;=Assumptions!$C$19),"High",IF(OR(G22&gt;0,D22&gt;=Assumptions!$C$20),"Medium","Low"))</f>
        <v>Low</v>
      </c>
      <c r="J22" s="3" t="str">
        <f aca="false">IF(I22="High","$"&amp;TEXT(C22,"#,##0")&amp;"M maturity; only $"&amp;TEXT(F22,"#,##0")&amp;"M projected liquidity; $"&amp;TEXT(G22,"#,##0")&amp;"M refinancing requirement","–")</f>
        <v>–</v>
      </c>
    </row>
    <row r="23" customFormat="false" ht="15" hidden="false" customHeight="false" outlineLevel="0" collapsed="false">
      <c r="A23" s="3" t="str">
        <f aca="false">"LTM Jun-30E"&amp;" (period ending "&amp;'Operating Model'!J7&amp;")"</f>
        <v>LTM Jun-30E (period ending 2030)</v>
      </c>
      <c r="C23" s="29" t="n">
        <f aca="false">'Debt Schedule'!J57</f>
        <v>0</v>
      </c>
      <c r="D23" s="21" t="n">
        <f aca="false">C23/$E$8</f>
        <v>0</v>
      </c>
      <c r="E23" s="21" t="n">
        <f aca="false">SUM($D$20:D23)</f>
        <v>0.242260396392161</v>
      </c>
      <c r="F23" s="25" t="n">
        <f aca="false">MAX(0,'Cash Flow'!I19)+('Credit Metrics'!I16-MAX(0,'Cash Flow'!I19))+MAX(0,'Operating Model'!J30)</f>
        <v>123.071896868977</v>
      </c>
      <c r="G23" s="25" t="n">
        <f aca="false">MAX(0,C23-F23)</f>
        <v>0</v>
      </c>
      <c r="H23" s="32" t="n">
        <f aca="false">IF(C23&gt;0,F23/C23,0)</f>
        <v>0</v>
      </c>
      <c r="I23" s="3" t="str">
        <f aca="false">IF(AND(G23&gt;0,D23&gt;=Assumptions!$C$19),"High",IF(OR(G23&gt;0,D23&gt;=Assumptions!$C$20),"Medium","Low"))</f>
        <v>Low</v>
      </c>
      <c r="J23" s="3" t="str">
        <f aca="false">IF(I23="High","$"&amp;TEXT(C23,"#,##0")&amp;"M maturity; only $"&amp;TEXT(F23,"#,##0")&amp;"M projected liquidity; $"&amp;TEXT(G23,"#,##0")&amp;"M refinancing requirement","–")</f>
        <v>–</v>
      </c>
    </row>
    <row r="24" customFormat="false" ht="15" hidden="false" customHeight="false" outlineLevel="0" collapsed="false">
      <c r="A24" s="3" t="str">
        <f aca="false">"LTM Jun-31E"&amp;" (period ending "&amp;'Operating Model'!K7&amp;")"</f>
        <v>LTM Jun-31E (period ending 2031)</v>
      </c>
      <c r="C24" s="29" t="n">
        <f aca="false">'Debt Schedule'!K57</f>
        <v>0</v>
      </c>
      <c r="D24" s="21" t="n">
        <f aca="false">C24/$E$8</f>
        <v>0</v>
      </c>
      <c r="E24" s="21" t="n">
        <f aca="false">SUM($D$20:D24)</f>
        <v>0.242260396392161</v>
      </c>
      <c r="F24" s="25" t="n">
        <f aca="false">MAX(0,'Cash Flow'!J19)+('Credit Metrics'!J16-MAX(0,'Cash Flow'!J19))+MAX(0,'Operating Model'!K30)</f>
        <v>123.071896868977</v>
      </c>
      <c r="G24" s="25" t="n">
        <f aca="false">MAX(0,C24-F24)</f>
        <v>0</v>
      </c>
      <c r="H24" s="32" t="n">
        <f aca="false">IF(C24&gt;0,F24/C24,0)</f>
        <v>0</v>
      </c>
      <c r="I24" s="3" t="str">
        <f aca="false">IF(AND(G24&gt;0,D24&gt;=Assumptions!$C$19),"High",IF(OR(G24&gt;0,D24&gt;=Assumptions!$C$20),"Medium","Low"))</f>
        <v>Low</v>
      </c>
      <c r="J24" s="3" t="str">
        <f aca="false">IF(I24="High","$"&amp;TEXT(C24,"#,##0")&amp;"M maturity; only $"&amp;TEXT(F24,"#,##0")&amp;"M projected liquidity; $"&amp;TEXT(G24,"#,##0")&amp;"M refinancing requirement","–")</f>
        <v>–</v>
      </c>
    </row>
    <row r="25" customFormat="false" ht="15" hidden="false" customHeight="false" outlineLevel="0" collapsed="false">
      <c r="A25" s="2" t="s">
        <v>474</v>
      </c>
      <c r="C25" s="16" t="n">
        <f aca="false">SUM(C20:C24)</f>
        <v>420.456</v>
      </c>
      <c r="D25" s="21" t="n">
        <f aca="false">C25/$E$8</f>
        <v>0.242260396392161</v>
      </c>
    </row>
    <row r="26" customFormat="false" ht="15" hidden="false" customHeight="false" outlineLevel="0" collapsed="false">
      <c r="A26" s="3" t="s">
        <v>475</v>
      </c>
      <c r="C26" s="25" t="n">
        <f aca="false">$E$8-C25</f>
        <v>1315.098</v>
      </c>
    </row>
    <row r="28" customFormat="false" ht="15" hidden="false" customHeight="false" outlineLevel="0" collapsed="false">
      <c r="A28" s="2" t="s">
        <v>476</v>
      </c>
      <c r="C28" s="2" t="str">
        <f aca="false">IF(MAX(D20:D24)&gt;=Assumptions!$C$20,"CONCENTRATED: "&amp;TEXT(MAX(D20:D24),"0%")&amp;" of debt in "&amp;INDEX(A20:A24,MATCH(MAX(D20:D24),D20:D24,0)),"No single-period concentration")</f>
        <v>No single-period concentration</v>
      </c>
    </row>
    <row r="29" customFormat="false" ht="15" hidden="false" customHeight="false" outlineLevel="0" collapsed="false">
      <c r="A29" s="2" t="s">
        <v>477</v>
      </c>
      <c r="C29" s="25" t="n">
        <f aca="false">SUMPRODUCT((Assumptions!$K$56:$K$58&lt;=Assumptions!$C$6+Assumptions!$C$18)*Assumptions!$C$56:$C$58)</f>
        <v>0</v>
      </c>
      <c r="D29" s="21" t="n">
        <f aca="false">C29/E8</f>
        <v>0</v>
      </c>
    </row>
    <row r="30" customFormat="false" ht="15" hidden="false" customHeight="false" outlineLevel="0" collapsed="false">
      <c r="A30" s="2" t="s">
        <v>478</v>
      </c>
      <c r="C30" s="2" t="str">
        <f aca="false">IF(D29&gt;=Assumptions!$C$19,"ALERT: "&amp;TEXT(D29,"0%")&amp;" of debt ($"&amp;TEXT(C29,"#,##0")&amp;"M) due within "&amp;Assumptions!$C$18&amp;" period(s); liquidity covers "&amp;TEXT(E13/C29,"0%"),"OK: no material maturities within window")</f>
        <v>OK: no material maturities within window</v>
      </c>
    </row>
    <row r="32" customFormat="false" ht="15" hidden="false" customHeight="false" outlineLevel="0" collapsed="false">
      <c r="A32" s="9" t="s">
        <v>479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false" outlineLevel="0" collapsed="false">
      <c r="A33" s="7" t="s">
        <v>480</v>
      </c>
      <c r="B33" s="7"/>
      <c r="C33" s="7" t="s">
        <v>481</v>
      </c>
      <c r="D33" s="7" t="s">
        <v>482</v>
      </c>
      <c r="E33" s="7" t="s">
        <v>483</v>
      </c>
      <c r="F33" s="7" t="s">
        <v>484</v>
      </c>
    </row>
    <row r="34" customFormat="false" ht="15" hidden="false" customHeight="false" outlineLevel="0" collapsed="false">
      <c r="A34" s="6" t="str">
        <f aca="false">Assumptions!$A$56</f>
        <v>10.50% Senior Secured Notes due 2032</v>
      </c>
      <c r="C34" s="29" t="n">
        <f aca="false">'Debt Schedule'!C59</f>
        <v>0</v>
      </c>
      <c r="D34" s="29" t="n">
        <f aca="false">'Debt Schedule'!C60</f>
        <v>0</v>
      </c>
      <c r="E34" s="6" t="str">
        <f aca="false">'Debt Schedule'!C61</f>
        <v>n/a (beyond horizon)</v>
      </c>
      <c r="F34" s="6" t="str">
        <f aca="false">'Debt Schedule'!C62</f>
        <v>n/a</v>
      </c>
    </row>
    <row r="35" customFormat="false" ht="15" hidden="false" customHeight="false" outlineLevel="0" collapsed="false">
      <c r="A35" s="6" t="str">
        <f aca="false">Assumptions!$A$57</f>
        <v>4.25% Senior Notes due 2029</v>
      </c>
      <c r="C35" s="29" t="n">
        <f aca="false">'Debt Schedule'!C63</f>
        <v>276.706</v>
      </c>
      <c r="D35" s="29" t="n">
        <f aca="false">'Debt Schedule'!C64</f>
        <v>276.706</v>
      </c>
      <c r="E35" s="6" t="str">
        <f aca="false">'Debt Schedule'!C65</f>
        <v>REFINANCING FAILURE</v>
      </c>
      <c r="F35" s="6" t="str">
        <f aca="false">'Debt Schedule'!C66</f>
        <v>Repaid from cash</v>
      </c>
    </row>
    <row r="36" customFormat="false" ht="15" hidden="false" customHeight="false" outlineLevel="0" collapsed="false">
      <c r="A36" s="6" t="str">
        <f aca="false">Assumptions!$A$58</f>
        <v>4.25% Convertible Senior Notes due 2029</v>
      </c>
      <c r="C36" s="29" t="n">
        <f aca="false">'Debt Schedule'!C67</f>
        <v>143.75</v>
      </c>
      <c r="D36" s="29" t="n">
        <f aca="false">'Debt Schedule'!C68</f>
        <v>143.75</v>
      </c>
      <c r="E36" s="6" t="str">
        <f aca="false">'Debt Schedule'!C69</f>
        <v>REFINANCING FAILURE</v>
      </c>
      <c r="F36" s="6" t="str">
        <f aca="false">'Debt Schedule'!C70</f>
        <v>Repaid from cash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485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386</v>
      </c>
      <c r="D4" s="7"/>
      <c r="E4" s="7"/>
      <c r="F4" s="7"/>
      <c r="G4" s="7"/>
      <c r="H4" s="7"/>
      <c r="I4" s="7"/>
      <c r="J4" s="7"/>
      <c r="K4" s="7"/>
    </row>
    <row r="6" customFormat="false" ht="15" hidden="false" customHeight="false" outlineLevel="0" collapsed="false">
      <c r="A6" s="23" t="s">
        <v>486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487</v>
      </c>
      <c r="G7" s="20" t="n">
        <f aca="false">IF($C$8=1,'Cash Flow'!G22,IF('Operating Model'!G17=MIN('Operating Model'!$G$17:$K$17),1,0))</f>
        <v>0</v>
      </c>
      <c r="H7" s="20" t="n">
        <f aca="false">IF($C$8=1,'Cash Flow'!H22,IF(AND('Operating Model'!H17=MIN('Operating Model'!$G$17:$K$17),SUM($G$7:G7)=0),1,0))</f>
        <v>0</v>
      </c>
      <c r="I7" s="20" t="n">
        <f aca="false">IF($C$8=1,'Cash Flow'!I22,IF(AND('Operating Model'!I17=MIN('Operating Model'!$G$17:$K$17),SUM($G$7:H7)=0),1,0))</f>
        <v>0</v>
      </c>
      <c r="J7" s="20" t="n">
        <f aca="false">IF($C$8=1,'Cash Flow'!J22,IF(AND('Operating Model'!J17=MIN('Operating Model'!$G$17:$K$17),SUM($G$7:I7)=0),1,0))</f>
        <v>0</v>
      </c>
      <c r="K7" s="20" t="n">
        <f aca="false">IF($C$8=1,'Cash Flow'!K22,IF(AND('Operating Model'!K17=MIN('Operating Model'!$G$17:$K$17),SUM($G$7:J7)=0),1,0))</f>
        <v>1</v>
      </c>
    </row>
    <row r="8" customFormat="false" ht="15" hidden="false" customHeight="false" outlineLevel="0" collapsed="false">
      <c r="A8" s="3" t="s">
        <v>488</v>
      </c>
      <c r="C8" s="20" t="n">
        <f aca="false">IF(SUM('Cash Flow'!$G$22:$K$22)&gt;0,1,0)</f>
        <v>0</v>
      </c>
    </row>
    <row r="9" customFormat="false" ht="15" hidden="false" customHeight="false" outlineLevel="0" collapsed="false">
      <c r="A9" s="3" t="s">
        <v>489</v>
      </c>
      <c r="C9" s="20" t="n">
        <f aca="false">SUMPRODUCT($G$7:$K$7,'Operating Model'!$G$7:$K$7)</f>
        <v>2031</v>
      </c>
    </row>
    <row r="10" customFormat="false" ht="15" hidden="false" customHeight="false" outlineLevel="0" collapsed="false">
      <c r="A10" s="3" t="s">
        <v>490</v>
      </c>
      <c r="C10" s="25" t="n">
        <f aca="false">SUMPRODUCT($G$7:$K$7,'Operating Model'!$G$17:$K$17)</f>
        <v>163.037568277116</v>
      </c>
    </row>
    <row r="11" customFormat="false" ht="15" hidden="false" customHeight="false" outlineLevel="0" collapsed="false">
      <c r="A11" s="3" t="s">
        <v>491</v>
      </c>
      <c r="C11" s="25" t="n">
        <f aca="false">MAX(0,SUMPRODUCT($G$7:$K$7,'Cash Flow'!$G$19:$K$19))</f>
        <v>118.677412856212</v>
      </c>
    </row>
    <row r="12" customFormat="false" ht="15" hidden="false" customHeight="false" outlineLevel="0" collapsed="false">
      <c r="A12" s="3" t="s">
        <v>492</v>
      </c>
      <c r="C12" s="25" t="n">
        <f aca="false">(CHOOSE(Assumptions!$C$10,Assumptions!$C$84,Assumptions!$C$103,Assumptions!$C$122))*C10</f>
        <v>733.669057247022</v>
      </c>
    </row>
    <row r="13" customFormat="false" ht="15" hidden="false" customHeight="false" outlineLevel="0" collapsed="false">
      <c r="A13" s="3" t="s">
        <v>493</v>
      </c>
      <c r="C13" s="25" t="n">
        <f aca="false">Assumptions!$C$30*(1-CHOOSE(Assumptions!$C$10,Assumptions!$C$85,Assumptions!$C$104,Assumptions!$C$123))*CHOOSE(Assumptions!$C$10,Assumptions!$C$86,Assumptions!$C$105,Assumptions!$C$124)</f>
        <v>626.017605</v>
      </c>
    </row>
    <row r="14" customFormat="false" ht="15" hidden="false" customHeight="false" outlineLevel="0" collapsed="false">
      <c r="A14" s="3" t="s">
        <v>494</v>
      </c>
      <c r="C14" s="25" t="n">
        <f aca="false">MAX(C12,C13)+C11</f>
        <v>852.346470103234</v>
      </c>
    </row>
    <row r="15" customFormat="false" ht="15" hidden="false" customHeight="false" outlineLevel="0" collapsed="false">
      <c r="A15" s="2" t="s">
        <v>495</v>
      </c>
      <c r="C15" s="16" t="n">
        <f aca="false">IF(ISNUMBER(Assumptions!$C$14),Assumptions!$C$14,C14)</f>
        <v>852.346470103234</v>
      </c>
    </row>
    <row r="16" customFormat="false" ht="15" hidden="false" customHeight="false" outlineLevel="0" collapsed="false">
      <c r="A16" s="3" t="s">
        <v>496</v>
      </c>
      <c r="C16" s="25" t="n">
        <f aca="false">C15*Assumptions!$C$15</f>
        <v>34.0938588041294</v>
      </c>
    </row>
    <row r="17" customFormat="false" ht="15" hidden="false" customHeight="false" outlineLevel="0" collapsed="false">
      <c r="A17" s="2" t="s">
        <v>497</v>
      </c>
      <c r="C17" s="16" t="n">
        <f aca="false">C15-C16</f>
        <v>818.252611299105</v>
      </c>
    </row>
    <row r="18" customFormat="false" ht="15" hidden="false" customHeight="false" outlineLevel="0" collapsed="false">
      <c r="A18" s="23" t="s">
        <v>498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A19" s="3" t="s">
        <v>499</v>
      </c>
      <c r="C19" s="25" t="n">
        <f aca="false">SUMPRODUCT($G$7:$K$7,'Debt Schedule'!$G$28:$K$28)*(1+SUMPRODUCT($G$7:$K$7,'Debt Schedule'!$G$20:$K$20)*Assumptions!$C$16/12)</f>
        <v>1349.6193225</v>
      </c>
    </row>
    <row r="20" customFormat="false" ht="15" hidden="false" customHeight="false" outlineLevel="0" collapsed="false">
      <c r="A20" s="3" t="s">
        <v>500</v>
      </c>
      <c r="C20" s="25" t="n">
        <f aca="false">SUMPRODUCT($G$7:$K$7,'Debt Schedule'!$G$41:$K$41)*(1+SUMPRODUCT($G$7:$K$7,'Debt Schedule'!$G$33:$K$33)*Assumptions!$C$16/12)</f>
        <v>0</v>
      </c>
    </row>
    <row r="21" customFormat="false" ht="15" hidden="false" customHeight="false" outlineLevel="0" collapsed="false">
      <c r="A21" s="3" t="s">
        <v>501</v>
      </c>
      <c r="C21" s="25" t="n">
        <f aca="false">SUMPRODUCT($G$7:$K$7,'Debt Schedule'!$G$54:$K$54)*(1+SUMPRODUCT($G$7:$K$7,'Debt Schedule'!$G$46:$K$46)*Assumptions!$C$16/12)</f>
        <v>0</v>
      </c>
    </row>
    <row r="22" customFormat="false" ht="15" hidden="false" customHeight="false" outlineLevel="0" collapsed="false">
      <c r="A22" s="23" t="s">
        <v>502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customFormat="false" ht="15" hidden="false" customHeight="false" outlineLevel="0" collapsed="false">
      <c r="A23" s="3" t="s">
        <v>499</v>
      </c>
      <c r="C23" s="27" t="n">
        <f aca="false">Assumptions!$M$56</f>
        <v>1</v>
      </c>
    </row>
    <row r="24" customFormat="false" ht="15" hidden="false" customHeight="false" outlineLevel="0" collapsed="false">
      <c r="A24" s="3" t="s">
        <v>500</v>
      </c>
      <c r="C24" s="27" t="n">
        <f aca="false">Assumptions!$M$57</f>
        <v>2</v>
      </c>
    </row>
    <row r="25" customFormat="false" ht="15" hidden="false" customHeight="false" outlineLevel="0" collapsed="false">
      <c r="A25" s="3" t="s">
        <v>501</v>
      </c>
      <c r="C25" s="27" t="n">
        <f aca="false">Assumptions!$M$58</f>
        <v>2</v>
      </c>
    </row>
    <row r="26" customFormat="false" ht="15" hidden="false" customHeight="false" outlineLevel="0" collapsed="false">
      <c r="A26" s="23" t="s">
        <v>503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customFormat="false" ht="15" hidden="false" customHeight="false" outlineLevel="0" collapsed="false">
      <c r="A27" s="3" t="s">
        <v>499</v>
      </c>
      <c r="C27" s="35" t="n">
        <f aca="false">Assumptions!$Q$56</f>
        <v>0</v>
      </c>
    </row>
    <row r="28" customFormat="false" ht="15" hidden="false" customHeight="false" outlineLevel="0" collapsed="false">
      <c r="A28" s="3" t="s">
        <v>500</v>
      </c>
      <c r="C28" s="35" t="n">
        <f aca="false">Assumptions!$Q$57</f>
        <v>0</v>
      </c>
    </row>
    <row r="29" customFormat="false" ht="15" hidden="false" customHeight="false" outlineLevel="0" collapsed="false">
      <c r="A29" s="3" t="s">
        <v>501</v>
      </c>
      <c r="C29" s="35" t="n">
        <f aca="false">Assumptions!$Q$58</f>
        <v>0</v>
      </c>
    </row>
    <row r="30" customFormat="false" ht="15" hidden="false" customHeight="false" outlineLevel="0" collapsed="false">
      <c r="A30" s="23" t="s">
        <v>504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15" hidden="false" customHeight="false" outlineLevel="0" collapsed="false">
      <c r="A31" s="3" t="s">
        <v>499</v>
      </c>
      <c r="C31" s="25" t="n">
        <f aca="false">IF(C27&gt;0,MIN(C19,C27*$C$17),0)</f>
        <v>0</v>
      </c>
    </row>
    <row r="32" customFormat="false" ht="15" hidden="false" customHeight="false" outlineLevel="0" collapsed="false">
      <c r="A32" s="3" t="s">
        <v>500</v>
      </c>
      <c r="C32" s="25" t="n">
        <f aca="false">IF(C28&gt;0,MIN(C20,C28*$C$17),0)</f>
        <v>0</v>
      </c>
    </row>
    <row r="33" customFormat="false" ht="15" hidden="false" customHeight="false" outlineLevel="0" collapsed="false">
      <c r="A33" s="3" t="s">
        <v>501</v>
      </c>
      <c r="C33" s="25" t="n">
        <f aca="false">IF(C29&gt;0,MIN(C21,C29*$C$17),0)</f>
        <v>0</v>
      </c>
    </row>
    <row r="34" customFormat="false" ht="15" hidden="false" customHeight="false" outlineLevel="0" collapsed="false">
      <c r="A34" s="23" t="s">
        <v>505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customFormat="false" ht="15" hidden="false" customHeight="false" outlineLevel="0" collapsed="false">
      <c r="A35" s="3" t="s">
        <v>499</v>
      </c>
      <c r="C35" s="25" t="n">
        <f aca="false">IF(C27&gt;0,C19-C31,0)</f>
        <v>0</v>
      </c>
      <c r="G35" s="20" t="n">
        <f aca="false">IF(AND('Debt Schedule'!G18=1,'Debt Schedule'!G15=1),1,0)</f>
        <v>0</v>
      </c>
      <c r="H35" s="20" t="n">
        <f aca="false">IF(G35=1,1,IF(AND('Debt Schedule'!H18=1,'Debt Schedule'!H15=1),1,0))</f>
        <v>0</v>
      </c>
      <c r="I35" s="20" t="n">
        <f aca="false">IF(H35=1,1,IF(AND('Debt Schedule'!I18=1,'Debt Schedule'!I15=1),1,0))</f>
        <v>0</v>
      </c>
      <c r="J35" s="20" t="n">
        <f aca="false">IF(I35=1,1,IF(AND('Debt Schedule'!J18=1,'Debt Schedule'!J15=1),1,0))</f>
        <v>0</v>
      </c>
      <c r="K35" s="20" t="n">
        <f aca="false">IF(J35=1,1,IF(AND('Debt Schedule'!K18=1,'Debt Schedule'!K15=1),1,0))</f>
        <v>0</v>
      </c>
    </row>
    <row r="36" customFormat="false" ht="15" hidden="false" customHeight="false" outlineLevel="0" collapsed="false">
      <c r="A36" s="3" t="s">
        <v>500</v>
      </c>
      <c r="C36" s="25" t="n">
        <f aca="false">IF(C28&gt;0,C20-C32,0)</f>
        <v>0</v>
      </c>
      <c r="G36" s="20" t="n">
        <f aca="false">IF(AND('Debt Schedule'!G31=1,'Debt Schedule'!G15=1),1,0)</f>
        <v>0</v>
      </c>
      <c r="H36" s="20" t="n">
        <f aca="false">IF(G36=1,1,IF(AND('Debt Schedule'!H31=1,'Debt Schedule'!H15=1),1,0))</f>
        <v>0</v>
      </c>
      <c r="I36" s="20" t="n">
        <f aca="false">IF(H36=1,1,IF(AND('Debt Schedule'!I31=1,'Debt Schedule'!I15=1),1,0))</f>
        <v>0</v>
      </c>
      <c r="J36" s="20" t="n">
        <f aca="false">IF(I36=1,1,IF(AND('Debt Schedule'!J31=1,'Debt Schedule'!J15=1),1,0))</f>
        <v>0</v>
      </c>
      <c r="K36" s="20" t="n">
        <f aca="false">IF(J36=1,1,IF(AND('Debt Schedule'!K31=1,'Debt Schedule'!K15=1),1,0))</f>
        <v>0</v>
      </c>
    </row>
    <row r="37" customFormat="false" ht="15" hidden="false" customHeight="false" outlineLevel="0" collapsed="false">
      <c r="A37" s="3" t="s">
        <v>501</v>
      </c>
      <c r="C37" s="25" t="n">
        <f aca="false">IF(C29&gt;0,C21-C33,0)</f>
        <v>0</v>
      </c>
      <c r="G37" s="20" t="n">
        <f aca="false">IF(AND('Debt Schedule'!G44=1,'Debt Schedule'!G15=1),1,0)</f>
        <v>0</v>
      </c>
      <c r="H37" s="20" t="n">
        <f aca="false">IF(G37=1,1,IF(AND('Debt Schedule'!H44=1,'Debt Schedule'!H15=1),1,0))</f>
        <v>0</v>
      </c>
      <c r="I37" s="20" t="n">
        <f aca="false">IF(H37=1,1,IF(AND('Debt Schedule'!I44=1,'Debt Schedule'!I15=1),1,0))</f>
        <v>0</v>
      </c>
      <c r="J37" s="20" t="n">
        <f aca="false">IF(I37=1,1,IF(AND('Debt Schedule'!J44=1,'Debt Schedule'!J15=1),1,0))</f>
        <v>0</v>
      </c>
      <c r="K37" s="20" t="n">
        <f aca="false">IF(J37=1,1,IF(AND('Debt Schedule'!K44=1,'Debt Schedule'!K15=1),1,0))</f>
        <v>0</v>
      </c>
    </row>
    <row r="38" customFormat="false" ht="15" hidden="false" customHeight="false" outlineLevel="0" collapsed="false">
      <c r="A38" s="23" t="s">
        <v>506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customFormat="false" ht="15" hidden="false" customHeight="false" outlineLevel="0" collapsed="false">
      <c r="A39" s="3" t="s">
        <v>499</v>
      </c>
      <c r="C39" s="25" t="n">
        <f aca="false">IF(C27&gt;0,C35,C19)</f>
        <v>1349.6193225</v>
      </c>
    </row>
    <row r="40" customFormat="false" ht="15" hidden="false" customHeight="false" outlineLevel="0" collapsed="false">
      <c r="A40" s="3" t="s">
        <v>500</v>
      </c>
      <c r="C40" s="25" t="n">
        <f aca="false">IF(C28&gt;0,C36,C20)</f>
        <v>0</v>
      </c>
    </row>
    <row r="41" customFormat="false" ht="15" hidden="false" customHeight="false" outlineLevel="0" collapsed="false">
      <c r="A41" s="3" t="s">
        <v>501</v>
      </c>
      <c r="C41" s="25" t="n">
        <f aca="false">IF(C29&gt;0,C37,C21)</f>
        <v>0</v>
      </c>
    </row>
    <row r="42" customFormat="false" ht="15" hidden="false" customHeight="false" outlineLevel="0" collapsed="false">
      <c r="A42" s="23" t="s">
        <v>507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customFormat="false" ht="15" hidden="false" customHeight="false" outlineLevel="0" collapsed="false">
      <c r="A43" s="3" t="s">
        <v>499</v>
      </c>
      <c r="C43" s="20" t="n">
        <f aca="false">IF(C27&gt;0,Assumptions!$C$17,C23)</f>
        <v>1</v>
      </c>
    </row>
    <row r="44" customFormat="false" ht="15" hidden="false" customHeight="false" outlineLevel="0" collapsed="false">
      <c r="A44" s="3" t="s">
        <v>500</v>
      </c>
      <c r="C44" s="20" t="n">
        <f aca="false">IF(C28&gt;0,Assumptions!$C$17,C24)</f>
        <v>2</v>
      </c>
    </row>
    <row r="45" customFormat="false" ht="15" hidden="false" customHeight="false" outlineLevel="0" collapsed="false">
      <c r="A45" s="3" t="s">
        <v>501</v>
      </c>
      <c r="C45" s="20" t="n">
        <f aca="false">IF(C29&gt;0,Assumptions!$C$17,C25)</f>
        <v>2</v>
      </c>
    </row>
    <row r="46" customFormat="false" ht="15" hidden="false" customHeight="false" outlineLevel="0" collapsed="false">
      <c r="A46" s="23" t="s">
        <v>508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customFormat="false" ht="15" hidden="false" customHeight="false" outlineLevel="0" collapsed="false">
      <c r="A47" s="3" t="s">
        <v>499</v>
      </c>
      <c r="C47" s="25" t="n">
        <f aca="false">SUMPRODUCT(($C$43:$C$45&lt;C43)*$C$39:$C$41)</f>
        <v>0</v>
      </c>
    </row>
    <row r="48" customFormat="false" ht="15" hidden="false" customHeight="false" outlineLevel="0" collapsed="false">
      <c r="A48" s="3" t="s">
        <v>500</v>
      </c>
      <c r="C48" s="25" t="n">
        <f aca="false">SUMPRODUCT(($C$43:$C$45&lt;C44)*$C$39:$C$41)</f>
        <v>1349.6193225</v>
      </c>
    </row>
    <row r="49" customFormat="false" ht="15" hidden="false" customHeight="false" outlineLevel="0" collapsed="false">
      <c r="A49" s="3" t="s">
        <v>501</v>
      </c>
      <c r="C49" s="25" t="n">
        <f aca="false">SUMPRODUCT(($C$43:$C$45&lt;C45)*$C$39:$C$41)</f>
        <v>1349.6193225</v>
      </c>
    </row>
    <row r="50" customFormat="false" ht="15" hidden="false" customHeight="false" outlineLevel="0" collapsed="false">
      <c r="A50" s="23" t="s">
        <v>509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customFormat="false" ht="15" hidden="false" customHeight="false" outlineLevel="0" collapsed="false">
      <c r="A51" s="3" t="s">
        <v>499</v>
      </c>
      <c r="C51" s="25" t="n">
        <f aca="false">SUMPRODUCT(($C$43:$C$45=C43)*$C$39:$C$41)</f>
        <v>1349.6193225</v>
      </c>
    </row>
    <row r="52" customFormat="false" ht="15" hidden="false" customHeight="false" outlineLevel="0" collapsed="false">
      <c r="A52" s="3" t="s">
        <v>500</v>
      </c>
      <c r="C52" s="25" t="n">
        <f aca="false">SUMPRODUCT(($C$43:$C$45=C44)*$C$39:$C$41)</f>
        <v>0</v>
      </c>
    </row>
    <row r="53" customFormat="false" ht="15" hidden="false" customHeight="false" outlineLevel="0" collapsed="false">
      <c r="A53" s="3" t="s">
        <v>501</v>
      </c>
      <c r="C53" s="25" t="n">
        <f aca="false">SUMPRODUCT(($C$43:$C$45=C45)*$C$39:$C$41)</f>
        <v>0</v>
      </c>
    </row>
    <row r="54" customFormat="false" ht="15" hidden="false" customHeight="false" outlineLevel="0" collapsed="false">
      <c r="A54" s="23" t="s">
        <v>510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customFormat="false" ht="15" hidden="false" customHeight="false" outlineLevel="0" collapsed="false">
      <c r="A55" s="3" t="s">
        <v>499</v>
      </c>
      <c r="C55" s="25" t="n">
        <f aca="false">IF(C51=0,0,C39/C51*MAX(0,MIN(C51,$C$17-SUM($C$31:$C$33)-C47)))</f>
        <v>818.252611299105</v>
      </c>
    </row>
    <row r="56" customFormat="false" ht="15" hidden="false" customHeight="false" outlineLevel="0" collapsed="false">
      <c r="A56" s="3" t="s">
        <v>500</v>
      </c>
      <c r="C56" s="25" t="n">
        <f aca="false">IF(C52=0,0,C40/C52*MAX(0,MIN(C52,$C$17-SUM($C$31:$C$33)-C48)))</f>
        <v>0</v>
      </c>
    </row>
    <row r="57" customFormat="false" ht="15" hidden="false" customHeight="false" outlineLevel="0" collapsed="false">
      <c r="A57" s="3" t="s">
        <v>501</v>
      </c>
      <c r="C57" s="25" t="n">
        <f aca="false">IF(C53=0,0,C41/C53*MAX(0,MIN(C53,$C$17-SUM($C$31:$C$33)-C49)))</f>
        <v>0</v>
      </c>
    </row>
    <row r="58" customFormat="false" ht="15" hidden="false" customHeight="false" outlineLevel="0" collapsed="false">
      <c r="A58" s="23" t="s">
        <v>511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customFormat="false" ht="15" hidden="false" customHeight="false" outlineLevel="0" collapsed="false">
      <c r="A59" s="2" t="s">
        <v>499</v>
      </c>
      <c r="C59" s="16" t="n">
        <f aca="false">C31+C55</f>
        <v>818.252611299105</v>
      </c>
    </row>
    <row r="60" customFormat="false" ht="15" hidden="false" customHeight="false" outlineLevel="0" collapsed="false">
      <c r="A60" s="2" t="s">
        <v>500</v>
      </c>
      <c r="C60" s="16" t="n">
        <f aca="false">C32+C56</f>
        <v>0</v>
      </c>
    </row>
    <row r="61" customFormat="false" ht="15" hidden="false" customHeight="false" outlineLevel="0" collapsed="false">
      <c r="A61" s="2" t="s">
        <v>501</v>
      </c>
      <c r="C61" s="16" t="n">
        <f aca="false">C33+C57</f>
        <v>0</v>
      </c>
    </row>
    <row r="62" customFormat="false" ht="15" hidden="false" customHeight="false" outlineLevel="0" collapsed="false">
      <c r="A62" s="23" t="s">
        <v>512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customFormat="false" ht="15" hidden="false" customHeight="false" outlineLevel="0" collapsed="false">
      <c r="A63" s="3" t="s">
        <v>499</v>
      </c>
      <c r="C63" s="21" t="n">
        <f aca="false">IF(C19=0,1,C59/C19)</f>
        <v>0.606284007392095</v>
      </c>
    </row>
    <row r="64" customFormat="false" ht="15" hidden="false" customHeight="false" outlineLevel="0" collapsed="false">
      <c r="A64" s="3" t="s">
        <v>500</v>
      </c>
      <c r="C64" s="21" t="n">
        <f aca="false">IF(C20=0,1,C60/C20)</f>
        <v>1</v>
      </c>
    </row>
    <row r="65" customFormat="false" ht="15" hidden="false" customHeight="false" outlineLevel="0" collapsed="false">
      <c r="A65" s="3" t="s">
        <v>501</v>
      </c>
      <c r="C65" s="21" t="n">
        <f aca="false">IF(C21=0,1,C61/C21)</f>
        <v>1</v>
      </c>
    </row>
    <row r="66" customFormat="false" ht="15" hidden="false" customHeight="false" outlineLevel="0" collapsed="false">
      <c r="A66" s="23" t="s">
        <v>513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customFormat="false" ht="15" hidden="false" customHeight="false" outlineLevel="0" collapsed="false">
      <c r="A67" s="3" t="s">
        <v>499</v>
      </c>
      <c r="C67" s="25" t="n">
        <f aca="false">C19-C59</f>
        <v>531.366711200895</v>
      </c>
    </row>
    <row r="68" customFormat="false" ht="15" hidden="false" customHeight="false" outlineLevel="0" collapsed="false">
      <c r="A68" s="3" t="s">
        <v>500</v>
      </c>
      <c r="C68" s="25" t="n">
        <f aca="false">C20-C60</f>
        <v>0</v>
      </c>
    </row>
    <row r="69" customFormat="false" ht="15" hidden="false" customHeight="false" outlineLevel="0" collapsed="false">
      <c r="A69" s="3" t="s">
        <v>501</v>
      </c>
      <c r="C69" s="25" t="n">
        <f aca="false">C21-C61</f>
        <v>0</v>
      </c>
    </row>
    <row r="70" customFormat="false" ht="15" hidden="false" customHeight="false" outlineLevel="0" collapsed="false">
      <c r="A70" s="23" t="s">
        <v>514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customFormat="false" ht="15" hidden="false" customHeight="false" outlineLevel="0" collapsed="false">
      <c r="A71" s="3" t="s">
        <v>499</v>
      </c>
      <c r="C71" s="21" t="n">
        <f aca="false">IF(C19=0,0,C67/C19)</f>
        <v>0.393715992607905</v>
      </c>
    </row>
    <row r="72" customFormat="false" ht="15" hidden="false" customHeight="false" outlineLevel="0" collapsed="false">
      <c r="A72" s="3" t="s">
        <v>500</v>
      </c>
      <c r="C72" s="21" t="n">
        <f aca="false">IF(C20=0,0,C68/C20)</f>
        <v>0</v>
      </c>
    </row>
    <row r="73" customFormat="false" ht="15" hidden="false" customHeight="false" outlineLevel="0" collapsed="false">
      <c r="A73" s="3" t="s">
        <v>501</v>
      </c>
      <c r="C73" s="21" t="n">
        <f aca="false">IF(C21=0,0,C69/C21)</f>
        <v>0</v>
      </c>
    </row>
    <row r="74" customFormat="false" ht="15" hidden="false" customHeight="false" outlineLevel="0" collapsed="false">
      <c r="A74" s="2" t="s">
        <v>515</v>
      </c>
      <c r="C74" s="16" t="n">
        <f aca="false">MAX(0,$C$17-SUM($C$31:$C$33)-SUM($C$39:$C$41))</f>
        <v>0</v>
      </c>
    </row>
    <row r="75" customFormat="false" ht="15" hidden="false" customHeight="false" outlineLevel="0" collapsed="false">
      <c r="A75" s="3" t="s">
        <v>516</v>
      </c>
      <c r="C75" s="25" t="n">
        <f aca="false">SUM($C$59:$C$61)+C74+C16-C15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A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517</v>
      </c>
    </row>
    <row r="2" customFormat="false" ht="15" hidden="false" customHeight="false" outlineLevel="0" collapsed="false">
      <c r="A2" s="3" t="str">
        <f aca="false">"AMC Networks (AMC Global Media) · PUBLIC DATA CASE · HYPOTHETICAL INVESTMENT TERMS · Active scenario: "&amp;Assumptions!$D$10</f>
        <v>AMC Networks (AMC Global Media)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518</v>
      </c>
      <c r="D4" s="7" t="s">
        <v>435</v>
      </c>
      <c r="E4" s="7" t="s">
        <v>436</v>
      </c>
      <c r="F4" s="7" t="s">
        <v>437</v>
      </c>
      <c r="G4" s="7" t="s">
        <v>438</v>
      </c>
      <c r="H4" s="7" t="s">
        <v>439</v>
      </c>
      <c r="I4" s="7" t="s">
        <v>440</v>
      </c>
      <c r="J4" s="7"/>
      <c r="K4" s="7"/>
    </row>
    <row r="6" customFormat="false" ht="15" hidden="false" customHeight="false" outlineLevel="0" collapsed="false">
      <c r="A6" s="23" t="s">
        <v>519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3" t="s">
        <v>520</v>
      </c>
      <c r="C7" s="27" t="n">
        <f aca="false">Assumptions!$C$33</f>
        <v>1</v>
      </c>
    </row>
    <row r="8" customFormat="false" ht="15" hidden="false" customHeight="false" outlineLevel="0" collapsed="false">
      <c r="A8" s="3" t="s">
        <v>521</v>
      </c>
      <c r="C8" s="29" t="n">
        <f aca="false">Assumptions!$C$34</f>
        <v>100</v>
      </c>
    </row>
    <row r="9" customFormat="false" ht="15" hidden="false" customHeight="false" outlineLevel="0" collapsed="false">
      <c r="A9" s="3" t="s">
        <v>522</v>
      </c>
      <c r="C9" s="40" t="n">
        <f aca="false">Assumptions!$C$35</f>
        <v>95</v>
      </c>
    </row>
    <row r="10" customFormat="false" ht="15" hidden="false" customHeight="false" outlineLevel="0" collapsed="false">
      <c r="A10" s="3" t="s">
        <v>523</v>
      </c>
      <c r="C10" s="25" t="n">
        <f aca="false">C8*C9/100*(1+Assumptions!$C$36)</f>
        <v>95</v>
      </c>
    </row>
    <row r="11" customFormat="false" ht="15" hidden="false" customHeight="false" outlineLevel="0" collapsed="false">
      <c r="A11" s="3" t="s">
        <v>524</v>
      </c>
      <c r="C11" s="27" t="n">
        <f aca="false">Assumptions!$C$37</f>
        <v>3</v>
      </c>
    </row>
    <row r="12" customFormat="false" ht="15" hidden="false" customHeight="false" outlineLevel="0" collapsed="false">
      <c r="A12" s="3" t="s">
        <v>525</v>
      </c>
      <c r="C12" s="20" t="n">
        <f aca="false">IF(Recovery!C8=1,SUMPRODUCT('Cash Flow'!$G$22:$K$22,'Operating Model'!$G$8:$K$8),0)</f>
        <v>0</v>
      </c>
    </row>
    <row r="13" customFormat="false" ht="15" hidden="false" customHeight="false" outlineLevel="0" collapsed="false">
      <c r="A13" s="3" t="s">
        <v>526</v>
      </c>
      <c r="C13" s="21" t="n">
        <f aca="false">IFERROR(C8/CHOOSE(C7,SUMPRODUCT(Recovery!$G$7:$K$7,'Debt Schedule'!$G$28:$K$28),SUMPRODUCT(Recovery!$G$7:$K$7,'Debt Schedule'!$G$41:$K$41),SUMPRODUCT(Recovery!$G$7:$K$7,'Debt Schedule'!$G$54:$K$54)),0)</f>
        <v>0.0760399605200525</v>
      </c>
    </row>
    <row r="14" customFormat="false" ht="15" hidden="false" customHeight="false" outlineLevel="0" collapsed="false">
      <c r="A14" s="3" t="s">
        <v>527</v>
      </c>
      <c r="C14" s="25" t="n">
        <f aca="false">CHOOSE(C7,Recovery!C59,Recovery!C60,Recovery!C61)*C13</f>
        <v>62.2198962586138</v>
      </c>
    </row>
    <row r="15" customFormat="false" ht="15" hidden="false" customHeight="false" outlineLevel="0" collapsed="false">
      <c r="A15" s="3" t="s">
        <v>528</v>
      </c>
      <c r="C15" s="21" t="n">
        <f aca="false">CHOOSE(C7,Recovery!C63,Recovery!C64,Recovery!C65)</f>
        <v>0.606284007392095</v>
      </c>
    </row>
    <row r="16" customFormat="false" ht="15" hidden="false" customHeight="false" outlineLevel="0" collapsed="false">
      <c r="A16" s="3" t="s">
        <v>529</v>
      </c>
      <c r="C16" s="20" t="n">
        <f aca="false">IF(Recovery!C8=1,C12,C11)</f>
        <v>3</v>
      </c>
    </row>
    <row r="17" customFormat="false" ht="15" hidden="false" customHeight="false" outlineLevel="0" collapsed="false">
      <c r="A17" s="3" t="s">
        <v>530</v>
      </c>
      <c r="C17" s="34" t="n">
        <f aca="false">CHOOSE(Assumptions!$C$10,Assumptions!$C$83,Assumptions!$C$102,Assumptions!$C$121)</f>
        <v>95</v>
      </c>
    </row>
    <row r="18" customFormat="false" ht="15" hidden="false" customHeight="false" outlineLevel="0" collapsed="false">
      <c r="A18" s="3" t="s">
        <v>531</v>
      </c>
      <c r="C18" s="25" t="n">
        <f aca="false">INDEX('Operating Model'!$G$17:$K$17,C11)*CHOOSE(Assumptions!$C$10,Assumptions!$C$82,Assumptions!$C$101,Assumptions!$C$120)+MAX(0,INDEX('Cash Flow'!$G$19:$K$19,C11))</f>
        <v>1068.84800987949</v>
      </c>
    </row>
    <row r="19" customFormat="false" ht="15" hidden="false" customHeight="false" outlineLevel="0" collapsed="false">
      <c r="A19" s="23" t="s">
        <v>532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15" hidden="false" customHeight="false" outlineLevel="0" collapsed="false">
      <c r="A20" s="3" t="s">
        <v>499</v>
      </c>
      <c r="C20" s="25" t="n">
        <f aca="false">INDEX('Debt Schedule'!$G$28:$K$28,C11)</f>
        <v>1315.098</v>
      </c>
    </row>
    <row r="21" customFormat="false" ht="15" hidden="false" customHeight="false" outlineLevel="0" collapsed="false">
      <c r="A21" s="3" t="s">
        <v>500</v>
      </c>
      <c r="C21" s="25" t="n">
        <f aca="false">INDEX('Debt Schedule'!$G$41:$K$41,C11)</f>
        <v>0</v>
      </c>
    </row>
    <row r="22" customFormat="false" ht="15" hidden="false" customHeight="false" outlineLevel="0" collapsed="false">
      <c r="A22" s="3" t="s">
        <v>501</v>
      </c>
      <c r="C22" s="25" t="n">
        <f aca="false">INDEX('Debt Schedule'!$G$54:$K$54,C11)</f>
        <v>0</v>
      </c>
    </row>
    <row r="23" customFormat="false" ht="15" hidden="false" customHeight="false" outlineLevel="0" collapsed="false">
      <c r="A23" s="23" t="s">
        <v>502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5" hidden="false" customHeight="false" outlineLevel="0" collapsed="false">
      <c r="A24" s="3" t="s">
        <v>499</v>
      </c>
      <c r="C24" s="27" t="n">
        <f aca="false">Assumptions!$M$56</f>
        <v>1</v>
      </c>
    </row>
    <row r="25" customFormat="false" ht="15" hidden="false" customHeight="false" outlineLevel="0" collapsed="false">
      <c r="A25" s="3" t="s">
        <v>500</v>
      </c>
      <c r="C25" s="27" t="n">
        <f aca="false">Assumptions!$M$57</f>
        <v>2</v>
      </c>
    </row>
    <row r="26" customFormat="false" ht="15" hidden="false" customHeight="false" outlineLevel="0" collapsed="false">
      <c r="A26" s="3" t="s">
        <v>501</v>
      </c>
      <c r="C26" s="27" t="n">
        <f aca="false">Assumptions!$M$58</f>
        <v>2</v>
      </c>
    </row>
    <row r="27" customFormat="false" ht="15" hidden="false" customHeight="false" outlineLevel="0" collapsed="false">
      <c r="A27" s="23" t="s">
        <v>503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customFormat="false" ht="15" hidden="false" customHeight="false" outlineLevel="0" collapsed="false">
      <c r="A28" s="3" t="s">
        <v>499</v>
      </c>
      <c r="C28" s="35" t="n">
        <f aca="false">Assumptions!$Q$56</f>
        <v>0</v>
      </c>
    </row>
    <row r="29" customFormat="false" ht="15" hidden="false" customHeight="false" outlineLevel="0" collapsed="false">
      <c r="A29" s="3" t="s">
        <v>500</v>
      </c>
      <c r="C29" s="35" t="n">
        <f aca="false">Assumptions!$Q$57</f>
        <v>0</v>
      </c>
    </row>
    <row r="30" customFormat="false" ht="15" hidden="false" customHeight="false" outlineLevel="0" collapsed="false">
      <c r="A30" s="3" t="s">
        <v>501</v>
      </c>
      <c r="C30" s="35" t="n">
        <f aca="false">Assumptions!$Q$58</f>
        <v>0</v>
      </c>
    </row>
    <row r="31" customFormat="false" ht="15" hidden="false" customHeight="false" outlineLevel="0" collapsed="false">
      <c r="A31" s="23" t="s">
        <v>504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customFormat="false" ht="15" hidden="false" customHeight="false" outlineLevel="0" collapsed="false">
      <c r="A32" s="3" t="s">
        <v>499</v>
      </c>
      <c r="C32" s="25" t="n">
        <f aca="false">IF(C28&gt;0,MIN(C20,C28*$C$18),0)</f>
        <v>0</v>
      </c>
    </row>
    <row r="33" customFormat="false" ht="15" hidden="false" customHeight="false" outlineLevel="0" collapsed="false">
      <c r="A33" s="3" t="s">
        <v>500</v>
      </c>
      <c r="C33" s="25" t="n">
        <f aca="false">IF(C29&gt;0,MIN(C21,C29*$C$18),0)</f>
        <v>0</v>
      </c>
    </row>
    <row r="34" customFormat="false" ht="15" hidden="false" customHeight="false" outlineLevel="0" collapsed="false">
      <c r="A34" s="3" t="s">
        <v>501</v>
      </c>
      <c r="C34" s="25" t="n">
        <f aca="false">IF(C30&gt;0,MIN(C22,C30*$C$18),0)</f>
        <v>0</v>
      </c>
    </row>
    <row r="35" customFormat="false" ht="15" hidden="false" customHeight="false" outlineLevel="0" collapsed="false">
      <c r="A35" s="23" t="s">
        <v>505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customFormat="false" ht="15" hidden="false" customHeight="false" outlineLevel="0" collapsed="false">
      <c r="A36" s="3" t="s">
        <v>499</v>
      </c>
      <c r="C36" s="25" t="n">
        <f aca="false">IF(C28&gt;0,C20-C32,0)</f>
        <v>0</v>
      </c>
    </row>
    <row r="37" customFormat="false" ht="15" hidden="false" customHeight="false" outlineLevel="0" collapsed="false">
      <c r="A37" s="3" t="s">
        <v>500</v>
      </c>
      <c r="C37" s="25" t="n">
        <f aca="false">IF(C29&gt;0,C21-C33,0)</f>
        <v>0</v>
      </c>
    </row>
    <row r="38" customFormat="false" ht="15" hidden="false" customHeight="false" outlineLevel="0" collapsed="false">
      <c r="A38" s="3" t="s">
        <v>501</v>
      </c>
      <c r="C38" s="25" t="n">
        <f aca="false">IF(C30&gt;0,C22-C34,0)</f>
        <v>0</v>
      </c>
    </row>
    <row r="39" customFormat="false" ht="15" hidden="false" customHeight="false" outlineLevel="0" collapsed="false">
      <c r="A39" s="23" t="s">
        <v>506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15" hidden="false" customHeight="false" outlineLevel="0" collapsed="false">
      <c r="A40" s="3" t="s">
        <v>499</v>
      </c>
      <c r="C40" s="25" t="n">
        <f aca="false">IF(C28&gt;0,C36,C20)</f>
        <v>1315.098</v>
      </c>
    </row>
    <row r="41" customFormat="false" ht="15" hidden="false" customHeight="false" outlineLevel="0" collapsed="false">
      <c r="A41" s="3" t="s">
        <v>500</v>
      </c>
      <c r="C41" s="25" t="n">
        <f aca="false">IF(C29&gt;0,C37,C21)</f>
        <v>0</v>
      </c>
    </row>
    <row r="42" customFormat="false" ht="15" hidden="false" customHeight="false" outlineLevel="0" collapsed="false">
      <c r="A42" s="3" t="s">
        <v>501</v>
      </c>
      <c r="C42" s="25" t="n">
        <f aca="false">IF(C30&gt;0,C38,C22)</f>
        <v>0</v>
      </c>
    </row>
    <row r="43" customFormat="false" ht="15" hidden="false" customHeight="false" outlineLevel="0" collapsed="false">
      <c r="A43" s="23" t="s">
        <v>507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15" hidden="false" customHeight="false" outlineLevel="0" collapsed="false">
      <c r="A44" s="3" t="s">
        <v>499</v>
      </c>
      <c r="C44" s="20" t="n">
        <f aca="false">IF(C28&gt;0,Assumptions!$C$17,C24)</f>
        <v>1</v>
      </c>
    </row>
    <row r="45" customFormat="false" ht="15" hidden="false" customHeight="false" outlineLevel="0" collapsed="false">
      <c r="A45" s="3" t="s">
        <v>500</v>
      </c>
      <c r="C45" s="20" t="n">
        <f aca="false">IF(C29&gt;0,Assumptions!$C$17,C25)</f>
        <v>2</v>
      </c>
    </row>
    <row r="46" customFormat="false" ht="15" hidden="false" customHeight="false" outlineLevel="0" collapsed="false">
      <c r="A46" s="3" t="s">
        <v>501</v>
      </c>
      <c r="C46" s="20" t="n">
        <f aca="false">IF(C30&gt;0,Assumptions!$C$17,C26)</f>
        <v>2</v>
      </c>
    </row>
    <row r="47" customFormat="false" ht="15" hidden="false" customHeight="false" outlineLevel="0" collapsed="false">
      <c r="A47" s="23" t="s">
        <v>508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customFormat="false" ht="15" hidden="false" customHeight="false" outlineLevel="0" collapsed="false">
      <c r="A48" s="3" t="s">
        <v>499</v>
      </c>
      <c r="C48" s="25" t="n">
        <f aca="false">SUMPRODUCT(($C$44:$C$46&lt;C44)*$C$40:$C$42)</f>
        <v>0</v>
      </c>
    </row>
    <row r="49" customFormat="false" ht="15" hidden="false" customHeight="false" outlineLevel="0" collapsed="false">
      <c r="A49" s="3" t="s">
        <v>500</v>
      </c>
      <c r="C49" s="25" t="n">
        <f aca="false">SUMPRODUCT(($C$44:$C$46&lt;C45)*$C$40:$C$42)</f>
        <v>1315.098</v>
      </c>
    </row>
    <row r="50" customFormat="false" ht="15" hidden="false" customHeight="false" outlineLevel="0" collapsed="false">
      <c r="A50" s="3" t="s">
        <v>501</v>
      </c>
      <c r="C50" s="25" t="n">
        <f aca="false">SUMPRODUCT(($C$44:$C$46&lt;C46)*$C$40:$C$42)</f>
        <v>1315.098</v>
      </c>
    </row>
    <row r="51" customFormat="false" ht="15" hidden="false" customHeight="false" outlineLevel="0" collapsed="false">
      <c r="A51" s="23" t="s">
        <v>509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customFormat="false" ht="15" hidden="false" customHeight="false" outlineLevel="0" collapsed="false">
      <c r="A52" s="3" t="s">
        <v>499</v>
      </c>
      <c r="C52" s="25" t="n">
        <f aca="false">SUMPRODUCT(($C$44:$C$46=C44)*$C$40:$C$42)</f>
        <v>1315.098</v>
      </c>
    </row>
    <row r="53" customFormat="false" ht="15" hidden="false" customHeight="false" outlineLevel="0" collapsed="false">
      <c r="A53" s="3" t="s">
        <v>500</v>
      </c>
      <c r="C53" s="25" t="n">
        <f aca="false">SUMPRODUCT(($C$44:$C$46=C45)*$C$40:$C$42)</f>
        <v>0</v>
      </c>
    </row>
    <row r="54" customFormat="false" ht="15" hidden="false" customHeight="false" outlineLevel="0" collapsed="false">
      <c r="A54" s="3" t="s">
        <v>501</v>
      </c>
      <c r="C54" s="25" t="n">
        <f aca="false">SUMPRODUCT(($C$44:$C$46=C46)*$C$40:$C$42)</f>
        <v>0</v>
      </c>
    </row>
    <row r="55" customFormat="false" ht="15" hidden="false" customHeight="false" outlineLevel="0" collapsed="false">
      <c r="A55" s="23" t="s">
        <v>510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customFormat="false" ht="15" hidden="false" customHeight="false" outlineLevel="0" collapsed="false">
      <c r="A56" s="3" t="s">
        <v>499</v>
      </c>
      <c r="C56" s="25" t="n">
        <f aca="false">IF(C52=0,0,C40/C52*MAX(0,MIN(C52,$C$18-SUM($C$32:$C$34)-C48)))</f>
        <v>1068.84800987949</v>
      </c>
    </row>
    <row r="57" customFormat="false" ht="15" hidden="false" customHeight="false" outlineLevel="0" collapsed="false">
      <c r="A57" s="3" t="s">
        <v>500</v>
      </c>
      <c r="C57" s="25" t="n">
        <f aca="false">IF(C53=0,0,C41/C53*MAX(0,MIN(C53,$C$18-SUM($C$32:$C$34)-C49)))</f>
        <v>0</v>
      </c>
    </row>
    <row r="58" customFormat="false" ht="15" hidden="false" customHeight="false" outlineLevel="0" collapsed="false">
      <c r="A58" s="3" t="s">
        <v>501</v>
      </c>
      <c r="C58" s="25" t="n">
        <f aca="false">IF(C54=0,0,C42/C54*MAX(0,MIN(C54,$C$18-SUM($C$32:$C$34)-C50)))</f>
        <v>0</v>
      </c>
    </row>
    <row r="59" customFormat="false" ht="15" hidden="false" customHeight="false" outlineLevel="0" collapsed="false">
      <c r="A59" s="23" t="s">
        <v>511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customFormat="false" ht="15" hidden="false" customHeight="false" outlineLevel="0" collapsed="false">
      <c r="A60" s="2" t="s">
        <v>499</v>
      </c>
      <c r="C60" s="16" t="n">
        <f aca="false">C32+C56</f>
        <v>1068.84800987949</v>
      </c>
    </row>
    <row r="61" customFormat="false" ht="15" hidden="false" customHeight="false" outlineLevel="0" collapsed="false">
      <c r="A61" s="2" t="s">
        <v>500</v>
      </c>
      <c r="C61" s="16" t="n">
        <f aca="false">C33+C57</f>
        <v>0</v>
      </c>
    </row>
    <row r="62" customFormat="false" ht="15" hidden="false" customHeight="false" outlineLevel="0" collapsed="false">
      <c r="A62" s="2" t="s">
        <v>501</v>
      </c>
      <c r="C62" s="16" t="n">
        <f aca="false">C34+C58</f>
        <v>0</v>
      </c>
    </row>
    <row r="63" customFormat="false" ht="15" hidden="false" customHeight="false" outlineLevel="0" collapsed="false">
      <c r="A63" s="23" t="s">
        <v>512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customFormat="false" ht="15" hidden="false" customHeight="false" outlineLevel="0" collapsed="false">
      <c r="A64" s="3" t="s">
        <v>499</v>
      </c>
      <c r="C64" s="21" t="n">
        <f aca="false">IF(C20=0,1,C60/C20)</f>
        <v>0.812751604731729</v>
      </c>
    </row>
    <row r="65" customFormat="false" ht="15" hidden="false" customHeight="false" outlineLevel="0" collapsed="false">
      <c r="A65" s="3" t="s">
        <v>500</v>
      </c>
      <c r="C65" s="21" t="n">
        <f aca="false">IF(C21=0,1,C61/C21)</f>
        <v>1</v>
      </c>
    </row>
    <row r="66" customFormat="false" ht="15" hidden="false" customHeight="false" outlineLevel="0" collapsed="false">
      <c r="A66" s="3" t="s">
        <v>501</v>
      </c>
      <c r="C66" s="21" t="n">
        <f aca="false">IF(C22=0,1,C62/C22)</f>
        <v>1</v>
      </c>
    </row>
    <row r="67" customFormat="false" ht="15" hidden="false" customHeight="false" outlineLevel="0" collapsed="false">
      <c r="A67" s="23" t="s">
        <v>513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customFormat="false" ht="15" hidden="false" customHeight="false" outlineLevel="0" collapsed="false">
      <c r="A68" s="3" t="s">
        <v>499</v>
      </c>
      <c r="C68" s="25" t="n">
        <f aca="false">C20-C60</f>
        <v>246.249990120512</v>
      </c>
    </row>
    <row r="69" customFormat="false" ht="15" hidden="false" customHeight="false" outlineLevel="0" collapsed="false">
      <c r="A69" s="3" t="s">
        <v>500</v>
      </c>
      <c r="C69" s="25" t="n">
        <f aca="false">C21-C61</f>
        <v>0</v>
      </c>
    </row>
    <row r="70" customFormat="false" ht="15" hidden="false" customHeight="false" outlineLevel="0" collapsed="false">
      <c r="A70" s="3" t="s">
        <v>501</v>
      </c>
      <c r="C70" s="25" t="n">
        <f aca="false">C22-C62</f>
        <v>0</v>
      </c>
    </row>
    <row r="71" customFormat="false" ht="15" hidden="false" customHeight="false" outlineLevel="0" collapsed="false">
      <c r="A71" s="23" t="s">
        <v>514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customFormat="false" ht="15" hidden="false" customHeight="false" outlineLevel="0" collapsed="false">
      <c r="A72" s="3" t="s">
        <v>499</v>
      </c>
      <c r="C72" s="21" t="n">
        <f aca="false">IF(C20=0,0,C68/C20)</f>
        <v>0.187248395268271</v>
      </c>
    </row>
    <row r="73" customFormat="false" ht="15" hidden="false" customHeight="false" outlineLevel="0" collapsed="false">
      <c r="A73" s="3" t="s">
        <v>500</v>
      </c>
      <c r="C73" s="21" t="n">
        <f aca="false">IF(C21=0,0,C69/C21)</f>
        <v>0</v>
      </c>
    </row>
    <row r="74" customFormat="false" ht="15" hidden="false" customHeight="false" outlineLevel="0" collapsed="false">
      <c r="A74" s="3" t="s">
        <v>501</v>
      </c>
      <c r="C74" s="21" t="n">
        <f aca="false">IF(C22=0,0,C70/C22)</f>
        <v>0</v>
      </c>
    </row>
    <row r="75" customFormat="false" ht="15" hidden="false" customHeight="false" outlineLevel="0" collapsed="false">
      <c r="A75" s="2" t="s">
        <v>515</v>
      </c>
      <c r="C75" s="16" t="n">
        <f aca="false">MAX(0,$C$18-SUM($C$32:$C$34)-SUM($C$40:$C$42))</f>
        <v>0</v>
      </c>
    </row>
    <row r="76" customFormat="false" ht="15" hidden="false" customHeight="false" outlineLevel="0" collapsed="false">
      <c r="A76" s="3" t="s">
        <v>533</v>
      </c>
      <c r="C76" s="34" t="n">
        <f aca="false">MIN(C17,100*CHOOSE(C7,C64,C65,C66))</f>
        <v>81.2751604731729</v>
      </c>
    </row>
    <row r="77" customFormat="false" ht="15" hidden="false" customHeight="false" outlineLevel="0" collapsed="false">
      <c r="A77" s="3" t="s">
        <v>534</v>
      </c>
      <c r="C77" s="20" t="n">
        <f aca="false">IF(Recovery!C8=1,C12+Assumptions!$C$39,C11)</f>
        <v>3</v>
      </c>
    </row>
    <row r="78" customFormat="false" ht="15" hidden="false" customHeight="false" outlineLevel="0" collapsed="false">
      <c r="A78" s="23" t="s">
        <v>535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customFormat="false" ht="15" hidden="false" customHeight="false" outlineLevel="0" collapsed="false">
      <c r="A79" s="3" t="s">
        <v>536</v>
      </c>
      <c r="C79" s="20" t="n">
        <f aca="false">COLUMN()-COLUMN($C$1)</f>
        <v>0</v>
      </c>
      <c r="D79" s="20" t="n">
        <f aca="false">COLUMN()-COLUMN($C$1)</f>
        <v>1</v>
      </c>
      <c r="E79" s="20" t="n">
        <f aca="false">COLUMN()-COLUMN($C$1)</f>
        <v>2</v>
      </c>
      <c r="F79" s="20" t="n">
        <f aca="false">COLUMN()-COLUMN($C$1)</f>
        <v>3</v>
      </c>
      <c r="G79" s="20" t="n">
        <f aca="false">COLUMN()-COLUMN($C$1)</f>
        <v>4</v>
      </c>
      <c r="H79" s="20" t="n">
        <f aca="false">COLUMN()-COLUMN($C$1)</f>
        <v>5</v>
      </c>
      <c r="I79" s="20" t="n">
        <f aca="false">COLUMN()-COLUMN($C$1)</f>
        <v>6</v>
      </c>
    </row>
    <row r="80" customFormat="false" ht="15" hidden="false" customHeight="false" outlineLevel="0" collapsed="false">
      <c r="A80" s="3" t="s">
        <v>537</v>
      </c>
      <c r="D80" s="31" t="n">
        <f aca="false">CHOOSE($C$7,'Debt Schedule'!G20,'Debt Schedule'!G33,'Debt Schedule'!G46)</f>
        <v>0.105</v>
      </c>
      <c r="E80" s="31" t="n">
        <f aca="false">CHOOSE($C$7,'Debt Schedule'!H20,'Debt Schedule'!H33,'Debt Schedule'!H46)</f>
        <v>0.105</v>
      </c>
      <c r="F80" s="31" t="n">
        <f aca="false">CHOOSE($C$7,'Debt Schedule'!I20,'Debt Schedule'!I33,'Debt Schedule'!I46)</f>
        <v>0.105</v>
      </c>
      <c r="G80" s="31" t="n">
        <f aca="false">CHOOSE($C$7,'Debt Schedule'!J20,'Debt Schedule'!J33,'Debt Schedule'!J46)</f>
        <v>0.105</v>
      </c>
      <c r="H80" s="31" t="n">
        <f aca="false">CHOOSE($C$7,'Debt Schedule'!K20,'Debt Schedule'!K33,'Debt Schedule'!K46)</f>
        <v>0.105</v>
      </c>
    </row>
    <row r="81" customFormat="false" ht="15" hidden="false" customHeight="false" outlineLevel="0" collapsed="false">
      <c r="A81" s="3" t="s">
        <v>538</v>
      </c>
      <c r="D81" s="25" t="n">
        <f aca="false">IF(D79&lt;=$C$16,$C$8*D80,0)</f>
        <v>10.5</v>
      </c>
      <c r="E81" s="25" t="n">
        <f aca="false">IF(E79&lt;=$C$16,$C$8*E80,0)</f>
        <v>10.5</v>
      </c>
      <c r="F81" s="25" t="n">
        <f aca="false">IF(F79&lt;=$C$16,$C$8*F80,0)</f>
        <v>10.5</v>
      </c>
      <c r="G81" s="25" t="n">
        <f aca="false">IF(G79&lt;=$C$16,$C$8*G80,0)</f>
        <v>0</v>
      </c>
      <c r="H81" s="25" t="n">
        <f aca="false">IF(H79&lt;=$C$16,$C$8*H80,0)</f>
        <v>0</v>
      </c>
    </row>
    <row r="82" customFormat="false" ht="15" hidden="false" customHeight="false" outlineLevel="0" collapsed="false">
      <c r="A82" s="3" t="s">
        <v>539</v>
      </c>
      <c r="D82" s="25" t="n">
        <f aca="false">IF(AND(Recovery!$C$8=0,D79=$C$11),$C$8*$C$76/100,0)+IF(AND(Recovery!$C$8=1,D79=$C$77),$C$14,0)</f>
        <v>0</v>
      </c>
      <c r="E82" s="25" t="n">
        <f aca="false">IF(AND(Recovery!$C$8=0,E79=$C$11),$C$8*$C$76/100,0)+IF(AND(Recovery!$C$8=1,E79=$C$77),$C$14,0)</f>
        <v>0</v>
      </c>
      <c r="F82" s="25" t="n">
        <f aca="false">IF(AND(Recovery!$C$8=0,F79=$C$11),$C$8*$C$76/100,0)+IF(AND(Recovery!$C$8=1,F79=$C$77),$C$14,0)</f>
        <v>81.2751604731729</v>
      </c>
      <c r="G82" s="25" t="n">
        <f aca="false">IF(AND(Recovery!$C$8=0,G79=$C$11),$C$8*$C$76/100,0)+IF(AND(Recovery!$C$8=1,G79=$C$77),$C$14,0)</f>
        <v>0</v>
      </c>
      <c r="H82" s="25" t="n">
        <f aca="false">IF(AND(Recovery!$C$8=0,H79=$C$11),$C$8*$C$76/100,0)+IF(AND(Recovery!$C$8=1,H79=$C$77),$C$14,0)</f>
        <v>0</v>
      </c>
      <c r="I82" s="25" t="n">
        <f aca="false">IF(AND(Recovery!$C$8=0,I79=$C$11),$C$8*$C$76/100,0)+IF(AND(Recovery!$C$8=1,I79=$C$77),$C$14,0)</f>
        <v>0</v>
      </c>
    </row>
    <row r="83" customFormat="false" ht="15" hidden="false" customHeight="false" outlineLevel="0" collapsed="false">
      <c r="A83" s="2" t="s">
        <v>540</v>
      </c>
      <c r="C83" s="16" t="n">
        <f aca="false">-$C$10</f>
        <v>-95</v>
      </c>
      <c r="D83" s="16" t="n">
        <f aca="false">D81+D82</f>
        <v>10.5</v>
      </c>
      <c r="E83" s="16" t="n">
        <f aca="false">E81+E82</f>
        <v>10.5</v>
      </c>
      <c r="F83" s="16" t="n">
        <f aca="false">F81+F82</f>
        <v>91.7751604731729</v>
      </c>
      <c r="G83" s="16" t="n">
        <f aca="false">G81+G82</f>
        <v>0</v>
      </c>
      <c r="H83" s="16" t="n">
        <f aca="false">H81+H82</f>
        <v>0</v>
      </c>
      <c r="I83" s="16" t="n">
        <f aca="false">I81+I82</f>
        <v>0</v>
      </c>
    </row>
    <row r="84" customFormat="false" ht="15" hidden="false" customHeight="false" outlineLevel="0" collapsed="false">
      <c r="A84" s="3" t="s">
        <v>541</v>
      </c>
      <c r="C84" s="25" t="n">
        <f aca="false">SUM($C$81:$I$81)</f>
        <v>31.5</v>
      </c>
    </row>
    <row r="85" customFormat="false" ht="15" hidden="false" customHeight="false" outlineLevel="0" collapsed="false">
      <c r="A85" s="3" t="s">
        <v>542</v>
      </c>
      <c r="C85" s="25" t="n">
        <f aca="false">SUM($C$82:$I$82)</f>
        <v>81.2751604731729</v>
      </c>
    </row>
    <row r="86" customFormat="false" ht="15" hidden="false" customHeight="false" outlineLevel="0" collapsed="false">
      <c r="A86" s="3" t="s">
        <v>543</v>
      </c>
      <c r="C86" s="25" t="n">
        <f aca="false">C84+C85</f>
        <v>112.775160473173</v>
      </c>
    </row>
    <row r="87" customFormat="false" ht="15" hidden="false" customHeight="false" outlineLevel="0" collapsed="false">
      <c r="A87" s="3" t="s">
        <v>544</v>
      </c>
      <c r="C87" s="25" t="n">
        <f aca="false">C85-C8*C9/100</f>
        <v>-13.7248395268271</v>
      </c>
    </row>
    <row r="88" customFormat="false" ht="15" hidden="false" customHeight="false" outlineLevel="0" collapsed="false">
      <c r="A88" s="3" t="s">
        <v>545</v>
      </c>
      <c r="C88" s="25" t="n">
        <f aca="false">C86-C10</f>
        <v>17.7751604731729</v>
      </c>
    </row>
    <row r="89" customFormat="false" ht="15" hidden="false" customHeight="false" outlineLevel="0" collapsed="false">
      <c r="A89" s="2" t="s">
        <v>427</v>
      </c>
      <c r="C89" s="44" t="n">
        <f aca="false">C86/C10</f>
        <v>1.18710695234919</v>
      </c>
    </row>
    <row r="90" customFormat="false" ht="15" hidden="false" customHeight="false" outlineLevel="0" collapsed="false">
      <c r="A90" s="2" t="s">
        <v>426</v>
      </c>
      <c r="C90" s="42" t="n">
        <f aca="false">IF(C86&lt;=0,-1,IFERROR(IRR($C$83:$I$83,MAX(-0.9,C89^(1/C77)-1)),IRR($C$83:$I$83,0.1)))</f>
        <v>0.0653848807562152</v>
      </c>
    </row>
    <row r="91" customFormat="false" ht="15" hidden="false" customHeight="false" outlineLevel="0" collapsed="false">
      <c r="A91" s="3" t="s">
        <v>546</v>
      </c>
      <c r="C91" s="32" t="n">
        <f aca="false">MAX('Credit Metrics'!$G$11:$K$11)</f>
        <v>7.33831226622703</v>
      </c>
    </row>
    <row r="92" customFormat="false" ht="15" hidden="false" customHeight="false" outlineLevel="0" collapsed="false">
      <c r="A92" s="3" t="s">
        <v>547</v>
      </c>
      <c r="C92" s="32" t="n">
        <f aca="false">MIN('Credit Metrics'!$G$12:$K$12)</f>
        <v>1.18070192905498</v>
      </c>
    </row>
    <row r="93" customFormat="false" ht="15" hidden="false" customHeight="false" outlineLevel="0" collapsed="false">
      <c r="A93" s="3" t="s">
        <v>548</v>
      </c>
      <c r="C93" s="25" t="n">
        <f aca="false">SUM('Operating Model'!$G$30:$K$30)</f>
        <v>75.1374128562126</v>
      </c>
    </row>
    <row r="95" customFormat="false" ht="15" hidden="false" customHeight="false" outlineLevel="0" collapsed="false">
      <c r="A95" s="9" t="s">
        <v>549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customFormat="false" ht="15" hidden="false" customHeight="false" outlineLevel="0" collapsed="false">
      <c r="A96" s="3" t="s">
        <v>550</v>
      </c>
      <c r="C96" s="21" t="n">
        <f aca="false">CHOOSE(Returns!C7,'Debt Schedule'!G20,'Debt Schedule'!G33,'Debt Schedule'!G46)/(Assumptions!$C$35/100)</f>
        <v>0.110526315789474</v>
      </c>
    </row>
    <row r="97" customFormat="false" ht="15" hidden="false" customHeight="false" outlineLevel="0" collapsed="false">
      <c r="A97" s="3" t="s">
        <v>551</v>
      </c>
      <c r="C97" s="21" t="n">
        <f aca="false">IFERROR(RATE(YEARFRAC(Assumptions!$C$8,CHOOSE(Returns!C7,Assumptions!$J$56,Assumptions!$J$57,Assumptions!$J$58)),CHOOSE(Returns!C7,'Debt Schedule'!G20,'Debt Schedule'!G33,'Debt Schedule'!G46)*100,-Assumptions!$C$35,100),0)</f>
        <v>0.116999545084043</v>
      </c>
    </row>
    <row r="98" customFormat="false" ht="15" hidden="false" customHeight="false" outlineLevel="0" collapsed="false">
      <c r="A98" s="3" t="s">
        <v>552</v>
      </c>
      <c r="C98" s="45" t="n">
        <f aca="false">Assumptions!$C$8</f>
        <v>46203</v>
      </c>
      <c r="D98" s="46" t="n">
        <f aca="false">EDATE(C98,12)</f>
        <v>46568</v>
      </c>
      <c r="E98" s="46" t="n">
        <f aca="false">EDATE(D98,12)</f>
        <v>46934</v>
      </c>
      <c r="F98" s="46" t="n">
        <f aca="false">EDATE(E98,12)</f>
        <v>47299</v>
      </c>
      <c r="G98" s="46" t="n">
        <f aca="false">EDATE(F98,12)</f>
        <v>47664</v>
      </c>
      <c r="H98" s="46" t="n">
        <f aca="false">EDATE(G98,12)</f>
        <v>48029</v>
      </c>
      <c r="I98" s="46" t="n">
        <f aca="false">EDATE(H98,12)</f>
        <v>48395</v>
      </c>
    </row>
    <row r="99" customFormat="false" ht="15" hidden="false" customHeight="false" outlineLevel="0" collapsed="false">
      <c r="A99" s="3" t="s">
        <v>553</v>
      </c>
      <c r="C99" s="21" t="n">
        <f aca="false">IFERROR(XIRR(C83:I83,C98:I98),0)</f>
        <v>0.0653234610470443</v>
      </c>
    </row>
    <row r="101" customFormat="false" ht="15" hidden="false" customHeight="false" outlineLevel="0" collapsed="false">
      <c r="A101" s="9" t="s">
        <v>554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customFormat="false" ht="15" hidden="false" customHeight="false" outlineLevel="0" collapsed="false">
      <c r="A102" s="7"/>
      <c r="B102" s="7"/>
      <c r="C102" s="7" t="s">
        <v>164</v>
      </c>
      <c r="D102" s="7" t="s">
        <v>185</v>
      </c>
      <c r="E102" s="7" t="s">
        <v>186</v>
      </c>
    </row>
    <row r="103" customFormat="false" ht="15" hidden="false" customHeight="false" outlineLevel="0" collapsed="false">
      <c r="A103" s="3" t="s">
        <v>555</v>
      </c>
      <c r="C103" s="27" t="n">
        <f aca="false">'Calc Engine'!C169</f>
        <v>0</v>
      </c>
      <c r="D103" s="27" t="n">
        <f aca="false">'Calc Engine'!C493</f>
        <v>0</v>
      </c>
      <c r="E103" s="27" t="n">
        <f aca="false">'Calc Engine'!C817</f>
        <v>1</v>
      </c>
    </row>
    <row r="104" customFormat="false" ht="15" hidden="false" customHeight="false" outlineLevel="0" collapsed="false">
      <c r="A104" s="3" t="s">
        <v>556</v>
      </c>
      <c r="C104" s="29" t="n">
        <f aca="false">'Calc Engine'!C242</f>
        <v>95</v>
      </c>
      <c r="D104" s="29" t="n">
        <f aca="false">'Calc Engine'!C566</f>
        <v>95</v>
      </c>
      <c r="E104" s="29" t="n">
        <f aca="false">'Calc Engine'!C890</f>
        <v>95</v>
      </c>
    </row>
    <row r="105" customFormat="false" ht="15" hidden="false" customHeight="false" outlineLevel="0" collapsed="false">
      <c r="A105" s="3" t="s">
        <v>538</v>
      </c>
      <c r="C105" s="29" t="n">
        <f aca="false">'Calc Engine'!C316</f>
        <v>31.5</v>
      </c>
      <c r="D105" s="29" t="n">
        <f aca="false">'Calc Engine'!C640</f>
        <v>31.5</v>
      </c>
      <c r="E105" s="29" t="n">
        <f aca="false">'Calc Engine'!C964</f>
        <v>31.5</v>
      </c>
    </row>
    <row r="106" customFormat="false" ht="15" hidden="false" customHeight="false" outlineLevel="0" collapsed="false">
      <c r="A106" s="3" t="s">
        <v>557</v>
      </c>
      <c r="C106" s="29" t="n">
        <f aca="false">'Calc Engine'!C317</f>
        <v>100</v>
      </c>
      <c r="D106" s="29" t="n">
        <f aca="false">'Calc Engine'!C641</f>
        <v>81.2751604731729</v>
      </c>
      <c r="E106" s="29" t="n">
        <f aca="false">'Calc Engine'!C965</f>
        <v>34.945728090226</v>
      </c>
    </row>
    <row r="107" customFormat="false" ht="15" hidden="false" customHeight="false" outlineLevel="0" collapsed="false">
      <c r="A107" s="3" t="s">
        <v>558</v>
      </c>
      <c r="C107" s="29" t="n">
        <f aca="false">'Calc Engine'!C319</f>
        <v>5</v>
      </c>
      <c r="D107" s="29" t="n">
        <f aca="false">'Calc Engine'!C643</f>
        <v>-13.7248395268271</v>
      </c>
      <c r="E107" s="29" t="n">
        <f aca="false">'Calc Engine'!C967</f>
        <v>-60.054271909774</v>
      </c>
    </row>
    <row r="108" customFormat="false" ht="15" hidden="false" customHeight="false" outlineLevel="0" collapsed="false">
      <c r="A108" s="3" t="s">
        <v>543</v>
      </c>
      <c r="C108" s="29" t="n">
        <f aca="false">'Calc Engine'!C318</f>
        <v>131.5</v>
      </c>
      <c r="D108" s="29" t="n">
        <f aca="false">'Calc Engine'!C642</f>
        <v>112.775160473173</v>
      </c>
      <c r="E108" s="29" t="n">
        <f aca="false">'Calc Engine'!C966</f>
        <v>66.445728090226</v>
      </c>
    </row>
    <row r="109" customFormat="false" ht="15" hidden="false" customHeight="false" outlineLevel="0" collapsed="false">
      <c r="A109" s="3" t="s">
        <v>559</v>
      </c>
      <c r="C109" s="35" t="n">
        <f aca="false">'Calc Engine'!C247</f>
        <v>1</v>
      </c>
      <c r="D109" s="35" t="n">
        <f aca="false">'Calc Engine'!C571</f>
        <v>0.606284007392095</v>
      </c>
      <c r="E109" s="35" t="n">
        <f aca="false">'Calc Engine'!C895</f>
        <v>0.340518665921812</v>
      </c>
    </row>
    <row r="110" customFormat="false" ht="15" hidden="false" customHeight="false" outlineLevel="0" collapsed="false">
      <c r="A110" s="3" t="s">
        <v>545</v>
      </c>
      <c r="C110" s="29" t="n">
        <f aca="false">'Calc Engine'!C320</f>
        <v>36.5</v>
      </c>
      <c r="D110" s="29" t="n">
        <f aca="false">'Calc Engine'!C644</f>
        <v>17.7751604731729</v>
      </c>
      <c r="E110" s="29" t="n">
        <f aca="false">'Calc Engine'!C968</f>
        <v>-28.554271909774</v>
      </c>
    </row>
    <row r="111" customFormat="false" ht="15" hidden="false" customHeight="false" outlineLevel="0" collapsed="false">
      <c r="A111" s="3" t="s">
        <v>427</v>
      </c>
      <c r="C111" s="33" t="n">
        <f aca="false">'Calc Engine'!C321</f>
        <v>1.38421052631579</v>
      </c>
      <c r="D111" s="33" t="n">
        <f aca="false">'Calc Engine'!C645</f>
        <v>1.18710695234919</v>
      </c>
      <c r="E111" s="33" t="n">
        <f aca="false">'Calc Engine'!C969</f>
        <v>0.699428716739221</v>
      </c>
    </row>
    <row r="112" customFormat="false" ht="15" hidden="false" customHeight="false" outlineLevel="0" collapsed="false">
      <c r="A112" s="3" t="s">
        <v>426</v>
      </c>
      <c r="C112" s="35" t="n">
        <f aca="false">'Calc Engine'!C322</f>
        <v>0.126033624615204</v>
      </c>
      <c r="D112" s="35" t="n">
        <f aca="false">'Calc Engine'!C646</f>
        <v>0.0653848807562152</v>
      </c>
      <c r="E112" s="35" t="n">
        <f aca="false">'Calc Engine'!C970</f>
        <v>-0.10811295237651</v>
      </c>
    </row>
    <row r="114" customFormat="false" ht="15" hidden="false" customHeight="false" outlineLevel="0" collapsed="false">
      <c r="A114" s="9" t="s">
        <v>560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customFormat="false" ht="15" hidden="false" customHeight="false" outlineLevel="0" collapsed="false">
      <c r="A115" s="3" t="s">
        <v>561</v>
      </c>
    </row>
    <row r="116" customFormat="false" ht="15" hidden="false" customHeight="false" outlineLevel="0" collapsed="false">
      <c r="A116" s="3" t="s">
        <v>562</v>
      </c>
      <c r="C116" s="20" t="n">
        <f aca="false">(COLUMNS($C$1:$AA$1)-1)/(COLUMNS($C$1:$I$1)-1)</f>
        <v>4</v>
      </c>
    </row>
    <row r="117" customFormat="false" ht="15" hidden="false" customHeight="false" outlineLevel="0" collapsed="false">
      <c r="A117" s="3" t="s">
        <v>563</v>
      </c>
      <c r="C117" s="20" t="n">
        <f aca="false">COLUMNS($D$1:$H$1)*$C$116</f>
        <v>20</v>
      </c>
    </row>
    <row r="118" customFormat="false" ht="15" hidden="false" customHeight="false" outlineLevel="0" collapsed="false">
      <c r="A118" s="3" t="s">
        <v>564</v>
      </c>
      <c r="C118" s="20" t="n">
        <f aca="false">COLUMN()-COLUMN($C$1)</f>
        <v>0</v>
      </c>
      <c r="D118" s="20" t="n">
        <f aca="false">COLUMN()-COLUMN($C$1)</f>
        <v>1</v>
      </c>
      <c r="E118" s="20" t="n">
        <f aca="false">COLUMN()-COLUMN($C$1)</f>
        <v>2</v>
      </c>
      <c r="F118" s="20" t="n">
        <f aca="false">COLUMN()-COLUMN($C$1)</f>
        <v>3</v>
      </c>
      <c r="G118" s="20" t="n">
        <f aca="false">COLUMN()-COLUMN($C$1)</f>
        <v>4</v>
      </c>
      <c r="H118" s="20" t="n">
        <f aca="false">COLUMN()-COLUMN($C$1)</f>
        <v>5</v>
      </c>
      <c r="I118" s="20" t="n">
        <f aca="false">COLUMN()-COLUMN($C$1)</f>
        <v>6</v>
      </c>
      <c r="J118" s="20" t="n">
        <f aca="false">COLUMN()-COLUMN($C$1)</f>
        <v>7</v>
      </c>
      <c r="K118" s="20" t="n">
        <f aca="false">COLUMN()-COLUMN($C$1)</f>
        <v>8</v>
      </c>
      <c r="L118" s="20" t="n">
        <f aca="false">COLUMN()-COLUMN($C$1)</f>
        <v>9</v>
      </c>
      <c r="M118" s="20" t="n">
        <f aca="false">COLUMN()-COLUMN($C$1)</f>
        <v>10</v>
      </c>
      <c r="N118" s="20" t="n">
        <f aca="false">COLUMN()-COLUMN($C$1)</f>
        <v>11</v>
      </c>
      <c r="O118" s="20" t="n">
        <f aca="false">COLUMN()-COLUMN($C$1)</f>
        <v>12</v>
      </c>
      <c r="P118" s="20" t="n">
        <f aca="false">COLUMN()-COLUMN($C$1)</f>
        <v>13</v>
      </c>
      <c r="Q118" s="20" t="n">
        <f aca="false">COLUMN()-COLUMN($C$1)</f>
        <v>14</v>
      </c>
      <c r="R118" s="20" t="n">
        <f aca="false">COLUMN()-COLUMN($C$1)</f>
        <v>15</v>
      </c>
      <c r="S118" s="20" t="n">
        <f aca="false">COLUMN()-COLUMN($C$1)</f>
        <v>16</v>
      </c>
      <c r="T118" s="20" t="n">
        <f aca="false">COLUMN()-COLUMN($C$1)</f>
        <v>17</v>
      </c>
      <c r="U118" s="20" t="n">
        <f aca="false">COLUMN()-COLUMN($C$1)</f>
        <v>18</v>
      </c>
      <c r="V118" s="20" t="n">
        <f aca="false">COLUMN()-COLUMN($C$1)</f>
        <v>19</v>
      </c>
      <c r="W118" s="20" t="n">
        <f aca="false">COLUMN()-COLUMN($C$1)</f>
        <v>20</v>
      </c>
      <c r="X118" s="20" t="n">
        <f aca="false">COLUMN()-COLUMN($C$1)</f>
        <v>21</v>
      </c>
      <c r="Y118" s="20" t="n">
        <f aca="false">COLUMN()-COLUMN($C$1)</f>
        <v>22</v>
      </c>
      <c r="Z118" s="20" t="n">
        <f aca="false">COLUMN()-COLUMN($C$1)</f>
        <v>23</v>
      </c>
      <c r="AA118" s="20" t="n">
        <f aca="false">COLUMN()-COLUMN($C$1)</f>
        <v>24</v>
      </c>
    </row>
    <row r="119" customFormat="false" ht="15" hidden="false" customHeight="false" outlineLevel="0" collapsed="false">
      <c r="A119" s="3" t="s">
        <v>565</v>
      </c>
      <c r="C119" s="29" t="n">
        <f aca="false">'Calc Engine'!C315</f>
        <v>-95</v>
      </c>
      <c r="D119" s="25" t="n">
        <f aca="false">IF(AND(D$118&lt;=$C$117,MOD(D$118,$C$116/Assumptions!$C$38)=0),INDEX('Calc Engine'!$D$313:$H$313,ROUNDUP(D$118/$C$116,0))/Assumptions!$C$38,0)+IF(MOD(D$118,$C$116)=0,INDEX('Calc Engine'!$D$314:$I$314,D$118/$C$116),0)</f>
        <v>0</v>
      </c>
      <c r="E119" s="25" t="n">
        <f aca="false">IF(AND(E$118&lt;=$C$117,MOD(E$118,$C$116/Assumptions!$C$38)=0),INDEX('Calc Engine'!$D$313:$H$313,ROUNDUP(E$118/$C$116,0))/Assumptions!$C$38,0)+IF(MOD(E$118,$C$116)=0,INDEX('Calc Engine'!$D$314:$I$314,E$118/$C$116),0)</f>
        <v>5.25</v>
      </c>
      <c r="F119" s="25" t="n">
        <f aca="false">IF(AND(F$118&lt;=$C$117,MOD(F$118,$C$116/Assumptions!$C$38)=0),INDEX('Calc Engine'!$D$313:$H$313,ROUNDUP(F$118/$C$116,0))/Assumptions!$C$38,0)+IF(MOD(F$118,$C$116)=0,INDEX('Calc Engine'!$D$314:$I$314,F$118/$C$116),0)</f>
        <v>0</v>
      </c>
      <c r="G119" s="25" t="n">
        <f aca="false">IF(AND(G$118&lt;=$C$117,MOD(G$118,$C$116/Assumptions!$C$38)=0),INDEX('Calc Engine'!$D$313:$H$313,ROUNDUP(G$118/$C$116,0))/Assumptions!$C$38,0)+IF(MOD(G$118,$C$116)=0,INDEX('Calc Engine'!$D$314:$I$314,G$118/$C$116),0)</f>
        <v>5.25</v>
      </c>
      <c r="H119" s="25" t="n">
        <f aca="false">IF(AND(H$118&lt;=$C$117,MOD(H$118,$C$116/Assumptions!$C$38)=0),INDEX('Calc Engine'!$D$313:$H$313,ROUNDUP(H$118/$C$116,0))/Assumptions!$C$38,0)+IF(MOD(H$118,$C$116)=0,INDEX('Calc Engine'!$D$314:$I$314,H$118/$C$116),0)</f>
        <v>0</v>
      </c>
      <c r="I119" s="25" t="n">
        <f aca="false">IF(AND(I$118&lt;=$C$117,MOD(I$118,$C$116/Assumptions!$C$38)=0),INDEX('Calc Engine'!$D$313:$H$313,ROUNDUP(I$118/$C$116,0))/Assumptions!$C$38,0)+IF(MOD(I$118,$C$116)=0,INDEX('Calc Engine'!$D$314:$I$314,I$118/$C$116),0)</f>
        <v>5.25</v>
      </c>
      <c r="J119" s="25" t="n">
        <f aca="false">IF(AND(J$118&lt;=$C$117,MOD(J$118,$C$116/Assumptions!$C$38)=0),INDEX('Calc Engine'!$D$313:$H$313,ROUNDUP(J$118/$C$116,0))/Assumptions!$C$38,0)+IF(MOD(J$118,$C$116)=0,INDEX('Calc Engine'!$D$314:$I$314,J$118/$C$116),0)</f>
        <v>0</v>
      </c>
      <c r="K119" s="25" t="n">
        <f aca="false">IF(AND(K$118&lt;=$C$117,MOD(K$118,$C$116/Assumptions!$C$38)=0),INDEX('Calc Engine'!$D$313:$H$313,ROUNDUP(K$118/$C$116,0))/Assumptions!$C$38,0)+IF(MOD(K$118,$C$116)=0,INDEX('Calc Engine'!$D$314:$I$314,K$118/$C$116),0)</f>
        <v>5.25</v>
      </c>
      <c r="L119" s="25" t="n">
        <f aca="false">IF(AND(L$118&lt;=$C$117,MOD(L$118,$C$116/Assumptions!$C$38)=0),INDEX('Calc Engine'!$D$313:$H$313,ROUNDUP(L$118/$C$116,0))/Assumptions!$C$38,0)+IF(MOD(L$118,$C$116)=0,INDEX('Calc Engine'!$D$314:$I$314,L$118/$C$116),0)</f>
        <v>0</v>
      </c>
      <c r="M119" s="25" t="n">
        <f aca="false">IF(AND(M$118&lt;=$C$117,MOD(M$118,$C$116/Assumptions!$C$38)=0),INDEX('Calc Engine'!$D$313:$H$313,ROUNDUP(M$118/$C$116,0))/Assumptions!$C$38,0)+IF(MOD(M$118,$C$116)=0,INDEX('Calc Engine'!$D$314:$I$314,M$118/$C$116),0)</f>
        <v>5.25</v>
      </c>
      <c r="N119" s="25" t="n">
        <f aca="false">IF(AND(N$118&lt;=$C$117,MOD(N$118,$C$116/Assumptions!$C$38)=0),INDEX('Calc Engine'!$D$313:$H$313,ROUNDUP(N$118/$C$116,0))/Assumptions!$C$38,0)+IF(MOD(N$118,$C$116)=0,INDEX('Calc Engine'!$D$314:$I$314,N$118/$C$116),0)</f>
        <v>0</v>
      </c>
      <c r="O119" s="25" t="n">
        <f aca="false">IF(AND(O$118&lt;=$C$117,MOD(O$118,$C$116/Assumptions!$C$38)=0),INDEX('Calc Engine'!$D$313:$H$313,ROUNDUP(O$118/$C$116,0))/Assumptions!$C$38,0)+IF(MOD(O$118,$C$116)=0,INDEX('Calc Engine'!$D$314:$I$314,O$118/$C$116),0)</f>
        <v>105.25</v>
      </c>
      <c r="P119" s="25" t="n">
        <f aca="false">IF(AND(P$118&lt;=$C$117,MOD(P$118,$C$116/Assumptions!$C$38)=0),INDEX('Calc Engine'!$D$313:$H$313,ROUNDUP(P$118/$C$116,0))/Assumptions!$C$38,0)+IF(MOD(P$118,$C$116)=0,INDEX('Calc Engine'!$D$314:$I$314,P$118/$C$116),0)</f>
        <v>0</v>
      </c>
      <c r="Q119" s="25" t="n">
        <f aca="false">IF(AND(Q$118&lt;=$C$117,MOD(Q$118,$C$116/Assumptions!$C$38)=0),INDEX('Calc Engine'!$D$313:$H$313,ROUNDUP(Q$118/$C$116,0))/Assumptions!$C$38,0)+IF(MOD(Q$118,$C$116)=0,INDEX('Calc Engine'!$D$314:$I$314,Q$118/$C$116),0)</f>
        <v>0</v>
      </c>
      <c r="R119" s="25" t="n">
        <f aca="false">IF(AND(R$118&lt;=$C$117,MOD(R$118,$C$116/Assumptions!$C$38)=0),INDEX('Calc Engine'!$D$313:$H$313,ROUNDUP(R$118/$C$116,0))/Assumptions!$C$38,0)+IF(MOD(R$118,$C$116)=0,INDEX('Calc Engine'!$D$314:$I$314,R$118/$C$116),0)</f>
        <v>0</v>
      </c>
      <c r="S119" s="25" t="n">
        <f aca="false">IF(AND(S$118&lt;=$C$117,MOD(S$118,$C$116/Assumptions!$C$38)=0),INDEX('Calc Engine'!$D$313:$H$313,ROUNDUP(S$118/$C$116,0))/Assumptions!$C$38,0)+IF(MOD(S$118,$C$116)=0,INDEX('Calc Engine'!$D$314:$I$314,S$118/$C$116),0)</f>
        <v>0</v>
      </c>
      <c r="T119" s="25" t="n">
        <f aca="false">IF(AND(T$118&lt;=$C$117,MOD(T$118,$C$116/Assumptions!$C$38)=0),INDEX('Calc Engine'!$D$313:$H$313,ROUNDUP(T$118/$C$116,0))/Assumptions!$C$38,0)+IF(MOD(T$118,$C$116)=0,INDEX('Calc Engine'!$D$314:$I$314,T$118/$C$116),0)</f>
        <v>0</v>
      </c>
      <c r="U119" s="25" t="n">
        <f aca="false">IF(AND(U$118&lt;=$C$117,MOD(U$118,$C$116/Assumptions!$C$38)=0),INDEX('Calc Engine'!$D$313:$H$313,ROUNDUP(U$118/$C$116,0))/Assumptions!$C$38,0)+IF(MOD(U$118,$C$116)=0,INDEX('Calc Engine'!$D$314:$I$314,U$118/$C$116),0)</f>
        <v>0</v>
      </c>
      <c r="V119" s="25" t="n">
        <f aca="false">IF(AND(V$118&lt;=$C$117,MOD(V$118,$C$116/Assumptions!$C$38)=0),INDEX('Calc Engine'!$D$313:$H$313,ROUNDUP(V$118/$C$116,0))/Assumptions!$C$38,0)+IF(MOD(V$118,$C$116)=0,INDEX('Calc Engine'!$D$314:$I$314,V$118/$C$116),0)</f>
        <v>0</v>
      </c>
      <c r="W119" s="25" t="n">
        <f aca="false">IF(AND(W$118&lt;=$C$117,MOD(W$118,$C$116/Assumptions!$C$38)=0),INDEX('Calc Engine'!$D$313:$H$313,ROUNDUP(W$118/$C$116,0))/Assumptions!$C$38,0)+IF(MOD(W$118,$C$116)=0,INDEX('Calc Engine'!$D$314:$I$314,W$118/$C$116),0)</f>
        <v>0</v>
      </c>
      <c r="X119" s="25" t="n">
        <f aca="false">IF(AND(X$118&lt;=$C$117,MOD(X$118,$C$116/Assumptions!$C$38)=0),INDEX('Calc Engine'!$D$313:$H$313,ROUNDUP(X$118/$C$116,0))/Assumptions!$C$38,0)+IF(MOD(X$118,$C$116)=0,INDEX('Calc Engine'!$D$314:$I$314,X$118/$C$116),0)</f>
        <v>0</v>
      </c>
      <c r="Y119" s="25" t="n">
        <f aca="false">IF(AND(Y$118&lt;=$C$117,MOD(Y$118,$C$116/Assumptions!$C$38)=0),INDEX('Calc Engine'!$D$313:$H$313,ROUNDUP(Y$118/$C$116,0))/Assumptions!$C$38,0)+IF(MOD(Y$118,$C$116)=0,INDEX('Calc Engine'!$D$314:$I$314,Y$118/$C$116),0)</f>
        <v>0</v>
      </c>
      <c r="Z119" s="25" t="n">
        <f aca="false">IF(AND(Z$118&lt;=$C$117,MOD(Z$118,$C$116/Assumptions!$C$38)=0),INDEX('Calc Engine'!$D$313:$H$313,ROUNDUP(Z$118/$C$116,0))/Assumptions!$C$38,0)+IF(MOD(Z$118,$C$116)=0,INDEX('Calc Engine'!$D$314:$I$314,Z$118/$C$116),0)</f>
        <v>0</v>
      </c>
      <c r="AA119" s="25" t="n">
        <f aca="false">IF(AND(AA$118&lt;=$C$117,MOD(AA$118,$C$116/Assumptions!$C$38)=0),INDEX('Calc Engine'!$D$313:$H$313,ROUNDUP(AA$118/$C$116,0))/Assumptions!$C$38,0)+IF(MOD(AA$118,$C$116)=0,INDEX('Calc Engine'!$D$314:$I$314,AA$118/$C$116),0)</f>
        <v>0</v>
      </c>
    </row>
    <row r="120" customFormat="false" ht="15" hidden="false" customHeight="false" outlineLevel="0" collapsed="false">
      <c r="A120" s="3" t="s">
        <v>566</v>
      </c>
      <c r="C120" s="29" t="n">
        <f aca="false">'Calc Engine'!C639</f>
        <v>-95</v>
      </c>
      <c r="D120" s="25" t="n">
        <f aca="false">IF(AND(D$118&lt;=$C$117,MOD(D$118,$C$116/Assumptions!$C$38)=0),INDEX('Calc Engine'!$D$637:$H$637,ROUNDUP(D$118/$C$116,0))/Assumptions!$C$38,0)+IF(MOD(D$118,$C$116)=0,INDEX('Calc Engine'!$D$638:$I$638,D$118/$C$116),0)</f>
        <v>0</v>
      </c>
      <c r="E120" s="25" t="n">
        <f aca="false">IF(AND(E$118&lt;=$C$117,MOD(E$118,$C$116/Assumptions!$C$38)=0),INDEX('Calc Engine'!$D$637:$H$637,ROUNDUP(E$118/$C$116,0))/Assumptions!$C$38,0)+IF(MOD(E$118,$C$116)=0,INDEX('Calc Engine'!$D$638:$I$638,E$118/$C$116),0)</f>
        <v>5.25</v>
      </c>
      <c r="F120" s="25" t="n">
        <f aca="false">IF(AND(F$118&lt;=$C$117,MOD(F$118,$C$116/Assumptions!$C$38)=0),INDEX('Calc Engine'!$D$637:$H$637,ROUNDUP(F$118/$C$116,0))/Assumptions!$C$38,0)+IF(MOD(F$118,$C$116)=0,INDEX('Calc Engine'!$D$638:$I$638,F$118/$C$116),0)</f>
        <v>0</v>
      </c>
      <c r="G120" s="25" t="n">
        <f aca="false">IF(AND(G$118&lt;=$C$117,MOD(G$118,$C$116/Assumptions!$C$38)=0),INDEX('Calc Engine'!$D$637:$H$637,ROUNDUP(G$118/$C$116,0))/Assumptions!$C$38,0)+IF(MOD(G$118,$C$116)=0,INDEX('Calc Engine'!$D$638:$I$638,G$118/$C$116),0)</f>
        <v>5.25</v>
      </c>
      <c r="H120" s="25" t="n">
        <f aca="false">IF(AND(H$118&lt;=$C$117,MOD(H$118,$C$116/Assumptions!$C$38)=0),INDEX('Calc Engine'!$D$637:$H$637,ROUNDUP(H$118/$C$116,0))/Assumptions!$C$38,0)+IF(MOD(H$118,$C$116)=0,INDEX('Calc Engine'!$D$638:$I$638,H$118/$C$116),0)</f>
        <v>0</v>
      </c>
      <c r="I120" s="25" t="n">
        <f aca="false">IF(AND(I$118&lt;=$C$117,MOD(I$118,$C$116/Assumptions!$C$38)=0),INDEX('Calc Engine'!$D$637:$H$637,ROUNDUP(I$118/$C$116,0))/Assumptions!$C$38,0)+IF(MOD(I$118,$C$116)=0,INDEX('Calc Engine'!$D$638:$I$638,I$118/$C$116),0)</f>
        <v>5.25</v>
      </c>
      <c r="J120" s="25" t="n">
        <f aca="false">IF(AND(J$118&lt;=$C$117,MOD(J$118,$C$116/Assumptions!$C$38)=0),INDEX('Calc Engine'!$D$637:$H$637,ROUNDUP(J$118/$C$116,0))/Assumptions!$C$38,0)+IF(MOD(J$118,$C$116)=0,INDEX('Calc Engine'!$D$638:$I$638,J$118/$C$116),0)</f>
        <v>0</v>
      </c>
      <c r="K120" s="25" t="n">
        <f aca="false">IF(AND(K$118&lt;=$C$117,MOD(K$118,$C$116/Assumptions!$C$38)=0),INDEX('Calc Engine'!$D$637:$H$637,ROUNDUP(K$118/$C$116,0))/Assumptions!$C$38,0)+IF(MOD(K$118,$C$116)=0,INDEX('Calc Engine'!$D$638:$I$638,K$118/$C$116),0)</f>
        <v>5.25</v>
      </c>
      <c r="L120" s="25" t="n">
        <f aca="false">IF(AND(L$118&lt;=$C$117,MOD(L$118,$C$116/Assumptions!$C$38)=0),INDEX('Calc Engine'!$D$637:$H$637,ROUNDUP(L$118/$C$116,0))/Assumptions!$C$38,0)+IF(MOD(L$118,$C$116)=0,INDEX('Calc Engine'!$D$638:$I$638,L$118/$C$116),0)</f>
        <v>0</v>
      </c>
      <c r="M120" s="25" t="n">
        <f aca="false">IF(AND(M$118&lt;=$C$117,MOD(M$118,$C$116/Assumptions!$C$38)=0),INDEX('Calc Engine'!$D$637:$H$637,ROUNDUP(M$118/$C$116,0))/Assumptions!$C$38,0)+IF(MOD(M$118,$C$116)=0,INDEX('Calc Engine'!$D$638:$I$638,M$118/$C$116),0)</f>
        <v>5.25</v>
      </c>
      <c r="N120" s="25" t="n">
        <f aca="false">IF(AND(N$118&lt;=$C$117,MOD(N$118,$C$116/Assumptions!$C$38)=0),INDEX('Calc Engine'!$D$637:$H$637,ROUNDUP(N$118/$C$116,0))/Assumptions!$C$38,0)+IF(MOD(N$118,$C$116)=0,INDEX('Calc Engine'!$D$638:$I$638,N$118/$C$116),0)</f>
        <v>0</v>
      </c>
      <c r="O120" s="25" t="n">
        <f aca="false">IF(AND(O$118&lt;=$C$117,MOD(O$118,$C$116/Assumptions!$C$38)=0),INDEX('Calc Engine'!$D$637:$H$637,ROUNDUP(O$118/$C$116,0))/Assumptions!$C$38,0)+IF(MOD(O$118,$C$116)=0,INDEX('Calc Engine'!$D$638:$I$638,O$118/$C$116),0)</f>
        <v>86.5251604731729</v>
      </c>
      <c r="P120" s="25" t="n">
        <f aca="false">IF(AND(P$118&lt;=$C$117,MOD(P$118,$C$116/Assumptions!$C$38)=0),INDEX('Calc Engine'!$D$637:$H$637,ROUNDUP(P$118/$C$116,0))/Assumptions!$C$38,0)+IF(MOD(P$118,$C$116)=0,INDEX('Calc Engine'!$D$638:$I$638,P$118/$C$116),0)</f>
        <v>0</v>
      </c>
      <c r="Q120" s="25" t="n">
        <f aca="false">IF(AND(Q$118&lt;=$C$117,MOD(Q$118,$C$116/Assumptions!$C$38)=0),INDEX('Calc Engine'!$D$637:$H$637,ROUNDUP(Q$118/$C$116,0))/Assumptions!$C$38,0)+IF(MOD(Q$118,$C$116)=0,INDEX('Calc Engine'!$D$638:$I$638,Q$118/$C$116),0)</f>
        <v>0</v>
      </c>
      <c r="R120" s="25" t="n">
        <f aca="false">IF(AND(R$118&lt;=$C$117,MOD(R$118,$C$116/Assumptions!$C$38)=0),INDEX('Calc Engine'!$D$637:$H$637,ROUNDUP(R$118/$C$116,0))/Assumptions!$C$38,0)+IF(MOD(R$118,$C$116)=0,INDEX('Calc Engine'!$D$638:$I$638,R$118/$C$116),0)</f>
        <v>0</v>
      </c>
      <c r="S120" s="25" t="n">
        <f aca="false">IF(AND(S$118&lt;=$C$117,MOD(S$118,$C$116/Assumptions!$C$38)=0),INDEX('Calc Engine'!$D$637:$H$637,ROUNDUP(S$118/$C$116,0))/Assumptions!$C$38,0)+IF(MOD(S$118,$C$116)=0,INDEX('Calc Engine'!$D$638:$I$638,S$118/$C$116),0)</f>
        <v>0</v>
      </c>
      <c r="T120" s="25" t="n">
        <f aca="false">IF(AND(T$118&lt;=$C$117,MOD(T$118,$C$116/Assumptions!$C$38)=0),INDEX('Calc Engine'!$D$637:$H$637,ROUNDUP(T$118/$C$116,0))/Assumptions!$C$38,0)+IF(MOD(T$118,$C$116)=0,INDEX('Calc Engine'!$D$638:$I$638,T$118/$C$116),0)</f>
        <v>0</v>
      </c>
      <c r="U120" s="25" t="n">
        <f aca="false">IF(AND(U$118&lt;=$C$117,MOD(U$118,$C$116/Assumptions!$C$38)=0),INDEX('Calc Engine'!$D$637:$H$637,ROUNDUP(U$118/$C$116,0))/Assumptions!$C$38,0)+IF(MOD(U$118,$C$116)=0,INDEX('Calc Engine'!$D$638:$I$638,U$118/$C$116),0)</f>
        <v>0</v>
      </c>
      <c r="V120" s="25" t="n">
        <f aca="false">IF(AND(V$118&lt;=$C$117,MOD(V$118,$C$116/Assumptions!$C$38)=0),INDEX('Calc Engine'!$D$637:$H$637,ROUNDUP(V$118/$C$116,0))/Assumptions!$C$38,0)+IF(MOD(V$118,$C$116)=0,INDEX('Calc Engine'!$D$638:$I$638,V$118/$C$116),0)</f>
        <v>0</v>
      </c>
      <c r="W120" s="25" t="n">
        <f aca="false">IF(AND(W$118&lt;=$C$117,MOD(W$118,$C$116/Assumptions!$C$38)=0),INDEX('Calc Engine'!$D$637:$H$637,ROUNDUP(W$118/$C$116,0))/Assumptions!$C$38,0)+IF(MOD(W$118,$C$116)=0,INDEX('Calc Engine'!$D$638:$I$638,W$118/$C$116),0)</f>
        <v>0</v>
      </c>
      <c r="X120" s="25" t="n">
        <f aca="false">IF(AND(X$118&lt;=$C$117,MOD(X$118,$C$116/Assumptions!$C$38)=0),INDEX('Calc Engine'!$D$637:$H$637,ROUNDUP(X$118/$C$116,0))/Assumptions!$C$38,0)+IF(MOD(X$118,$C$116)=0,INDEX('Calc Engine'!$D$638:$I$638,X$118/$C$116),0)</f>
        <v>0</v>
      </c>
      <c r="Y120" s="25" t="n">
        <f aca="false">IF(AND(Y$118&lt;=$C$117,MOD(Y$118,$C$116/Assumptions!$C$38)=0),INDEX('Calc Engine'!$D$637:$H$637,ROUNDUP(Y$118/$C$116,0))/Assumptions!$C$38,0)+IF(MOD(Y$118,$C$116)=0,INDEX('Calc Engine'!$D$638:$I$638,Y$118/$C$116),0)</f>
        <v>0</v>
      </c>
      <c r="Z120" s="25" t="n">
        <f aca="false">IF(AND(Z$118&lt;=$C$117,MOD(Z$118,$C$116/Assumptions!$C$38)=0),INDEX('Calc Engine'!$D$637:$H$637,ROUNDUP(Z$118/$C$116,0))/Assumptions!$C$38,0)+IF(MOD(Z$118,$C$116)=0,INDEX('Calc Engine'!$D$638:$I$638,Z$118/$C$116),0)</f>
        <v>0</v>
      </c>
      <c r="AA120" s="25" t="n">
        <f aca="false">IF(AND(AA$118&lt;=$C$117,MOD(AA$118,$C$116/Assumptions!$C$38)=0),INDEX('Calc Engine'!$D$637:$H$637,ROUNDUP(AA$118/$C$116,0))/Assumptions!$C$38,0)+IF(MOD(AA$118,$C$116)=0,INDEX('Calc Engine'!$D$638:$I$638,AA$118/$C$116),0)</f>
        <v>0</v>
      </c>
    </row>
    <row r="121" customFormat="false" ht="15" hidden="false" customHeight="false" outlineLevel="0" collapsed="false">
      <c r="A121" s="3" t="s">
        <v>567</v>
      </c>
      <c r="C121" s="29" t="n">
        <f aca="false">'Calc Engine'!C963</f>
        <v>-95</v>
      </c>
      <c r="D121" s="25" t="n">
        <f aca="false">IF(AND(D$118&lt;=$C$117,MOD(D$118,$C$116/Assumptions!$C$38)=0),INDEX('Calc Engine'!$D$961:$H$961,ROUNDUP(D$118/$C$116,0))/Assumptions!$C$38,0)+IF(MOD(D$118,$C$116)=0,INDEX('Calc Engine'!$D$962:$I$962,D$118/$C$116),0)</f>
        <v>0</v>
      </c>
      <c r="E121" s="25" t="n">
        <f aca="false">IF(AND(E$118&lt;=$C$117,MOD(E$118,$C$116/Assumptions!$C$38)=0),INDEX('Calc Engine'!$D$961:$H$961,ROUNDUP(E$118/$C$116,0))/Assumptions!$C$38,0)+IF(MOD(E$118,$C$116)=0,INDEX('Calc Engine'!$D$962:$I$962,E$118/$C$116),0)</f>
        <v>5.25</v>
      </c>
      <c r="F121" s="25" t="n">
        <f aca="false">IF(AND(F$118&lt;=$C$117,MOD(F$118,$C$116/Assumptions!$C$38)=0),INDEX('Calc Engine'!$D$961:$H$961,ROUNDUP(F$118/$C$116,0))/Assumptions!$C$38,0)+IF(MOD(F$118,$C$116)=0,INDEX('Calc Engine'!$D$962:$I$962,F$118/$C$116),0)</f>
        <v>0</v>
      </c>
      <c r="G121" s="25" t="n">
        <f aca="false">IF(AND(G$118&lt;=$C$117,MOD(G$118,$C$116/Assumptions!$C$38)=0),INDEX('Calc Engine'!$D$961:$H$961,ROUNDUP(G$118/$C$116,0))/Assumptions!$C$38,0)+IF(MOD(G$118,$C$116)=0,INDEX('Calc Engine'!$D$962:$I$962,G$118/$C$116),0)</f>
        <v>5.25</v>
      </c>
      <c r="H121" s="25" t="n">
        <f aca="false">IF(AND(H$118&lt;=$C$117,MOD(H$118,$C$116/Assumptions!$C$38)=0),INDEX('Calc Engine'!$D$961:$H$961,ROUNDUP(H$118/$C$116,0))/Assumptions!$C$38,0)+IF(MOD(H$118,$C$116)=0,INDEX('Calc Engine'!$D$962:$I$962,H$118/$C$116),0)</f>
        <v>0</v>
      </c>
      <c r="I121" s="25" t="n">
        <f aca="false">IF(AND(I$118&lt;=$C$117,MOD(I$118,$C$116/Assumptions!$C$38)=0),INDEX('Calc Engine'!$D$961:$H$961,ROUNDUP(I$118/$C$116,0))/Assumptions!$C$38,0)+IF(MOD(I$118,$C$116)=0,INDEX('Calc Engine'!$D$962:$I$962,I$118/$C$116),0)</f>
        <v>5.25</v>
      </c>
      <c r="J121" s="25" t="n">
        <f aca="false">IF(AND(J$118&lt;=$C$117,MOD(J$118,$C$116/Assumptions!$C$38)=0),INDEX('Calc Engine'!$D$961:$H$961,ROUNDUP(J$118/$C$116,0))/Assumptions!$C$38,0)+IF(MOD(J$118,$C$116)=0,INDEX('Calc Engine'!$D$962:$I$962,J$118/$C$116),0)</f>
        <v>0</v>
      </c>
      <c r="K121" s="25" t="n">
        <f aca="false">IF(AND(K$118&lt;=$C$117,MOD(K$118,$C$116/Assumptions!$C$38)=0),INDEX('Calc Engine'!$D$961:$H$961,ROUNDUP(K$118/$C$116,0))/Assumptions!$C$38,0)+IF(MOD(K$118,$C$116)=0,INDEX('Calc Engine'!$D$962:$I$962,K$118/$C$116),0)</f>
        <v>5.25</v>
      </c>
      <c r="L121" s="25" t="n">
        <f aca="false">IF(AND(L$118&lt;=$C$117,MOD(L$118,$C$116/Assumptions!$C$38)=0),INDEX('Calc Engine'!$D$961:$H$961,ROUNDUP(L$118/$C$116,0))/Assumptions!$C$38,0)+IF(MOD(L$118,$C$116)=0,INDEX('Calc Engine'!$D$962:$I$962,L$118/$C$116),0)</f>
        <v>0</v>
      </c>
      <c r="M121" s="25" t="n">
        <f aca="false">IF(AND(M$118&lt;=$C$117,MOD(M$118,$C$116/Assumptions!$C$38)=0),INDEX('Calc Engine'!$D$961:$H$961,ROUNDUP(M$118/$C$116,0))/Assumptions!$C$38,0)+IF(MOD(M$118,$C$116)=0,INDEX('Calc Engine'!$D$962:$I$962,M$118/$C$116),0)</f>
        <v>5.25</v>
      </c>
      <c r="N121" s="25" t="n">
        <f aca="false">IF(AND(N$118&lt;=$C$117,MOD(N$118,$C$116/Assumptions!$C$38)=0),INDEX('Calc Engine'!$D$961:$H$961,ROUNDUP(N$118/$C$116,0))/Assumptions!$C$38,0)+IF(MOD(N$118,$C$116)=0,INDEX('Calc Engine'!$D$962:$I$962,N$118/$C$116),0)</f>
        <v>0</v>
      </c>
      <c r="O121" s="25" t="n">
        <f aca="false">IF(AND(O$118&lt;=$C$117,MOD(O$118,$C$116/Assumptions!$C$38)=0),INDEX('Calc Engine'!$D$961:$H$961,ROUNDUP(O$118/$C$116,0))/Assumptions!$C$38,0)+IF(MOD(O$118,$C$116)=0,INDEX('Calc Engine'!$D$962:$I$962,O$118/$C$116),0)</f>
        <v>5.25</v>
      </c>
      <c r="P121" s="25" t="n">
        <f aca="false">IF(AND(P$118&lt;=$C$117,MOD(P$118,$C$116/Assumptions!$C$38)=0),INDEX('Calc Engine'!$D$961:$H$961,ROUNDUP(P$118/$C$116,0))/Assumptions!$C$38,0)+IF(MOD(P$118,$C$116)=0,INDEX('Calc Engine'!$D$962:$I$962,P$118/$C$116),0)</f>
        <v>0</v>
      </c>
      <c r="Q121" s="25" t="n">
        <f aca="false">IF(AND(Q$118&lt;=$C$117,MOD(Q$118,$C$116/Assumptions!$C$38)=0),INDEX('Calc Engine'!$D$961:$H$961,ROUNDUP(Q$118/$C$116,0))/Assumptions!$C$38,0)+IF(MOD(Q$118,$C$116)=0,INDEX('Calc Engine'!$D$962:$I$962,Q$118/$C$116),0)</f>
        <v>0</v>
      </c>
      <c r="R121" s="25" t="n">
        <f aca="false">IF(AND(R$118&lt;=$C$117,MOD(R$118,$C$116/Assumptions!$C$38)=0),INDEX('Calc Engine'!$D$961:$H$961,ROUNDUP(R$118/$C$116,0))/Assumptions!$C$38,0)+IF(MOD(R$118,$C$116)=0,INDEX('Calc Engine'!$D$962:$I$962,R$118/$C$116),0)</f>
        <v>0</v>
      </c>
      <c r="S121" s="25" t="n">
        <f aca="false">IF(AND(S$118&lt;=$C$117,MOD(S$118,$C$116/Assumptions!$C$38)=0),INDEX('Calc Engine'!$D$961:$H$961,ROUNDUP(S$118/$C$116,0))/Assumptions!$C$38,0)+IF(MOD(S$118,$C$116)=0,INDEX('Calc Engine'!$D$962:$I$962,S$118/$C$116),0)</f>
        <v>34.945728090226</v>
      </c>
      <c r="T121" s="25" t="n">
        <f aca="false">IF(AND(T$118&lt;=$C$117,MOD(T$118,$C$116/Assumptions!$C$38)=0),INDEX('Calc Engine'!$D$961:$H$961,ROUNDUP(T$118/$C$116,0))/Assumptions!$C$38,0)+IF(MOD(T$118,$C$116)=0,INDEX('Calc Engine'!$D$962:$I$962,T$118/$C$116),0)</f>
        <v>0</v>
      </c>
      <c r="U121" s="25" t="n">
        <f aca="false">IF(AND(U$118&lt;=$C$117,MOD(U$118,$C$116/Assumptions!$C$38)=0),INDEX('Calc Engine'!$D$961:$H$961,ROUNDUP(U$118/$C$116,0))/Assumptions!$C$38,0)+IF(MOD(U$118,$C$116)=0,INDEX('Calc Engine'!$D$962:$I$962,U$118/$C$116),0)</f>
        <v>0</v>
      </c>
      <c r="V121" s="25" t="n">
        <f aca="false">IF(AND(V$118&lt;=$C$117,MOD(V$118,$C$116/Assumptions!$C$38)=0),INDEX('Calc Engine'!$D$961:$H$961,ROUNDUP(V$118/$C$116,0))/Assumptions!$C$38,0)+IF(MOD(V$118,$C$116)=0,INDEX('Calc Engine'!$D$962:$I$962,V$118/$C$116),0)</f>
        <v>0</v>
      </c>
      <c r="W121" s="25" t="n">
        <f aca="false">IF(AND(W$118&lt;=$C$117,MOD(W$118,$C$116/Assumptions!$C$38)=0),INDEX('Calc Engine'!$D$961:$H$961,ROUNDUP(W$118/$C$116,0))/Assumptions!$C$38,0)+IF(MOD(W$118,$C$116)=0,INDEX('Calc Engine'!$D$962:$I$962,W$118/$C$116),0)</f>
        <v>0</v>
      </c>
      <c r="X121" s="25" t="n">
        <f aca="false">IF(AND(X$118&lt;=$C$117,MOD(X$118,$C$116/Assumptions!$C$38)=0),INDEX('Calc Engine'!$D$961:$H$961,ROUNDUP(X$118/$C$116,0))/Assumptions!$C$38,0)+IF(MOD(X$118,$C$116)=0,INDEX('Calc Engine'!$D$962:$I$962,X$118/$C$116),0)</f>
        <v>0</v>
      </c>
      <c r="Y121" s="25" t="n">
        <f aca="false">IF(AND(Y$118&lt;=$C$117,MOD(Y$118,$C$116/Assumptions!$C$38)=0),INDEX('Calc Engine'!$D$961:$H$961,ROUNDUP(Y$118/$C$116,0))/Assumptions!$C$38,0)+IF(MOD(Y$118,$C$116)=0,INDEX('Calc Engine'!$D$962:$I$962,Y$118/$C$116),0)</f>
        <v>0</v>
      </c>
      <c r="Z121" s="25" t="n">
        <f aca="false">IF(AND(Z$118&lt;=$C$117,MOD(Z$118,$C$116/Assumptions!$C$38)=0),INDEX('Calc Engine'!$D$961:$H$961,ROUNDUP(Z$118/$C$116,0))/Assumptions!$C$38,0)+IF(MOD(Z$118,$C$116)=0,INDEX('Calc Engine'!$D$962:$I$962,Z$118/$C$116),0)</f>
        <v>0</v>
      </c>
      <c r="AA121" s="25" t="n">
        <f aca="false">IF(AND(AA$118&lt;=$C$117,MOD(AA$118,$C$116/Assumptions!$C$38)=0),INDEX('Calc Engine'!$D$961:$H$961,ROUNDUP(AA$118/$C$116,0))/Assumptions!$C$38,0)+IF(MOD(AA$118,$C$116)=0,INDEX('Calc Engine'!$D$962:$I$962,AA$118/$C$116),0)</f>
        <v>0</v>
      </c>
    </row>
    <row r="122" customFormat="false" ht="15" hidden="false" customHeight="false" outlineLevel="0" collapsed="false">
      <c r="A122" s="2" t="s">
        <v>568</v>
      </c>
      <c r="C122" s="42" t="n">
        <f aca="false">IF(SUM(D119:AA119)&lt;=0,-1,(1+IRR(C119:AA119,MAX(-0.9,(SUM(D119:AA119)/-C119)^(1/(COLUMNS(C119:AA119)-1))-1)))^$C$116-1)</f>
        <v>0.129451072316102</v>
      </c>
      <c r="D122" s="42" t="n">
        <f aca="false">IF(SUM(D120:AA120)&lt;=0,-1,(1+IRR(C120:AA120,MAX(-0.9,(SUM(D120:AA120)/-C120)^(1/(COLUMNS(C120:AA120)-1))-1)))^$C$116-1)</f>
        <v>0.0672985704405034</v>
      </c>
      <c r="E122" s="42" t="n">
        <f aca="false">IF(SUM(D121:AA121)&lt;=0,-1,(1+IRR(C121:AA121,MAX(-0.9,(SUM(D121:AA121)/-C121)^(1/(COLUMNS(C121:AA121)-1))-1)))^$C$116-1)</f>
        <v>-0.111463673277624</v>
      </c>
    </row>
    <row r="123" customFormat="false" ht="15" hidden="false" customHeight="false" outlineLevel="0" collapsed="false">
      <c r="A123" s="3" t="s">
        <v>569</v>
      </c>
      <c r="C123" s="25" t="n">
        <f aca="false">Scenarios!$C$12*C119+Scenarios!$D$12*C120+Scenarios!$E$12*C121</f>
        <v>-95</v>
      </c>
      <c r="D123" s="25" t="n">
        <f aca="false">Scenarios!$C$12*D119+Scenarios!$D$12*D120+Scenarios!$E$12*D121</f>
        <v>0</v>
      </c>
      <c r="E123" s="25" t="n">
        <f aca="false">Scenarios!$C$12*E119+Scenarios!$D$12*E120+Scenarios!$E$12*E121</f>
        <v>5.25</v>
      </c>
      <c r="F123" s="25" t="n">
        <f aca="false">Scenarios!$C$12*F119+Scenarios!$D$12*F120+Scenarios!$E$12*F121</f>
        <v>0</v>
      </c>
      <c r="G123" s="25" t="n">
        <f aca="false">Scenarios!$C$12*G119+Scenarios!$D$12*G120+Scenarios!$E$12*G121</f>
        <v>5.25</v>
      </c>
      <c r="H123" s="25" t="n">
        <f aca="false">Scenarios!$C$12*H119+Scenarios!$D$12*H120+Scenarios!$E$12*H121</f>
        <v>0</v>
      </c>
      <c r="I123" s="25" t="n">
        <f aca="false">Scenarios!$C$12*I119+Scenarios!$D$12*I120+Scenarios!$E$12*I121</f>
        <v>5.25</v>
      </c>
      <c r="J123" s="25" t="n">
        <f aca="false">Scenarios!$C$12*J119+Scenarios!$D$12*J120+Scenarios!$E$12*J121</f>
        <v>0</v>
      </c>
      <c r="K123" s="25" t="n">
        <f aca="false">Scenarios!$C$12*K119+Scenarios!$D$12*K120+Scenarios!$E$12*K121</f>
        <v>5.25</v>
      </c>
      <c r="L123" s="25" t="n">
        <f aca="false">Scenarios!$C$12*L119+Scenarios!$D$12*L120+Scenarios!$E$12*L121</f>
        <v>0</v>
      </c>
      <c r="M123" s="25" t="n">
        <f aca="false">Scenarios!$C$12*M119+Scenarios!$D$12*M120+Scenarios!$E$12*M121</f>
        <v>5.25</v>
      </c>
      <c r="N123" s="25" t="n">
        <f aca="false">Scenarios!$C$12*N119+Scenarios!$D$12*N120+Scenarios!$E$12*N121</f>
        <v>0</v>
      </c>
      <c r="O123" s="25" t="n">
        <f aca="false">Scenarios!$C$12*O119+Scenarios!$D$12*O120+Scenarios!$E$12*O121</f>
        <v>78.6963061656105</v>
      </c>
      <c r="P123" s="25" t="n">
        <f aca="false">Scenarios!$C$12*P119+Scenarios!$D$12*P120+Scenarios!$E$12*P121</f>
        <v>0</v>
      </c>
      <c r="Q123" s="25" t="n">
        <f aca="false">Scenarios!$C$12*Q119+Scenarios!$D$12*Q120+Scenarios!$E$12*Q121</f>
        <v>0</v>
      </c>
      <c r="R123" s="25" t="n">
        <f aca="false">Scenarios!$C$12*R119+Scenarios!$D$12*R120+Scenarios!$E$12*R121</f>
        <v>0</v>
      </c>
      <c r="S123" s="25" t="n">
        <f aca="false">Scenarios!$C$12*S119+Scenarios!$D$12*S120+Scenarios!$E$12*S121</f>
        <v>6.9891456180452</v>
      </c>
      <c r="T123" s="25" t="n">
        <f aca="false">Scenarios!$C$12*T119+Scenarios!$D$12*T120+Scenarios!$E$12*T121</f>
        <v>0</v>
      </c>
      <c r="U123" s="25" t="n">
        <f aca="false">Scenarios!$C$12*U119+Scenarios!$D$12*U120+Scenarios!$E$12*U121</f>
        <v>0</v>
      </c>
      <c r="V123" s="25" t="n">
        <f aca="false">Scenarios!$C$12*V119+Scenarios!$D$12*V120+Scenarios!$E$12*V121</f>
        <v>0</v>
      </c>
      <c r="W123" s="25" t="n">
        <f aca="false">Scenarios!$C$12*W119+Scenarios!$D$12*W120+Scenarios!$E$12*W121</f>
        <v>0</v>
      </c>
      <c r="X123" s="25" t="n">
        <f aca="false">Scenarios!$C$12*X119+Scenarios!$D$12*X120+Scenarios!$E$12*X121</f>
        <v>0</v>
      </c>
      <c r="Y123" s="25" t="n">
        <f aca="false">Scenarios!$C$12*Y119+Scenarios!$D$12*Y120+Scenarios!$E$12*Y121</f>
        <v>0</v>
      </c>
      <c r="Z123" s="25" t="n">
        <f aca="false">Scenarios!$C$12*Z119+Scenarios!$D$12*Z120+Scenarios!$E$12*Z121</f>
        <v>0</v>
      </c>
      <c r="AA123" s="25" t="n">
        <f aca="false">Scenarios!$C$12*AA119+Scenarios!$D$12*AA120+Scenarios!$E$12*AA121</f>
        <v>0</v>
      </c>
    </row>
    <row r="124" customFormat="false" ht="15" hidden="false" customHeight="false" outlineLevel="0" collapsed="false">
      <c r="A124" s="2" t="s">
        <v>570</v>
      </c>
      <c r="C124" s="42" t="n">
        <f aca="false">IF(SUM(D123:AA123)&lt;=0,-1,(1+IRR(C123:AA123,MAX(-0.9,(SUM(D123:AA123)/-C123)^(1/(COLUMNS(C123:AA123)-1))-1)))^$C$116-1)</f>
        <v>0.0628516314753818</v>
      </c>
    </row>
    <row r="125" customFormat="false" ht="15" hidden="false" customHeight="false" outlineLevel="0" collapsed="false">
      <c r="A125" s="3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572</v>
      </c>
    </row>
    <row r="2" customFormat="false" ht="15" hidden="false" customHeight="false" outlineLevel="0" collapsed="false">
      <c r="A2" s="3" t="s">
        <v>573</v>
      </c>
    </row>
    <row r="3" customFormat="false" ht="15" hidden="false" customHeight="false" outlineLevel="0" collapsed="false">
      <c r="A3" s="3" t="str">
        <f aca="false">"Position: "&amp;TEXT(Assumptions!$C$35,"0.0")&amp;" purchase price, hold "&amp;Assumptions!$C$37&amp;" periods  |  Selected scenario: "&amp;Assumptions!$D$10</f>
        <v>Position: 95.0 purchase price, hold 3 periods  |  Selected scenario: Downside</v>
      </c>
    </row>
    <row r="8" customFormat="false" ht="15" hidden="false" customHeight="false" outlineLevel="0" collapsed="false">
      <c r="A8" s="9" t="s">
        <v>574</v>
      </c>
      <c r="B8" s="10"/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7" t="s">
        <v>575</v>
      </c>
      <c r="B9" s="7" t="s">
        <v>576</v>
      </c>
      <c r="C9" s="7" t="s">
        <v>164</v>
      </c>
      <c r="D9" s="7" t="s">
        <v>185</v>
      </c>
      <c r="E9" s="7" t="s">
        <v>186</v>
      </c>
      <c r="F9" s="7" t="s">
        <v>407</v>
      </c>
    </row>
    <row r="10" customFormat="false" ht="15" hidden="false" customHeight="false" outlineLevel="0" collapsed="false">
      <c r="A10" s="34" t="n">
        <f aca="false">Assumptions!$C$35+B10</f>
        <v>87</v>
      </c>
      <c r="B10" s="11" t="n">
        <v>-8</v>
      </c>
      <c r="C10" s="21" t="n">
        <f aca="false">J86</f>
        <v>0.16318604473714</v>
      </c>
      <c r="D10" s="21" t="n">
        <f aca="false">J91</f>
        <v>0.100825526816342</v>
      </c>
      <c r="E10" s="21" t="n">
        <f aca="false">J96</f>
        <v>-0.0830808373164167</v>
      </c>
      <c r="F10" s="21" t="n">
        <f aca="false">CHOOSE(Assumptions!$C$10,C10,D10,E10)</f>
        <v>0.100825526816342</v>
      </c>
    </row>
    <row r="11" customFormat="false" ht="15" hidden="false" customHeight="false" outlineLevel="0" collapsed="false">
      <c r="A11" s="34" t="n">
        <f aca="false">Assumptions!$C$35+B11</f>
        <v>91</v>
      </c>
      <c r="B11" s="11" t="n">
        <v>-4</v>
      </c>
      <c r="C11" s="21" t="n">
        <f aca="false">J87</f>
        <v>0.144028117459707</v>
      </c>
      <c r="D11" s="21" t="n">
        <f aca="false">J92</f>
        <v>0.0825476898494535</v>
      </c>
      <c r="E11" s="21" t="n">
        <f aca="false">J97</f>
        <v>-0.0959911589781775</v>
      </c>
      <c r="F11" s="21" t="n">
        <f aca="false">CHOOSE(Assumptions!$C$10,C11,D11,E11)</f>
        <v>0.0825476898494535</v>
      </c>
    </row>
    <row r="12" customFormat="false" ht="15" hidden="false" customHeight="false" outlineLevel="0" collapsed="false">
      <c r="A12" s="34" t="n">
        <f aca="false">Assumptions!$C$35+B12</f>
        <v>95</v>
      </c>
      <c r="B12" s="11" t="n">
        <v>0</v>
      </c>
      <c r="C12" s="21" t="n">
        <f aca="false">J88</f>
        <v>0.126033624615204</v>
      </c>
      <c r="D12" s="21" t="n">
        <f aca="false">J93</f>
        <v>0.0653848807562152</v>
      </c>
      <c r="E12" s="21" t="n">
        <f aca="false">J98</f>
        <v>-0.10811295237651</v>
      </c>
      <c r="F12" s="21" t="n">
        <f aca="false">CHOOSE(Assumptions!$C$10,C12,D12,E12)</f>
        <v>0.0653848807562152</v>
      </c>
    </row>
    <row r="13" customFormat="false" ht="15" hidden="false" customHeight="false" outlineLevel="0" collapsed="false">
      <c r="A13" s="34" t="n">
        <f aca="false">Assumptions!$C$35+B13</f>
        <v>99</v>
      </c>
      <c r="B13" s="11" t="n">
        <v>4</v>
      </c>
      <c r="C13" s="21" t="n">
        <f aca="false">J89</f>
        <v>0.10908562449235</v>
      </c>
      <c r="D13" s="21" t="n">
        <f aca="false">J94</f>
        <v>0.0492246474775621</v>
      </c>
      <c r="E13" s="21" t="n">
        <f aca="false">J99</f>
        <v>-0.119526771279425</v>
      </c>
      <c r="F13" s="21" t="n">
        <f aca="false">CHOOSE(Assumptions!$C$10,C13,D13,E13)</f>
        <v>0.0492246474775621</v>
      </c>
    </row>
    <row r="14" customFormat="false" ht="15" hidden="false" customHeight="false" outlineLevel="0" collapsed="false">
      <c r="A14" s="34" t="n">
        <f aca="false">Assumptions!$C$35+B14</f>
        <v>103</v>
      </c>
      <c r="B14" s="11" t="n">
        <v>8</v>
      </c>
      <c r="C14" s="21" t="n">
        <f aca="false">J90</f>
        <v>0.0930831784395313</v>
      </c>
      <c r="D14" s="21" t="n">
        <f aca="false">J95</f>
        <v>0.0339699682668682</v>
      </c>
      <c r="E14" s="21" t="n">
        <f aca="false">J100</f>
        <v>-0.130301948668078</v>
      </c>
      <c r="F14" s="21" t="n">
        <f aca="false">CHOOSE(Assumptions!$C$10,C14,D14,E14)</f>
        <v>0.0339699682668682</v>
      </c>
    </row>
    <row r="18" customFormat="false" ht="15" hidden="false" customHeight="false" outlineLevel="0" collapsed="false">
      <c r="A18" s="9" t="s">
        <v>577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7" t="s">
        <v>578</v>
      </c>
      <c r="B19" s="7"/>
      <c r="C19" s="7" t="s">
        <v>164</v>
      </c>
      <c r="D19" s="7" t="s">
        <v>185</v>
      </c>
      <c r="E19" s="7" t="s">
        <v>186</v>
      </c>
      <c r="F19" s="7" t="s">
        <v>407</v>
      </c>
    </row>
    <row r="20" customFormat="false" ht="15" hidden="false" customHeight="false" outlineLevel="0" collapsed="false">
      <c r="A20" s="17" t="n">
        <v>20</v>
      </c>
      <c r="C20" s="21" t="n">
        <f aca="false">J101</f>
        <v>-0.22002894042474</v>
      </c>
      <c r="D20" s="21" t="n">
        <f aca="false">J106</f>
        <v>-0.22002894042474</v>
      </c>
      <c r="E20" s="21" t="n">
        <f aca="false">J111</f>
        <v>-0.189481664272586</v>
      </c>
      <c r="F20" s="21" t="n">
        <f aca="false">CHOOSE(Assumptions!$C$10,C20,D20,E20)</f>
        <v>-0.22002894042474</v>
      </c>
    </row>
    <row r="21" customFormat="false" ht="15" hidden="false" customHeight="false" outlineLevel="0" collapsed="false">
      <c r="A21" s="17" t="n">
        <v>40</v>
      </c>
      <c r="C21" s="21" t="n">
        <f aca="false">J102</f>
        <v>-0.103990625641738</v>
      </c>
      <c r="D21" s="21" t="n">
        <f aca="false">J107</f>
        <v>-0.103990625641738</v>
      </c>
      <c r="E21" s="21" t="n">
        <f aca="false">J112</f>
        <v>-0.0856298029339399</v>
      </c>
      <c r="F21" s="21" t="n">
        <f aca="false">CHOOSE(Assumptions!$C$10,C21,D21,E21)</f>
        <v>-0.103990625641738</v>
      </c>
    </row>
    <row r="22" customFormat="false" ht="15" hidden="false" customHeight="false" outlineLevel="0" collapsed="false">
      <c r="A22" s="17" t="n">
        <v>60</v>
      </c>
      <c r="C22" s="21" t="n">
        <f aca="false">J103</f>
        <v>-0.0140184707970688</v>
      </c>
      <c r="D22" s="21" t="n">
        <f aca="false">J108</f>
        <v>-0.0140184707970688</v>
      </c>
      <c r="E22" s="21" t="n">
        <f aca="false">J113</f>
        <v>-0.0112501651617602</v>
      </c>
      <c r="F22" s="21" t="n">
        <f aca="false">CHOOSE(Assumptions!$C$10,C22,D22,E22)</f>
        <v>-0.0140184707970688</v>
      </c>
    </row>
    <row r="23" customFormat="false" ht="15" hidden="false" customHeight="false" outlineLevel="0" collapsed="false">
      <c r="A23" s="17" t="n">
        <v>80</v>
      </c>
      <c r="C23" s="21" t="n">
        <f aca="false">J104</f>
        <v>0.0609775113549791</v>
      </c>
      <c r="D23" s="21" t="n">
        <f aca="false">J109</f>
        <v>0.0609775113549791</v>
      </c>
      <c r="E23" s="21" t="n">
        <f aca="false">J114</f>
        <v>0.0480705325041448</v>
      </c>
      <c r="F23" s="21" t="n">
        <f aca="false">CHOOSE(Assumptions!$C$10,C23,D23,E23)</f>
        <v>0.0609775113549791</v>
      </c>
    </row>
    <row r="24" customFormat="false" ht="15" hidden="false" customHeight="false" outlineLevel="0" collapsed="false">
      <c r="A24" s="17" t="n">
        <v>100</v>
      </c>
      <c r="C24" s="21" t="n">
        <f aca="false">J105</f>
        <v>0.126033624615204</v>
      </c>
      <c r="D24" s="21" t="n">
        <f aca="false">J110</f>
        <v>0.126033624615204</v>
      </c>
      <c r="E24" s="21" t="n">
        <f aca="false">J115</f>
        <v>0.0980151912782897</v>
      </c>
      <c r="F24" s="21" t="n">
        <f aca="false">CHOOSE(Assumptions!$C$10,C24,D24,E24)</f>
        <v>0.126033624615204</v>
      </c>
    </row>
    <row r="28" customFormat="false" ht="15" hidden="false" customHeight="false" outlineLevel="0" collapsed="false">
      <c r="A28" s="9" t="s">
        <v>579</v>
      </c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7" t="s">
        <v>580</v>
      </c>
      <c r="B29" s="7"/>
      <c r="C29" s="7" t="s">
        <v>164</v>
      </c>
      <c r="D29" s="7" t="s">
        <v>185</v>
      </c>
      <c r="E29" s="7" t="s">
        <v>186</v>
      </c>
      <c r="F29" s="7" t="s">
        <v>407</v>
      </c>
    </row>
    <row r="30" customFormat="false" ht="15" hidden="false" customHeight="false" outlineLevel="0" collapsed="false">
      <c r="A30" s="13" t="n">
        <v>-0.04</v>
      </c>
      <c r="C30" s="35" t="n">
        <f aca="false">'Calc Engine'!C1294</f>
        <v>0.10761133345211</v>
      </c>
      <c r="D30" s="35" t="n">
        <f aca="false">'Calc Engine'!C2914</f>
        <v>-0.0623549957525989</v>
      </c>
      <c r="E30" s="35" t="n">
        <f aca="false">'Calc Engine'!C4534</f>
        <v>-0.10811295237651</v>
      </c>
      <c r="F30" s="21" t="n">
        <f aca="false">CHOOSE(Assumptions!$C$10,C30,D30,E30)</f>
        <v>-0.0623549957525989</v>
      </c>
    </row>
    <row r="31" customFormat="false" ht="15" hidden="false" customHeight="false" outlineLevel="0" collapsed="false">
      <c r="A31" s="13" t="n">
        <v>-0.02</v>
      </c>
      <c r="C31" s="35" t="n">
        <f aca="false">'Calc Engine'!C1618</f>
        <v>0.126033624615204</v>
      </c>
      <c r="D31" s="35" t="n">
        <f aca="false">'Calc Engine'!C3238</f>
        <v>-0.0206908929736275</v>
      </c>
      <c r="E31" s="35" t="n">
        <f aca="false">'Calc Engine'!C4858</f>
        <v>-0.10811295237651</v>
      </c>
      <c r="F31" s="21" t="n">
        <f aca="false">CHOOSE(Assumptions!$C$10,C31,D31,E31)</f>
        <v>-0.0206908929736275</v>
      </c>
    </row>
    <row r="32" customFormat="false" ht="15" hidden="false" customHeight="false" outlineLevel="0" collapsed="false">
      <c r="A32" s="13" t="n">
        <v>0</v>
      </c>
      <c r="C32" s="35" t="n">
        <f aca="false">'Calc Engine'!C1942</f>
        <v>0.126033624615204</v>
      </c>
      <c r="D32" s="35" t="n">
        <f aca="false">'Calc Engine'!C3562</f>
        <v>0.0653848807562152</v>
      </c>
      <c r="E32" s="35" t="n">
        <f aca="false">'Calc Engine'!C5182</f>
        <v>-0.10811295237651</v>
      </c>
      <c r="F32" s="21" t="n">
        <f aca="false">CHOOSE(Assumptions!$C$10,C32,D32,E32)</f>
        <v>0.0653848807562152</v>
      </c>
    </row>
    <row r="33" customFormat="false" ht="15" hidden="false" customHeight="false" outlineLevel="0" collapsed="false">
      <c r="A33" s="13" t="n">
        <v>0.02</v>
      </c>
      <c r="C33" s="35" t="n">
        <f aca="false">'Calc Engine'!C2266</f>
        <v>0.126033624615204</v>
      </c>
      <c r="D33" s="35" t="n">
        <f aca="false">'Calc Engine'!C3886</f>
        <v>0.110526315789467</v>
      </c>
      <c r="E33" s="35" t="n">
        <f aca="false">'Calc Engine'!C5506</f>
        <v>-0.0847564855019026</v>
      </c>
      <c r="F33" s="21" t="n">
        <f aca="false">CHOOSE(Assumptions!$C$10,C33,D33,E33)</f>
        <v>0.110526315789467</v>
      </c>
    </row>
    <row r="34" customFormat="false" ht="15" hidden="false" customHeight="false" outlineLevel="0" collapsed="false">
      <c r="A34" s="13" t="n">
        <v>0.04</v>
      </c>
      <c r="C34" s="35" t="n">
        <f aca="false">'Calc Engine'!C2590</f>
        <v>0.126033624615204</v>
      </c>
      <c r="D34" s="35" t="n">
        <f aca="false">'Calc Engine'!C4210</f>
        <v>0.110526315789467</v>
      </c>
      <c r="E34" s="35" t="n">
        <f aca="false">'Calc Engine'!C5830</f>
        <v>-0.032883675698974</v>
      </c>
      <c r="F34" s="21" t="n">
        <f aca="false">CHOOSE(Assumptions!$C$10,C34,D34,E34)</f>
        <v>0.110526315789467</v>
      </c>
    </row>
    <row r="38" customFormat="false" ht="15" hidden="false" customHeight="false" outlineLevel="0" collapsed="false">
      <c r="A38" s="9" t="s">
        <v>581</v>
      </c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7" t="s">
        <v>582</v>
      </c>
      <c r="B39" s="7"/>
      <c r="C39" s="7" t="s">
        <v>164</v>
      </c>
      <c r="D39" s="7" t="s">
        <v>185</v>
      </c>
      <c r="E39" s="7" t="s">
        <v>186</v>
      </c>
      <c r="F39" s="7" t="s">
        <v>407</v>
      </c>
    </row>
    <row r="40" customFormat="false" ht="15" hidden="false" customHeight="false" outlineLevel="0" collapsed="false">
      <c r="A40" s="13" t="n">
        <v>-0.1</v>
      </c>
      <c r="C40" s="35" t="n">
        <f aca="false">'Calc Engine'!C6154</f>
        <v>0.126033624615204</v>
      </c>
      <c r="D40" s="35" t="n">
        <f aca="false">'Calc Engine'!C7774</f>
        <v>-0.0206908929736275</v>
      </c>
      <c r="E40" s="35" t="n">
        <f aca="false">'Calc Engine'!C9394</f>
        <v>-0.10811295237651</v>
      </c>
      <c r="F40" s="21" t="n">
        <f aca="false">CHOOSE(Assumptions!$C$10,C40,D40,E40)</f>
        <v>-0.0206908929736275</v>
      </c>
    </row>
    <row r="41" customFormat="false" ht="15" hidden="false" customHeight="false" outlineLevel="0" collapsed="false">
      <c r="A41" s="13" t="n">
        <v>-0.05</v>
      </c>
      <c r="C41" s="35" t="n">
        <f aca="false">'Calc Engine'!C6478</f>
        <v>0.126033624615204</v>
      </c>
      <c r="D41" s="35" t="n">
        <f aca="false">'Calc Engine'!C8098</f>
        <v>0.0103197837160626</v>
      </c>
      <c r="E41" s="35" t="n">
        <f aca="false">'Calc Engine'!C9718</f>
        <v>-0.10811295237651</v>
      </c>
      <c r="F41" s="21" t="n">
        <f aca="false">CHOOSE(Assumptions!$C$10,C41,D41,E41)</f>
        <v>0.0103197837160626</v>
      </c>
    </row>
    <row r="42" customFormat="false" ht="15" hidden="false" customHeight="false" outlineLevel="0" collapsed="false">
      <c r="A42" s="13" t="n">
        <v>0</v>
      </c>
      <c r="C42" s="35" t="n">
        <f aca="false">'Calc Engine'!C6802</f>
        <v>0.126033624615204</v>
      </c>
      <c r="D42" s="35" t="n">
        <f aca="false">'Calc Engine'!C8422</f>
        <v>0.0653848807562152</v>
      </c>
      <c r="E42" s="35" t="n">
        <f aca="false">'Calc Engine'!C10042</f>
        <v>-0.10811295237651</v>
      </c>
      <c r="F42" s="21" t="n">
        <f aca="false">CHOOSE(Assumptions!$C$10,C42,D42,E42)</f>
        <v>0.0653848807562152</v>
      </c>
    </row>
    <row r="43" customFormat="false" ht="15" hidden="false" customHeight="false" outlineLevel="0" collapsed="false">
      <c r="A43" s="13" t="n">
        <v>0.05</v>
      </c>
      <c r="C43" s="35" t="n">
        <f aca="false">'Calc Engine'!C7126</f>
        <v>0.126033624615204</v>
      </c>
      <c r="D43" s="35" t="n">
        <f aca="false">'Calc Engine'!C8746</f>
        <v>0.110526315789467</v>
      </c>
      <c r="E43" s="35" t="n">
        <f aca="false">'Calc Engine'!C10366</f>
        <v>-0.0991394936188768</v>
      </c>
      <c r="F43" s="21" t="n">
        <f aca="false">CHOOSE(Assumptions!$C$10,C43,D43,E43)</f>
        <v>0.110526315789467</v>
      </c>
    </row>
    <row r="44" customFormat="false" ht="15" hidden="false" customHeight="false" outlineLevel="0" collapsed="false">
      <c r="A44" s="13" t="n">
        <v>0.1</v>
      </c>
      <c r="C44" s="35" t="n">
        <f aca="false">'Calc Engine'!C7450</f>
        <v>0.126033624615204</v>
      </c>
      <c r="D44" s="35" t="n">
        <f aca="false">'Calc Engine'!C9070</f>
        <v>0.110526315789467</v>
      </c>
      <c r="E44" s="35" t="n">
        <f aca="false">'Calc Engine'!C10690</f>
        <v>-0.0723453280188484</v>
      </c>
      <c r="F44" s="21" t="n">
        <f aca="false">CHOOSE(Assumptions!$C$10,C44,D44,E44)</f>
        <v>0.110526315789467</v>
      </c>
    </row>
    <row r="48" customFormat="false" ht="15" hidden="false" customHeight="false" outlineLevel="0" collapsed="false">
      <c r="A48" s="9" t="s">
        <v>583</v>
      </c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7" t="s">
        <v>584</v>
      </c>
      <c r="B49" s="7"/>
      <c r="C49" s="7" t="s">
        <v>164</v>
      </c>
      <c r="D49" s="7" t="s">
        <v>185</v>
      </c>
      <c r="E49" s="7" t="s">
        <v>186</v>
      </c>
      <c r="F49" s="7" t="s">
        <v>407</v>
      </c>
    </row>
    <row r="50" customFormat="false" ht="15" hidden="false" customHeight="false" outlineLevel="0" collapsed="false">
      <c r="A50" s="18" t="n">
        <v>-0.01</v>
      </c>
      <c r="C50" s="35" t="n">
        <f aca="false">'Calc Engine'!C11014</f>
        <v>0.126033624615204</v>
      </c>
      <c r="D50" s="35" t="n">
        <f aca="false">'Calc Engine'!C12634</f>
        <v>0.0653848807562152</v>
      </c>
      <c r="E50" s="35" t="n">
        <f aca="false">'Calc Engine'!C14254</f>
        <v>-0.10811295237651</v>
      </c>
      <c r="F50" s="21" t="n">
        <f aca="false">CHOOSE(Assumptions!$C$10,C50,D50,E50)</f>
        <v>0.0653848807562152</v>
      </c>
    </row>
    <row r="51" customFormat="false" ht="15" hidden="false" customHeight="false" outlineLevel="0" collapsed="false">
      <c r="A51" s="18" t="n">
        <v>-0.005</v>
      </c>
      <c r="C51" s="35" t="n">
        <f aca="false">'Calc Engine'!C11338</f>
        <v>0.126033624615204</v>
      </c>
      <c r="D51" s="35" t="n">
        <f aca="false">'Calc Engine'!C12958</f>
        <v>0.0653848807562152</v>
      </c>
      <c r="E51" s="35" t="n">
        <f aca="false">'Calc Engine'!C14578</f>
        <v>-0.10811295237651</v>
      </c>
      <c r="F51" s="21" t="n">
        <f aca="false">CHOOSE(Assumptions!$C$10,C51,D51,E51)</f>
        <v>0.0653848807562152</v>
      </c>
    </row>
    <row r="52" customFormat="false" ht="15" hidden="false" customHeight="false" outlineLevel="0" collapsed="false">
      <c r="A52" s="18" t="n">
        <v>0</v>
      </c>
      <c r="C52" s="35" t="n">
        <f aca="false">'Calc Engine'!C11662</f>
        <v>0.126033624615204</v>
      </c>
      <c r="D52" s="35" t="n">
        <f aca="false">'Calc Engine'!C13282</f>
        <v>0.0653848807562152</v>
      </c>
      <c r="E52" s="35" t="n">
        <f aca="false">'Calc Engine'!C14902</f>
        <v>-0.10811295237651</v>
      </c>
      <c r="F52" s="21" t="n">
        <f aca="false">CHOOSE(Assumptions!$C$10,C52,D52,E52)</f>
        <v>0.0653848807562152</v>
      </c>
    </row>
    <row r="53" customFormat="false" ht="15" hidden="false" customHeight="false" outlineLevel="0" collapsed="false">
      <c r="A53" s="18" t="n">
        <v>0.01</v>
      </c>
      <c r="C53" s="35" t="n">
        <f aca="false">'Calc Engine'!C11986</f>
        <v>0.126033624615204</v>
      </c>
      <c r="D53" s="35" t="n">
        <f aca="false">'Calc Engine'!C13606</f>
        <v>0.0653848807562152</v>
      </c>
      <c r="E53" s="35" t="n">
        <f aca="false">'Calc Engine'!C15226</f>
        <v>-0.10811295237651</v>
      </c>
      <c r="F53" s="21" t="n">
        <f aca="false">CHOOSE(Assumptions!$C$10,C53,D53,E53)</f>
        <v>0.0653848807562152</v>
      </c>
    </row>
    <row r="54" customFormat="false" ht="15" hidden="false" customHeight="false" outlineLevel="0" collapsed="false">
      <c r="A54" s="18" t="n">
        <v>0.02</v>
      </c>
      <c r="C54" s="35" t="n">
        <f aca="false">'Calc Engine'!C12310</f>
        <v>0.126033624615204</v>
      </c>
      <c r="D54" s="35" t="n">
        <f aca="false">'Calc Engine'!C13930</f>
        <v>0.0653848807562152</v>
      </c>
      <c r="E54" s="35" t="n">
        <f aca="false">'Calc Engine'!C15550</f>
        <v>-0.10811295237651</v>
      </c>
      <c r="F54" s="21" t="n">
        <f aca="false">CHOOSE(Assumptions!$C$10,C54,D54,E54)</f>
        <v>0.0653848807562152</v>
      </c>
    </row>
    <row r="58" customFormat="false" ht="15" hidden="false" customHeight="false" outlineLevel="0" collapsed="false">
      <c r="A58" s="9" t="s">
        <v>585</v>
      </c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A59" s="7" t="s">
        <v>586</v>
      </c>
      <c r="B59" s="7"/>
      <c r="C59" s="7" t="s">
        <v>164</v>
      </c>
      <c r="D59" s="7" t="s">
        <v>185</v>
      </c>
      <c r="E59" s="7" t="s">
        <v>186</v>
      </c>
      <c r="F59" s="7" t="s">
        <v>407</v>
      </c>
    </row>
    <row r="60" customFormat="false" ht="15" hidden="false" customHeight="false" outlineLevel="0" collapsed="false">
      <c r="A60" s="15" t="n">
        <v>-2</v>
      </c>
      <c r="C60" s="35" t="n">
        <f aca="false">'Calc Engine'!C15799</f>
        <v>0.960821507452371</v>
      </c>
      <c r="D60" s="35" t="n">
        <f aca="false">'Calc Engine'!C17419</f>
        <v>0.529710271054573</v>
      </c>
      <c r="E60" s="35" t="n">
        <f aca="false">'Calc Engine'!C19039</f>
        <v>0.340518665921812</v>
      </c>
      <c r="F60" s="21" t="n">
        <f aca="false">CHOOSE(Assumptions!$C$10,C60,D60,E60)</f>
        <v>0.529710271054573</v>
      </c>
    </row>
    <row r="61" customFormat="false" ht="15" hidden="false" customHeight="false" outlineLevel="0" collapsed="false">
      <c r="A61" s="15" t="n">
        <v>-1</v>
      </c>
      <c r="C61" s="35" t="n">
        <f aca="false">'Calc Engine'!C16123</f>
        <v>1</v>
      </c>
      <c r="D61" s="35" t="n">
        <f aca="false">'Calc Engine'!C17743</f>
        <v>0.529710271054573</v>
      </c>
      <c r="E61" s="35" t="n">
        <f aca="false">'Calc Engine'!C19363</f>
        <v>0.340518665921812</v>
      </c>
      <c r="F61" s="21" t="n">
        <f aca="false">CHOOSE(Assumptions!$C$10,C61,D61,E61)</f>
        <v>0.529710271054573</v>
      </c>
    </row>
    <row r="62" customFormat="false" ht="15" hidden="false" customHeight="false" outlineLevel="0" collapsed="false">
      <c r="A62" s="15" t="n">
        <v>0</v>
      </c>
      <c r="C62" s="35" t="n">
        <f aca="false">'Calc Engine'!C16447</f>
        <v>1</v>
      </c>
      <c r="D62" s="35" t="n">
        <f aca="false">'Calc Engine'!C18067</f>
        <v>0.606284007392095</v>
      </c>
      <c r="E62" s="35" t="n">
        <f aca="false">'Calc Engine'!C19687</f>
        <v>0.340518665921812</v>
      </c>
      <c r="F62" s="21" t="n">
        <f aca="false">CHOOSE(Assumptions!$C$10,C62,D62,E62)</f>
        <v>0.606284007392095</v>
      </c>
    </row>
    <row r="63" customFormat="false" ht="15" hidden="false" customHeight="false" outlineLevel="0" collapsed="false">
      <c r="A63" s="15" t="n">
        <v>1</v>
      </c>
      <c r="C63" s="35" t="n">
        <f aca="false">'Calc Engine'!C16771</f>
        <v>1</v>
      </c>
      <c r="D63" s="35" t="n">
        <f aca="false">'Calc Engine'!C18391</f>
        <v>0.722254535478567</v>
      </c>
      <c r="E63" s="35" t="n">
        <f aca="false">'Calc Engine'!C20011</f>
        <v>0.380884651174754</v>
      </c>
      <c r="F63" s="21" t="n">
        <f aca="false">CHOOSE(Assumptions!$C$10,C63,D63,E63)</f>
        <v>0.722254535478567</v>
      </c>
    </row>
    <row r="64" customFormat="false" ht="15" hidden="false" customHeight="false" outlineLevel="0" collapsed="false">
      <c r="A64" s="15" t="n">
        <v>2</v>
      </c>
      <c r="C64" s="35" t="n">
        <f aca="false">'Calc Engine'!C17095</f>
        <v>1</v>
      </c>
      <c r="D64" s="35" t="n">
        <f aca="false">'Calc Engine'!C18715</f>
        <v>0.838225063565039</v>
      </c>
      <c r="E64" s="35" t="n">
        <f aca="false">'Calc Engine'!C20335</f>
        <v>0.457061581409704</v>
      </c>
      <c r="F64" s="21" t="n">
        <f aca="false">CHOOSE(Assumptions!$C$10,C64,D64,E64)</f>
        <v>0.838225063565039</v>
      </c>
    </row>
    <row r="68" customFormat="false" ht="15" hidden="false" customHeight="false" outlineLevel="0" collapsed="false">
      <c r="A68" s="9" t="s">
        <v>587</v>
      </c>
      <c r="B68" s="10"/>
      <c r="C68" s="10"/>
      <c r="D68" s="10"/>
      <c r="E68" s="10"/>
      <c r="F68" s="10"/>
      <c r="G68" s="10"/>
      <c r="H68" s="10"/>
    </row>
    <row r="69" customFormat="false" ht="15" hidden="false" customHeight="false" outlineLevel="0" collapsed="false">
      <c r="A69" s="7" t="s">
        <v>578</v>
      </c>
      <c r="B69" s="7"/>
      <c r="C69" s="7" t="s">
        <v>164</v>
      </c>
      <c r="D69" s="7" t="s">
        <v>185</v>
      </c>
      <c r="E69" s="7" t="s">
        <v>186</v>
      </c>
      <c r="F69" s="7" t="s">
        <v>407</v>
      </c>
    </row>
    <row r="70" customFormat="false" ht="15" hidden="false" customHeight="false" outlineLevel="0" collapsed="false">
      <c r="A70" s="47" t="n">
        <f aca="false">$A$20</f>
        <v>20</v>
      </c>
      <c r="C70" s="32" t="n">
        <f aca="false">(SUM('Calc Engine'!C313:I313)+Assumptions!$C$34*$A$70/100)/'Calc Engine'!C242</f>
        <v>0.542105263157895</v>
      </c>
      <c r="D70" s="32" t="n">
        <f aca="false">(SUM('Calc Engine'!C637:I637)+Assumptions!$C$34*$A$70/100)/'Calc Engine'!C566</f>
        <v>0.542105263157895</v>
      </c>
      <c r="E70" s="32" t="n">
        <f aca="false">(SUM('Calc Engine'!C961:I961)+Assumptions!$C$34*$A$70/100)/'Calc Engine'!C890</f>
        <v>0.542105263157895</v>
      </c>
      <c r="F70" s="32" t="n">
        <f aca="false">CHOOSE(Assumptions!$C$10,C70,D70,E70)</f>
        <v>0.542105263157895</v>
      </c>
    </row>
    <row r="71" customFormat="false" ht="15" hidden="false" customHeight="false" outlineLevel="0" collapsed="false">
      <c r="A71" s="47" t="n">
        <f aca="false">$A$21</f>
        <v>40</v>
      </c>
      <c r="C71" s="32" t="n">
        <f aca="false">(SUM('Calc Engine'!C313:I313)+Assumptions!$C$34*$A$71/100)/'Calc Engine'!C242</f>
        <v>0.752631578947368</v>
      </c>
      <c r="D71" s="32" t="n">
        <f aca="false">(SUM('Calc Engine'!C637:I637)+Assumptions!$C$34*$A$71/100)/'Calc Engine'!C566</f>
        <v>0.752631578947368</v>
      </c>
      <c r="E71" s="32" t="n">
        <f aca="false">(SUM('Calc Engine'!C961:I961)+Assumptions!$C$34*$A$71/100)/'Calc Engine'!C890</f>
        <v>0.752631578947368</v>
      </c>
      <c r="F71" s="32" t="n">
        <f aca="false">CHOOSE(Assumptions!$C$10,C71,D71,E71)</f>
        <v>0.752631578947368</v>
      </c>
    </row>
    <row r="72" customFormat="false" ht="15" hidden="false" customHeight="false" outlineLevel="0" collapsed="false">
      <c r="A72" s="47" t="n">
        <f aca="false">$A$22</f>
        <v>60</v>
      </c>
      <c r="C72" s="32" t="n">
        <f aca="false">(SUM('Calc Engine'!C313:I313)+Assumptions!$C$34*$A$72/100)/'Calc Engine'!C242</f>
        <v>0.963157894736842</v>
      </c>
      <c r="D72" s="32" t="n">
        <f aca="false">(SUM('Calc Engine'!C637:I637)+Assumptions!$C$34*$A$72/100)/'Calc Engine'!C566</f>
        <v>0.963157894736842</v>
      </c>
      <c r="E72" s="32" t="n">
        <f aca="false">(SUM('Calc Engine'!C961:I961)+Assumptions!$C$34*$A$72/100)/'Calc Engine'!C890</f>
        <v>0.963157894736842</v>
      </c>
      <c r="F72" s="32" t="n">
        <f aca="false">CHOOSE(Assumptions!$C$10,C72,D72,E72)</f>
        <v>0.963157894736842</v>
      </c>
    </row>
    <row r="73" customFormat="false" ht="15" hidden="false" customHeight="false" outlineLevel="0" collapsed="false">
      <c r="A73" s="47" t="n">
        <f aca="false">$A$23</f>
        <v>80</v>
      </c>
      <c r="C73" s="32" t="n">
        <f aca="false">(SUM('Calc Engine'!C313:I313)+Assumptions!$C$34*$A$73/100)/'Calc Engine'!C242</f>
        <v>1.17368421052632</v>
      </c>
      <c r="D73" s="32" t="n">
        <f aca="false">(SUM('Calc Engine'!C637:I637)+Assumptions!$C$34*$A$73/100)/'Calc Engine'!C566</f>
        <v>1.17368421052632</v>
      </c>
      <c r="E73" s="32" t="n">
        <f aca="false">(SUM('Calc Engine'!C961:I961)+Assumptions!$C$34*$A$73/100)/'Calc Engine'!C890</f>
        <v>1.17368421052632</v>
      </c>
      <c r="F73" s="32" t="n">
        <f aca="false">CHOOSE(Assumptions!$C$10,C73,D73,E73)</f>
        <v>1.17368421052632</v>
      </c>
    </row>
    <row r="74" customFormat="false" ht="15" hidden="false" customHeight="false" outlineLevel="0" collapsed="false">
      <c r="A74" s="47" t="n">
        <f aca="false">$A$24</f>
        <v>100</v>
      </c>
      <c r="C74" s="32" t="n">
        <f aca="false">(SUM('Calc Engine'!C313:I313)+Assumptions!$C$34*$A$74/100)/'Calc Engine'!C242</f>
        <v>1.38421052631579</v>
      </c>
      <c r="D74" s="32" t="n">
        <f aca="false">(SUM('Calc Engine'!C637:I637)+Assumptions!$C$34*$A$74/100)/'Calc Engine'!C566</f>
        <v>1.38421052631579</v>
      </c>
      <c r="E74" s="32" t="n">
        <f aca="false">(SUM('Calc Engine'!C961:I961)+Assumptions!$C$34*$A$74/100)/'Calc Engine'!C890</f>
        <v>1.38421052631579</v>
      </c>
      <c r="F74" s="32" t="n">
        <f aca="false">CHOOSE(Assumptions!$C$10,C74,D74,E74)</f>
        <v>1.38421052631579</v>
      </c>
    </row>
    <row r="82" customFormat="false" ht="15" hidden="false" customHeight="false" outlineLevel="0" collapsed="false">
      <c r="A82" s="3" t="s">
        <v>588</v>
      </c>
    </row>
    <row r="84" customFormat="false" ht="15" hidden="false" customHeight="false" outlineLevel="0" collapsed="false">
      <c r="A84" s="9" t="s">
        <v>589</v>
      </c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false" outlineLevel="0" collapsed="false">
      <c r="A85" s="7" t="s">
        <v>590</v>
      </c>
      <c r="B85" s="7"/>
      <c r="C85" s="7" t="s">
        <v>434</v>
      </c>
      <c r="D85" s="7" t="s">
        <v>435</v>
      </c>
      <c r="E85" s="7" t="s">
        <v>436</v>
      </c>
      <c r="F85" s="7" t="s">
        <v>437</v>
      </c>
      <c r="G85" s="7" t="s">
        <v>438</v>
      </c>
      <c r="H85" s="7" t="s">
        <v>439</v>
      </c>
      <c r="I85" s="7" t="s">
        <v>440</v>
      </c>
      <c r="J85" s="7" t="s">
        <v>426</v>
      </c>
    </row>
    <row r="86" customFormat="false" ht="15" hidden="false" customHeight="false" outlineLevel="0" collapsed="false">
      <c r="A86" s="3" t="str">
        <f aca="false">"Base Case · price point 1"</f>
        <v>Base Case · price point 1</v>
      </c>
      <c r="C86" s="25" t="n">
        <f aca="false">-Assumptions!$C$34*$A$10/100*(1+Assumptions!$C$36)</f>
        <v>-87</v>
      </c>
      <c r="D86" s="25" t="n">
        <f aca="false">'Calc Engine'!D313+'Calc Engine'!D314</f>
        <v>10.5</v>
      </c>
      <c r="E86" s="25" t="n">
        <f aca="false">'Calc Engine'!E313+'Calc Engine'!E314</f>
        <v>10.5</v>
      </c>
      <c r="F86" s="25" t="n">
        <f aca="false">'Calc Engine'!F313+'Calc Engine'!F314</f>
        <v>110.5</v>
      </c>
      <c r="G86" s="25" t="n">
        <f aca="false">'Calc Engine'!G313+'Calc Engine'!G314</f>
        <v>0</v>
      </c>
      <c r="H86" s="25" t="n">
        <f aca="false">'Calc Engine'!H313+'Calc Engine'!H314</f>
        <v>0</v>
      </c>
      <c r="I86" s="25" t="n">
        <f aca="false">'Calc Engine'!I313+'Calc Engine'!I314</f>
        <v>0</v>
      </c>
      <c r="J86" s="21" t="n">
        <f aca="false">IF(SUM(D86:I86)&lt;=0,-1,IFERROR(IRR(C86:I86,MAX(-0.9,(SUM(D86:I86)/-C86)^(1/Assumptions!$C$37)-1)),IRR(C86:I86,0.1)))</f>
        <v>0.16318604473714</v>
      </c>
    </row>
    <row r="87" customFormat="false" ht="15" hidden="false" customHeight="false" outlineLevel="0" collapsed="false">
      <c r="A87" s="3" t="str">
        <f aca="false">"Base Case · price point 2"</f>
        <v>Base Case · price point 2</v>
      </c>
      <c r="C87" s="25" t="n">
        <f aca="false">-Assumptions!$C$34*$A$11/100*(1+Assumptions!$C$36)</f>
        <v>-91</v>
      </c>
      <c r="D87" s="25" t="n">
        <f aca="false">'Calc Engine'!D313+'Calc Engine'!D314</f>
        <v>10.5</v>
      </c>
      <c r="E87" s="25" t="n">
        <f aca="false">'Calc Engine'!E313+'Calc Engine'!E314</f>
        <v>10.5</v>
      </c>
      <c r="F87" s="25" t="n">
        <f aca="false">'Calc Engine'!F313+'Calc Engine'!F314</f>
        <v>110.5</v>
      </c>
      <c r="G87" s="25" t="n">
        <f aca="false">'Calc Engine'!G313+'Calc Engine'!G314</f>
        <v>0</v>
      </c>
      <c r="H87" s="25" t="n">
        <f aca="false">'Calc Engine'!H313+'Calc Engine'!H314</f>
        <v>0</v>
      </c>
      <c r="I87" s="25" t="n">
        <f aca="false">'Calc Engine'!I313+'Calc Engine'!I314</f>
        <v>0</v>
      </c>
      <c r="J87" s="21" t="n">
        <f aca="false">IF(SUM(D87:I87)&lt;=0,-1,IFERROR(IRR(C87:I87,MAX(-0.9,(SUM(D87:I87)/-C87)^(1/Assumptions!$C$37)-1)),IRR(C87:I87,0.1)))</f>
        <v>0.144028117459707</v>
      </c>
    </row>
    <row r="88" customFormat="false" ht="15" hidden="false" customHeight="false" outlineLevel="0" collapsed="false">
      <c r="A88" s="3" t="str">
        <f aca="false">"Base Case · price point 3"</f>
        <v>Base Case · price point 3</v>
      </c>
      <c r="C88" s="25" t="n">
        <f aca="false">-Assumptions!$C$34*$A$12/100*(1+Assumptions!$C$36)</f>
        <v>-95</v>
      </c>
      <c r="D88" s="25" t="n">
        <f aca="false">'Calc Engine'!D313+'Calc Engine'!D314</f>
        <v>10.5</v>
      </c>
      <c r="E88" s="25" t="n">
        <f aca="false">'Calc Engine'!E313+'Calc Engine'!E314</f>
        <v>10.5</v>
      </c>
      <c r="F88" s="25" t="n">
        <f aca="false">'Calc Engine'!F313+'Calc Engine'!F314</f>
        <v>110.5</v>
      </c>
      <c r="G88" s="25" t="n">
        <f aca="false">'Calc Engine'!G313+'Calc Engine'!G314</f>
        <v>0</v>
      </c>
      <c r="H88" s="25" t="n">
        <f aca="false">'Calc Engine'!H313+'Calc Engine'!H314</f>
        <v>0</v>
      </c>
      <c r="I88" s="25" t="n">
        <f aca="false">'Calc Engine'!I313+'Calc Engine'!I314</f>
        <v>0</v>
      </c>
      <c r="J88" s="21" t="n">
        <f aca="false">IF(SUM(D88:I88)&lt;=0,-1,IFERROR(IRR(C88:I88,MAX(-0.9,(SUM(D88:I88)/-C88)^(1/Assumptions!$C$37)-1)),IRR(C88:I88,0.1)))</f>
        <v>0.126033624615204</v>
      </c>
    </row>
    <row r="89" customFormat="false" ht="15" hidden="false" customHeight="false" outlineLevel="0" collapsed="false">
      <c r="A89" s="3" t="str">
        <f aca="false">"Base Case · price point 4"</f>
        <v>Base Case · price point 4</v>
      </c>
      <c r="C89" s="25" t="n">
        <f aca="false">-Assumptions!$C$34*$A$13/100*(1+Assumptions!$C$36)</f>
        <v>-99</v>
      </c>
      <c r="D89" s="25" t="n">
        <f aca="false">'Calc Engine'!D313+'Calc Engine'!D314</f>
        <v>10.5</v>
      </c>
      <c r="E89" s="25" t="n">
        <f aca="false">'Calc Engine'!E313+'Calc Engine'!E314</f>
        <v>10.5</v>
      </c>
      <c r="F89" s="25" t="n">
        <f aca="false">'Calc Engine'!F313+'Calc Engine'!F314</f>
        <v>110.5</v>
      </c>
      <c r="G89" s="25" t="n">
        <f aca="false">'Calc Engine'!G313+'Calc Engine'!G314</f>
        <v>0</v>
      </c>
      <c r="H89" s="25" t="n">
        <f aca="false">'Calc Engine'!H313+'Calc Engine'!H314</f>
        <v>0</v>
      </c>
      <c r="I89" s="25" t="n">
        <f aca="false">'Calc Engine'!I313+'Calc Engine'!I314</f>
        <v>0</v>
      </c>
      <c r="J89" s="21" t="n">
        <f aca="false">IF(SUM(D89:I89)&lt;=0,-1,IFERROR(IRR(C89:I89,MAX(-0.9,(SUM(D89:I89)/-C89)^(1/Assumptions!$C$37)-1)),IRR(C89:I89,0.1)))</f>
        <v>0.10908562449235</v>
      </c>
    </row>
    <row r="90" customFormat="false" ht="15" hidden="false" customHeight="false" outlineLevel="0" collapsed="false">
      <c r="A90" s="3" t="str">
        <f aca="false">"Base Case · price point 5"</f>
        <v>Base Case · price point 5</v>
      </c>
      <c r="C90" s="25" t="n">
        <f aca="false">-Assumptions!$C$34*$A$14/100*(1+Assumptions!$C$36)</f>
        <v>-103</v>
      </c>
      <c r="D90" s="25" t="n">
        <f aca="false">'Calc Engine'!D313+'Calc Engine'!D314</f>
        <v>10.5</v>
      </c>
      <c r="E90" s="25" t="n">
        <f aca="false">'Calc Engine'!E313+'Calc Engine'!E314</f>
        <v>10.5</v>
      </c>
      <c r="F90" s="25" t="n">
        <f aca="false">'Calc Engine'!F313+'Calc Engine'!F314</f>
        <v>110.5</v>
      </c>
      <c r="G90" s="25" t="n">
        <f aca="false">'Calc Engine'!G313+'Calc Engine'!G314</f>
        <v>0</v>
      </c>
      <c r="H90" s="25" t="n">
        <f aca="false">'Calc Engine'!H313+'Calc Engine'!H314</f>
        <v>0</v>
      </c>
      <c r="I90" s="25" t="n">
        <f aca="false">'Calc Engine'!I313+'Calc Engine'!I314</f>
        <v>0</v>
      </c>
      <c r="J90" s="21" t="n">
        <f aca="false">IF(SUM(D90:I90)&lt;=0,-1,IFERROR(IRR(C90:I90,MAX(-0.9,(SUM(D90:I90)/-C90)^(1/Assumptions!$C$37)-1)),IRR(C90:I90,0.1)))</f>
        <v>0.0930831784395313</v>
      </c>
    </row>
    <row r="91" customFormat="false" ht="15" hidden="false" customHeight="false" outlineLevel="0" collapsed="false">
      <c r="A91" s="3" t="str">
        <f aca="false">"Downside · price point 1"</f>
        <v>Downside · price point 1</v>
      </c>
      <c r="C91" s="25" t="n">
        <f aca="false">-Assumptions!$C$34*$A$10/100*(1+Assumptions!$C$36)</f>
        <v>-87</v>
      </c>
      <c r="D91" s="25" t="n">
        <f aca="false">'Calc Engine'!D637+'Calc Engine'!D638</f>
        <v>10.5</v>
      </c>
      <c r="E91" s="25" t="n">
        <f aca="false">'Calc Engine'!E637+'Calc Engine'!E638</f>
        <v>10.5</v>
      </c>
      <c r="F91" s="25" t="n">
        <f aca="false">'Calc Engine'!F637+'Calc Engine'!F638</f>
        <v>91.7751604731729</v>
      </c>
      <c r="G91" s="25" t="n">
        <f aca="false">'Calc Engine'!G637+'Calc Engine'!G638</f>
        <v>0</v>
      </c>
      <c r="H91" s="25" t="n">
        <f aca="false">'Calc Engine'!H637+'Calc Engine'!H638</f>
        <v>0</v>
      </c>
      <c r="I91" s="25" t="n">
        <f aca="false">'Calc Engine'!I637+'Calc Engine'!I638</f>
        <v>0</v>
      </c>
      <c r="J91" s="21" t="n">
        <f aca="false">IF(SUM(D91:I91)&lt;=0,-1,IFERROR(IRR(C91:I91,MAX(-0.9,(SUM(D91:I91)/-C91)^(1/Assumptions!$C$37)-1)),IRR(C91:I91,0.1)))</f>
        <v>0.100825526816342</v>
      </c>
    </row>
    <row r="92" customFormat="false" ht="15" hidden="false" customHeight="false" outlineLevel="0" collapsed="false">
      <c r="A92" s="3" t="str">
        <f aca="false">"Downside · price point 2"</f>
        <v>Downside · price point 2</v>
      </c>
      <c r="C92" s="25" t="n">
        <f aca="false">-Assumptions!$C$34*$A$11/100*(1+Assumptions!$C$36)</f>
        <v>-91</v>
      </c>
      <c r="D92" s="25" t="n">
        <f aca="false">'Calc Engine'!D637+'Calc Engine'!D638</f>
        <v>10.5</v>
      </c>
      <c r="E92" s="25" t="n">
        <f aca="false">'Calc Engine'!E637+'Calc Engine'!E638</f>
        <v>10.5</v>
      </c>
      <c r="F92" s="25" t="n">
        <f aca="false">'Calc Engine'!F637+'Calc Engine'!F638</f>
        <v>91.7751604731729</v>
      </c>
      <c r="G92" s="25" t="n">
        <f aca="false">'Calc Engine'!G637+'Calc Engine'!G638</f>
        <v>0</v>
      </c>
      <c r="H92" s="25" t="n">
        <f aca="false">'Calc Engine'!H637+'Calc Engine'!H638</f>
        <v>0</v>
      </c>
      <c r="I92" s="25" t="n">
        <f aca="false">'Calc Engine'!I637+'Calc Engine'!I638</f>
        <v>0</v>
      </c>
      <c r="J92" s="21" t="n">
        <f aca="false">IF(SUM(D92:I92)&lt;=0,-1,IFERROR(IRR(C92:I92,MAX(-0.9,(SUM(D92:I92)/-C92)^(1/Assumptions!$C$37)-1)),IRR(C92:I92,0.1)))</f>
        <v>0.0825476898494535</v>
      </c>
    </row>
    <row r="93" customFormat="false" ht="15" hidden="false" customHeight="false" outlineLevel="0" collapsed="false">
      <c r="A93" s="3" t="str">
        <f aca="false">"Downside · price point 3"</f>
        <v>Downside · price point 3</v>
      </c>
      <c r="C93" s="25" t="n">
        <f aca="false">-Assumptions!$C$34*$A$12/100*(1+Assumptions!$C$36)</f>
        <v>-95</v>
      </c>
      <c r="D93" s="25" t="n">
        <f aca="false">'Calc Engine'!D637+'Calc Engine'!D638</f>
        <v>10.5</v>
      </c>
      <c r="E93" s="25" t="n">
        <f aca="false">'Calc Engine'!E637+'Calc Engine'!E638</f>
        <v>10.5</v>
      </c>
      <c r="F93" s="25" t="n">
        <f aca="false">'Calc Engine'!F637+'Calc Engine'!F638</f>
        <v>91.7751604731729</v>
      </c>
      <c r="G93" s="25" t="n">
        <f aca="false">'Calc Engine'!G637+'Calc Engine'!G638</f>
        <v>0</v>
      </c>
      <c r="H93" s="25" t="n">
        <f aca="false">'Calc Engine'!H637+'Calc Engine'!H638</f>
        <v>0</v>
      </c>
      <c r="I93" s="25" t="n">
        <f aca="false">'Calc Engine'!I637+'Calc Engine'!I638</f>
        <v>0</v>
      </c>
      <c r="J93" s="21" t="n">
        <f aca="false">IF(SUM(D93:I93)&lt;=0,-1,IFERROR(IRR(C93:I93,MAX(-0.9,(SUM(D93:I93)/-C93)^(1/Assumptions!$C$37)-1)),IRR(C93:I93,0.1)))</f>
        <v>0.0653848807562152</v>
      </c>
    </row>
    <row r="94" customFormat="false" ht="15" hidden="false" customHeight="false" outlineLevel="0" collapsed="false">
      <c r="A94" s="3" t="str">
        <f aca="false">"Downside · price point 4"</f>
        <v>Downside · price point 4</v>
      </c>
      <c r="C94" s="25" t="n">
        <f aca="false">-Assumptions!$C$34*$A$13/100*(1+Assumptions!$C$36)</f>
        <v>-99</v>
      </c>
      <c r="D94" s="25" t="n">
        <f aca="false">'Calc Engine'!D637+'Calc Engine'!D638</f>
        <v>10.5</v>
      </c>
      <c r="E94" s="25" t="n">
        <f aca="false">'Calc Engine'!E637+'Calc Engine'!E638</f>
        <v>10.5</v>
      </c>
      <c r="F94" s="25" t="n">
        <f aca="false">'Calc Engine'!F637+'Calc Engine'!F638</f>
        <v>91.7751604731729</v>
      </c>
      <c r="G94" s="25" t="n">
        <f aca="false">'Calc Engine'!G637+'Calc Engine'!G638</f>
        <v>0</v>
      </c>
      <c r="H94" s="25" t="n">
        <f aca="false">'Calc Engine'!H637+'Calc Engine'!H638</f>
        <v>0</v>
      </c>
      <c r="I94" s="25" t="n">
        <f aca="false">'Calc Engine'!I637+'Calc Engine'!I638</f>
        <v>0</v>
      </c>
      <c r="J94" s="21" t="n">
        <f aca="false">IF(SUM(D94:I94)&lt;=0,-1,IFERROR(IRR(C94:I94,MAX(-0.9,(SUM(D94:I94)/-C94)^(1/Assumptions!$C$37)-1)),IRR(C94:I94,0.1)))</f>
        <v>0.0492246474775621</v>
      </c>
    </row>
    <row r="95" customFormat="false" ht="15" hidden="false" customHeight="false" outlineLevel="0" collapsed="false">
      <c r="A95" s="3" t="str">
        <f aca="false">"Downside · price point 5"</f>
        <v>Downside · price point 5</v>
      </c>
      <c r="C95" s="25" t="n">
        <f aca="false">-Assumptions!$C$34*$A$14/100*(1+Assumptions!$C$36)</f>
        <v>-103</v>
      </c>
      <c r="D95" s="25" t="n">
        <f aca="false">'Calc Engine'!D637+'Calc Engine'!D638</f>
        <v>10.5</v>
      </c>
      <c r="E95" s="25" t="n">
        <f aca="false">'Calc Engine'!E637+'Calc Engine'!E638</f>
        <v>10.5</v>
      </c>
      <c r="F95" s="25" t="n">
        <f aca="false">'Calc Engine'!F637+'Calc Engine'!F638</f>
        <v>91.7751604731729</v>
      </c>
      <c r="G95" s="25" t="n">
        <f aca="false">'Calc Engine'!G637+'Calc Engine'!G638</f>
        <v>0</v>
      </c>
      <c r="H95" s="25" t="n">
        <f aca="false">'Calc Engine'!H637+'Calc Engine'!H638</f>
        <v>0</v>
      </c>
      <c r="I95" s="25" t="n">
        <f aca="false">'Calc Engine'!I637+'Calc Engine'!I638</f>
        <v>0</v>
      </c>
      <c r="J95" s="21" t="n">
        <f aca="false">IF(SUM(D95:I95)&lt;=0,-1,IFERROR(IRR(C95:I95,MAX(-0.9,(SUM(D95:I95)/-C95)^(1/Assumptions!$C$37)-1)),IRR(C95:I95,0.1)))</f>
        <v>0.0339699682668682</v>
      </c>
    </row>
    <row r="96" customFormat="false" ht="15" hidden="false" customHeight="false" outlineLevel="0" collapsed="false">
      <c r="A96" s="3" t="str">
        <f aca="false">"Severe Downside · price point 1"</f>
        <v>Severe Downside · price point 1</v>
      </c>
      <c r="C96" s="25" t="n">
        <f aca="false">-Assumptions!$C$34*$A$10/100*(1+Assumptions!$C$36)</f>
        <v>-87</v>
      </c>
      <c r="D96" s="25" t="n">
        <f aca="false">'Calc Engine'!D961+'Calc Engine'!D962</f>
        <v>10.5</v>
      </c>
      <c r="E96" s="25" t="n">
        <f aca="false">'Calc Engine'!E961+'Calc Engine'!E962</f>
        <v>10.5</v>
      </c>
      <c r="F96" s="25" t="n">
        <f aca="false">'Calc Engine'!F961+'Calc Engine'!F962</f>
        <v>10.5</v>
      </c>
      <c r="G96" s="25" t="n">
        <f aca="false">'Calc Engine'!G961+'Calc Engine'!G962</f>
        <v>34.945728090226</v>
      </c>
      <c r="H96" s="25" t="n">
        <f aca="false">'Calc Engine'!H961+'Calc Engine'!H962</f>
        <v>0</v>
      </c>
      <c r="I96" s="25" t="n">
        <f aca="false">'Calc Engine'!I961+'Calc Engine'!I962</f>
        <v>0</v>
      </c>
      <c r="J96" s="21" t="n">
        <f aca="false">IF(SUM(D96:I96)&lt;=0,-1,IFERROR(IRR(C96:I96,MAX(-0.9,(SUM(D96:I96)/-C96)^(1/Assumptions!$C$37)-1)),IRR(C96:I96,0.1)))</f>
        <v>-0.0830808373164167</v>
      </c>
    </row>
    <row r="97" customFormat="false" ht="15" hidden="false" customHeight="false" outlineLevel="0" collapsed="false">
      <c r="A97" s="3" t="str">
        <f aca="false">"Severe Downside · price point 2"</f>
        <v>Severe Downside · price point 2</v>
      </c>
      <c r="C97" s="25" t="n">
        <f aca="false">-Assumptions!$C$34*$A$11/100*(1+Assumptions!$C$36)</f>
        <v>-91</v>
      </c>
      <c r="D97" s="25" t="n">
        <f aca="false">'Calc Engine'!D961+'Calc Engine'!D962</f>
        <v>10.5</v>
      </c>
      <c r="E97" s="25" t="n">
        <f aca="false">'Calc Engine'!E961+'Calc Engine'!E962</f>
        <v>10.5</v>
      </c>
      <c r="F97" s="25" t="n">
        <f aca="false">'Calc Engine'!F961+'Calc Engine'!F962</f>
        <v>10.5</v>
      </c>
      <c r="G97" s="25" t="n">
        <f aca="false">'Calc Engine'!G961+'Calc Engine'!G962</f>
        <v>34.945728090226</v>
      </c>
      <c r="H97" s="25" t="n">
        <f aca="false">'Calc Engine'!H961+'Calc Engine'!H962</f>
        <v>0</v>
      </c>
      <c r="I97" s="25" t="n">
        <f aca="false">'Calc Engine'!I961+'Calc Engine'!I962</f>
        <v>0</v>
      </c>
      <c r="J97" s="21" t="n">
        <f aca="false">IF(SUM(D97:I97)&lt;=0,-1,IFERROR(IRR(C97:I97,MAX(-0.9,(SUM(D97:I97)/-C97)^(1/Assumptions!$C$37)-1)),IRR(C97:I97,0.1)))</f>
        <v>-0.0959911589781775</v>
      </c>
    </row>
    <row r="98" customFormat="false" ht="15" hidden="false" customHeight="false" outlineLevel="0" collapsed="false">
      <c r="A98" s="3" t="str">
        <f aca="false">"Severe Downside · price point 3"</f>
        <v>Severe Downside · price point 3</v>
      </c>
      <c r="C98" s="25" t="n">
        <f aca="false">-Assumptions!$C$34*$A$12/100*(1+Assumptions!$C$36)</f>
        <v>-95</v>
      </c>
      <c r="D98" s="25" t="n">
        <f aca="false">'Calc Engine'!D961+'Calc Engine'!D962</f>
        <v>10.5</v>
      </c>
      <c r="E98" s="25" t="n">
        <f aca="false">'Calc Engine'!E961+'Calc Engine'!E962</f>
        <v>10.5</v>
      </c>
      <c r="F98" s="25" t="n">
        <f aca="false">'Calc Engine'!F961+'Calc Engine'!F962</f>
        <v>10.5</v>
      </c>
      <c r="G98" s="25" t="n">
        <f aca="false">'Calc Engine'!G961+'Calc Engine'!G962</f>
        <v>34.945728090226</v>
      </c>
      <c r="H98" s="25" t="n">
        <f aca="false">'Calc Engine'!H961+'Calc Engine'!H962</f>
        <v>0</v>
      </c>
      <c r="I98" s="25" t="n">
        <f aca="false">'Calc Engine'!I961+'Calc Engine'!I962</f>
        <v>0</v>
      </c>
      <c r="J98" s="21" t="n">
        <f aca="false">IF(SUM(D98:I98)&lt;=0,-1,IFERROR(IRR(C98:I98,MAX(-0.9,(SUM(D98:I98)/-C98)^(1/Assumptions!$C$37)-1)),IRR(C98:I98,0.1)))</f>
        <v>-0.10811295237651</v>
      </c>
    </row>
    <row r="99" customFormat="false" ht="15" hidden="false" customHeight="false" outlineLevel="0" collapsed="false">
      <c r="A99" s="3" t="str">
        <f aca="false">"Severe Downside · price point 4"</f>
        <v>Severe Downside · price point 4</v>
      </c>
      <c r="C99" s="25" t="n">
        <f aca="false">-Assumptions!$C$34*$A$13/100*(1+Assumptions!$C$36)</f>
        <v>-99</v>
      </c>
      <c r="D99" s="25" t="n">
        <f aca="false">'Calc Engine'!D961+'Calc Engine'!D962</f>
        <v>10.5</v>
      </c>
      <c r="E99" s="25" t="n">
        <f aca="false">'Calc Engine'!E961+'Calc Engine'!E962</f>
        <v>10.5</v>
      </c>
      <c r="F99" s="25" t="n">
        <f aca="false">'Calc Engine'!F961+'Calc Engine'!F962</f>
        <v>10.5</v>
      </c>
      <c r="G99" s="25" t="n">
        <f aca="false">'Calc Engine'!G961+'Calc Engine'!G962</f>
        <v>34.945728090226</v>
      </c>
      <c r="H99" s="25" t="n">
        <f aca="false">'Calc Engine'!H961+'Calc Engine'!H962</f>
        <v>0</v>
      </c>
      <c r="I99" s="25" t="n">
        <f aca="false">'Calc Engine'!I961+'Calc Engine'!I962</f>
        <v>0</v>
      </c>
      <c r="J99" s="21" t="n">
        <f aca="false">IF(SUM(D99:I99)&lt;=0,-1,IFERROR(IRR(C99:I99,MAX(-0.9,(SUM(D99:I99)/-C99)^(1/Assumptions!$C$37)-1)),IRR(C99:I99,0.1)))</f>
        <v>-0.119526771279425</v>
      </c>
    </row>
    <row r="100" customFormat="false" ht="15" hidden="false" customHeight="false" outlineLevel="0" collapsed="false">
      <c r="A100" s="3" t="str">
        <f aca="false">"Severe Downside · price point 5"</f>
        <v>Severe Downside · price point 5</v>
      </c>
      <c r="C100" s="25" t="n">
        <f aca="false">-Assumptions!$C$34*$A$14/100*(1+Assumptions!$C$36)</f>
        <v>-103</v>
      </c>
      <c r="D100" s="25" t="n">
        <f aca="false">'Calc Engine'!D961+'Calc Engine'!D962</f>
        <v>10.5</v>
      </c>
      <c r="E100" s="25" t="n">
        <f aca="false">'Calc Engine'!E961+'Calc Engine'!E962</f>
        <v>10.5</v>
      </c>
      <c r="F100" s="25" t="n">
        <f aca="false">'Calc Engine'!F961+'Calc Engine'!F962</f>
        <v>10.5</v>
      </c>
      <c r="G100" s="25" t="n">
        <f aca="false">'Calc Engine'!G961+'Calc Engine'!G962</f>
        <v>34.945728090226</v>
      </c>
      <c r="H100" s="25" t="n">
        <f aca="false">'Calc Engine'!H961+'Calc Engine'!H962</f>
        <v>0</v>
      </c>
      <c r="I100" s="25" t="n">
        <f aca="false">'Calc Engine'!I961+'Calc Engine'!I962</f>
        <v>0</v>
      </c>
      <c r="J100" s="21" t="n">
        <f aca="false">IF(SUM(D100:I100)&lt;=0,-1,IFERROR(IRR(C100:I100,MAX(-0.9,(SUM(D100:I100)/-C100)^(1/Assumptions!$C$37)-1)),IRR(C100:I100,0.1)))</f>
        <v>-0.130301948668078</v>
      </c>
    </row>
    <row r="101" customFormat="false" ht="15" hidden="false" customHeight="false" outlineLevel="0" collapsed="false">
      <c r="A101" s="3" t="str">
        <f aca="false">"Base Case · rec point 1"</f>
        <v>Base Case · rec point 1</v>
      </c>
      <c r="C101" s="29" t="n">
        <f aca="false">'Calc Engine'!C315</f>
        <v>-95</v>
      </c>
      <c r="D101" s="25" t="n">
        <f aca="false">'Calc Engine'!D313+IF('Calc Engine'!D311='Calc Engine'!C309,Assumptions!$C$34*$A$20/100,0)</f>
        <v>10.5</v>
      </c>
      <c r="E101" s="25" t="n">
        <f aca="false">'Calc Engine'!E313+IF('Calc Engine'!E311='Calc Engine'!C309,Assumptions!$C$34*$A$20/100,0)</f>
        <v>10.5</v>
      </c>
      <c r="F101" s="25" t="n">
        <f aca="false">'Calc Engine'!F313+IF('Calc Engine'!F311='Calc Engine'!C309,Assumptions!$C$34*$A$20/100,0)</f>
        <v>30.5</v>
      </c>
      <c r="G101" s="25" t="n">
        <f aca="false">'Calc Engine'!G313+IF('Calc Engine'!G311='Calc Engine'!C309,Assumptions!$C$34*$A$20/100,0)</f>
        <v>0</v>
      </c>
      <c r="H101" s="25" t="n">
        <f aca="false">'Calc Engine'!H313+IF('Calc Engine'!H311='Calc Engine'!C309,Assumptions!$C$34*$A$20/100,0)</f>
        <v>0</v>
      </c>
      <c r="I101" s="25" t="n">
        <f aca="false">'Calc Engine'!I313+IF('Calc Engine'!I311='Calc Engine'!C309,Assumptions!$C$34*$A$20/100,0)</f>
        <v>0</v>
      </c>
      <c r="J101" s="21" t="n">
        <f aca="false">IF(SUM(D101:I101)&lt;=0,-1,IFERROR(IRR(C101:I101,MAX(-0.9,(SUM(D101:I101)/-C101)^(1/Assumptions!$C$37)-1)),IRR(C101:I101,0.1)))</f>
        <v>-0.22002894042474</v>
      </c>
    </row>
    <row r="102" customFormat="false" ht="15" hidden="false" customHeight="false" outlineLevel="0" collapsed="false">
      <c r="A102" s="3" t="str">
        <f aca="false">"Base Case · rec point 2"</f>
        <v>Base Case · rec point 2</v>
      </c>
      <c r="C102" s="29" t="n">
        <f aca="false">'Calc Engine'!C315</f>
        <v>-95</v>
      </c>
      <c r="D102" s="25" t="n">
        <f aca="false">'Calc Engine'!D313+IF('Calc Engine'!D311='Calc Engine'!C309,Assumptions!$C$34*$A$21/100,0)</f>
        <v>10.5</v>
      </c>
      <c r="E102" s="25" t="n">
        <f aca="false">'Calc Engine'!E313+IF('Calc Engine'!E311='Calc Engine'!C309,Assumptions!$C$34*$A$21/100,0)</f>
        <v>10.5</v>
      </c>
      <c r="F102" s="25" t="n">
        <f aca="false">'Calc Engine'!F313+IF('Calc Engine'!F311='Calc Engine'!C309,Assumptions!$C$34*$A$21/100,0)</f>
        <v>50.5</v>
      </c>
      <c r="G102" s="25" t="n">
        <f aca="false">'Calc Engine'!G313+IF('Calc Engine'!G311='Calc Engine'!C309,Assumptions!$C$34*$A$21/100,0)</f>
        <v>0</v>
      </c>
      <c r="H102" s="25" t="n">
        <f aca="false">'Calc Engine'!H313+IF('Calc Engine'!H311='Calc Engine'!C309,Assumptions!$C$34*$A$21/100,0)</f>
        <v>0</v>
      </c>
      <c r="I102" s="25" t="n">
        <f aca="false">'Calc Engine'!I313+IF('Calc Engine'!I311='Calc Engine'!C309,Assumptions!$C$34*$A$21/100,0)</f>
        <v>0</v>
      </c>
      <c r="J102" s="21" t="n">
        <f aca="false">IF(SUM(D102:I102)&lt;=0,-1,IFERROR(IRR(C102:I102,MAX(-0.9,(SUM(D102:I102)/-C102)^(1/Assumptions!$C$37)-1)),IRR(C102:I102,0.1)))</f>
        <v>-0.103990625641738</v>
      </c>
    </row>
    <row r="103" customFormat="false" ht="15" hidden="false" customHeight="false" outlineLevel="0" collapsed="false">
      <c r="A103" s="3" t="str">
        <f aca="false">"Base Case · rec point 3"</f>
        <v>Base Case · rec point 3</v>
      </c>
      <c r="C103" s="29" t="n">
        <f aca="false">'Calc Engine'!C315</f>
        <v>-95</v>
      </c>
      <c r="D103" s="25" t="n">
        <f aca="false">'Calc Engine'!D313+IF('Calc Engine'!D311='Calc Engine'!C309,Assumptions!$C$34*$A$22/100,0)</f>
        <v>10.5</v>
      </c>
      <c r="E103" s="25" t="n">
        <f aca="false">'Calc Engine'!E313+IF('Calc Engine'!E311='Calc Engine'!C309,Assumptions!$C$34*$A$22/100,0)</f>
        <v>10.5</v>
      </c>
      <c r="F103" s="25" t="n">
        <f aca="false">'Calc Engine'!F313+IF('Calc Engine'!F311='Calc Engine'!C309,Assumptions!$C$34*$A$22/100,0)</f>
        <v>70.5</v>
      </c>
      <c r="G103" s="25" t="n">
        <f aca="false">'Calc Engine'!G313+IF('Calc Engine'!G311='Calc Engine'!C309,Assumptions!$C$34*$A$22/100,0)</f>
        <v>0</v>
      </c>
      <c r="H103" s="25" t="n">
        <f aca="false">'Calc Engine'!H313+IF('Calc Engine'!H311='Calc Engine'!C309,Assumptions!$C$34*$A$22/100,0)</f>
        <v>0</v>
      </c>
      <c r="I103" s="25" t="n">
        <f aca="false">'Calc Engine'!I313+IF('Calc Engine'!I311='Calc Engine'!C309,Assumptions!$C$34*$A$22/100,0)</f>
        <v>0</v>
      </c>
      <c r="J103" s="21" t="n">
        <f aca="false">IF(SUM(D103:I103)&lt;=0,-1,IFERROR(IRR(C103:I103,MAX(-0.9,(SUM(D103:I103)/-C103)^(1/Assumptions!$C$37)-1)),IRR(C103:I103,0.1)))</f>
        <v>-0.0140184707970688</v>
      </c>
    </row>
    <row r="104" customFormat="false" ht="15" hidden="false" customHeight="false" outlineLevel="0" collapsed="false">
      <c r="A104" s="3" t="str">
        <f aca="false">"Base Case · rec point 4"</f>
        <v>Base Case · rec point 4</v>
      </c>
      <c r="C104" s="29" t="n">
        <f aca="false">'Calc Engine'!C315</f>
        <v>-95</v>
      </c>
      <c r="D104" s="25" t="n">
        <f aca="false">'Calc Engine'!D313+IF('Calc Engine'!D311='Calc Engine'!C309,Assumptions!$C$34*$A$23/100,0)</f>
        <v>10.5</v>
      </c>
      <c r="E104" s="25" t="n">
        <f aca="false">'Calc Engine'!E313+IF('Calc Engine'!E311='Calc Engine'!C309,Assumptions!$C$34*$A$23/100,0)</f>
        <v>10.5</v>
      </c>
      <c r="F104" s="25" t="n">
        <f aca="false">'Calc Engine'!F313+IF('Calc Engine'!F311='Calc Engine'!C309,Assumptions!$C$34*$A$23/100,0)</f>
        <v>90.5</v>
      </c>
      <c r="G104" s="25" t="n">
        <f aca="false">'Calc Engine'!G313+IF('Calc Engine'!G311='Calc Engine'!C309,Assumptions!$C$34*$A$23/100,0)</f>
        <v>0</v>
      </c>
      <c r="H104" s="25" t="n">
        <f aca="false">'Calc Engine'!H313+IF('Calc Engine'!H311='Calc Engine'!C309,Assumptions!$C$34*$A$23/100,0)</f>
        <v>0</v>
      </c>
      <c r="I104" s="25" t="n">
        <f aca="false">'Calc Engine'!I313+IF('Calc Engine'!I311='Calc Engine'!C309,Assumptions!$C$34*$A$23/100,0)</f>
        <v>0</v>
      </c>
      <c r="J104" s="21" t="n">
        <f aca="false">IF(SUM(D104:I104)&lt;=0,-1,IFERROR(IRR(C104:I104,MAX(-0.9,(SUM(D104:I104)/-C104)^(1/Assumptions!$C$37)-1)),IRR(C104:I104,0.1)))</f>
        <v>0.0609775113549791</v>
      </c>
    </row>
    <row r="105" customFormat="false" ht="15" hidden="false" customHeight="false" outlineLevel="0" collapsed="false">
      <c r="A105" s="3" t="str">
        <f aca="false">"Base Case · rec point 5"</f>
        <v>Base Case · rec point 5</v>
      </c>
      <c r="C105" s="29" t="n">
        <f aca="false">'Calc Engine'!C315</f>
        <v>-95</v>
      </c>
      <c r="D105" s="25" t="n">
        <f aca="false">'Calc Engine'!D313+IF('Calc Engine'!D311='Calc Engine'!C309,Assumptions!$C$34*$A$24/100,0)</f>
        <v>10.5</v>
      </c>
      <c r="E105" s="25" t="n">
        <f aca="false">'Calc Engine'!E313+IF('Calc Engine'!E311='Calc Engine'!C309,Assumptions!$C$34*$A$24/100,0)</f>
        <v>10.5</v>
      </c>
      <c r="F105" s="25" t="n">
        <f aca="false">'Calc Engine'!F313+IF('Calc Engine'!F311='Calc Engine'!C309,Assumptions!$C$34*$A$24/100,0)</f>
        <v>110.5</v>
      </c>
      <c r="G105" s="25" t="n">
        <f aca="false">'Calc Engine'!G313+IF('Calc Engine'!G311='Calc Engine'!C309,Assumptions!$C$34*$A$24/100,0)</f>
        <v>0</v>
      </c>
      <c r="H105" s="25" t="n">
        <f aca="false">'Calc Engine'!H313+IF('Calc Engine'!H311='Calc Engine'!C309,Assumptions!$C$34*$A$24/100,0)</f>
        <v>0</v>
      </c>
      <c r="I105" s="25" t="n">
        <f aca="false">'Calc Engine'!I313+IF('Calc Engine'!I311='Calc Engine'!C309,Assumptions!$C$34*$A$24/100,0)</f>
        <v>0</v>
      </c>
      <c r="J105" s="21" t="n">
        <f aca="false">IF(SUM(D105:I105)&lt;=0,-1,IFERROR(IRR(C105:I105,MAX(-0.9,(SUM(D105:I105)/-C105)^(1/Assumptions!$C$37)-1)),IRR(C105:I105,0.1)))</f>
        <v>0.126033624615204</v>
      </c>
    </row>
    <row r="106" customFormat="false" ht="15" hidden="false" customHeight="false" outlineLevel="0" collapsed="false">
      <c r="A106" s="3" t="str">
        <f aca="false">"Downside · rec point 1"</f>
        <v>Downside · rec point 1</v>
      </c>
      <c r="C106" s="29" t="n">
        <f aca="false">'Calc Engine'!C639</f>
        <v>-95</v>
      </c>
      <c r="D106" s="25" t="n">
        <f aca="false">'Calc Engine'!D637+IF('Calc Engine'!D635='Calc Engine'!C633,Assumptions!$C$34*$A$20/100,0)</f>
        <v>10.5</v>
      </c>
      <c r="E106" s="25" t="n">
        <f aca="false">'Calc Engine'!E637+IF('Calc Engine'!E635='Calc Engine'!C633,Assumptions!$C$34*$A$20/100,0)</f>
        <v>10.5</v>
      </c>
      <c r="F106" s="25" t="n">
        <f aca="false">'Calc Engine'!F637+IF('Calc Engine'!F635='Calc Engine'!C633,Assumptions!$C$34*$A$20/100,0)</f>
        <v>30.5</v>
      </c>
      <c r="G106" s="25" t="n">
        <f aca="false">'Calc Engine'!G637+IF('Calc Engine'!G635='Calc Engine'!C633,Assumptions!$C$34*$A$20/100,0)</f>
        <v>0</v>
      </c>
      <c r="H106" s="25" t="n">
        <f aca="false">'Calc Engine'!H637+IF('Calc Engine'!H635='Calc Engine'!C633,Assumptions!$C$34*$A$20/100,0)</f>
        <v>0</v>
      </c>
      <c r="I106" s="25" t="n">
        <f aca="false">'Calc Engine'!I637+IF('Calc Engine'!I635='Calc Engine'!C633,Assumptions!$C$34*$A$20/100,0)</f>
        <v>0</v>
      </c>
      <c r="J106" s="21" t="n">
        <f aca="false">IF(SUM(D106:I106)&lt;=0,-1,IFERROR(IRR(C106:I106,MAX(-0.9,(SUM(D106:I106)/-C106)^(1/Assumptions!$C$37)-1)),IRR(C106:I106,0.1)))</f>
        <v>-0.22002894042474</v>
      </c>
    </row>
    <row r="107" customFormat="false" ht="15" hidden="false" customHeight="false" outlineLevel="0" collapsed="false">
      <c r="A107" s="3" t="str">
        <f aca="false">"Downside · rec point 2"</f>
        <v>Downside · rec point 2</v>
      </c>
      <c r="C107" s="29" t="n">
        <f aca="false">'Calc Engine'!C639</f>
        <v>-95</v>
      </c>
      <c r="D107" s="25" t="n">
        <f aca="false">'Calc Engine'!D637+IF('Calc Engine'!D635='Calc Engine'!C633,Assumptions!$C$34*$A$21/100,0)</f>
        <v>10.5</v>
      </c>
      <c r="E107" s="25" t="n">
        <f aca="false">'Calc Engine'!E637+IF('Calc Engine'!E635='Calc Engine'!C633,Assumptions!$C$34*$A$21/100,0)</f>
        <v>10.5</v>
      </c>
      <c r="F107" s="25" t="n">
        <f aca="false">'Calc Engine'!F637+IF('Calc Engine'!F635='Calc Engine'!C633,Assumptions!$C$34*$A$21/100,0)</f>
        <v>50.5</v>
      </c>
      <c r="G107" s="25" t="n">
        <f aca="false">'Calc Engine'!G637+IF('Calc Engine'!G635='Calc Engine'!C633,Assumptions!$C$34*$A$21/100,0)</f>
        <v>0</v>
      </c>
      <c r="H107" s="25" t="n">
        <f aca="false">'Calc Engine'!H637+IF('Calc Engine'!H635='Calc Engine'!C633,Assumptions!$C$34*$A$21/100,0)</f>
        <v>0</v>
      </c>
      <c r="I107" s="25" t="n">
        <f aca="false">'Calc Engine'!I637+IF('Calc Engine'!I635='Calc Engine'!C633,Assumptions!$C$34*$A$21/100,0)</f>
        <v>0</v>
      </c>
      <c r="J107" s="21" t="n">
        <f aca="false">IF(SUM(D107:I107)&lt;=0,-1,IFERROR(IRR(C107:I107,MAX(-0.9,(SUM(D107:I107)/-C107)^(1/Assumptions!$C$37)-1)),IRR(C107:I107,0.1)))</f>
        <v>-0.103990625641738</v>
      </c>
    </row>
    <row r="108" customFormat="false" ht="15" hidden="false" customHeight="false" outlineLevel="0" collapsed="false">
      <c r="A108" s="3" t="str">
        <f aca="false">"Downside · rec point 3"</f>
        <v>Downside · rec point 3</v>
      </c>
      <c r="C108" s="29" t="n">
        <f aca="false">'Calc Engine'!C639</f>
        <v>-95</v>
      </c>
      <c r="D108" s="25" t="n">
        <f aca="false">'Calc Engine'!D637+IF('Calc Engine'!D635='Calc Engine'!C633,Assumptions!$C$34*$A$22/100,0)</f>
        <v>10.5</v>
      </c>
      <c r="E108" s="25" t="n">
        <f aca="false">'Calc Engine'!E637+IF('Calc Engine'!E635='Calc Engine'!C633,Assumptions!$C$34*$A$22/100,0)</f>
        <v>10.5</v>
      </c>
      <c r="F108" s="25" t="n">
        <f aca="false">'Calc Engine'!F637+IF('Calc Engine'!F635='Calc Engine'!C633,Assumptions!$C$34*$A$22/100,0)</f>
        <v>70.5</v>
      </c>
      <c r="G108" s="25" t="n">
        <f aca="false">'Calc Engine'!G637+IF('Calc Engine'!G635='Calc Engine'!C633,Assumptions!$C$34*$A$22/100,0)</f>
        <v>0</v>
      </c>
      <c r="H108" s="25" t="n">
        <f aca="false">'Calc Engine'!H637+IF('Calc Engine'!H635='Calc Engine'!C633,Assumptions!$C$34*$A$22/100,0)</f>
        <v>0</v>
      </c>
      <c r="I108" s="25" t="n">
        <f aca="false">'Calc Engine'!I637+IF('Calc Engine'!I635='Calc Engine'!C633,Assumptions!$C$34*$A$22/100,0)</f>
        <v>0</v>
      </c>
      <c r="J108" s="21" t="n">
        <f aca="false">IF(SUM(D108:I108)&lt;=0,-1,IFERROR(IRR(C108:I108,MAX(-0.9,(SUM(D108:I108)/-C108)^(1/Assumptions!$C$37)-1)),IRR(C108:I108,0.1)))</f>
        <v>-0.0140184707970688</v>
      </c>
    </row>
    <row r="109" customFormat="false" ht="15" hidden="false" customHeight="false" outlineLevel="0" collapsed="false">
      <c r="A109" s="3" t="str">
        <f aca="false">"Downside · rec point 4"</f>
        <v>Downside · rec point 4</v>
      </c>
      <c r="C109" s="29" t="n">
        <f aca="false">'Calc Engine'!C639</f>
        <v>-95</v>
      </c>
      <c r="D109" s="25" t="n">
        <f aca="false">'Calc Engine'!D637+IF('Calc Engine'!D635='Calc Engine'!C633,Assumptions!$C$34*$A$23/100,0)</f>
        <v>10.5</v>
      </c>
      <c r="E109" s="25" t="n">
        <f aca="false">'Calc Engine'!E637+IF('Calc Engine'!E635='Calc Engine'!C633,Assumptions!$C$34*$A$23/100,0)</f>
        <v>10.5</v>
      </c>
      <c r="F109" s="25" t="n">
        <f aca="false">'Calc Engine'!F637+IF('Calc Engine'!F635='Calc Engine'!C633,Assumptions!$C$34*$A$23/100,0)</f>
        <v>90.5</v>
      </c>
      <c r="G109" s="25" t="n">
        <f aca="false">'Calc Engine'!G637+IF('Calc Engine'!G635='Calc Engine'!C633,Assumptions!$C$34*$A$23/100,0)</f>
        <v>0</v>
      </c>
      <c r="H109" s="25" t="n">
        <f aca="false">'Calc Engine'!H637+IF('Calc Engine'!H635='Calc Engine'!C633,Assumptions!$C$34*$A$23/100,0)</f>
        <v>0</v>
      </c>
      <c r="I109" s="25" t="n">
        <f aca="false">'Calc Engine'!I637+IF('Calc Engine'!I635='Calc Engine'!C633,Assumptions!$C$34*$A$23/100,0)</f>
        <v>0</v>
      </c>
      <c r="J109" s="21" t="n">
        <f aca="false">IF(SUM(D109:I109)&lt;=0,-1,IFERROR(IRR(C109:I109,MAX(-0.9,(SUM(D109:I109)/-C109)^(1/Assumptions!$C$37)-1)),IRR(C109:I109,0.1)))</f>
        <v>0.0609775113549791</v>
      </c>
    </row>
    <row r="110" customFormat="false" ht="15" hidden="false" customHeight="false" outlineLevel="0" collapsed="false">
      <c r="A110" s="3" t="str">
        <f aca="false">"Downside · rec point 5"</f>
        <v>Downside · rec point 5</v>
      </c>
      <c r="C110" s="29" t="n">
        <f aca="false">'Calc Engine'!C639</f>
        <v>-95</v>
      </c>
      <c r="D110" s="25" t="n">
        <f aca="false">'Calc Engine'!D637+IF('Calc Engine'!D635='Calc Engine'!C633,Assumptions!$C$34*$A$24/100,0)</f>
        <v>10.5</v>
      </c>
      <c r="E110" s="25" t="n">
        <f aca="false">'Calc Engine'!E637+IF('Calc Engine'!E635='Calc Engine'!C633,Assumptions!$C$34*$A$24/100,0)</f>
        <v>10.5</v>
      </c>
      <c r="F110" s="25" t="n">
        <f aca="false">'Calc Engine'!F637+IF('Calc Engine'!F635='Calc Engine'!C633,Assumptions!$C$34*$A$24/100,0)</f>
        <v>110.5</v>
      </c>
      <c r="G110" s="25" t="n">
        <f aca="false">'Calc Engine'!G637+IF('Calc Engine'!G635='Calc Engine'!C633,Assumptions!$C$34*$A$24/100,0)</f>
        <v>0</v>
      </c>
      <c r="H110" s="25" t="n">
        <f aca="false">'Calc Engine'!H637+IF('Calc Engine'!H635='Calc Engine'!C633,Assumptions!$C$34*$A$24/100,0)</f>
        <v>0</v>
      </c>
      <c r="I110" s="25" t="n">
        <f aca="false">'Calc Engine'!I637+IF('Calc Engine'!I635='Calc Engine'!C633,Assumptions!$C$34*$A$24/100,0)</f>
        <v>0</v>
      </c>
      <c r="J110" s="21" t="n">
        <f aca="false">IF(SUM(D110:I110)&lt;=0,-1,IFERROR(IRR(C110:I110,MAX(-0.9,(SUM(D110:I110)/-C110)^(1/Assumptions!$C$37)-1)),IRR(C110:I110,0.1)))</f>
        <v>0.126033624615204</v>
      </c>
    </row>
    <row r="111" customFormat="false" ht="15" hidden="false" customHeight="false" outlineLevel="0" collapsed="false">
      <c r="A111" s="3" t="str">
        <f aca="false">"Severe Downside · rec point 1"</f>
        <v>Severe Downside · rec point 1</v>
      </c>
      <c r="C111" s="29" t="n">
        <f aca="false">'Calc Engine'!C963</f>
        <v>-95</v>
      </c>
      <c r="D111" s="25" t="n">
        <f aca="false">'Calc Engine'!D961+IF('Calc Engine'!D959='Calc Engine'!C957,Assumptions!$C$34*$A$20/100,0)</f>
        <v>10.5</v>
      </c>
      <c r="E111" s="25" t="n">
        <f aca="false">'Calc Engine'!E961+IF('Calc Engine'!E959='Calc Engine'!C957,Assumptions!$C$34*$A$20/100,0)</f>
        <v>10.5</v>
      </c>
      <c r="F111" s="25" t="n">
        <f aca="false">'Calc Engine'!F961+IF('Calc Engine'!F959='Calc Engine'!C957,Assumptions!$C$34*$A$20/100,0)</f>
        <v>10.5</v>
      </c>
      <c r="G111" s="25" t="n">
        <f aca="false">'Calc Engine'!G961+IF('Calc Engine'!G959='Calc Engine'!C957,Assumptions!$C$34*$A$20/100,0)</f>
        <v>20</v>
      </c>
      <c r="H111" s="25" t="n">
        <f aca="false">'Calc Engine'!H961+IF('Calc Engine'!H959='Calc Engine'!C957,Assumptions!$C$34*$A$20/100,0)</f>
        <v>0</v>
      </c>
      <c r="I111" s="25" t="n">
        <f aca="false">'Calc Engine'!I961+IF('Calc Engine'!I959='Calc Engine'!C957,Assumptions!$C$34*$A$20/100,0)</f>
        <v>0</v>
      </c>
      <c r="J111" s="21" t="n">
        <f aca="false">IF(SUM(D111:I111)&lt;=0,-1,IFERROR(IRR(C111:I111,MAX(-0.9,(SUM(D111:I111)/-C111)^(1/Assumptions!$C$37)-1)),IRR(C111:I111,0.1)))</f>
        <v>-0.189481664272586</v>
      </c>
    </row>
    <row r="112" customFormat="false" ht="15" hidden="false" customHeight="false" outlineLevel="0" collapsed="false">
      <c r="A112" s="3" t="str">
        <f aca="false">"Severe Downside · rec point 2"</f>
        <v>Severe Downside · rec point 2</v>
      </c>
      <c r="C112" s="29" t="n">
        <f aca="false">'Calc Engine'!C963</f>
        <v>-95</v>
      </c>
      <c r="D112" s="25" t="n">
        <f aca="false">'Calc Engine'!D961+IF('Calc Engine'!D959='Calc Engine'!C957,Assumptions!$C$34*$A$21/100,0)</f>
        <v>10.5</v>
      </c>
      <c r="E112" s="25" t="n">
        <f aca="false">'Calc Engine'!E961+IF('Calc Engine'!E959='Calc Engine'!C957,Assumptions!$C$34*$A$21/100,0)</f>
        <v>10.5</v>
      </c>
      <c r="F112" s="25" t="n">
        <f aca="false">'Calc Engine'!F961+IF('Calc Engine'!F959='Calc Engine'!C957,Assumptions!$C$34*$A$21/100,0)</f>
        <v>10.5</v>
      </c>
      <c r="G112" s="25" t="n">
        <f aca="false">'Calc Engine'!G961+IF('Calc Engine'!G959='Calc Engine'!C957,Assumptions!$C$34*$A$21/100,0)</f>
        <v>40</v>
      </c>
      <c r="H112" s="25" t="n">
        <f aca="false">'Calc Engine'!H961+IF('Calc Engine'!H959='Calc Engine'!C957,Assumptions!$C$34*$A$21/100,0)</f>
        <v>0</v>
      </c>
      <c r="I112" s="25" t="n">
        <f aca="false">'Calc Engine'!I961+IF('Calc Engine'!I959='Calc Engine'!C957,Assumptions!$C$34*$A$21/100,0)</f>
        <v>0</v>
      </c>
      <c r="J112" s="21" t="n">
        <f aca="false">IF(SUM(D112:I112)&lt;=0,-1,IFERROR(IRR(C112:I112,MAX(-0.9,(SUM(D112:I112)/-C112)^(1/Assumptions!$C$37)-1)),IRR(C112:I112,0.1)))</f>
        <v>-0.0856298029339399</v>
      </c>
    </row>
    <row r="113" customFormat="false" ht="15" hidden="false" customHeight="false" outlineLevel="0" collapsed="false">
      <c r="A113" s="3" t="str">
        <f aca="false">"Severe Downside · rec point 3"</f>
        <v>Severe Downside · rec point 3</v>
      </c>
      <c r="C113" s="29" t="n">
        <f aca="false">'Calc Engine'!C963</f>
        <v>-95</v>
      </c>
      <c r="D113" s="25" t="n">
        <f aca="false">'Calc Engine'!D961+IF('Calc Engine'!D959='Calc Engine'!C957,Assumptions!$C$34*$A$22/100,0)</f>
        <v>10.5</v>
      </c>
      <c r="E113" s="25" t="n">
        <f aca="false">'Calc Engine'!E961+IF('Calc Engine'!E959='Calc Engine'!C957,Assumptions!$C$34*$A$22/100,0)</f>
        <v>10.5</v>
      </c>
      <c r="F113" s="25" t="n">
        <f aca="false">'Calc Engine'!F961+IF('Calc Engine'!F959='Calc Engine'!C957,Assumptions!$C$34*$A$22/100,0)</f>
        <v>10.5</v>
      </c>
      <c r="G113" s="25" t="n">
        <f aca="false">'Calc Engine'!G961+IF('Calc Engine'!G959='Calc Engine'!C957,Assumptions!$C$34*$A$22/100,0)</f>
        <v>60</v>
      </c>
      <c r="H113" s="25" t="n">
        <f aca="false">'Calc Engine'!H961+IF('Calc Engine'!H959='Calc Engine'!C957,Assumptions!$C$34*$A$22/100,0)</f>
        <v>0</v>
      </c>
      <c r="I113" s="25" t="n">
        <f aca="false">'Calc Engine'!I961+IF('Calc Engine'!I959='Calc Engine'!C957,Assumptions!$C$34*$A$22/100,0)</f>
        <v>0</v>
      </c>
      <c r="J113" s="21" t="n">
        <f aca="false">IF(SUM(D113:I113)&lt;=0,-1,IFERROR(IRR(C113:I113,MAX(-0.9,(SUM(D113:I113)/-C113)^(1/Assumptions!$C$37)-1)),IRR(C113:I113,0.1)))</f>
        <v>-0.0112501651617602</v>
      </c>
    </row>
    <row r="114" customFormat="false" ht="15" hidden="false" customHeight="false" outlineLevel="0" collapsed="false">
      <c r="A114" s="3" t="str">
        <f aca="false">"Severe Downside · rec point 4"</f>
        <v>Severe Downside · rec point 4</v>
      </c>
      <c r="C114" s="29" t="n">
        <f aca="false">'Calc Engine'!C963</f>
        <v>-95</v>
      </c>
      <c r="D114" s="25" t="n">
        <f aca="false">'Calc Engine'!D961+IF('Calc Engine'!D959='Calc Engine'!C957,Assumptions!$C$34*$A$23/100,0)</f>
        <v>10.5</v>
      </c>
      <c r="E114" s="25" t="n">
        <f aca="false">'Calc Engine'!E961+IF('Calc Engine'!E959='Calc Engine'!C957,Assumptions!$C$34*$A$23/100,0)</f>
        <v>10.5</v>
      </c>
      <c r="F114" s="25" t="n">
        <f aca="false">'Calc Engine'!F961+IF('Calc Engine'!F959='Calc Engine'!C957,Assumptions!$C$34*$A$23/100,0)</f>
        <v>10.5</v>
      </c>
      <c r="G114" s="25" t="n">
        <f aca="false">'Calc Engine'!G961+IF('Calc Engine'!G959='Calc Engine'!C957,Assumptions!$C$34*$A$23/100,0)</f>
        <v>80</v>
      </c>
      <c r="H114" s="25" t="n">
        <f aca="false">'Calc Engine'!H961+IF('Calc Engine'!H959='Calc Engine'!C957,Assumptions!$C$34*$A$23/100,0)</f>
        <v>0</v>
      </c>
      <c r="I114" s="25" t="n">
        <f aca="false">'Calc Engine'!I961+IF('Calc Engine'!I959='Calc Engine'!C957,Assumptions!$C$34*$A$23/100,0)</f>
        <v>0</v>
      </c>
      <c r="J114" s="21" t="n">
        <f aca="false">IF(SUM(D114:I114)&lt;=0,-1,IFERROR(IRR(C114:I114,MAX(-0.9,(SUM(D114:I114)/-C114)^(1/Assumptions!$C$37)-1)),IRR(C114:I114,0.1)))</f>
        <v>0.0480705325041448</v>
      </c>
    </row>
    <row r="115" customFormat="false" ht="15" hidden="false" customHeight="false" outlineLevel="0" collapsed="false">
      <c r="A115" s="3" t="str">
        <f aca="false">"Severe Downside · rec point 5"</f>
        <v>Severe Downside · rec point 5</v>
      </c>
      <c r="C115" s="29" t="n">
        <f aca="false">'Calc Engine'!C963</f>
        <v>-95</v>
      </c>
      <c r="D115" s="25" t="n">
        <f aca="false">'Calc Engine'!D961+IF('Calc Engine'!D959='Calc Engine'!C957,Assumptions!$C$34*$A$24/100,0)</f>
        <v>10.5</v>
      </c>
      <c r="E115" s="25" t="n">
        <f aca="false">'Calc Engine'!E961+IF('Calc Engine'!E959='Calc Engine'!C957,Assumptions!$C$34*$A$24/100,0)</f>
        <v>10.5</v>
      </c>
      <c r="F115" s="25" t="n">
        <f aca="false">'Calc Engine'!F961+IF('Calc Engine'!F959='Calc Engine'!C957,Assumptions!$C$34*$A$24/100,0)</f>
        <v>10.5</v>
      </c>
      <c r="G115" s="25" t="n">
        <f aca="false">'Calc Engine'!G961+IF('Calc Engine'!G959='Calc Engine'!C957,Assumptions!$C$34*$A$24/100,0)</f>
        <v>100</v>
      </c>
      <c r="H115" s="25" t="n">
        <f aca="false">'Calc Engine'!H961+IF('Calc Engine'!H959='Calc Engine'!C957,Assumptions!$C$34*$A$24/100,0)</f>
        <v>0</v>
      </c>
      <c r="I115" s="25" t="n">
        <f aca="false">'Calc Engine'!I961+IF('Calc Engine'!I959='Calc Engine'!C957,Assumptions!$C$34*$A$24/100,0)</f>
        <v>0</v>
      </c>
      <c r="J115" s="21" t="n">
        <f aca="false">IF(SUM(D115:I115)&lt;=0,-1,IFERROR(IRR(C115:I115,MAX(-0.9,(SUM(D115:I115)/-C115)^(1/Assumptions!$C$37)-1)),IRR(C115:I115,0.1)))</f>
        <v>0.0980151912782897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591</v>
      </c>
    </row>
    <row r="2" customFormat="false" ht="15" hidden="false" customHeight="false" outlineLevel="0" collapsed="false">
      <c r="A2" s="3" t="str">
        <f aca="false">Assumptions!$C$5&amp;"  |  PUBLIC DATA CASE  |  HYPOTHETICAL INVESTMENT TERMS  |  Active scenario: "&amp;Assumptions!$D$10</f>
        <v>AMC Networks (AMC Global Media)  |  PUBLIC DATA CASE  |  HYPOTHETICAL INVESTMENT TERMS  |  Active scenario: Downside</v>
      </c>
    </row>
    <row r="4" customFormat="false" ht="15" hidden="false" customHeight="false" outlineLevel="0" collapsed="false">
      <c r="A4" s="2" t="s">
        <v>592</v>
      </c>
      <c r="C4" s="4" t="str">
        <f aca="false">'Investment Summary'!$C$41</f>
        <v>HOLD</v>
      </c>
    </row>
    <row r="5" customFormat="false" ht="15" hidden="false" customHeight="false" outlineLevel="0" collapsed="false">
      <c r="A5" s="3" t="s">
        <v>593</v>
      </c>
      <c r="C5" s="3" t="str">
        <f aca="false">CHOOSE(Assumptions!$C$33,Assumptions!$A$56,Assumptions!$A$57,Assumptions!$A$58)&amp;" @ "&amp;TEXT(Assumptions!$C$35,"0.0")</f>
        <v>10.50% Senior Secured Notes due 2032 @ 95.0</v>
      </c>
    </row>
    <row r="6" customFormat="false" ht="15" hidden="false" customHeight="false" outlineLevel="0" collapsed="false">
      <c r="A6" s="3" t="s">
        <v>594</v>
      </c>
      <c r="C6" s="3" t="str">
        <f aca="false">TEXT(Assumptions!$C$34,"0.0")&amp;" / "&amp;TEXT(Assumptions!$C$35,"0.0")&amp;" / "&amp;TEXT(Returns!C10,"0.0")</f>
        <v>100.0 / 95.0 / 95.0</v>
      </c>
    </row>
    <row r="7" customFormat="false" ht="15" hidden="false" customHeight="false" outlineLevel="0" collapsed="false">
      <c r="A7" s="2" t="s">
        <v>402</v>
      </c>
      <c r="C7" s="48" t="n">
        <f aca="false">'Credit Metrics'!$G$61</f>
        <v>59.3816373060825</v>
      </c>
    </row>
    <row r="8" customFormat="false" ht="15" hidden="false" customHeight="false" outlineLevel="0" collapsed="false">
      <c r="A8" s="3" t="s">
        <v>403</v>
      </c>
      <c r="C8" s="6" t="str">
        <f aca="false">'Credit Metrics'!$G$62</f>
        <v>Elevated</v>
      </c>
    </row>
    <row r="9" customFormat="false" ht="15" hidden="false" customHeight="false" outlineLevel="0" collapsed="false">
      <c r="A9" s="2" t="s">
        <v>595</v>
      </c>
      <c r="C9" s="41" t="n">
        <f aca="false">Scenarios!C27</f>
        <v>0.126033624615204</v>
      </c>
    </row>
    <row r="10" customFormat="false" ht="15" hidden="false" customHeight="false" outlineLevel="0" collapsed="false">
      <c r="A10" s="2" t="s">
        <v>596</v>
      </c>
      <c r="C10" s="41" t="n">
        <f aca="false">Scenarios!D27</f>
        <v>0.0653848807562152</v>
      </c>
    </row>
    <row r="11" customFormat="false" ht="15" hidden="false" customHeight="false" outlineLevel="0" collapsed="false">
      <c r="A11" s="2" t="s">
        <v>597</v>
      </c>
      <c r="C11" s="41" t="n">
        <f aca="false">Scenarios!E27</f>
        <v>-0.10811295237651</v>
      </c>
    </row>
    <row r="12" customFormat="false" ht="15" hidden="false" customHeight="false" outlineLevel="0" collapsed="false">
      <c r="A12" s="3" t="s">
        <v>598</v>
      </c>
      <c r="C12" s="3" t="str">
        <f aca="false">TEXT(Scenarios!C28,"0.00x")&amp;" / "&amp;TEXT(Scenarios!D28,"0.00x")&amp;" / "&amp;TEXT(Scenarios!E28,"0.00x")</f>
        <v>1.38x / 1.19x / 0.70x</v>
      </c>
    </row>
    <row r="13" customFormat="false" ht="15" hidden="false" customHeight="false" outlineLevel="0" collapsed="false">
      <c r="A13" s="2" t="s">
        <v>599</v>
      </c>
      <c r="C13" s="41" t="n">
        <f aca="false">Scenarios!$C$31</f>
        <v>0.0610922495868439</v>
      </c>
    </row>
    <row r="14" customFormat="false" ht="15" hidden="false" customHeight="false" outlineLevel="0" collapsed="false">
      <c r="A14" s="3" t="s">
        <v>431</v>
      </c>
      <c r="C14" s="33" t="n">
        <f aca="false">Scenarios!$C$33</f>
        <v>1.17826791351217</v>
      </c>
    </row>
    <row r="15" customFormat="false" ht="15" hidden="false" customHeight="false" outlineLevel="0" collapsed="false">
      <c r="A15" s="3" t="s">
        <v>432</v>
      </c>
      <c r="C15" s="35" t="n">
        <f aca="false">Scenarios!$C$34</f>
        <v>0.2</v>
      </c>
    </row>
    <row r="16" customFormat="false" ht="15" hidden="false" customHeight="false" outlineLevel="0" collapsed="false">
      <c r="A16" s="3" t="s">
        <v>600</v>
      </c>
      <c r="C16" s="35" t="n">
        <f aca="false">Scenarios!D25</f>
        <v>0.606284007392095</v>
      </c>
    </row>
    <row r="17" customFormat="false" ht="15" hidden="false" customHeight="false" outlineLevel="0" collapsed="false">
      <c r="A17" s="3" t="s">
        <v>601</v>
      </c>
      <c r="C17" s="35" t="n">
        <f aca="false">Scenarios!E25</f>
        <v>0.340518665921812</v>
      </c>
    </row>
    <row r="18" customFormat="false" ht="15" hidden="false" customHeight="false" outlineLevel="0" collapsed="false">
      <c r="A18" s="3" t="s">
        <v>602</v>
      </c>
      <c r="C18" s="35" t="n">
        <f aca="false">Returns!C15</f>
        <v>0.606284007392095</v>
      </c>
    </row>
    <row r="19" customFormat="false" ht="15" hidden="false" customHeight="false" outlineLevel="0" collapsed="false">
      <c r="A19" s="3" t="s">
        <v>603</v>
      </c>
      <c r="C19" s="33" t="n">
        <f aca="false">'Credit Metrics'!F11</f>
        <v>4.06190164353368</v>
      </c>
    </row>
    <row r="20" customFormat="false" ht="15" hidden="false" customHeight="false" outlineLevel="0" collapsed="false">
      <c r="A20" s="3" t="s">
        <v>604</v>
      </c>
      <c r="C20" s="33" t="n">
        <f aca="false">'Credit Metrics'!F12</f>
        <v>1.83590107499135</v>
      </c>
    </row>
    <row r="21" customFormat="false" ht="15" hidden="false" customHeight="false" outlineLevel="0" collapsed="false">
      <c r="A21" s="3" t="s">
        <v>605</v>
      </c>
      <c r="C21" s="33" t="n">
        <f aca="false">'Credit Metrics'!G11</f>
        <v>4.9066397085884</v>
      </c>
    </row>
    <row r="22" customFormat="false" ht="15" hidden="false" customHeight="false" outlineLevel="0" collapsed="false">
      <c r="A22" s="3" t="s">
        <v>606</v>
      </c>
      <c r="C22" s="33" t="n">
        <f aca="false">'Credit Metrics'!G12</f>
        <v>1.59005643370602</v>
      </c>
    </row>
    <row r="23" customFormat="false" ht="15" hidden="false" customHeight="false" outlineLevel="0" collapsed="false">
      <c r="A23" s="3" t="s">
        <v>607</v>
      </c>
      <c r="C23" s="29" t="n">
        <f aca="false">'Credit Metrics'!G16</f>
        <v>518.82154744</v>
      </c>
    </row>
    <row r="24" customFormat="false" ht="15" hidden="false" customHeight="false" outlineLevel="0" collapsed="false">
      <c r="A24" s="3" t="s">
        <v>608</v>
      </c>
      <c r="C24" s="27" t="n">
        <f aca="false">'Credit Metrics'!C46</f>
        <v>11</v>
      </c>
    </row>
    <row r="25" customFormat="false" ht="15" hidden="false" customHeight="false" outlineLevel="0" collapsed="false">
      <c r="A25" s="3" t="s">
        <v>478</v>
      </c>
      <c r="C25" s="6" t="str">
        <f aca="false">'Capital Structure'!$C$30</f>
        <v>OK: no material maturities within window</v>
      </c>
    </row>
    <row r="26" customFormat="false" ht="15" hidden="false" customHeight="false" outlineLevel="0" collapsed="false">
      <c r="A26" s="3" t="s">
        <v>476</v>
      </c>
      <c r="C26" s="6" t="str">
        <f aca="false">'Capital Structure'!$C$28</f>
        <v>No single-period concentration</v>
      </c>
    </row>
    <row r="27" customFormat="false" ht="15" hidden="false" customHeight="false" outlineLevel="0" collapsed="false">
      <c r="A27" s="9" t="s">
        <v>609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7" t="s">
        <v>483</v>
      </c>
      <c r="B28" s="7"/>
      <c r="C28" s="7" t="s">
        <v>610</v>
      </c>
      <c r="D28" s="7" t="s">
        <v>611</v>
      </c>
      <c r="E28" s="7" t="s">
        <v>612</v>
      </c>
      <c r="F28" s="7" t="s">
        <v>613</v>
      </c>
    </row>
    <row r="29" customFormat="false" ht="15" hidden="false" customHeight="false" outlineLevel="0" collapsed="false">
      <c r="A29" s="3" t="s">
        <v>614</v>
      </c>
      <c r="C29" s="35" t="n">
        <f aca="false">Scenarios!C27</f>
        <v>0.126033624615204</v>
      </c>
      <c r="D29" s="35" t="n">
        <f aca="false">Assumptions!$C$40</f>
        <v>0.12</v>
      </c>
      <c r="E29" s="3" t="str">
        <f aca="false">IF(C29&gt;=D29,"PASS","FAIL")</f>
        <v>PASS</v>
      </c>
      <c r="F29" s="3" t="s">
        <v>615</v>
      </c>
    </row>
    <row r="30" customFormat="false" ht="15" hidden="false" customHeight="false" outlineLevel="0" collapsed="false">
      <c r="A30" s="3" t="s">
        <v>616</v>
      </c>
      <c r="C30" s="35" t="n">
        <f aca="false">Scenarios!$C$31</f>
        <v>0.0610922495868439</v>
      </c>
      <c r="D30" s="35" t="n">
        <f aca="false">Assumptions!$C$40</f>
        <v>0.12</v>
      </c>
      <c r="E30" s="3" t="str">
        <f aca="false">IF(C30&gt;=D30,"PASS","FAIL")</f>
        <v>FAIL</v>
      </c>
      <c r="F30" s="3" t="s">
        <v>615</v>
      </c>
    </row>
    <row r="31" customFormat="false" ht="15" hidden="false" customHeight="false" outlineLevel="0" collapsed="false">
      <c r="A31" s="3" t="s">
        <v>617</v>
      </c>
      <c r="C31" s="35" t="n">
        <f aca="false">Scenarios!D27</f>
        <v>0.0653848807562152</v>
      </c>
      <c r="D31" s="35" t="n">
        <f aca="false">Assumptions!$C$41</f>
        <v>0</v>
      </c>
      <c r="E31" s="3" t="str">
        <f aca="false">IF(C31&gt;=D31,"PASS","FAIL")</f>
        <v>PASS</v>
      </c>
      <c r="F31" s="3" t="s">
        <v>615</v>
      </c>
    </row>
    <row r="32" customFormat="false" ht="15" hidden="false" customHeight="false" outlineLevel="0" collapsed="false">
      <c r="A32" s="3" t="s">
        <v>618</v>
      </c>
      <c r="C32" s="35" t="n">
        <f aca="false">Scenarios!D25</f>
        <v>0.606284007392095</v>
      </c>
      <c r="D32" s="35" t="n">
        <f aca="false">Assumptions!$C$44</f>
        <v>0.7</v>
      </c>
      <c r="E32" s="3" t="str">
        <f aca="false">IF(C32&gt;=D32,"PASS","FAIL")</f>
        <v>FAIL</v>
      </c>
      <c r="F32" s="3" t="s">
        <v>615</v>
      </c>
    </row>
    <row r="33" customFormat="false" ht="15" hidden="false" customHeight="false" outlineLevel="0" collapsed="false">
      <c r="A33" s="3" t="s">
        <v>619</v>
      </c>
      <c r="C33" s="27" t="n">
        <f aca="false">Scenarios!C21</f>
        <v>0</v>
      </c>
      <c r="D33" s="20" t="n">
        <f aca="false">0</f>
        <v>0</v>
      </c>
      <c r="E33" s="3" t="str">
        <f aca="false">IF(C33&lt;=D33,"PASS","FAIL")</f>
        <v>PASS</v>
      </c>
      <c r="F33" s="3" t="s">
        <v>615</v>
      </c>
    </row>
    <row r="34" customFormat="false" ht="15" hidden="false" customHeight="false" outlineLevel="0" collapsed="false">
      <c r="A34" s="3" t="s">
        <v>620</v>
      </c>
      <c r="C34" s="21" t="n">
        <f aca="false">IFERROR(RATE(YEARFRAC(Assumptions!$C$8,CHOOSE(Assumptions!$C$33,Assumptions!$J$56,Assumptions!$J$57,Assumptions!$J$58)),'Calc Engine'!D312*100,-Assumptions!$C$35,100),0)</f>
        <v>0.116999545084043</v>
      </c>
      <c r="D34" s="35" t="n">
        <f aca="false">Assumptions!$C$42</f>
        <v>0.1</v>
      </c>
      <c r="E34" s="3" t="str">
        <f aca="false">IF(C34&gt;=D34,"PASS","FAIL")</f>
        <v>PASS</v>
      </c>
      <c r="F34" s="3"/>
    </row>
    <row r="35" customFormat="false" ht="15" hidden="false" customHeight="false" outlineLevel="0" collapsed="false">
      <c r="A35" s="3" t="s">
        <v>621</v>
      </c>
      <c r="C35" s="33" t="n">
        <f aca="false">'Credit Metrics'!F11</f>
        <v>4.06190164353368</v>
      </c>
      <c r="D35" s="33" t="n">
        <f aca="false">Assumptions!$C$43</f>
        <v>6</v>
      </c>
      <c r="E35" s="3" t="str">
        <f aca="false">IF(C35&lt;=D35,"PASS","FAIL")</f>
        <v>PASS</v>
      </c>
      <c r="F35" s="3"/>
    </row>
    <row r="36" customFormat="false" ht="15" hidden="false" customHeight="false" outlineLevel="0" collapsed="false">
      <c r="A36" s="3" t="s">
        <v>622</v>
      </c>
      <c r="C36" s="35" t="n">
        <f aca="false">'Calc Engine'!C165</f>
        <v>0.209632254168593</v>
      </c>
      <c r="D36" s="35" t="n">
        <f aca="false">Assumptions!$C$45</f>
        <v>0.15</v>
      </c>
      <c r="E36" s="3" t="str">
        <f aca="false">IF(C36&gt;=D36,"PASS","FAIL")</f>
        <v>PASS</v>
      </c>
      <c r="F36" s="3"/>
    </row>
    <row r="37" customFormat="false" ht="15" hidden="false" customHeight="false" outlineLevel="0" collapsed="false">
      <c r="A37" s="3" t="s">
        <v>623</v>
      </c>
      <c r="C37" s="34" t="n">
        <f aca="false">Scenarios!E25*100</f>
        <v>34.0518665921812</v>
      </c>
      <c r="D37" s="40" t="n">
        <f aca="false">Assumptions!$C$35</f>
        <v>95</v>
      </c>
      <c r="E37" s="3" t="str">
        <f aca="false">IF(C37&gt;=D37,"PASS","FAIL")</f>
        <v>FAIL</v>
      </c>
      <c r="F37" s="3"/>
    </row>
    <row r="38" customFormat="false" ht="15" hidden="false" customHeight="false" outlineLevel="0" collapsed="false">
      <c r="A38" s="3" t="s">
        <v>624</v>
      </c>
      <c r="C38" s="27" t="n">
        <f aca="false">Assumptions!$C$48</f>
        <v>6</v>
      </c>
      <c r="D38" s="20" t="n">
        <f aca="false">0</f>
        <v>0</v>
      </c>
      <c r="E38" s="3" t="str">
        <f aca="false">IF(C38&lt;=D38,"PASS","FAIL")</f>
        <v>FAIL</v>
      </c>
      <c r="F38" s="3"/>
    </row>
    <row r="39" customFormat="false" ht="15" hidden="false" customHeight="false" outlineLevel="0" collapsed="false">
      <c r="A39" s="2" t="s">
        <v>625</v>
      </c>
      <c r="C39" s="19" t="n">
        <f aca="false">COUNTIF(E29:E33,"FAIL")</f>
        <v>2</v>
      </c>
    </row>
    <row r="40" customFormat="false" ht="15" hidden="false" customHeight="false" outlineLevel="0" collapsed="false">
      <c r="A40" s="2" t="s">
        <v>626</v>
      </c>
      <c r="C40" s="19" t="n">
        <f aca="false">COUNTIF(E34:E38,"FAIL")</f>
        <v>2</v>
      </c>
    </row>
    <row r="41" customFormat="false" ht="15" hidden="false" customHeight="false" outlineLevel="0" collapsed="false">
      <c r="A41" s="2" t="s">
        <v>627</v>
      </c>
      <c r="C41" s="2" t="str">
        <f aca="false">IF(AND(C39=0,C40&lt;=Assumptions!$C$46),"PROCEED",IF(OR(AND(E29="FAIL",E31="FAIL"),C39&gt;=Assumptions!$C$47),"PASS","HOLD"))</f>
        <v>HOLD</v>
      </c>
    </row>
    <row r="44" customFormat="false" ht="15" hidden="false" customHeight="false" outlineLevel="0" collapsed="false">
      <c r="A44" s="9" t="s">
        <v>628</v>
      </c>
      <c r="B44" s="10"/>
      <c r="C44" s="10"/>
      <c r="D44" s="10"/>
      <c r="E44" s="10"/>
      <c r="F44" s="10"/>
    </row>
    <row r="45" customFormat="false" ht="15" hidden="false" customHeight="false" outlineLevel="0" collapsed="false">
      <c r="A45" s="7" t="s">
        <v>629</v>
      </c>
      <c r="B45" s="7"/>
      <c r="C45" s="7" t="s">
        <v>386</v>
      </c>
      <c r="D45" s="7" t="s">
        <v>630</v>
      </c>
    </row>
    <row r="46" customFormat="false" ht="15" hidden="false" customHeight="false" outlineLevel="0" collapsed="false">
      <c r="A46" s="3" t="s">
        <v>631</v>
      </c>
      <c r="C46" s="35" t="n">
        <f aca="false">Assumptions!$C$127</f>
        <v>1</v>
      </c>
      <c r="D46" s="3" t="str">
        <f aca="false">IF(ABS(C46-1)&lt;0.0001,"OK","ERROR")</f>
        <v>OK</v>
      </c>
    </row>
    <row r="47" customFormat="false" ht="15" hidden="false" customHeight="false" outlineLevel="0" collapsed="false">
      <c r="A47" s="3" t="s">
        <v>632</v>
      </c>
      <c r="C47" s="27" t="n">
        <f aca="false">Assumptions!$C$141</f>
        <v>100</v>
      </c>
      <c r="D47" s="3" t="str">
        <f aca="false">IF(ABS(C47-100)&lt;0.0001,"OK","ERROR")</f>
        <v>OK</v>
      </c>
    </row>
    <row r="48" customFormat="false" ht="15" hidden="false" customHeight="false" outlineLevel="0" collapsed="false">
      <c r="A48" s="3" t="s">
        <v>633</v>
      </c>
      <c r="C48" s="25" t="n">
        <f aca="false">SUMPRODUCT(ABS('Cash Flow'!$G$23:$K$23))</f>
        <v>0</v>
      </c>
      <c r="D48" s="3" t="str">
        <f aca="false">IF(C48&lt;0.001,"OK","ERROR")</f>
        <v>OK</v>
      </c>
    </row>
    <row r="49" customFormat="false" ht="15" hidden="false" customHeight="false" outlineLevel="0" collapsed="false">
      <c r="A49" s="3" t="s">
        <v>634</v>
      </c>
      <c r="C49" s="29" t="n">
        <f aca="false">Recovery!C75</f>
        <v>0</v>
      </c>
      <c r="D49" s="3" t="str">
        <f aca="false">IF(ABS(C49)&lt;0.001,"OK","ERROR")</f>
        <v>OK</v>
      </c>
    </row>
    <row r="50" customFormat="false" ht="15" hidden="false" customHeight="false" outlineLevel="0" collapsed="false">
      <c r="A50" s="3" t="s">
        <v>635</v>
      </c>
      <c r="C50" s="25" t="n">
        <f aca="false">SUMPRODUCT(ABS(Scenarios!$E$41:$E$48))</f>
        <v>0</v>
      </c>
      <c r="D50" s="3" t="str">
        <f aca="false">IF(C50&lt;0.001,"OK","ERROR")</f>
        <v>OK</v>
      </c>
    </row>
    <row r="51" customFormat="false" ht="15" hidden="false" customHeight="false" outlineLevel="0" collapsed="false">
      <c r="A51" s="3" t="s">
        <v>636</v>
      </c>
      <c r="C51" s="26" t="n">
        <f aca="false">ABS('Historical Financials'!B45)+ABS('Historical Financials'!C45)+ABS('Historical Financials'!D45)+ABS('Historical Financials'!E45)+ABS('Historical Financials'!F45)+ABS('Historical Financials'!G45)</f>
        <v>0</v>
      </c>
      <c r="D51" s="3" t="str">
        <f aca="false">IF(C51&lt;0.001,"OK","ERROR")</f>
        <v>OK</v>
      </c>
    </row>
    <row r="52" customFormat="false" ht="15" hidden="false" customHeight="false" outlineLevel="0" collapsed="false">
      <c r="A52" s="3" t="s">
        <v>637</v>
      </c>
      <c r="C52" s="20" t="n">
        <f aca="false">SUMPRODUCT(--ISERROR('Operating Model'!$C$5:$K$60))+SUMPRODUCT(--ISERROR('Debt Schedule'!$C$5:$K$300))+SUMPRODUCT(--ISERROR('Cash Flow'!$C$5:$K$40))+SUMPRODUCT(--ISERROR('Credit Metrics'!$C$5:$K$120))+SUMPRODUCT(--ISERROR(Recovery!$C$5:$K$300))+SUMPRODUCT(--ISERROR(Returns!$C$5:$K$300))+SUMPRODUCT(--ISERROR(Scenarios!$C$4:$F$60))+SUMPRODUCT(--ISERROR('Capital Structure'!$A$4:$L$60))+SUMPRODUCT(--ISERROR(Sensitivities!$A$4:$J$200))+SUMPRODUCT(--ISERROR('Calc Engine'!$C$5:$K$20427))</f>
        <v>0</v>
      </c>
      <c r="D52" s="3" t="str">
        <f aca="false">IF(C52=0,"OK","ERROR")</f>
        <v>OK</v>
      </c>
    </row>
    <row r="53" customFormat="false" ht="15" hidden="false" customHeight="false" outlineLevel="0" collapsed="false">
      <c r="A53" s="2" t="s">
        <v>638</v>
      </c>
      <c r="D53" s="2" t="str">
        <f aca="false">IF(COUNTIF(D46:D52,"OK")=ROWS(D46:D52),"ALL CHECKS PASS","CHECK MODEL")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38"/>
    <col collapsed="false" customWidth="true" hidden="false" outlineLevel="0" max="11" min="11" style="0" width="54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1" t="s">
        <v>639</v>
      </c>
    </row>
    <row r="2" customFormat="false" ht="15" hidden="false" customHeight="false" outlineLevel="0" collapsed="false">
      <c r="A2" s="3" t="s">
        <v>640</v>
      </c>
    </row>
    <row r="4" customFormat="false" ht="15" hidden="false" customHeight="false" outlineLevel="0" collapsed="false">
      <c r="A4" s="7" t="s">
        <v>641</v>
      </c>
      <c r="B4" s="7" t="s">
        <v>642</v>
      </c>
      <c r="C4" s="7" t="s">
        <v>466</v>
      </c>
      <c r="D4" s="7" t="s">
        <v>643</v>
      </c>
      <c r="E4" s="7" t="s">
        <v>644</v>
      </c>
      <c r="F4" s="7" t="s">
        <v>645</v>
      </c>
      <c r="G4" s="7" t="s">
        <v>646</v>
      </c>
      <c r="H4" s="7" t="s">
        <v>647</v>
      </c>
      <c r="I4" s="7" t="s">
        <v>630</v>
      </c>
    </row>
    <row r="5" customFormat="false" ht="15" hidden="false" customHeight="false" outlineLevel="0" collapsed="false">
      <c r="A5" s="3" t="s">
        <v>648</v>
      </c>
      <c r="B5" s="3" t="s">
        <v>649</v>
      </c>
      <c r="C5" s="3" t="s">
        <v>650</v>
      </c>
      <c r="D5" s="3" t="s">
        <v>651</v>
      </c>
      <c r="E5" s="3" t="s">
        <v>652</v>
      </c>
      <c r="F5" s="3" t="s">
        <v>653</v>
      </c>
      <c r="G5" s="3" t="s">
        <v>654</v>
      </c>
      <c r="H5" s="3" t="s">
        <v>649</v>
      </c>
      <c r="I5" s="3" t="s">
        <v>655</v>
      </c>
    </row>
    <row r="6" customFormat="false" ht="15" hidden="false" customHeight="false" outlineLevel="0" collapsed="false">
      <c r="A6" s="3" t="s">
        <v>656</v>
      </c>
      <c r="B6" s="3" t="s">
        <v>649</v>
      </c>
      <c r="C6" s="3" t="s">
        <v>657</v>
      </c>
      <c r="D6" s="3" t="s">
        <v>658</v>
      </c>
      <c r="E6" s="3" t="s">
        <v>659</v>
      </c>
      <c r="F6" s="3" t="s">
        <v>660</v>
      </c>
      <c r="G6" s="3" t="s">
        <v>654</v>
      </c>
      <c r="H6" s="3" t="s">
        <v>649</v>
      </c>
      <c r="I6" s="3" t="s">
        <v>655</v>
      </c>
    </row>
    <row r="7" customFormat="false" ht="15" hidden="false" customHeight="false" outlineLevel="0" collapsed="false">
      <c r="A7" s="3" t="s">
        <v>661</v>
      </c>
      <c r="B7" s="3" t="s">
        <v>662</v>
      </c>
      <c r="C7" s="3" t="s">
        <v>663</v>
      </c>
      <c r="D7" s="3" t="s">
        <v>664</v>
      </c>
      <c r="E7" s="3" t="s">
        <v>665</v>
      </c>
      <c r="F7" s="3" t="s">
        <v>666</v>
      </c>
      <c r="G7" s="3" t="s">
        <v>654</v>
      </c>
      <c r="H7" s="3" t="s">
        <v>662</v>
      </c>
      <c r="I7" s="3" t="s">
        <v>655</v>
      </c>
    </row>
    <row r="8" customFormat="false" ht="15" hidden="false" customHeight="false" outlineLevel="0" collapsed="false">
      <c r="A8" s="3" t="s">
        <v>667</v>
      </c>
      <c r="B8" s="3" t="s">
        <v>668</v>
      </c>
      <c r="C8" s="3"/>
      <c r="D8" s="3"/>
      <c r="E8" s="3" t="s">
        <v>669</v>
      </c>
      <c r="F8" s="3" t="s">
        <v>670</v>
      </c>
      <c r="G8" s="3" t="s">
        <v>654</v>
      </c>
      <c r="H8" s="3" t="s">
        <v>668</v>
      </c>
      <c r="I8" s="3" t="s">
        <v>655</v>
      </c>
    </row>
    <row r="10" customFormat="false" ht="15" hidden="false" customHeight="false" outlineLevel="0" collapsed="false">
      <c r="A10" s="2" t="s">
        <v>671</v>
      </c>
    </row>
    <row r="11" customFormat="false" ht="15" hidden="false" customHeight="false" outlineLevel="0" collapsed="false">
      <c r="A11" s="7" t="s">
        <v>672</v>
      </c>
      <c r="B11" s="7" t="s">
        <v>673</v>
      </c>
      <c r="C11" s="7" t="s">
        <v>466</v>
      </c>
      <c r="D11" s="7" t="s">
        <v>674</v>
      </c>
      <c r="E11" s="7" t="s">
        <v>190</v>
      </c>
      <c r="F11" s="7" t="s">
        <v>675</v>
      </c>
      <c r="G11" s="7" t="s">
        <v>643</v>
      </c>
      <c r="H11" s="7" t="s">
        <v>676</v>
      </c>
      <c r="I11" s="7" t="s">
        <v>677</v>
      </c>
      <c r="J11" s="7" t="s">
        <v>678</v>
      </c>
      <c r="K11" s="7" t="s">
        <v>679</v>
      </c>
      <c r="L11" s="7" t="s">
        <v>680</v>
      </c>
      <c r="M11" s="7" t="s">
        <v>681</v>
      </c>
      <c r="N11" s="7" t="s">
        <v>682</v>
      </c>
    </row>
    <row r="12" customFormat="false" ht="15" hidden="false" customHeight="false" outlineLevel="0" collapsed="false">
      <c r="A12" s="3" t="s">
        <v>683</v>
      </c>
      <c r="B12" s="3" t="s">
        <v>684</v>
      </c>
      <c r="C12" s="3" t="s">
        <v>685</v>
      </c>
      <c r="D12" s="49" t="n">
        <f aca="false">'Historical Financials'!B9</f>
        <v>25.665</v>
      </c>
      <c r="E12" s="3" t="s">
        <v>686</v>
      </c>
      <c r="F12" s="3" t="s">
        <v>687</v>
      </c>
      <c r="G12" s="3" t="s">
        <v>658</v>
      </c>
      <c r="H12" s="3" t="s">
        <v>659</v>
      </c>
      <c r="I12" s="3" t="s">
        <v>688</v>
      </c>
      <c r="J12" s="3" t="s">
        <v>689</v>
      </c>
      <c r="K12" s="3" t="s">
        <v>660</v>
      </c>
      <c r="L12" s="3" t="s">
        <v>690</v>
      </c>
      <c r="M12" s="3" t="s">
        <v>691</v>
      </c>
      <c r="N12" s="3" t="s">
        <v>692</v>
      </c>
    </row>
    <row r="13" customFormat="false" ht="15" hidden="false" customHeight="false" outlineLevel="0" collapsed="false">
      <c r="A13" s="3" t="s">
        <v>693</v>
      </c>
      <c r="B13" s="3" t="s">
        <v>694</v>
      </c>
      <c r="C13" s="3" t="s">
        <v>685</v>
      </c>
      <c r="D13" s="49" t="n">
        <f aca="false">'Historical Financials'!B6</f>
        <v>2711.877</v>
      </c>
      <c r="E13" s="3" t="s">
        <v>686</v>
      </c>
      <c r="F13" s="3" t="s">
        <v>695</v>
      </c>
      <c r="G13" s="3" t="s">
        <v>651</v>
      </c>
      <c r="H13" s="3" t="s">
        <v>652</v>
      </c>
      <c r="I13" s="3" t="s">
        <v>696</v>
      </c>
      <c r="J13" s="3" t="s">
        <v>697</v>
      </c>
      <c r="K13" s="3" t="s">
        <v>653</v>
      </c>
      <c r="L13" s="3" t="s">
        <v>690</v>
      </c>
      <c r="M13" s="3" t="s">
        <v>698</v>
      </c>
      <c r="N13" s="3" t="s">
        <v>699</v>
      </c>
    </row>
    <row r="14" customFormat="false" ht="15" hidden="false" customHeight="false" outlineLevel="0" collapsed="false">
      <c r="A14" s="3" t="s">
        <v>700</v>
      </c>
      <c r="B14" s="3" t="s">
        <v>701</v>
      </c>
      <c r="C14" s="3" t="s">
        <v>685</v>
      </c>
      <c r="D14" s="49" t="n">
        <f aca="false">'Historical Financials'!B7</f>
        <v>1327.5</v>
      </c>
      <c r="E14" s="3" t="s">
        <v>686</v>
      </c>
      <c r="F14" s="3" t="s">
        <v>695</v>
      </c>
      <c r="G14" s="3" t="s">
        <v>651</v>
      </c>
      <c r="H14" s="3" t="s">
        <v>652</v>
      </c>
      <c r="I14" s="3" t="s">
        <v>696</v>
      </c>
      <c r="J14" s="3" t="s">
        <v>697</v>
      </c>
      <c r="K14" s="3" t="s">
        <v>653</v>
      </c>
      <c r="L14" s="3" t="s">
        <v>690</v>
      </c>
      <c r="M14" s="3" t="s">
        <v>702</v>
      </c>
      <c r="N14" s="3" t="s">
        <v>703</v>
      </c>
    </row>
    <row r="15" customFormat="false" ht="15" hidden="false" customHeight="false" outlineLevel="0" collapsed="false">
      <c r="A15" s="3" t="s">
        <v>704</v>
      </c>
      <c r="B15" s="3" t="s">
        <v>705</v>
      </c>
      <c r="C15" s="3" t="s">
        <v>685</v>
      </c>
      <c r="D15" s="49" t="n">
        <f aca="false">'Historical Financials'!B8</f>
        <v>764.087</v>
      </c>
      <c r="E15" s="3" t="s">
        <v>686</v>
      </c>
      <c r="F15" s="3" t="s">
        <v>695</v>
      </c>
      <c r="G15" s="3" t="s">
        <v>651</v>
      </c>
      <c r="H15" s="3" t="s">
        <v>652</v>
      </c>
      <c r="I15" s="3" t="s">
        <v>696</v>
      </c>
      <c r="J15" s="3" t="s">
        <v>697</v>
      </c>
      <c r="K15" s="3" t="s">
        <v>653</v>
      </c>
      <c r="L15" s="3" t="s">
        <v>690</v>
      </c>
      <c r="M15" s="3" t="s">
        <v>706</v>
      </c>
      <c r="N15" s="3" t="s">
        <v>707</v>
      </c>
    </row>
    <row r="16" customFormat="false" ht="15" hidden="false" customHeight="false" outlineLevel="0" collapsed="false">
      <c r="A16" s="3" t="s">
        <v>708</v>
      </c>
      <c r="B16" s="3" t="s">
        <v>709</v>
      </c>
      <c r="C16" s="3" t="s">
        <v>685</v>
      </c>
      <c r="D16" s="49" t="n">
        <f aca="false">'Historical Financials'!B10</f>
        <v>10.543</v>
      </c>
      <c r="E16" s="3" t="s">
        <v>686</v>
      </c>
      <c r="F16" s="3" t="s">
        <v>687</v>
      </c>
      <c r="G16" s="3" t="s">
        <v>658</v>
      </c>
      <c r="H16" s="3" t="s">
        <v>659</v>
      </c>
      <c r="I16" s="3" t="s">
        <v>688</v>
      </c>
      <c r="J16" s="3" t="s">
        <v>689</v>
      </c>
      <c r="K16" s="3" t="s">
        <v>660</v>
      </c>
      <c r="L16" s="3" t="s">
        <v>690</v>
      </c>
      <c r="M16" s="3" t="s">
        <v>710</v>
      </c>
      <c r="N16" s="3" t="s">
        <v>711</v>
      </c>
    </row>
    <row r="17" customFormat="false" ht="15" hidden="false" customHeight="false" outlineLevel="0" collapsed="false">
      <c r="A17" s="3" t="s">
        <v>712</v>
      </c>
      <c r="B17" s="3" t="s">
        <v>713</v>
      </c>
      <c r="C17" s="3" t="s">
        <v>685</v>
      </c>
      <c r="D17" s="49" t="n">
        <f aca="false">'Historical Financials'!B11</f>
        <v>13.606</v>
      </c>
      <c r="E17" s="3" t="s">
        <v>686</v>
      </c>
      <c r="F17" s="3" t="s">
        <v>687</v>
      </c>
      <c r="G17" s="3" t="s">
        <v>658</v>
      </c>
      <c r="H17" s="3" t="s">
        <v>659</v>
      </c>
      <c r="I17" s="3" t="s">
        <v>688</v>
      </c>
      <c r="J17" s="3" t="s">
        <v>689</v>
      </c>
      <c r="K17" s="3" t="s">
        <v>660</v>
      </c>
      <c r="L17" s="3" t="s">
        <v>690</v>
      </c>
      <c r="M17" s="3" t="s">
        <v>714</v>
      </c>
      <c r="N17" s="3" t="s">
        <v>715</v>
      </c>
    </row>
    <row r="18" customFormat="false" ht="15" hidden="false" customHeight="false" outlineLevel="0" collapsed="false">
      <c r="A18" s="3" t="s">
        <v>716</v>
      </c>
      <c r="B18" s="3" t="s">
        <v>717</v>
      </c>
      <c r="C18" s="3" t="s">
        <v>685</v>
      </c>
      <c r="D18" s="49" t="n">
        <f aca="false">'Historical Financials'!B12</f>
        <v>107.402</v>
      </c>
      <c r="E18" s="3" t="s">
        <v>686</v>
      </c>
      <c r="F18" s="3" t="s">
        <v>695</v>
      </c>
      <c r="G18" s="3" t="s">
        <v>651</v>
      </c>
      <c r="H18" s="3" t="s">
        <v>652</v>
      </c>
      <c r="I18" s="3" t="s">
        <v>696</v>
      </c>
      <c r="J18" s="3" t="s">
        <v>697</v>
      </c>
      <c r="K18" s="3" t="s">
        <v>653</v>
      </c>
      <c r="L18" s="3" t="s">
        <v>690</v>
      </c>
      <c r="M18" s="3" t="s">
        <v>718</v>
      </c>
      <c r="N18" s="3" t="s">
        <v>719</v>
      </c>
    </row>
    <row r="19" customFormat="false" ht="15" hidden="false" customHeight="false" outlineLevel="0" collapsed="false">
      <c r="A19" s="3" t="s">
        <v>720</v>
      </c>
      <c r="B19" s="3" t="s">
        <v>721</v>
      </c>
      <c r="C19" s="3" t="s">
        <v>685</v>
      </c>
      <c r="D19" s="49" t="n">
        <f aca="false">'Historical Financials'!B13</f>
        <v>152.703</v>
      </c>
      <c r="E19" s="3" t="s">
        <v>686</v>
      </c>
      <c r="F19" s="3" t="s">
        <v>695</v>
      </c>
      <c r="G19" s="3" t="s">
        <v>651</v>
      </c>
      <c r="H19" s="3" t="s">
        <v>652</v>
      </c>
      <c r="I19" s="3" t="s">
        <v>696</v>
      </c>
      <c r="J19" s="3" t="s">
        <v>697</v>
      </c>
      <c r="K19" s="3" t="s">
        <v>653</v>
      </c>
      <c r="L19" s="3" t="s">
        <v>690</v>
      </c>
      <c r="M19" s="3" t="s">
        <v>722</v>
      </c>
      <c r="N19" s="3" t="s">
        <v>723</v>
      </c>
    </row>
    <row r="20" customFormat="false" ht="15" hidden="false" customHeight="false" outlineLevel="0" collapsed="false">
      <c r="A20" s="3" t="s">
        <v>724</v>
      </c>
      <c r="B20" s="3" t="s">
        <v>725</v>
      </c>
      <c r="C20" s="3" t="s">
        <v>685</v>
      </c>
      <c r="D20" s="49" t="n">
        <f aca="false">'Historical Financials'!B14</f>
        <v>94.606</v>
      </c>
      <c r="E20" s="3" t="s">
        <v>686</v>
      </c>
      <c r="F20" s="3" t="s">
        <v>695</v>
      </c>
      <c r="G20" s="3" t="s">
        <v>651</v>
      </c>
      <c r="H20" s="3" t="s">
        <v>652</v>
      </c>
      <c r="I20" s="3" t="s">
        <v>696</v>
      </c>
      <c r="J20" s="3" t="s">
        <v>697</v>
      </c>
      <c r="K20" s="3" t="s">
        <v>653</v>
      </c>
      <c r="L20" s="3" t="s">
        <v>690</v>
      </c>
      <c r="M20" s="3" t="s">
        <v>726</v>
      </c>
      <c r="N20" s="3" t="s">
        <v>727</v>
      </c>
    </row>
    <row r="21" customFormat="false" ht="15" hidden="false" customHeight="false" outlineLevel="0" collapsed="false">
      <c r="A21" s="3" t="s">
        <v>728</v>
      </c>
      <c r="B21" s="3" t="s">
        <v>729</v>
      </c>
      <c r="C21" s="3" t="s">
        <v>685</v>
      </c>
      <c r="D21" s="49" t="n">
        <f aca="false">'Historical Financials'!B16</f>
        <v>35.207</v>
      </c>
      <c r="E21" s="3" t="s">
        <v>686</v>
      </c>
      <c r="F21" s="3" t="s">
        <v>695</v>
      </c>
      <c r="G21" s="3" t="s">
        <v>651</v>
      </c>
      <c r="H21" s="3" t="s">
        <v>652</v>
      </c>
      <c r="I21" s="3" t="s">
        <v>730</v>
      </c>
      <c r="J21" s="3" t="s">
        <v>731</v>
      </c>
      <c r="K21" s="3" t="s">
        <v>653</v>
      </c>
      <c r="L21" s="3" t="s">
        <v>690</v>
      </c>
      <c r="M21" s="3" t="s">
        <v>732</v>
      </c>
      <c r="N21" s="3" t="s">
        <v>733</v>
      </c>
    </row>
    <row r="22" customFormat="false" ht="15" hidden="false" customHeight="false" outlineLevel="0" collapsed="false">
      <c r="A22" s="3" t="s">
        <v>734</v>
      </c>
      <c r="B22" s="3" t="s">
        <v>735</v>
      </c>
      <c r="C22" s="3" t="s">
        <v>685</v>
      </c>
      <c r="D22" s="49" t="n">
        <f aca="false">'Historical Financials'!B15</f>
        <v>203.919</v>
      </c>
      <c r="E22" s="3" t="s">
        <v>686</v>
      </c>
      <c r="F22" s="3" t="s">
        <v>695</v>
      </c>
      <c r="G22" s="3" t="s">
        <v>651</v>
      </c>
      <c r="H22" s="3" t="s">
        <v>652</v>
      </c>
      <c r="I22" s="3" t="s">
        <v>730</v>
      </c>
      <c r="J22" s="3" t="s">
        <v>731</v>
      </c>
      <c r="K22" s="3" t="s">
        <v>653</v>
      </c>
      <c r="L22" s="3" t="s">
        <v>690</v>
      </c>
      <c r="M22" s="3" t="s">
        <v>736</v>
      </c>
      <c r="N22" s="3" t="s">
        <v>737</v>
      </c>
    </row>
    <row r="23" customFormat="false" ht="15" hidden="false" customHeight="false" outlineLevel="0" collapsed="false">
      <c r="A23" s="3" t="s">
        <v>738</v>
      </c>
      <c r="B23" s="3" t="s">
        <v>684</v>
      </c>
      <c r="C23" s="3" t="s">
        <v>739</v>
      </c>
      <c r="D23" s="49" t="n">
        <f aca="false">'Historical Financials'!C9</f>
        <v>26.051</v>
      </c>
      <c r="E23" s="3" t="s">
        <v>686</v>
      </c>
      <c r="F23" s="3" t="s">
        <v>695</v>
      </c>
      <c r="G23" s="3" t="s">
        <v>651</v>
      </c>
      <c r="H23" s="3" t="s">
        <v>652</v>
      </c>
      <c r="I23" s="3" t="s">
        <v>740</v>
      </c>
      <c r="J23" s="3" t="s">
        <v>689</v>
      </c>
      <c r="K23" s="3" t="s">
        <v>653</v>
      </c>
      <c r="L23" s="3" t="s">
        <v>690</v>
      </c>
      <c r="M23" s="3" t="s">
        <v>741</v>
      </c>
      <c r="N23" s="3" t="s">
        <v>742</v>
      </c>
    </row>
    <row r="24" customFormat="false" ht="15" hidden="false" customHeight="false" outlineLevel="0" collapsed="false">
      <c r="A24" s="3" t="s">
        <v>743</v>
      </c>
      <c r="B24" s="3" t="s">
        <v>694</v>
      </c>
      <c r="C24" s="3" t="s">
        <v>739</v>
      </c>
      <c r="D24" s="49" t="n">
        <f aca="false">'Historical Financials'!C6</f>
        <v>2421.314</v>
      </c>
      <c r="E24" s="3" t="s">
        <v>686</v>
      </c>
      <c r="F24" s="3" t="s">
        <v>695</v>
      </c>
      <c r="G24" s="3" t="s">
        <v>651</v>
      </c>
      <c r="H24" s="3" t="s">
        <v>652</v>
      </c>
      <c r="I24" s="3" t="s">
        <v>696</v>
      </c>
      <c r="J24" s="3" t="s">
        <v>697</v>
      </c>
      <c r="K24" s="3" t="s">
        <v>653</v>
      </c>
      <c r="L24" s="3" t="s">
        <v>690</v>
      </c>
      <c r="M24" s="3" t="s">
        <v>744</v>
      </c>
      <c r="N24" s="3" t="s">
        <v>745</v>
      </c>
    </row>
    <row r="25" customFormat="false" ht="15" hidden="false" customHeight="false" outlineLevel="0" collapsed="false">
      <c r="A25" s="3" t="s">
        <v>746</v>
      </c>
      <c r="B25" s="3" t="s">
        <v>701</v>
      </c>
      <c r="C25" s="3" t="s">
        <v>739</v>
      </c>
      <c r="D25" s="49" t="n">
        <f aca="false">'Historical Financials'!C7</f>
        <v>1132.593</v>
      </c>
      <c r="E25" s="3" t="s">
        <v>686</v>
      </c>
      <c r="F25" s="3" t="s">
        <v>695</v>
      </c>
      <c r="G25" s="3" t="s">
        <v>651</v>
      </c>
      <c r="H25" s="3" t="s">
        <v>652</v>
      </c>
      <c r="I25" s="3" t="s">
        <v>696</v>
      </c>
      <c r="J25" s="3" t="s">
        <v>697</v>
      </c>
      <c r="K25" s="3" t="s">
        <v>653</v>
      </c>
      <c r="L25" s="3" t="s">
        <v>690</v>
      </c>
      <c r="M25" s="3" t="s">
        <v>747</v>
      </c>
      <c r="N25" s="3" t="s">
        <v>748</v>
      </c>
    </row>
    <row r="26" customFormat="false" ht="15" hidden="false" customHeight="false" outlineLevel="0" collapsed="false">
      <c r="A26" s="3" t="s">
        <v>749</v>
      </c>
      <c r="B26" s="3" t="s">
        <v>705</v>
      </c>
      <c r="C26" s="3" t="s">
        <v>739</v>
      </c>
      <c r="D26" s="49" t="n">
        <f aca="false">'Historical Financials'!C8</f>
        <v>781.329</v>
      </c>
      <c r="E26" s="3" t="s">
        <v>686</v>
      </c>
      <c r="F26" s="3" t="s">
        <v>695</v>
      </c>
      <c r="G26" s="3" t="s">
        <v>651</v>
      </c>
      <c r="H26" s="3" t="s">
        <v>652</v>
      </c>
      <c r="I26" s="3" t="s">
        <v>696</v>
      </c>
      <c r="J26" s="3" t="s">
        <v>697</v>
      </c>
      <c r="K26" s="3" t="s">
        <v>653</v>
      </c>
      <c r="L26" s="3" t="s">
        <v>690</v>
      </c>
      <c r="M26" s="3" t="s">
        <v>750</v>
      </c>
      <c r="N26" s="3" t="s">
        <v>751</v>
      </c>
    </row>
    <row r="27" customFormat="false" ht="15" hidden="false" customHeight="false" outlineLevel="0" collapsed="false">
      <c r="A27" s="3" t="s">
        <v>752</v>
      </c>
      <c r="B27" s="3" t="s">
        <v>709</v>
      </c>
      <c r="C27" s="3" t="s">
        <v>739</v>
      </c>
      <c r="D27" s="49" t="n">
        <f aca="false">'Historical Financials'!C10</f>
        <v>13.452</v>
      </c>
      <c r="E27" s="3" t="s">
        <v>686</v>
      </c>
      <c r="F27" s="3" t="s">
        <v>695</v>
      </c>
      <c r="G27" s="3" t="s">
        <v>651</v>
      </c>
      <c r="H27" s="3" t="s">
        <v>652</v>
      </c>
      <c r="I27" s="3" t="s">
        <v>740</v>
      </c>
      <c r="J27" s="3" t="s">
        <v>689</v>
      </c>
      <c r="K27" s="3" t="s">
        <v>653</v>
      </c>
      <c r="L27" s="3" t="s">
        <v>690</v>
      </c>
      <c r="M27" s="3" t="s">
        <v>753</v>
      </c>
      <c r="N27" s="3" t="s">
        <v>754</v>
      </c>
    </row>
    <row r="28" customFormat="false" ht="15" hidden="false" customHeight="false" outlineLevel="0" collapsed="false">
      <c r="A28" s="3" t="s">
        <v>755</v>
      </c>
      <c r="B28" s="3" t="s">
        <v>713</v>
      </c>
      <c r="C28" s="3" t="s">
        <v>739</v>
      </c>
      <c r="D28" s="49" t="n">
        <f aca="false">'Historical Financials'!C11</f>
        <v>15.678</v>
      </c>
      <c r="E28" s="3" t="s">
        <v>686</v>
      </c>
      <c r="F28" s="3" t="s">
        <v>695</v>
      </c>
      <c r="G28" s="3" t="s">
        <v>651</v>
      </c>
      <c r="H28" s="3" t="s">
        <v>652</v>
      </c>
      <c r="I28" s="3" t="s">
        <v>740</v>
      </c>
      <c r="J28" s="3" t="s">
        <v>689</v>
      </c>
      <c r="K28" s="3" t="s">
        <v>653</v>
      </c>
      <c r="L28" s="3" t="s">
        <v>690</v>
      </c>
      <c r="M28" s="3" t="s">
        <v>756</v>
      </c>
      <c r="N28" s="3" t="s">
        <v>757</v>
      </c>
    </row>
    <row r="29" customFormat="false" ht="15" hidden="false" customHeight="false" outlineLevel="0" collapsed="false">
      <c r="A29" s="3" t="s">
        <v>758</v>
      </c>
      <c r="B29" s="3" t="s">
        <v>717</v>
      </c>
      <c r="C29" s="3" t="s">
        <v>739</v>
      </c>
      <c r="D29" s="49" t="n">
        <f aca="false">'Historical Financials'!C12</f>
        <v>98.015</v>
      </c>
      <c r="E29" s="3" t="s">
        <v>686</v>
      </c>
      <c r="F29" s="3" t="s">
        <v>695</v>
      </c>
      <c r="G29" s="3" t="s">
        <v>651</v>
      </c>
      <c r="H29" s="3" t="s">
        <v>652</v>
      </c>
      <c r="I29" s="3" t="s">
        <v>696</v>
      </c>
      <c r="J29" s="3" t="s">
        <v>697</v>
      </c>
      <c r="K29" s="3" t="s">
        <v>653</v>
      </c>
      <c r="L29" s="3" t="s">
        <v>690</v>
      </c>
      <c r="M29" s="3" t="s">
        <v>759</v>
      </c>
      <c r="N29" s="3" t="s">
        <v>760</v>
      </c>
    </row>
    <row r="30" customFormat="false" ht="15" hidden="false" customHeight="false" outlineLevel="0" collapsed="false">
      <c r="A30" s="3" t="s">
        <v>761</v>
      </c>
      <c r="B30" s="3" t="s">
        <v>721</v>
      </c>
      <c r="C30" s="3" t="s">
        <v>739</v>
      </c>
      <c r="D30" s="49" t="n">
        <f aca="false">'Historical Financials'!C13</f>
        <v>166.186</v>
      </c>
      <c r="E30" s="3" t="s">
        <v>686</v>
      </c>
      <c r="F30" s="3" t="s">
        <v>695</v>
      </c>
      <c r="G30" s="3" t="s">
        <v>651</v>
      </c>
      <c r="H30" s="3" t="s">
        <v>652</v>
      </c>
      <c r="I30" s="3" t="s">
        <v>696</v>
      </c>
      <c r="J30" s="3" t="s">
        <v>697</v>
      </c>
      <c r="K30" s="3" t="s">
        <v>653</v>
      </c>
      <c r="L30" s="3" t="s">
        <v>690</v>
      </c>
      <c r="M30" s="3" t="s">
        <v>762</v>
      </c>
      <c r="N30" s="3" t="s">
        <v>763</v>
      </c>
    </row>
    <row r="31" customFormat="false" ht="15" hidden="false" customHeight="false" outlineLevel="0" collapsed="false">
      <c r="A31" s="3" t="s">
        <v>764</v>
      </c>
      <c r="B31" s="3" t="s">
        <v>725</v>
      </c>
      <c r="C31" s="3" t="s">
        <v>739</v>
      </c>
      <c r="D31" s="49" t="n">
        <f aca="false">'Historical Financials'!C14</f>
        <v>43.49</v>
      </c>
      <c r="E31" s="3" t="s">
        <v>686</v>
      </c>
      <c r="F31" s="3" t="s">
        <v>695</v>
      </c>
      <c r="G31" s="3" t="s">
        <v>651</v>
      </c>
      <c r="H31" s="3" t="s">
        <v>652</v>
      </c>
      <c r="I31" s="3" t="s">
        <v>696</v>
      </c>
      <c r="J31" s="3" t="s">
        <v>697</v>
      </c>
      <c r="K31" s="3" t="s">
        <v>653</v>
      </c>
      <c r="L31" s="3" t="s">
        <v>690</v>
      </c>
      <c r="M31" s="3" t="s">
        <v>765</v>
      </c>
      <c r="N31" s="3" t="s">
        <v>766</v>
      </c>
    </row>
    <row r="32" customFormat="false" ht="15" hidden="false" customHeight="false" outlineLevel="0" collapsed="false">
      <c r="A32" s="3" t="s">
        <v>767</v>
      </c>
      <c r="B32" s="3" t="s">
        <v>729</v>
      </c>
      <c r="C32" s="3" t="s">
        <v>739</v>
      </c>
      <c r="D32" s="49" t="n">
        <f aca="false">'Historical Financials'!C16</f>
        <v>44.775</v>
      </c>
      <c r="E32" s="3" t="s">
        <v>686</v>
      </c>
      <c r="F32" s="3" t="s">
        <v>695</v>
      </c>
      <c r="G32" s="3" t="s">
        <v>651</v>
      </c>
      <c r="H32" s="3" t="s">
        <v>652</v>
      </c>
      <c r="I32" s="3" t="s">
        <v>730</v>
      </c>
      <c r="J32" s="3" t="s">
        <v>731</v>
      </c>
      <c r="K32" s="3" t="s">
        <v>653</v>
      </c>
      <c r="L32" s="3" t="s">
        <v>690</v>
      </c>
      <c r="M32" s="3" t="s">
        <v>768</v>
      </c>
      <c r="N32" s="3" t="s">
        <v>769</v>
      </c>
    </row>
    <row r="33" customFormat="false" ht="15" hidden="false" customHeight="false" outlineLevel="0" collapsed="false">
      <c r="A33" s="3" t="s">
        <v>770</v>
      </c>
      <c r="B33" s="3" t="s">
        <v>735</v>
      </c>
      <c r="C33" s="3" t="s">
        <v>739</v>
      </c>
      <c r="D33" s="49" t="n">
        <f aca="false">'Historical Financials'!C15</f>
        <v>375.615</v>
      </c>
      <c r="E33" s="3" t="s">
        <v>686</v>
      </c>
      <c r="F33" s="3" t="s">
        <v>695</v>
      </c>
      <c r="G33" s="3" t="s">
        <v>651</v>
      </c>
      <c r="H33" s="3" t="s">
        <v>652</v>
      </c>
      <c r="I33" s="3" t="s">
        <v>730</v>
      </c>
      <c r="J33" s="3" t="s">
        <v>731</v>
      </c>
      <c r="K33" s="3" t="s">
        <v>653</v>
      </c>
      <c r="L33" s="3" t="s">
        <v>690</v>
      </c>
      <c r="M33" s="3" t="s">
        <v>771</v>
      </c>
      <c r="N33" s="3" t="s">
        <v>772</v>
      </c>
    </row>
    <row r="34" customFormat="false" ht="15" hidden="false" customHeight="false" outlineLevel="0" collapsed="false">
      <c r="A34" s="3" t="s">
        <v>773</v>
      </c>
      <c r="B34" s="3" t="s">
        <v>684</v>
      </c>
      <c r="C34" s="3" t="s">
        <v>774</v>
      </c>
      <c r="D34" s="49" t="n">
        <f aca="false">'Historical Financials'!D9</f>
        <v>25.33</v>
      </c>
      <c r="E34" s="3" t="s">
        <v>686</v>
      </c>
      <c r="F34" s="3" t="s">
        <v>695</v>
      </c>
      <c r="G34" s="3" t="s">
        <v>651</v>
      </c>
      <c r="H34" s="3" t="s">
        <v>652</v>
      </c>
      <c r="I34" s="3" t="s">
        <v>740</v>
      </c>
      <c r="J34" s="3" t="s">
        <v>689</v>
      </c>
      <c r="K34" s="3" t="s">
        <v>653</v>
      </c>
      <c r="L34" s="3" t="s">
        <v>690</v>
      </c>
      <c r="M34" s="3" t="s">
        <v>775</v>
      </c>
      <c r="N34" s="3" t="s">
        <v>776</v>
      </c>
    </row>
    <row r="35" customFormat="false" ht="15" hidden="false" customHeight="false" outlineLevel="0" collapsed="false">
      <c r="A35" s="3" t="s">
        <v>777</v>
      </c>
      <c r="B35" s="3" t="s">
        <v>694</v>
      </c>
      <c r="C35" s="3" t="s">
        <v>774</v>
      </c>
      <c r="D35" s="49" t="n">
        <f aca="false">'Historical Financials'!D6</f>
        <v>2311.801</v>
      </c>
      <c r="E35" s="3" t="s">
        <v>686</v>
      </c>
      <c r="F35" s="3" t="s">
        <v>695</v>
      </c>
      <c r="G35" s="3" t="s">
        <v>651</v>
      </c>
      <c r="H35" s="3" t="s">
        <v>652</v>
      </c>
      <c r="I35" s="3" t="s">
        <v>696</v>
      </c>
      <c r="J35" s="3" t="s">
        <v>697</v>
      </c>
      <c r="K35" s="3" t="s">
        <v>653</v>
      </c>
      <c r="L35" s="3" t="s">
        <v>690</v>
      </c>
      <c r="M35" s="3" t="s">
        <v>778</v>
      </c>
      <c r="N35" s="3" t="s">
        <v>779</v>
      </c>
    </row>
    <row r="36" customFormat="false" ht="15" hidden="false" customHeight="false" outlineLevel="0" collapsed="false">
      <c r="A36" s="3" t="s">
        <v>780</v>
      </c>
      <c r="B36" s="3" t="s">
        <v>701</v>
      </c>
      <c r="C36" s="3" t="s">
        <v>774</v>
      </c>
      <c r="D36" s="49" t="n">
        <f aca="false">'Historical Financials'!D7</f>
        <v>1141.393</v>
      </c>
      <c r="E36" s="3" t="s">
        <v>686</v>
      </c>
      <c r="F36" s="3" t="s">
        <v>695</v>
      </c>
      <c r="G36" s="3" t="s">
        <v>651</v>
      </c>
      <c r="H36" s="3" t="s">
        <v>652</v>
      </c>
      <c r="I36" s="3" t="s">
        <v>696</v>
      </c>
      <c r="J36" s="3" t="s">
        <v>697</v>
      </c>
      <c r="K36" s="3" t="s">
        <v>653</v>
      </c>
      <c r="L36" s="3" t="s">
        <v>690</v>
      </c>
      <c r="M36" s="3" t="s">
        <v>781</v>
      </c>
      <c r="N36" s="3" t="s">
        <v>782</v>
      </c>
    </row>
    <row r="37" customFormat="false" ht="15" hidden="false" customHeight="false" outlineLevel="0" collapsed="false">
      <c r="A37" s="3" t="s">
        <v>783</v>
      </c>
      <c r="B37" s="3" t="s">
        <v>705</v>
      </c>
      <c r="C37" s="3" t="s">
        <v>774</v>
      </c>
      <c r="D37" s="49" t="n">
        <f aca="false">'Historical Financials'!D8</f>
        <v>818.341</v>
      </c>
      <c r="E37" s="3" t="s">
        <v>686</v>
      </c>
      <c r="F37" s="3" t="s">
        <v>695</v>
      </c>
      <c r="G37" s="3" t="s">
        <v>651</v>
      </c>
      <c r="H37" s="3" t="s">
        <v>652</v>
      </c>
      <c r="I37" s="3" t="s">
        <v>696</v>
      </c>
      <c r="J37" s="3" t="s">
        <v>697</v>
      </c>
      <c r="K37" s="3" t="s">
        <v>653</v>
      </c>
      <c r="L37" s="3" t="s">
        <v>690</v>
      </c>
      <c r="M37" s="3" t="s">
        <v>784</v>
      </c>
      <c r="N37" s="3" t="s">
        <v>785</v>
      </c>
    </row>
    <row r="38" customFormat="false" ht="15" hidden="false" customHeight="false" outlineLevel="0" collapsed="false">
      <c r="A38" s="3" t="s">
        <v>786</v>
      </c>
      <c r="B38" s="3" t="s">
        <v>709</v>
      </c>
      <c r="C38" s="3" t="s">
        <v>774</v>
      </c>
      <c r="D38" s="49" t="n">
        <f aca="false">'Historical Financials'!D10</f>
        <v>10.733</v>
      </c>
      <c r="E38" s="3" t="s">
        <v>686</v>
      </c>
      <c r="F38" s="3" t="s">
        <v>695</v>
      </c>
      <c r="G38" s="3" t="s">
        <v>651</v>
      </c>
      <c r="H38" s="3" t="s">
        <v>652</v>
      </c>
      <c r="I38" s="3" t="s">
        <v>740</v>
      </c>
      <c r="J38" s="3" t="s">
        <v>689</v>
      </c>
      <c r="K38" s="3" t="s">
        <v>653</v>
      </c>
      <c r="L38" s="3" t="s">
        <v>690</v>
      </c>
      <c r="M38" s="3" t="s">
        <v>787</v>
      </c>
      <c r="N38" s="3" t="s">
        <v>788</v>
      </c>
    </row>
    <row r="39" customFormat="false" ht="15" hidden="false" customHeight="false" outlineLevel="0" collapsed="false">
      <c r="A39" s="3" t="s">
        <v>789</v>
      </c>
      <c r="B39" s="3" t="s">
        <v>713</v>
      </c>
      <c r="C39" s="3" t="s">
        <v>774</v>
      </c>
      <c r="D39" s="49" t="n">
        <f aca="false">'Historical Financials'!D11</f>
        <v>23.744</v>
      </c>
      <c r="E39" s="3" t="s">
        <v>686</v>
      </c>
      <c r="F39" s="3" t="s">
        <v>695</v>
      </c>
      <c r="G39" s="3" t="s">
        <v>651</v>
      </c>
      <c r="H39" s="3" t="s">
        <v>652</v>
      </c>
      <c r="I39" s="3" t="s">
        <v>740</v>
      </c>
      <c r="J39" s="3" t="s">
        <v>689</v>
      </c>
      <c r="K39" s="3" t="s">
        <v>653</v>
      </c>
      <c r="L39" s="3" t="s">
        <v>690</v>
      </c>
      <c r="M39" s="3" t="s">
        <v>790</v>
      </c>
      <c r="N39" s="3" t="s">
        <v>791</v>
      </c>
    </row>
    <row r="40" customFormat="false" ht="15" hidden="false" customHeight="false" outlineLevel="0" collapsed="false">
      <c r="A40" s="3" t="s">
        <v>792</v>
      </c>
      <c r="B40" s="3" t="s">
        <v>717</v>
      </c>
      <c r="C40" s="3" t="s">
        <v>774</v>
      </c>
      <c r="D40" s="49" t="n">
        <f aca="false">'Historical Financials'!D12</f>
        <v>94.425</v>
      </c>
      <c r="E40" s="3" t="s">
        <v>686</v>
      </c>
      <c r="F40" s="3" t="s">
        <v>695</v>
      </c>
      <c r="G40" s="3" t="s">
        <v>651</v>
      </c>
      <c r="H40" s="3" t="s">
        <v>652</v>
      </c>
      <c r="I40" s="3" t="s">
        <v>696</v>
      </c>
      <c r="J40" s="3" t="s">
        <v>697</v>
      </c>
      <c r="K40" s="3" t="s">
        <v>653</v>
      </c>
      <c r="L40" s="3" t="s">
        <v>690</v>
      </c>
      <c r="M40" s="3" t="s">
        <v>793</v>
      </c>
      <c r="N40" s="3" t="s">
        <v>794</v>
      </c>
    </row>
    <row r="41" customFormat="false" ht="15" hidden="false" customHeight="false" outlineLevel="0" collapsed="false">
      <c r="A41" s="3" t="s">
        <v>795</v>
      </c>
      <c r="B41" s="3" t="s">
        <v>721</v>
      </c>
      <c r="C41" s="3" t="s">
        <v>774</v>
      </c>
      <c r="D41" s="49" t="n">
        <f aca="false">'Historical Financials'!D13</f>
        <v>172.353</v>
      </c>
      <c r="E41" s="3" t="s">
        <v>686</v>
      </c>
      <c r="F41" s="3" t="s">
        <v>695</v>
      </c>
      <c r="G41" s="3" t="s">
        <v>651</v>
      </c>
      <c r="H41" s="3" t="s">
        <v>652</v>
      </c>
      <c r="I41" s="3" t="s">
        <v>696</v>
      </c>
      <c r="J41" s="3" t="s">
        <v>697</v>
      </c>
      <c r="K41" s="3" t="s">
        <v>653</v>
      </c>
      <c r="L41" s="3" t="s">
        <v>690</v>
      </c>
      <c r="M41" s="3" t="s">
        <v>796</v>
      </c>
      <c r="N41" s="3" t="s">
        <v>797</v>
      </c>
    </row>
    <row r="42" customFormat="false" ht="15" hidden="false" customHeight="false" outlineLevel="0" collapsed="false">
      <c r="A42" s="3" t="s">
        <v>798</v>
      </c>
      <c r="B42" s="3" t="s">
        <v>725</v>
      </c>
      <c r="C42" s="3" t="s">
        <v>774</v>
      </c>
      <c r="D42" s="49" t="n">
        <f aca="false">'Historical Financials'!D14</f>
        <v>46.226</v>
      </c>
      <c r="E42" s="3" t="s">
        <v>686</v>
      </c>
      <c r="F42" s="3" t="s">
        <v>695</v>
      </c>
      <c r="G42" s="3" t="s">
        <v>651</v>
      </c>
      <c r="H42" s="3" t="s">
        <v>652</v>
      </c>
      <c r="I42" s="3" t="s">
        <v>696</v>
      </c>
      <c r="J42" s="3" t="s">
        <v>697</v>
      </c>
      <c r="K42" s="3" t="s">
        <v>653</v>
      </c>
      <c r="L42" s="3" t="s">
        <v>690</v>
      </c>
      <c r="M42" s="3" t="s">
        <v>799</v>
      </c>
      <c r="N42" s="3" t="s">
        <v>800</v>
      </c>
    </row>
    <row r="43" customFormat="false" ht="15" hidden="false" customHeight="false" outlineLevel="0" collapsed="false">
      <c r="A43" s="3" t="s">
        <v>801</v>
      </c>
      <c r="B43" s="3" t="s">
        <v>729</v>
      </c>
      <c r="C43" s="3" t="s">
        <v>774</v>
      </c>
      <c r="D43" s="49" t="n">
        <f aca="false">'Historical Financials'!D16</f>
        <v>33.303</v>
      </c>
      <c r="E43" s="3" t="s">
        <v>686</v>
      </c>
      <c r="F43" s="3" t="s">
        <v>695</v>
      </c>
      <c r="G43" s="3" t="s">
        <v>651</v>
      </c>
      <c r="H43" s="3" t="s">
        <v>652</v>
      </c>
      <c r="I43" s="3" t="s">
        <v>730</v>
      </c>
      <c r="J43" s="3" t="s">
        <v>731</v>
      </c>
      <c r="K43" s="3" t="s">
        <v>653</v>
      </c>
      <c r="L43" s="3" t="s">
        <v>690</v>
      </c>
      <c r="M43" s="3" t="s">
        <v>802</v>
      </c>
      <c r="N43" s="3" t="s">
        <v>803</v>
      </c>
    </row>
    <row r="44" customFormat="false" ht="15" hidden="false" customHeight="false" outlineLevel="0" collapsed="false">
      <c r="A44" s="3" t="s">
        <v>804</v>
      </c>
      <c r="B44" s="3" t="s">
        <v>735</v>
      </c>
      <c r="C44" s="3" t="s">
        <v>774</v>
      </c>
      <c r="D44" s="49" t="n">
        <f aca="false">'Historical Financials'!D15</f>
        <v>305.67</v>
      </c>
      <c r="E44" s="3" t="s">
        <v>686</v>
      </c>
      <c r="F44" s="3" t="s">
        <v>695</v>
      </c>
      <c r="G44" s="3" t="s">
        <v>651</v>
      </c>
      <c r="H44" s="3" t="s">
        <v>652</v>
      </c>
      <c r="I44" s="3" t="s">
        <v>730</v>
      </c>
      <c r="J44" s="3" t="s">
        <v>731</v>
      </c>
      <c r="K44" s="3" t="s">
        <v>653</v>
      </c>
      <c r="L44" s="3" t="s">
        <v>690</v>
      </c>
      <c r="M44" s="3" t="s">
        <v>805</v>
      </c>
      <c r="N44" s="3" t="s">
        <v>806</v>
      </c>
    </row>
    <row r="45" customFormat="false" ht="15" hidden="false" customHeight="false" outlineLevel="0" collapsed="false">
      <c r="A45" s="3" t="s">
        <v>807</v>
      </c>
      <c r="B45" s="3" t="s">
        <v>684</v>
      </c>
      <c r="C45" s="3" t="s">
        <v>808</v>
      </c>
      <c r="D45" s="49" t="n">
        <f aca="false">'Historical Financials'!E9</f>
        <v>13.8</v>
      </c>
      <c r="E45" s="3" t="s">
        <v>686</v>
      </c>
      <c r="F45" s="3" t="s">
        <v>809</v>
      </c>
      <c r="G45" s="3" t="s">
        <v>664</v>
      </c>
      <c r="H45" s="3" t="s">
        <v>665</v>
      </c>
      <c r="I45" s="3" t="s">
        <v>810</v>
      </c>
      <c r="J45" s="3" t="s">
        <v>689</v>
      </c>
      <c r="K45" s="3" t="s">
        <v>666</v>
      </c>
      <c r="L45" s="3" t="s">
        <v>690</v>
      </c>
      <c r="M45" s="3" t="s">
        <v>811</v>
      </c>
      <c r="N45" s="3" t="s">
        <v>812</v>
      </c>
    </row>
    <row r="46" customFormat="false" ht="15" hidden="false" customHeight="false" outlineLevel="0" collapsed="false">
      <c r="A46" s="3" t="s">
        <v>813</v>
      </c>
      <c r="B46" s="3" t="s">
        <v>694</v>
      </c>
      <c r="C46" s="3" t="s">
        <v>808</v>
      </c>
      <c r="D46" s="49" t="n">
        <f aca="false">'Historical Financials'!E6</f>
        <v>1155.257</v>
      </c>
      <c r="E46" s="3" t="s">
        <v>686</v>
      </c>
      <c r="F46" s="3" t="s">
        <v>809</v>
      </c>
      <c r="G46" s="3" t="s">
        <v>664</v>
      </c>
      <c r="H46" s="3" t="s">
        <v>665</v>
      </c>
      <c r="I46" s="3" t="s">
        <v>810</v>
      </c>
      <c r="J46" s="3" t="s">
        <v>814</v>
      </c>
      <c r="K46" s="3" t="s">
        <v>666</v>
      </c>
      <c r="L46" s="3" t="s">
        <v>690</v>
      </c>
      <c r="M46" s="3" t="s">
        <v>815</v>
      </c>
      <c r="N46" s="3" t="s">
        <v>816</v>
      </c>
    </row>
    <row r="47" customFormat="false" ht="15" hidden="false" customHeight="false" outlineLevel="0" collapsed="false">
      <c r="A47" s="3" t="s">
        <v>817</v>
      </c>
      <c r="B47" s="3" t="s">
        <v>701</v>
      </c>
      <c r="C47" s="3" t="s">
        <v>808</v>
      </c>
      <c r="D47" s="49" t="n">
        <f aca="false">'Historical Financials'!E7</f>
        <v>551.222</v>
      </c>
      <c r="E47" s="3" t="s">
        <v>686</v>
      </c>
      <c r="F47" s="3" t="s">
        <v>809</v>
      </c>
      <c r="G47" s="3" t="s">
        <v>664</v>
      </c>
      <c r="H47" s="3" t="s">
        <v>665</v>
      </c>
      <c r="I47" s="3" t="s">
        <v>810</v>
      </c>
      <c r="J47" s="3" t="s">
        <v>818</v>
      </c>
      <c r="K47" s="3" t="s">
        <v>666</v>
      </c>
      <c r="L47" s="3" t="s">
        <v>690</v>
      </c>
      <c r="M47" s="3" t="s">
        <v>819</v>
      </c>
      <c r="N47" s="3" t="s">
        <v>820</v>
      </c>
    </row>
    <row r="48" customFormat="false" ht="15" hidden="false" customHeight="false" outlineLevel="0" collapsed="false">
      <c r="A48" s="3" t="s">
        <v>821</v>
      </c>
      <c r="B48" s="3" t="s">
        <v>705</v>
      </c>
      <c r="C48" s="3" t="s">
        <v>808</v>
      </c>
      <c r="D48" s="49" t="n">
        <f aca="false">'Historical Financials'!E8</f>
        <v>419.679</v>
      </c>
      <c r="E48" s="3" t="s">
        <v>686</v>
      </c>
      <c r="F48" s="3" t="s">
        <v>809</v>
      </c>
      <c r="G48" s="3" t="s">
        <v>664</v>
      </c>
      <c r="H48" s="3" t="s">
        <v>665</v>
      </c>
      <c r="I48" s="3" t="s">
        <v>810</v>
      </c>
      <c r="J48" s="3" t="s">
        <v>818</v>
      </c>
      <c r="K48" s="3" t="s">
        <v>666</v>
      </c>
      <c r="L48" s="3" t="s">
        <v>690</v>
      </c>
      <c r="M48" s="3" t="s">
        <v>822</v>
      </c>
      <c r="N48" s="3" t="s">
        <v>823</v>
      </c>
    </row>
    <row r="49" customFormat="false" ht="15" hidden="false" customHeight="false" outlineLevel="0" collapsed="false">
      <c r="A49" s="3" t="s">
        <v>824</v>
      </c>
      <c r="B49" s="3" t="s">
        <v>709</v>
      </c>
      <c r="C49" s="3" t="s">
        <v>808</v>
      </c>
      <c r="D49" s="49" t="n">
        <f aca="false">'Historical Financials'!E10</f>
        <v>5.938</v>
      </c>
      <c r="E49" s="3" t="s">
        <v>686</v>
      </c>
      <c r="F49" s="3" t="s">
        <v>809</v>
      </c>
      <c r="G49" s="3" t="s">
        <v>664</v>
      </c>
      <c r="H49" s="3" t="s">
        <v>665</v>
      </c>
      <c r="I49" s="3" t="s">
        <v>810</v>
      </c>
      <c r="J49" s="3" t="s">
        <v>689</v>
      </c>
      <c r="K49" s="3" t="s">
        <v>666</v>
      </c>
      <c r="L49" s="3" t="s">
        <v>690</v>
      </c>
      <c r="M49" s="3" t="s">
        <v>825</v>
      </c>
      <c r="N49" s="3" t="s">
        <v>826</v>
      </c>
    </row>
    <row r="50" customFormat="false" ht="15" hidden="false" customHeight="false" outlineLevel="0" collapsed="false">
      <c r="A50" s="3" t="s">
        <v>827</v>
      </c>
      <c r="B50" s="3" t="s">
        <v>713</v>
      </c>
      <c r="C50" s="3" t="s">
        <v>808</v>
      </c>
      <c r="D50" s="49" t="n">
        <f aca="false">'Historical Financials'!E11</f>
        <v>9.777</v>
      </c>
      <c r="E50" s="3" t="s">
        <v>686</v>
      </c>
      <c r="F50" s="3" t="s">
        <v>809</v>
      </c>
      <c r="G50" s="3" t="s">
        <v>664</v>
      </c>
      <c r="H50" s="3" t="s">
        <v>665</v>
      </c>
      <c r="I50" s="3" t="s">
        <v>810</v>
      </c>
      <c r="J50" s="3" t="s">
        <v>689</v>
      </c>
      <c r="K50" s="3" t="s">
        <v>666</v>
      </c>
      <c r="L50" s="3" t="s">
        <v>690</v>
      </c>
      <c r="M50" s="3" t="s">
        <v>828</v>
      </c>
      <c r="N50" s="3" t="s">
        <v>829</v>
      </c>
    </row>
    <row r="51" customFormat="false" ht="15" hidden="false" customHeight="false" outlineLevel="0" collapsed="false">
      <c r="A51" s="3" t="s">
        <v>830</v>
      </c>
      <c r="B51" s="3" t="s">
        <v>717</v>
      </c>
      <c r="C51" s="3" t="s">
        <v>808</v>
      </c>
      <c r="D51" s="49" t="n">
        <f aca="false">'Historical Financials'!E12</f>
        <v>47.372</v>
      </c>
      <c r="E51" s="3" t="s">
        <v>686</v>
      </c>
      <c r="F51" s="3" t="s">
        <v>809</v>
      </c>
      <c r="G51" s="3" t="s">
        <v>664</v>
      </c>
      <c r="H51" s="3" t="s">
        <v>665</v>
      </c>
      <c r="I51" s="3" t="s">
        <v>810</v>
      </c>
      <c r="J51" s="3" t="s">
        <v>818</v>
      </c>
      <c r="K51" s="3" t="s">
        <v>666</v>
      </c>
      <c r="L51" s="3" t="s">
        <v>690</v>
      </c>
      <c r="M51" s="3" t="s">
        <v>831</v>
      </c>
      <c r="N51" s="3" t="s">
        <v>832</v>
      </c>
    </row>
    <row r="52" customFormat="false" ht="15" hidden="false" customHeight="false" outlineLevel="0" collapsed="false">
      <c r="A52" s="3" t="s">
        <v>833</v>
      </c>
      <c r="B52" s="3" t="s">
        <v>721</v>
      </c>
      <c r="C52" s="3" t="s">
        <v>808</v>
      </c>
      <c r="D52" s="49" t="n">
        <f aca="false">'Historical Financials'!E13</f>
        <v>85.852</v>
      </c>
      <c r="E52" s="3" t="s">
        <v>686</v>
      </c>
      <c r="F52" s="3" t="s">
        <v>809</v>
      </c>
      <c r="G52" s="3" t="s">
        <v>664</v>
      </c>
      <c r="H52" s="3" t="s">
        <v>665</v>
      </c>
      <c r="I52" s="3" t="s">
        <v>810</v>
      </c>
      <c r="J52" s="3" t="s">
        <v>818</v>
      </c>
      <c r="K52" s="3" t="s">
        <v>666</v>
      </c>
      <c r="L52" s="3" t="s">
        <v>690</v>
      </c>
      <c r="M52" s="3" t="s">
        <v>834</v>
      </c>
      <c r="N52" s="3" t="s">
        <v>835</v>
      </c>
    </row>
    <row r="53" customFormat="false" ht="15" hidden="false" customHeight="false" outlineLevel="0" collapsed="false">
      <c r="A53" s="3" t="s">
        <v>836</v>
      </c>
      <c r="B53" s="3" t="s">
        <v>725</v>
      </c>
      <c r="C53" s="3" t="s">
        <v>808</v>
      </c>
      <c r="D53" s="49" t="n">
        <f aca="false">'Historical Financials'!E14</f>
        <v>31.027</v>
      </c>
      <c r="E53" s="3" t="s">
        <v>686</v>
      </c>
      <c r="F53" s="3" t="s">
        <v>809</v>
      </c>
      <c r="G53" s="3" t="s">
        <v>664</v>
      </c>
      <c r="H53" s="3" t="s">
        <v>665</v>
      </c>
      <c r="I53" s="3" t="s">
        <v>810</v>
      </c>
      <c r="J53" s="3" t="s">
        <v>818</v>
      </c>
      <c r="K53" s="3" t="s">
        <v>666</v>
      </c>
      <c r="L53" s="3" t="s">
        <v>690</v>
      </c>
      <c r="M53" s="3" t="s">
        <v>837</v>
      </c>
      <c r="N53" s="3" t="s">
        <v>838</v>
      </c>
    </row>
    <row r="54" customFormat="false" ht="15" hidden="false" customHeight="false" outlineLevel="0" collapsed="false">
      <c r="A54" s="3" t="s">
        <v>839</v>
      </c>
      <c r="B54" s="3" t="s">
        <v>729</v>
      </c>
      <c r="C54" s="3" t="s">
        <v>808</v>
      </c>
      <c r="D54" s="49" t="n">
        <f aca="false">'Historical Financials'!E16</f>
        <v>21.67</v>
      </c>
      <c r="E54" s="3" t="s">
        <v>686</v>
      </c>
      <c r="F54" s="3" t="s">
        <v>809</v>
      </c>
      <c r="G54" s="3" t="s">
        <v>664</v>
      </c>
      <c r="H54" s="3" t="s">
        <v>665</v>
      </c>
      <c r="I54" s="3" t="s">
        <v>810</v>
      </c>
      <c r="J54" s="3" t="s">
        <v>840</v>
      </c>
      <c r="K54" s="3" t="s">
        <v>666</v>
      </c>
      <c r="L54" s="3" t="s">
        <v>690</v>
      </c>
      <c r="M54" s="3" t="s">
        <v>841</v>
      </c>
      <c r="N54" s="3" t="s">
        <v>842</v>
      </c>
    </row>
    <row r="55" customFormat="false" ht="15" hidden="false" customHeight="false" outlineLevel="0" collapsed="false">
      <c r="A55" s="3" t="s">
        <v>843</v>
      </c>
      <c r="B55" s="3" t="s">
        <v>735</v>
      </c>
      <c r="C55" s="3" t="s">
        <v>808</v>
      </c>
      <c r="D55" s="49" t="n">
        <f aca="false">'Historical Financials'!E15</f>
        <v>211.596</v>
      </c>
      <c r="E55" s="3" t="s">
        <v>686</v>
      </c>
      <c r="F55" s="3" t="s">
        <v>809</v>
      </c>
      <c r="G55" s="3" t="s">
        <v>664</v>
      </c>
      <c r="H55" s="3" t="s">
        <v>665</v>
      </c>
      <c r="I55" s="3" t="s">
        <v>810</v>
      </c>
      <c r="J55" s="3" t="s">
        <v>840</v>
      </c>
      <c r="K55" s="3" t="s">
        <v>666</v>
      </c>
      <c r="L55" s="3" t="s">
        <v>690</v>
      </c>
      <c r="M55" s="3" t="s">
        <v>844</v>
      </c>
      <c r="N55" s="3" t="s">
        <v>845</v>
      </c>
    </row>
    <row r="56" customFormat="false" ht="15" hidden="false" customHeight="false" outlineLevel="0" collapsed="false">
      <c r="A56" s="3" t="s">
        <v>846</v>
      </c>
      <c r="B56" s="3" t="s">
        <v>684</v>
      </c>
      <c r="C56" s="3" t="s">
        <v>847</v>
      </c>
      <c r="D56" s="49" t="n">
        <f aca="false">'Historical Financials'!F9</f>
        <v>12.826</v>
      </c>
      <c r="E56" s="3" t="s">
        <v>686</v>
      </c>
      <c r="F56" s="3" t="s">
        <v>809</v>
      </c>
      <c r="G56" s="3" t="s">
        <v>664</v>
      </c>
      <c r="H56" s="3" t="s">
        <v>665</v>
      </c>
      <c r="I56" s="3" t="s">
        <v>810</v>
      </c>
      <c r="J56" s="3" t="s">
        <v>689</v>
      </c>
      <c r="K56" s="3" t="s">
        <v>666</v>
      </c>
      <c r="L56" s="3" t="s">
        <v>690</v>
      </c>
      <c r="M56" s="3" t="s">
        <v>848</v>
      </c>
      <c r="N56" s="3" t="s">
        <v>849</v>
      </c>
    </row>
    <row r="57" customFormat="false" ht="15" hidden="false" customHeight="false" outlineLevel="0" collapsed="false">
      <c r="A57" s="3" t="s">
        <v>850</v>
      </c>
      <c r="B57" s="3" t="s">
        <v>694</v>
      </c>
      <c r="C57" s="3" t="s">
        <v>847</v>
      </c>
      <c r="D57" s="49" t="n">
        <f aca="false">'Historical Financials'!F6</f>
        <v>1089.622</v>
      </c>
      <c r="E57" s="3" t="s">
        <v>686</v>
      </c>
      <c r="F57" s="3" t="s">
        <v>809</v>
      </c>
      <c r="G57" s="3" t="s">
        <v>664</v>
      </c>
      <c r="H57" s="3" t="s">
        <v>665</v>
      </c>
      <c r="I57" s="3" t="s">
        <v>810</v>
      </c>
      <c r="J57" s="3" t="s">
        <v>814</v>
      </c>
      <c r="K57" s="3" t="s">
        <v>666</v>
      </c>
      <c r="L57" s="3" t="s">
        <v>690</v>
      </c>
      <c r="M57" s="3" t="s">
        <v>851</v>
      </c>
      <c r="N57" s="3" t="s">
        <v>852</v>
      </c>
    </row>
    <row r="58" customFormat="false" ht="15" hidden="false" customHeight="false" outlineLevel="0" collapsed="false">
      <c r="A58" s="3" t="s">
        <v>853</v>
      </c>
      <c r="B58" s="3" t="s">
        <v>701</v>
      </c>
      <c r="C58" s="3" t="s">
        <v>847</v>
      </c>
      <c r="D58" s="49" t="n">
        <f aca="false">'Historical Financials'!F7</f>
        <v>571.961</v>
      </c>
      <c r="E58" s="3" t="s">
        <v>686</v>
      </c>
      <c r="F58" s="3" t="s">
        <v>809</v>
      </c>
      <c r="G58" s="3" t="s">
        <v>664</v>
      </c>
      <c r="H58" s="3" t="s">
        <v>665</v>
      </c>
      <c r="I58" s="3" t="s">
        <v>810</v>
      </c>
      <c r="J58" s="3" t="s">
        <v>818</v>
      </c>
      <c r="K58" s="3" t="s">
        <v>666</v>
      </c>
      <c r="L58" s="3" t="s">
        <v>690</v>
      </c>
      <c r="M58" s="3" t="s">
        <v>854</v>
      </c>
      <c r="N58" s="3" t="s">
        <v>855</v>
      </c>
    </row>
    <row r="59" customFormat="false" ht="15" hidden="false" customHeight="false" outlineLevel="0" collapsed="false">
      <c r="A59" s="3" t="s">
        <v>856</v>
      </c>
      <c r="B59" s="3" t="s">
        <v>705</v>
      </c>
      <c r="C59" s="3" t="s">
        <v>847</v>
      </c>
      <c r="D59" s="49" t="n">
        <f aca="false">'Historical Financials'!F8</f>
        <v>426.623</v>
      </c>
      <c r="E59" s="3" t="s">
        <v>686</v>
      </c>
      <c r="F59" s="3" t="s">
        <v>809</v>
      </c>
      <c r="G59" s="3" t="s">
        <v>664</v>
      </c>
      <c r="H59" s="3" t="s">
        <v>665</v>
      </c>
      <c r="I59" s="3" t="s">
        <v>810</v>
      </c>
      <c r="J59" s="3" t="s">
        <v>818</v>
      </c>
      <c r="K59" s="3" t="s">
        <v>666</v>
      </c>
      <c r="L59" s="3" t="s">
        <v>690</v>
      </c>
      <c r="M59" s="3" t="s">
        <v>857</v>
      </c>
      <c r="N59" s="3" t="s">
        <v>858</v>
      </c>
    </row>
    <row r="60" customFormat="false" ht="15" hidden="false" customHeight="false" outlineLevel="0" collapsed="false">
      <c r="A60" s="3" t="s">
        <v>859</v>
      </c>
      <c r="B60" s="3" t="s">
        <v>709</v>
      </c>
      <c r="C60" s="3" t="s">
        <v>847</v>
      </c>
      <c r="D60" s="49" t="n">
        <f aca="false">'Historical Financials'!F10</f>
        <v>4.416</v>
      </c>
      <c r="E60" s="3" t="s">
        <v>686</v>
      </c>
      <c r="F60" s="3" t="s">
        <v>809</v>
      </c>
      <c r="G60" s="3" t="s">
        <v>664</v>
      </c>
      <c r="H60" s="3" t="s">
        <v>665</v>
      </c>
      <c r="I60" s="3" t="s">
        <v>810</v>
      </c>
      <c r="J60" s="3" t="s">
        <v>689</v>
      </c>
      <c r="K60" s="3" t="s">
        <v>666</v>
      </c>
      <c r="L60" s="3" t="s">
        <v>690</v>
      </c>
      <c r="M60" s="3" t="s">
        <v>860</v>
      </c>
      <c r="N60" s="3" t="s">
        <v>861</v>
      </c>
    </row>
    <row r="61" customFormat="false" ht="15" hidden="false" customHeight="false" outlineLevel="0" collapsed="false">
      <c r="A61" s="3" t="s">
        <v>862</v>
      </c>
      <c r="B61" s="3" t="s">
        <v>713</v>
      </c>
      <c r="C61" s="3" t="s">
        <v>847</v>
      </c>
      <c r="D61" s="49" t="n">
        <f aca="false">'Historical Financials'!F11</f>
        <v>6.762</v>
      </c>
      <c r="E61" s="3" t="s">
        <v>686</v>
      </c>
      <c r="F61" s="3" t="s">
        <v>809</v>
      </c>
      <c r="G61" s="3" t="s">
        <v>664</v>
      </c>
      <c r="H61" s="3" t="s">
        <v>665</v>
      </c>
      <c r="I61" s="3" t="s">
        <v>810</v>
      </c>
      <c r="J61" s="3" t="s">
        <v>689</v>
      </c>
      <c r="K61" s="3" t="s">
        <v>666</v>
      </c>
      <c r="L61" s="3" t="s">
        <v>690</v>
      </c>
      <c r="M61" s="3" t="s">
        <v>863</v>
      </c>
      <c r="N61" s="3" t="s">
        <v>864</v>
      </c>
    </row>
    <row r="62" customFormat="false" ht="15" hidden="false" customHeight="false" outlineLevel="0" collapsed="false">
      <c r="A62" s="3" t="s">
        <v>865</v>
      </c>
      <c r="B62" s="3" t="s">
        <v>717</v>
      </c>
      <c r="C62" s="3" t="s">
        <v>847</v>
      </c>
      <c r="D62" s="49" t="n">
        <f aca="false">'Historical Financials'!F12</f>
        <v>38.243</v>
      </c>
      <c r="E62" s="3" t="s">
        <v>686</v>
      </c>
      <c r="F62" s="3" t="s">
        <v>809</v>
      </c>
      <c r="G62" s="3" t="s">
        <v>664</v>
      </c>
      <c r="H62" s="3" t="s">
        <v>665</v>
      </c>
      <c r="I62" s="3" t="s">
        <v>810</v>
      </c>
      <c r="J62" s="3" t="s">
        <v>818</v>
      </c>
      <c r="K62" s="3" t="s">
        <v>666</v>
      </c>
      <c r="L62" s="3" t="s">
        <v>690</v>
      </c>
      <c r="M62" s="3" t="s">
        <v>866</v>
      </c>
      <c r="N62" s="3" t="s">
        <v>867</v>
      </c>
    </row>
    <row r="63" customFormat="false" ht="15" hidden="false" customHeight="false" outlineLevel="0" collapsed="false">
      <c r="A63" s="3" t="s">
        <v>868</v>
      </c>
      <c r="B63" s="3" t="s">
        <v>721</v>
      </c>
      <c r="C63" s="3" t="s">
        <v>847</v>
      </c>
      <c r="D63" s="49" t="n">
        <f aca="false">'Historical Financials'!F13</f>
        <v>84.012</v>
      </c>
      <c r="E63" s="3" t="s">
        <v>686</v>
      </c>
      <c r="F63" s="3" t="s">
        <v>809</v>
      </c>
      <c r="G63" s="3" t="s">
        <v>664</v>
      </c>
      <c r="H63" s="3" t="s">
        <v>665</v>
      </c>
      <c r="I63" s="3" t="s">
        <v>810</v>
      </c>
      <c r="J63" s="3" t="s">
        <v>818</v>
      </c>
      <c r="K63" s="3" t="s">
        <v>666</v>
      </c>
      <c r="L63" s="3" t="s">
        <v>690</v>
      </c>
      <c r="M63" s="3" t="s">
        <v>869</v>
      </c>
      <c r="N63" s="3" t="s">
        <v>870</v>
      </c>
    </row>
    <row r="64" customFormat="false" ht="15" hidden="false" customHeight="false" outlineLevel="0" collapsed="false">
      <c r="A64" s="3" t="s">
        <v>871</v>
      </c>
      <c r="B64" s="3" t="s">
        <v>725</v>
      </c>
      <c r="C64" s="3" t="s">
        <v>847</v>
      </c>
      <c r="D64" s="49" t="n">
        <f aca="false">'Historical Financials'!F14</f>
        <v>-11.413</v>
      </c>
      <c r="E64" s="3" t="s">
        <v>686</v>
      </c>
      <c r="F64" s="3" t="s">
        <v>809</v>
      </c>
      <c r="G64" s="3" t="s">
        <v>664</v>
      </c>
      <c r="H64" s="3" t="s">
        <v>665</v>
      </c>
      <c r="I64" s="3" t="s">
        <v>810</v>
      </c>
      <c r="J64" s="3" t="s">
        <v>818</v>
      </c>
      <c r="K64" s="3" t="s">
        <v>666</v>
      </c>
      <c r="L64" s="3" t="s">
        <v>690</v>
      </c>
      <c r="M64" s="3" t="s">
        <v>872</v>
      </c>
      <c r="N64" s="3" t="s">
        <v>873</v>
      </c>
    </row>
    <row r="65" customFormat="false" ht="15" hidden="false" customHeight="false" outlineLevel="0" collapsed="false">
      <c r="A65" s="3" t="s">
        <v>874</v>
      </c>
      <c r="B65" s="3" t="s">
        <v>729</v>
      </c>
      <c r="C65" s="3" t="s">
        <v>847</v>
      </c>
      <c r="D65" s="49" t="n">
        <f aca="false">'Historical Financials'!F16</f>
        <v>16.577</v>
      </c>
      <c r="E65" s="3" t="s">
        <v>686</v>
      </c>
      <c r="F65" s="3" t="s">
        <v>809</v>
      </c>
      <c r="G65" s="3" t="s">
        <v>664</v>
      </c>
      <c r="H65" s="3" t="s">
        <v>665</v>
      </c>
      <c r="I65" s="3" t="s">
        <v>810</v>
      </c>
      <c r="J65" s="3" t="s">
        <v>840</v>
      </c>
      <c r="K65" s="3" t="s">
        <v>666</v>
      </c>
      <c r="L65" s="3" t="s">
        <v>690</v>
      </c>
      <c r="M65" s="3" t="s">
        <v>875</v>
      </c>
      <c r="N65" s="3" t="s">
        <v>876</v>
      </c>
    </row>
    <row r="66" customFormat="false" ht="15" hidden="false" customHeight="false" outlineLevel="0" collapsed="false">
      <c r="A66" s="3" t="s">
        <v>877</v>
      </c>
      <c r="B66" s="3" t="s">
        <v>735</v>
      </c>
      <c r="C66" s="3" t="s">
        <v>847</v>
      </c>
      <c r="D66" s="49" t="n">
        <f aca="false">'Historical Financials'!F15</f>
        <v>124.659</v>
      </c>
      <c r="E66" s="3" t="s">
        <v>686</v>
      </c>
      <c r="F66" s="3" t="s">
        <v>809</v>
      </c>
      <c r="G66" s="3" t="s">
        <v>664</v>
      </c>
      <c r="H66" s="3" t="s">
        <v>665</v>
      </c>
      <c r="I66" s="3" t="s">
        <v>810</v>
      </c>
      <c r="J66" s="3" t="s">
        <v>840</v>
      </c>
      <c r="K66" s="3" t="s">
        <v>666</v>
      </c>
      <c r="L66" s="3" t="s">
        <v>690</v>
      </c>
      <c r="M66" s="3" t="s">
        <v>878</v>
      </c>
      <c r="N66" s="3" t="s">
        <v>879</v>
      </c>
    </row>
    <row r="67" customFormat="false" ht="15" hidden="false" customHeight="false" outlineLevel="0" collapsed="false">
      <c r="A67" s="3" t="s">
        <v>880</v>
      </c>
      <c r="B67" s="3" t="s">
        <v>881</v>
      </c>
      <c r="C67" s="3" t="s">
        <v>663</v>
      </c>
      <c r="D67" s="49" t="n">
        <f aca="false">Assumptions!$C$56</f>
        <v>1315.098</v>
      </c>
      <c r="E67" s="3" t="s">
        <v>686</v>
      </c>
      <c r="F67" s="3" t="s">
        <v>809</v>
      </c>
      <c r="G67" s="3" t="s">
        <v>664</v>
      </c>
      <c r="H67" s="3" t="s">
        <v>665</v>
      </c>
      <c r="I67" s="3" t="s">
        <v>810</v>
      </c>
      <c r="J67" s="3" t="s">
        <v>882</v>
      </c>
      <c r="K67" s="3" t="s">
        <v>666</v>
      </c>
      <c r="L67" s="3" t="s">
        <v>690</v>
      </c>
      <c r="M67" s="3" t="s">
        <v>883</v>
      </c>
      <c r="N67" s="3" t="s">
        <v>884</v>
      </c>
    </row>
    <row r="68" customFormat="false" ht="15" hidden="false" customHeight="false" outlineLevel="0" collapsed="false">
      <c r="A68" s="3" t="s">
        <v>885</v>
      </c>
      <c r="B68" s="3" t="s">
        <v>886</v>
      </c>
      <c r="C68" s="3" t="s">
        <v>663</v>
      </c>
      <c r="D68" s="49" t="n">
        <f aca="false">Assumptions!$C$57</f>
        <v>276.706</v>
      </c>
      <c r="E68" s="3" t="s">
        <v>686</v>
      </c>
      <c r="F68" s="3" t="s">
        <v>809</v>
      </c>
      <c r="G68" s="3" t="s">
        <v>664</v>
      </c>
      <c r="H68" s="3" t="s">
        <v>665</v>
      </c>
      <c r="I68" s="3" t="s">
        <v>810</v>
      </c>
      <c r="J68" s="3" t="s">
        <v>882</v>
      </c>
      <c r="K68" s="3" t="s">
        <v>666</v>
      </c>
      <c r="L68" s="3" t="s">
        <v>690</v>
      </c>
      <c r="M68" s="3" t="s">
        <v>887</v>
      </c>
      <c r="N68" s="3" t="s">
        <v>888</v>
      </c>
    </row>
    <row r="69" customFormat="false" ht="15" hidden="false" customHeight="false" outlineLevel="0" collapsed="false">
      <c r="A69" s="3" t="s">
        <v>889</v>
      </c>
      <c r="B69" s="3" t="s">
        <v>890</v>
      </c>
      <c r="C69" s="3" t="s">
        <v>663</v>
      </c>
      <c r="D69" s="49" t="n">
        <f aca="false">Assumptions!$C$58</f>
        <v>143.75</v>
      </c>
      <c r="E69" s="3" t="s">
        <v>686</v>
      </c>
      <c r="F69" s="3" t="s">
        <v>809</v>
      </c>
      <c r="G69" s="3" t="s">
        <v>664</v>
      </c>
      <c r="H69" s="3" t="s">
        <v>665</v>
      </c>
      <c r="I69" s="3" t="s">
        <v>810</v>
      </c>
      <c r="J69" s="3" t="s">
        <v>882</v>
      </c>
      <c r="K69" s="3" t="s">
        <v>666</v>
      </c>
      <c r="L69" s="3" t="s">
        <v>690</v>
      </c>
      <c r="M69" s="3" t="s">
        <v>891</v>
      </c>
      <c r="N69" s="3" t="s">
        <v>892</v>
      </c>
    </row>
    <row r="70" customFormat="false" ht="15" hidden="false" customHeight="false" outlineLevel="0" collapsed="false">
      <c r="A70" s="3" t="s">
        <v>893</v>
      </c>
      <c r="B70" s="3" t="s">
        <v>894</v>
      </c>
      <c r="C70" s="3" t="s">
        <v>663</v>
      </c>
      <c r="D70" s="49" t="n">
        <f aca="false">Assumptions!$C$11</f>
        <v>463.996</v>
      </c>
      <c r="E70" s="3" t="s">
        <v>686</v>
      </c>
      <c r="F70" s="3" t="s">
        <v>809</v>
      </c>
      <c r="G70" s="3" t="s">
        <v>664</v>
      </c>
      <c r="H70" s="3" t="s">
        <v>665</v>
      </c>
      <c r="I70" s="3" t="s">
        <v>810</v>
      </c>
      <c r="J70" s="3" t="s">
        <v>895</v>
      </c>
      <c r="K70" s="3" t="s">
        <v>666</v>
      </c>
      <c r="L70" s="3" t="s">
        <v>690</v>
      </c>
      <c r="M70" s="3" t="s">
        <v>896</v>
      </c>
      <c r="N70" s="3" t="s">
        <v>897</v>
      </c>
    </row>
    <row r="71" customFormat="false" ht="15" hidden="false" customHeight="false" outlineLevel="0" collapsed="false">
      <c r="A71" s="3" t="s">
        <v>85</v>
      </c>
      <c r="B71" s="3" t="s">
        <v>898</v>
      </c>
      <c r="C71" s="3" t="s">
        <v>663</v>
      </c>
      <c r="D71" s="3" t="s">
        <v>899</v>
      </c>
      <c r="E71" s="3" t="s">
        <v>686</v>
      </c>
      <c r="F71" s="3" t="s">
        <v>809</v>
      </c>
      <c r="G71" s="3" t="s">
        <v>664</v>
      </c>
      <c r="H71" s="3" t="s">
        <v>665</v>
      </c>
      <c r="I71" s="3" t="s">
        <v>810</v>
      </c>
      <c r="J71" s="3" t="s">
        <v>895</v>
      </c>
      <c r="K71" s="3" t="s">
        <v>666</v>
      </c>
      <c r="L71" s="3" t="s">
        <v>690</v>
      </c>
      <c r="M71" s="3"/>
      <c r="N71" s="3" t="s">
        <v>900</v>
      </c>
    </row>
    <row r="72" customFormat="false" ht="15" hidden="false" customHeight="false" outlineLevel="0" collapsed="false">
      <c r="A72" s="3" t="s">
        <v>87</v>
      </c>
      <c r="B72" s="3" t="s">
        <v>901</v>
      </c>
      <c r="C72" s="3" t="s">
        <v>663</v>
      </c>
      <c r="D72" s="3" t="s">
        <v>899</v>
      </c>
      <c r="E72" s="3" t="s">
        <v>686</v>
      </c>
      <c r="F72" s="3" t="s">
        <v>809</v>
      </c>
      <c r="G72" s="3" t="s">
        <v>664</v>
      </c>
      <c r="H72" s="3" t="s">
        <v>665</v>
      </c>
      <c r="I72" s="3" t="s">
        <v>810</v>
      </c>
      <c r="J72" s="3" t="s">
        <v>895</v>
      </c>
      <c r="K72" s="3" t="s">
        <v>666</v>
      </c>
      <c r="L72" s="3" t="s">
        <v>690</v>
      </c>
      <c r="M72" s="3"/>
      <c r="N72" s="3" t="s">
        <v>902</v>
      </c>
    </row>
    <row r="73" customFormat="false" ht="15" hidden="false" customHeight="false" outlineLevel="0" collapsed="false">
      <c r="A73" s="3" t="s">
        <v>89</v>
      </c>
      <c r="B73" s="3" t="s">
        <v>903</v>
      </c>
      <c r="C73" s="3" t="s">
        <v>663</v>
      </c>
      <c r="D73" s="3" t="s">
        <v>899</v>
      </c>
      <c r="E73" s="3" t="s">
        <v>686</v>
      </c>
      <c r="F73" s="3" t="s">
        <v>809</v>
      </c>
      <c r="G73" s="3" t="s">
        <v>664</v>
      </c>
      <c r="H73" s="3" t="s">
        <v>665</v>
      </c>
      <c r="I73" s="3" t="s">
        <v>810</v>
      </c>
      <c r="J73" s="3" t="s">
        <v>895</v>
      </c>
      <c r="K73" s="3" t="s">
        <v>666</v>
      </c>
      <c r="L73" s="3" t="s">
        <v>690</v>
      </c>
      <c r="M73" s="3"/>
      <c r="N73" s="3" t="s">
        <v>904</v>
      </c>
    </row>
    <row r="74" customFormat="false" ht="15" hidden="false" customHeight="false" outlineLevel="0" collapsed="false">
      <c r="A74" s="3" t="s">
        <v>91</v>
      </c>
      <c r="B74" s="3" t="s">
        <v>905</v>
      </c>
      <c r="C74" s="3" t="s">
        <v>663</v>
      </c>
      <c r="D74" s="3" t="s">
        <v>899</v>
      </c>
      <c r="E74" s="3" t="s">
        <v>686</v>
      </c>
      <c r="F74" s="3" t="s">
        <v>809</v>
      </c>
      <c r="G74" s="3" t="s">
        <v>664</v>
      </c>
      <c r="H74" s="3" t="s">
        <v>665</v>
      </c>
      <c r="I74" s="3" t="s">
        <v>810</v>
      </c>
      <c r="J74" s="3" t="s">
        <v>895</v>
      </c>
      <c r="K74" s="3" t="s">
        <v>666</v>
      </c>
      <c r="L74" s="3" t="s">
        <v>690</v>
      </c>
      <c r="M74" s="3"/>
      <c r="N74" s="3" t="s">
        <v>906</v>
      </c>
    </row>
    <row r="75" customFormat="false" ht="15" hidden="false" customHeight="false" outlineLevel="0" collapsed="false">
      <c r="A75" s="3" t="s">
        <v>907</v>
      </c>
      <c r="B75" s="3" t="s">
        <v>908</v>
      </c>
      <c r="C75" s="3" t="s">
        <v>774</v>
      </c>
      <c r="D75" s="3" t="s">
        <v>899</v>
      </c>
      <c r="E75" s="3" t="s">
        <v>686</v>
      </c>
      <c r="F75" s="3" t="s">
        <v>695</v>
      </c>
      <c r="G75" s="3" t="s">
        <v>651</v>
      </c>
      <c r="H75" s="3" t="s">
        <v>652</v>
      </c>
      <c r="I75" s="3" t="s">
        <v>909</v>
      </c>
      <c r="J75" s="3" t="s">
        <v>882</v>
      </c>
      <c r="K75" s="3" t="s">
        <v>653</v>
      </c>
      <c r="L75" s="3" t="s">
        <v>690</v>
      </c>
      <c r="M75" s="3"/>
      <c r="N75" s="3" t="s">
        <v>910</v>
      </c>
    </row>
    <row r="76" customFormat="false" ht="15" hidden="false" customHeight="false" outlineLevel="0" collapsed="false">
      <c r="A76" s="3" t="s">
        <v>911</v>
      </c>
      <c r="B76" s="3" t="s">
        <v>912</v>
      </c>
      <c r="C76" s="3" t="s">
        <v>650</v>
      </c>
      <c r="D76" s="3" t="s">
        <v>913</v>
      </c>
      <c r="E76" s="3" t="s">
        <v>914</v>
      </c>
      <c r="F76" s="3" t="s">
        <v>695</v>
      </c>
      <c r="G76" s="3" t="s">
        <v>651</v>
      </c>
      <c r="H76" s="3" t="s">
        <v>652</v>
      </c>
      <c r="I76" s="3" t="s">
        <v>915</v>
      </c>
      <c r="J76" s="3" t="s">
        <v>916</v>
      </c>
      <c r="K76" s="3" t="s">
        <v>653</v>
      </c>
      <c r="L76" s="3" t="s">
        <v>690</v>
      </c>
      <c r="M76" s="3"/>
      <c r="N76" s="3" t="s">
        <v>917</v>
      </c>
    </row>
    <row r="77" customFormat="false" ht="15" hidden="false" customHeight="false" outlineLevel="0" collapsed="false">
      <c r="A77" s="3" t="s">
        <v>918</v>
      </c>
      <c r="B77" s="3" t="s">
        <v>919</v>
      </c>
      <c r="C77" s="3" t="s">
        <v>650</v>
      </c>
      <c r="D77" s="3" t="s">
        <v>913</v>
      </c>
      <c r="E77" s="3" t="s">
        <v>914</v>
      </c>
      <c r="F77" s="3" t="s">
        <v>695</v>
      </c>
      <c r="G77" s="3" t="s">
        <v>651</v>
      </c>
      <c r="H77" s="3" t="s">
        <v>652</v>
      </c>
      <c r="I77" s="3" t="s">
        <v>915</v>
      </c>
      <c r="J77" s="3" t="s">
        <v>920</v>
      </c>
      <c r="K77" s="3" t="s">
        <v>653</v>
      </c>
      <c r="L77" s="3" t="s">
        <v>690</v>
      </c>
      <c r="M77" s="3"/>
      <c r="N77" s="3" t="s">
        <v>921</v>
      </c>
    </row>
    <row r="78" customFormat="false" ht="15" hidden="false" customHeight="false" outlineLevel="0" collapsed="false">
      <c r="A78" s="3" t="s">
        <v>922</v>
      </c>
      <c r="B78" s="3" t="s">
        <v>923</v>
      </c>
      <c r="C78" s="3" t="s">
        <v>650</v>
      </c>
      <c r="D78" s="3" t="s">
        <v>913</v>
      </c>
      <c r="E78" s="3" t="s">
        <v>914</v>
      </c>
      <c r="F78" s="3" t="s">
        <v>695</v>
      </c>
      <c r="G78" s="3" t="s">
        <v>651</v>
      </c>
      <c r="H78" s="3" t="s">
        <v>652</v>
      </c>
      <c r="I78" s="3" t="s">
        <v>915</v>
      </c>
      <c r="J78" s="3" t="s">
        <v>924</v>
      </c>
      <c r="K78" s="3" t="s">
        <v>653</v>
      </c>
      <c r="L78" s="3" t="s">
        <v>690</v>
      </c>
      <c r="M78" s="3"/>
      <c r="N78" s="3" t="s">
        <v>925</v>
      </c>
    </row>
    <row r="79" customFormat="false" ht="15" hidden="false" customHeight="false" outlineLevel="0" collapsed="false">
      <c r="A79" s="3" t="s">
        <v>926</v>
      </c>
      <c r="B79" s="3" t="s">
        <v>927</v>
      </c>
      <c r="C79" s="3" t="s">
        <v>685</v>
      </c>
      <c r="D79" s="49" t="n">
        <f aca="false">'Historical Financials'!B17</f>
        <v>96.689</v>
      </c>
      <c r="E79" s="3" t="s">
        <v>686</v>
      </c>
      <c r="F79" s="3" t="s">
        <v>695</v>
      </c>
      <c r="G79" s="3" t="s">
        <v>651</v>
      </c>
      <c r="H79" s="3" t="s">
        <v>652</v>
      </c>
      <c r="I79" s="3" t="s">
        <v>696</v>
      </c>
      <c r="J79" s="3" t="s">
        <v>697</v>
      </c>
      <c r="K79" s="3" t="s">
        <v>653</v>
      </c>
      <c r="L79" s="3" t="s">
        <v>690</v>
      </c>
      <c r="M79" s="3" t="s">
        <v>928</v>
      </c>
      <c r="N79" s="3" t="s">
        <v>929</v>
      </c>
    </row>
    <row r="80" customFormat="false" ht="15" hidden="false" customHeight="false" outlineLevel="0" collapsed="false">
      <c r="A80" s="3" t="s">
        <v>930</v>
      </c>
      <c r="B80" s="3" t="s">
        <v>927</v>
      </c>
      <c r="C80" s="3" t="s">
        <v>739</v>
      </c>
      <c r="D80" s="49" t="n">
        <f aca="false">'Historical Financials'!C17</f>
        <v>399.513</v>
      </c>
      <c r="E80" s="3" t="s">
        <v>686</v>
      </c>
      <c r="F80" s="3" t="s">
        <v>695</v>
      </c>
      <c r="G80" s="3" t="s">
        <v>651</v>
      </c>
      <c r="H80" s="3" t="s">
        <v>652</v>
      </c>
      <c r="I80" s="3" t="s">
        <v>696</v>
      </c>
      <c r="J80" s="3" t="s">
        <v>697</v>
      </c>
      <c r="K80" s="3" t="s">
        <v>653</v>
      </c>
      <c r="L80" s="3" t="s">
        <v>690</v>
      </c>
      <c r="M80" s="3" t="s">
        <v>931</v>
      </c>
      <c r="N80" s="3" t="s">
        <v>932</v>
      </c>
    </row>
    <row r="81" customFormat="false" ht="15" hidden="false" customHeight="false" outlineLevel="0" collapsed="false">
      <c r="A81" s="3" t="s">
        <v>933</v>
      </c>
      <c r="B81" s="3" t="s">
        <v>927</v>
      </c>
      <c r="C81" s="3" t="s">
        <v>774</v>
      </c>
      <c r="D81" s="49" t="n">
        <f aca="false">'Historical Financials'!D17</f>
        <v>97.784</v>
      </c>
      <c r="E81" s="3" t="s">
        <v>686</v>
      </c>
      <c r="F81" s="3" t="s">
        <v>695</v>
      </c>
      <c r="G81" s="3" t="s">
        <v>651</v>
      </c>
      <c r="H81" s="3" t="s">
        <v>652</v>
      </c>
      <c r="I81" s="3" t="s">
        <v>696</v>
      </c>
      <c r="J81" s="3" t="s">
        <v>697</v>
      </c>
      <c r="K81" s="3" t="s">
        <v>653</v>
      </c>
      <c r="L81" s="3" t="s">
        <v>690</v>
      </c>
      <c r="M81" s="3" t="s">
        <v>934</v>
      </c>
      <c r="N81" s="3" t="s">
        <v>935</v>
      </c>
    </row>
    <row r="82" customFormat="false" ht="15" hidden="false" customHeight="false" outlineLevel="0" collapsed="false">
      <c r="A82" s="3" t="s">
        <v>936</v>
      </c>
      <c r="B82" s="3" t="s">
        <v>937</v>
      </c>
      <c r="C82" s="3" t="s">
        <v>685</v>
      </c>
      <c r="D82" s="49" t="n">
        <f aca="false">'Historical Financials'!B18</f>
        <v>27.787</v>
      </c>
      <c r="E82" s="3" t="s">
        <v>686</v>
      </c>
      <c r="F82" s="3" t="s">
        <v>695</v>
      </c>
      <c r="G82" s="3" t="s">
        <v>651</v>
      </c>
      <c r="H82" s="3" t="s">
        <v>652</v>
      </c>
      <c r="I82" s="3" t="s">
        <v>696</v>
      </c>
      <c r="J82" s="3" t="s">
        <v>697</v>
      </c>
      <c r="K82" s="3" t="s">
        <v>653</v>
      </c>
      <c r="L82" s="3" t="s">
        <v>690</v>
      </c>
      <c r="M82" s="3" t="s">
        <v>938</v>
      </c>
      <c r="N82" s="3" t="s">
        <v>939</v>
      </c>
    </row>
    <row r="83" customFormat="false" ht="15" hidden="false" customHeight="false" outlineLevel="0" collapsed="false">
      <c r="A83" s="3" t="s">
        <v>940</v>
      </c>
      <c r="B83" s="3" t="s">
        <v>937</v>
      </c>
      <c r="C83" s="3" t="s">
        <v>739</v>
      </c>
      <c r="D83" s="49" t="n">
        <f aca="false">'Historical Financials'!C18</f>
        <v>49.464</v>
      </c>
      <c r="E83" s="3" t="s">
        <v>686</v>
      </c>
      <c r="F83" s="3" t="s">
        <v>695</v>
      </c>
      <c r="G83" s="3" t="s">
        <v>651</v>
      </c>
      <c r="H83" s="3" t="s">
        <v>652</v>
      </c>
      <c r="I83" s="3" t="s">
        <v>696</v>
      </c>
      <c r="J83" s="3" t="s">
        <v>697</v>
      </c>
      <c r="K83" s="3" t="s">
        <v>653</v>
      </c>
      <c r="L83" s="3" t="s">
        <v>690</v>
      </c>
      <c r="M83" s="3" t="s">
        <v>941</v>
      </c>
      <c r="N83" s="3" t="s">
        <v>942</v>
      </c>
    </row>
    <row r="84" customFormat="false" ht="15" hidden="false" customHeight="false" outlineLevel="0" collapsed="false">
      <c r="A84" s="3" t="s">
        <v>943</v>
      </c>
      <c r="B84" s="3" t="s">
        <v>937</v>
      </c>
      <c r="C84" s="3" t="s">
        <v>774</v>
      </c>
      <c r="D84" s="49" t="n">
        <f aca="false">'Historical Financials'!D18</f>
        <v>26.536</v>
      </c>
      <c r="E84" s="3" t="s">
        <v>686</v>
      </c>
      <c r="F84" s="3" t="s">
        <v>695</v>
      </c>
      <c r="G84" s="3" t="s">
        <v>651</v>
      </c>
      <c r="H84" s="3" t="s">
        <v>652</v>
      </c>
      <c r="I84" s="3" t="s">
        <v>696</v>
      </c>
      <c r="J84" s="3" t="s">
        <v>697</v>
      </c>
      <c r="K84" s="3" t="s">
        <v>653</v>
      </c>
      <c r="L84" s="3" t="s">
        <v>690</v>
      </c>
      <c r="M84" s="3" t="s">
        <v>944</v>
      </c>
      <c r="N84" s="3" t="s">
        <v>945</v>
      </c>
    </row>
    <row r="85" customFormat="false" ht="15" hidden="false" customHeight="false" outlineLevel="0" collapsed="false">
      <c r="A85" s="3" t="s">
        <v>946</v>
      </c>
      <c r="B85" s="3" t="s">
        <v>937</v>
      </c>
      <c r="C85" s="3" t="s">
        <v>808</v>
      </c>
      <c r="D85" s="49" t="n">
        <f aca="false">'Historical Financials'!E18</f>
        <v>8.318</v>
      </c>
      <c r="E85" s="3" t="s">
        <v>686</v>
      </c>
      <c r="F85" s="3" t="s">
        <v>809</v>
      </c>
      <c r="G85" s="3" t="s">
        <v>664</v>
      </c>
      <c r="H85" s="3" t="s">
        <v>665</v>
      </c>
      <c r="I85" s="3" t="s">
        <v>810</v>
      </c>
      <c r="J85" s="3" t="s">
        <v>818</v>
      </c>
      <c r="K85" s="3" t="s">
        <v>666</v>
      </c>
      <c r="L85" s="3" t="s">
        <v>690</v>
      </c>
      <c r="M85" s="3" t="s">
        <v>947</v>
      </c>
      <c r="N85" s="3" t="s">
        <v>948</v>
      </c>
    </row>
    <row r="86" customFormat="false" ht="15" hidden="false" customHeight="false" outlineLevel="0" collapsed="false">
      <c r="A86" s="3" t="s">
        <v>949</v>
      </c>
      <c r="B86" s="3" t="s">
        <v>937</v>
      </c>
      <c r="C86" s="3" t="s">
        <v>847</v>
      </c>
      <c r="D86" s="49" t="n">
        <f aca="false">'Historical Financials'!F18</f>
        <v>5.68</v>
      </c>
      <c r="E86" s="3" t="s">
        <v>686</v>
      </c>
      <c r="F86" s="3" t="s">
        <v>809</v>
      </c>
      <c r="G86" s="3" t="s">
        <v>664</v>
      </c>
      <c r="H86" s="3" t="s">
        <v>665</v>
      </c>
      <c r="I86" s="3" t="s">
        <v>810</v>
      </c>
      <c r="J86" s="3" t="s">
        <v>818</v>
      </c>
      <c r="K86" s="3" t="s">
        <v>666</v>
      </c>
      <c r="L86" s="3" t="s">
        <v>690</v>
      </c>
      <c r="M86" s="3" t="s">
        <v>950</v>
      </c>
      <c r="N86" s="3" t="s">
        <v>951</v>
      </c>
    </row>
    <row r="87" customFormat="false" ht="15" hidden="false" customHeight="false" outlineLevel="0" collapsed="false">
      <c r="A87" s="3" t="s">
        <v>952</v>
      </c>
      <c r="B87" s="3" t="s">
        <v>953</v>
      </c>
      <c r="C87" s="3" t="s">
        <v>685</v>
      </c>
      <c r="D87" s="49" t="n">
        <f aca="false">'Historical Financials'!B19</f>
        <v>149.535</v>
      </c>
      <c r="E87" s="3" t="s">
        <v>686</v>
      </c>
      <c r="F87" s="3" t="s">
        <v>695</v>
      </c>
      <c r="G87" s="3" t="s">
        <v>651</v>
      </c>
      <c r="H87" s="3" t="s">
        <v>652</v>
      </c>
      <c r="I87" s="3" t="s">
        <v>954</v>
      </c>
      <c r="J87" s="3" t="s">
        <v>955</v>
      </c>
      <c r="K87" s="3" t="s">
        <v>653</v>
      </c>
      <c r="L87" s="3" t="s">
        <v>690</v>
      </c>
      <c r="M87" s="3" t="s">
        <v>956</v>
      </c>
      <c r="N87" s="3" t="s">
        <v>957</v>
      </c>
    </row>
    <row r="88" customFormat="false" ht="15" hidden="false" customHeight="false" outlineLevel="0" collapsed="false">
      <c r="A88" s="3" t="s">
        <v>958</v>
      </c>
      <c r="B88" s="3" t="s">
        <v>953</v>
      </c>
      <c r="C88" s="3" t="s">
        <v>739</v>
      </c>
      <c r="D88" s="49" t="n">
        <f aca="false">'Historical Financials'!C19</f>
        <v>129.164</v>
      </c>
      <c r="E88" s="3" t="s">
        <v>686</v>
      </c>
      <c r="F88" s="3" t="s">
        <v>695</v>
      </c>
      <c r="G88" s="3" t="s">
        <v>651</v>
      </c>
      <c r="H88" s="3" t="s">
        <v>652</v>
      </c>
      <c r="I88" s="3" t="s">
        <v>954</v>
      </c>
      <c r="J88" s="3" t="s">
        <v>955</v>
      </c>
      <c r="K88" s="3" t="s">
        <v>653</v>
      </c>
      <c r="L88" s="3" t="s">
        <v>690</v>
      </c>
      <c r="M88" s="3" t="s">
        <v>959</v>
      </c>
      <c r="N88" s="3" t="s">
        <v>960</v>
      </c>
    </row>
    <row r="89" customFormat="false" ht="15" hidden="false" customHeight="false" outlineLevel="0" collapsed="false">
      <c r="A89" s="3" t="s">
        <v>961</v>
      </c>
      <c r="B89" s="3" t="s">
        <v>953</v>
      </c>
      <c r="C89" s="3" t="s">
        <v>774</v>
      </c>
      <c r="D89" s="49" t="n">
        <f aca="false">'Historical Financials'!D19</f>
        <v>156.563</v>
      </c>
      <c r="E89" s="3" t="s">
        <v>686</v>
      </c>
      <c r="F89" s="3" t="s">
        <v>695</v>
      </c>
      <c r="G89" s="3" t="s">
        <v>651</v>
      </c>
      <c r="H89" s="3" t="s">
        <v>652</v>
      </c>
      <c r="I89" s="3" t="s">
        <v>954</v>
      </c>
      <c r="J89" s="3" t="s">
        <v>955</v>
      </c>
      <c r="K89" s="3" t="s">
        <v>653</v>
      </c>
      <c r="L89" s="3" t="s">
        <v>690</v>
      </c>
      <c r="M89" s="3" t="s">
        <v>962</v>
      </c>
      <c r="N89" s="3" t="s">
        <v>963</v>
      </c>
    </row>
    <row r="90" customFormat="false" ht="15" hidden="false" customHeight="false" outlineLevel="0" collapsed="false">
      <c r="A90" s="3" t="s">
        <v>964</v>
      </c>
      <c r="B90" s="3" t="s">
        <v>953</v>
      </c>
      <c r="C90" s="3" t="s">
        <v>808</v>
      </c>
      <c r="D90" s="49" t="n">
        <f aca="false">'Historical Financials'!E19</f>
        <v>84.394</v>
      </c>
      <c r="E90" s="3" t="s">
        <v>686</v>
      </c>
      <c r="F90" s="3" t="s">
        <v>809</v>
      </c>
      <c r="G90" s="3" t="s">
        <v>664</v>
      </c>
      <c r="H90" s="3" t="s">
        <v>665</v>
      </c>
      <c r="I90" s="3" t="s">
        <v>810</v>
      </c>
      <c r="J90" s="3" t="s">
        <v>965</v>
      </c>
      <c r="K90" s="3" t="s">
        <v>666</v>
      </c>
      <c r="L90" s="3" t="s">
        <v>690</v>
      </c>
      <c r="M90" s="3" t="s">
        <v>966</v>
      </c>
      <c r="N90" s="3" t="s">
        <v>967</v>
      </c>
    </row>
    <row r="91" customFormat="false" ht="15" hidden="false" customHeight="false" outlineLevel="0" collapsed="false">
      <c r="A91" s="3" t="s">
        <v>968</v>
      </c>
      <c r="B91" s="3" t="s">
        <v>953</v>
      </c>
      <c r="C91" s="3" t="s">
        <v>847</v>
      </c>
      <c r="D91" s="49" t="n">
        <f aca="false">'Historical Financials'!F19</f>
        <v>78.984</v>
      </c>
      <c r="E91" s="3" t="s">
        <v>686</v>
      </c>
      <c r="F91" s="3" t="s">
        <v>809</v>
      </c>
      <c r="G91" s="3" t="s">
        <v>664</v>
      </c>
      <c r="H91" s="3" t="s">
        <v>665</v>
      </c>
      <c r="I91" s="3" t="s">
        <v>810</v>
      </c>
      <c r="J91" s="3" t="s">
        <v>965</v>
      </c>
      <c r="K91" s="3" t="s">
        <v>666</v>
      </c>
      <c r="L91" s="3" t="s">
        <v>690</v>
      </c>
      <c r="M91" s="3" t="s">
        <v>969</v>
      </c>
      <c r="N91" s="3" t="s">
        <v>970</v>
      </c>
    </row>
    <row r="92" customFormat="false" ht="15" hidden="false" customHeight="false" outlineLevel="0" collapsed="false">
      <c r="A92" s="3" t="s">
        <v>971</v>
      </c>
      <c r="B92" s="3" t="s">
        <v>972</v>
      </c>
      <c r="C92" s="3" t="s">
        <v>685</v>
      </c>
      <c r="D92" s="49" t="n">
        <f aca="false">'Historical Financials'!B20</f>
        <v>670.104</v>
      </c>
      <c r="E92" s="3" t="s">
        <v>686</v>
      </c>
      <c r="F92" s="3" t="s">
        <v>687</v>
      </c>
      <c r="G92" s="3" t="s">
        <v>658</v>
      </c>
      <c r="H92" s="3" t="s">
        <v>659</v>
      </c>
      <c r="I92" s="3" t="s">
        <v>688</v>
      </c>
      <c r="J92" s="3" t="s">
        <v>689</v>
      </c>
      <c r="K92" s="3" t="s">
        <v>660</v>
      </c>
      <c r="L92" s="3" t="s">
        <v>690</v>
      </c>
      <c r="M92" s="3" t="s">
        <v>973</v>
      </c>
      <c r="N92" s="3" t="s">
        <v>974</v>
      </c>
    </row>
    <row r="93" customFormat="false" ht="15" hidden="false" customHeight="false" outlineLevel="0" collapsed="false">
      <c r="A93" s="3" t="s">
        <v>975</v>
      </c>
      <c r="B93" s="3" t="s">
        <v>972</v>
      </c>
      <c r="C93" s="3" t="s">
        <v>739</v>
      </c>
      <c r="D93" s="49" t="n">
        <f aca="false">'Historical Financials'!C20</f>
        <v>562.573</v>
      </c>
      <c r="E93" s="3" t="s">
        <v>686</v>
      </c>
      <c r="F93" s="3" t="s">
        <v>695</v>
      </c>
      <c r="G93" s="3" t="s">
        <v>651</v>
      </c>
      <c r="H93" s="3" t="s">
        <v>652</v>
      </c>
      <c r="I93" s="3" t="s">
        <v>740</v>
      </c>
      <c r="J93" s="3" t="s">
        <v>689</v>
      </c>
      <c r="K93" s="3" t="s">
        <v>653</v>
      </c>
      <c r="L93" s="3" t="s">
        <v>690</v>
      </c>
      <c r="M93" s="3" t="s">
        <v>976</v>
      </c>
      <c r="N93" s="3" t="s">
        <v>977</v>
      </c>
    </row>
    <row r="94" customFormat="false" ht="15" hidden="false" customHeight="false" outlineLevel="0" collapsed="false">
      <c r="A94" s="3" t="s">
        <v>978</v>
      </c>
      <c r="B94" s="3" t="s">
        <v>972</v>
      </c>
      <c r="C94" s="3" t="s">
        <v>774</v>
      </c>
      <c r="D94" s="49" t="n">
        <f aca="false">'Historical Financials'!D20</f>
        <v>411.874</v>
      </c>
      <c r="E94" s="3" t="s">
        <v>686</v>
      </c>
      <c r="F94" s="3" t="s">
        <v>695</v>
      </c>
      <c r="G94" s="3" t="s">
        <v>651</v>
      </c>
      <c r="H94" s="3" t="s">
        <v>652</v>
      </c>
      <c r="I94" s="3" t="s">
        <v>740</v>
      </c>
      <c r="J94" s="3" t="s">
        <v>689</v>
      </c>
      <c r="K94" s="3" t="s">
        <v>653</v>
      </c>
      <c r="L94" s="3" t="s">
        <v>690</v>
      </c>
      <c r="M94" s="3" t="s">
        <v>979</v>
      </c>
      <c r="N94" s="3" t="s">
        <v>980</v>
      </c>
    </row>
    <row r="95" customFormat="false" ht="15" hidden="false" customHeight="false" outlineLevel="0" collapsed="false">
      <c r="A95" s="3" t="s">
        <v>981</v>
      </c>
      <c r="B95" s="3" t="s">
        <v>972</v>
      </c>
      <c r="C95" s="3" t="s">
        <v>808</v>
      </c>
      <c r="D95" s="49" t="n">
        <f aca="false">'Historical Financials'!E20</f>
        <v>213.871</v>
      </c>
      <c r="E95" s="3" t="s">
        <v>686</v>
      </c>
      <c r="F95" s="3" t="s">
        <v>809</v>
      </c>
      <c r="G95" s="3" t="s">
        <v>664</v>
      </c>
      <c r="H95" s="3" t="s">
        <v>665</v>
      </c>
      <c r="I95" s="3" t="s">
        <v>810</v>
      </c>
      <c r="J95" s="3" t="s">
        <v>689</v>
      </c>
      <c r="K95" s="3" t="s">
        <v>666</v>
      </c>
      <c r="L95" s="3" t="s">
        <v>690</v>
      </c>
      <c r="M95" s="3" t="s">
        <v>982</v>
      </c>
      <c r="N95" s="3" t="s">
        <v>983</v>
      </c>
    </row>
    <row r="96" customFormat="false" ht="15" hidden="false" customHeight="false" outlineLevel="0" collapsed="false">
      <c r="A96" s="3" t="s">
        <v>984</v>
      </c>
      <c r="B96" s="3" t="s">
        <v>972</v>
      </c>
      <c r="C96" s="3" t="s">
        <v>847</v>
      </c>
      <c r="D96" s="49" t="n">
        <f aca="false">'Historical Financials'!F20</f>
        <v>115.042</v>
      </c>
      <c r="E96" s="3" t="s">
        <v>686</v>
      </c>
      <c r="F96" s="3" t="s">
        <v>809</v>
      </c>
      <c r="G96" s="3" t="s">
        <v>664</v>
      </c>
      <c r="H96" s="3" t="s">
        <v>665</v>
      </c>
      <c r="I96" s="3" t="s">
        <v>810</v>
      </c>
      <c r="J96" s="3" t="s">
        <v>689</v>
      </c>
      <c r="K96" s="3" t="s">
        <v>666</v>
      </c>
      <c r="L96" s="3" t="s">
        <v>690</v>
      </c>
      <c r="M96" s="3" t="s">
        <v>985</v>
      </c>
      <c r="N96" s="3" t="s">
        <v>986</v>
      </c>
    </row>
    <row r="97" customFormat="false" ht="15" hidden="false" customHeight="false" outlineLevel="0" collapsed="false">
      <c r="A97" s="3" t="s">
        <v>987</v>
      </c>
      <c r="B97" s="3" t="s">
        <v>894</v>
      </c>
      <c r="C97" s="3" t="s">
        <v>774</v>
      </c>
      <c r="D97" s="3" t="s">
        <v>899</v>
      </c>
      <c r="E97" s="3" t="s">
        <v>686</v>
      </c>
      <c r="F97" s="3" t="s">
        <v>695</v>
      </c>
      <c r="G97" s="3" t="s">
        <v>651</v>
      </c>
      <c r="H97" s="3" t="s">
        <v>652</v>
      </c>
      <c r="I97" s="3" t="s">
        <v>988</v>
      </c>
      <c r="J97" s="3" t="s">
        <v>895</v>
      </c>
      <c r="K97" s="3" t="s">
        <v>653</v>
      </c>
      <c r="L97" s="3" t="s">
        <v>690</v>
      </c>
      <c r="M97" s="3"/>
      <c r="N97" s="3" t="s">
        <v>989</v>
      </c>
    </row>
    <row r="98" customFormat="false" ht="15" hidden="false" customHeight="false" outlineLevel="0" collapsed="false">
      <c r="A98" s="3" t="s">
        <v>990</v>
      </c>
      <c r="B98" s="3" t="s">
        <v>991</v>
      </c>
      <c r="C98" s="3" t="s">
        <v>663</v>
      </c>
      <c r="D98" s="3" t="s">
        <v>899</v>
      </c>
      <c r="E98" s="3" t="s">
        <v>686</v>
      </c>
      <c r="F98" s="3" t="s">
        <v>809</v>
      </c>
      <c r="G98" s="3" t="s">
        <v>664</v>
      </c>
      <c r="H98" s="3" t="s">
        <v>665</v>
      </c>
      <c r="I98" s="3" t="s">
        <v>810</v>
      </c>
      <c r="J98" s="3" t="s">
        <v>895</v>
      </c>
      <c r="K98" s="3" t="s">
        <v>666</v>
      </c>
      <c r="L98" s="3" t="s">
        <v>690</v>
      </c>
      <c r="M98" s="3"/>
      <c r="N98" s="3" t="s">
        <v>992</v>
      </c>
    </row>
    <row r="99" customFormat="false" ht="15" hidden="false" customHeight="false" outlineLevel="0" collapsed="false">
      <c r="A99" s="3" t="s">
        <v>993</v>
      </c>
      <c r="B99" s="3" t="s">
        <v>994</v>
      </c>
      <c r="C99" s="3" t="s">
        <v>663</v>
      </c>
      <c r="D99" s="3" t="s">
        <v>899</v>
      </c>
      <c r="E99" s="3" t="s">
        <v>686</v>
      </c>
      <c r="F99" s="3" t="s">
        <v>809</v>
      </c>
      <c r="G99" s="3" t="s">
        <v>664</v>
      </c>
      <c r="H99" s="3" t="s">
        <v>665</v>
      </c>
      <c r="I99" s="3" t="s">
        <v>810</v>
      </c>
      <c r="J99" s="3" t="s">
        <v>895</v>
      </c>
      <c r="K99" s="3" t="s">
        <v>666</v>
      </c>
      <c r="L99" s="3" t="s">
        <v>690</v>
      </c>
      <c r="M99" s="3"/>
      <c r="N99" s="3" t="s">
        <v>995</v>
      </c>
    </row>
    <row r="100" customFormat="false" ht="15" hidden="false" customHeight="false" outlineLevel="0" collapsed="false">
      <c r="A100" s="3" t="s">
        <v>996</v>
      </c>
      <c r="B100" s="3" t="s">
        <v>908</v>
      </c>
      <c r="C100" s="3" t="s">
        <v>663</v>
      </c>
      <c r="D100" s="3" t="s">
        <v>899</v>
      </c>
      <c r="E100" s="3" t="s">
        <v>686</v>
      </c>
      <c r="F100" s="3" t="s">
        <v>809</v>
      </c>
      <c r="G100" s="3" t="s">
        <v>664</v>
      </c>
      <c r="H100" s="3" t="s">
        <v>665</v>
      </c>
      <c r="I100" s="3" t="s">
        <v>810</v>
      </c>
      <c r="J100" s="3" t="s">
        <v>882</v>
      </c>
      <c r="K100" s="3" t="s">
        <v>666</v>
      </c>
      <c r="L100" s="3" t="s">
        <v>690</v>
      </c>
      <c r="M100" s="3"/>
      <c r="N100" s="3" t="s">
        <v>997</v>
      </c>
    </row>
    <row r="102" customFormat="false" ht="15" hidden="false" customHeight="false" outlineLevel="0" collapsed="false">
      <c r="A102" s="2" t="s">
        <v>998</v>
      </c>
    </row>
    <row r="103" customFormat="false" ht="15" hidden="false" customHeight="false" outlineLevel="0" collapsed="false">
      <c r="A103" s="3" t="s">
        <v>999</v>
      </c>
    </row>
    <row r="104" customFormat="false" ht="15" hidden="false" customHeight="false" outlineLevel="0" collapsed="false">
      <c r="A104" s="3" t="s">
        <v>1000</v>
      </c>
    </row>
    <row r="105" customFormat="false" ht="15" hidden="false" customHeight="false" outlineLevel="0" collapsed="false">
      <c r="A105" s="3" t="s">
        <v>1001</v>
      </c>
    </row>
    <row r="106" customFormat="false" ht="15" hidden="false" customHeight="false" outlineLevel="0" collapsed="false">
      <c r="A106" s="3" t="s">
        <v>1002</v>
      </c>
    </row>
    <row r="107" customFormat="false" ht="15" hidden="false" customHeight="false" outlineLevel="0" collapsed="false">
      <c r="A107" s="3" t="s">
        <v>1003</v>
      </c>
    </row>
    <row r="108" customFormat="false" ht="15" hidden="false" customHeight="false" outlineLevel="0" collapsed="false">
      <c r="A108" s="3" t="s">
        <v>1004</v>
      </c>
    </row>
    <row r="109" customFormat="false" ht="15" hidden="false" customHeight="false" outlineLevel="0" collapsed="false">
      <c r="A109" s="3" t="s">
        <v>1005</v>
      </c>
    </row>
    <row r="110" customFormat="false" ht="15" hidden="false" customHeight="false" outlineLevel="0" collapsed="false">
      <c r="A110" s="3" t="s">
        <v>1006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0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1007</v>
      </c>
    </row>
    <row r="2" customFormat="false" ht="15" hidden="false" customHeight="false" outlineLevel="0" collapsed="false">
      <c r="A2" s="3" t="s">
        <v>1008</v>
      </c>
    </row>
    <row r="5" customFormat="false" ht="15" hidden="false" customHeight="false" outlineLevel="0" collapsed="false">
      <c r="A5" s="9" t="s">
        <v>1009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3" t="s">
        <v>1010</v>
      </c>
      <c r="C6" s="11" t="n">
        <v>1</v>
      </c>
    </row>
    <row r="7" customFormat="false" ht="15" hidden="false" customHeight="false" outlineLevel="0" collapsed="false">
      <c r="A7" s="3" t="s">
        <v>1011</v>
      </c>
      <c r="C7" s="18" t="n">
        <v>0</v>
      </c>
    </row>
    <row r="8" customFormat="false" ht="15" hidden="false" customHeight="false" outlineLevel="0" collapsed="false">
      <c r="A8" s="3" t="s">
        <v>1012</v>
      </c>
      <c r="C8" s="18" t="n">
        <v>0</v>
      </c>
    </row>
    <row r="9" customFormat="false" ht="15" hidden="false" customHeight="false" outlineLevel="0" collapsed="false">
      <c r="A9" s="3" t="s">
        <v>1013</v>
      </c>
      <c r="C9" s="18" t="n">
        <v>0</v>
      </c>
    </row>
    <row r="10" customFormat="false" ht="15" hidden="false" customHeight="false" outlineLevel="0" collapsed="false">
      <c r="A10" s="3" t="s">
        <v>1014</v>
      </c>
      <c r="C10" s="15" t="n">
        <v>0</v>
      </c>
    </row>
    <row r="12" customFormat="false" ht="15" hidden="false" customHeight="false" outlineLevel="0" collapsed="false">
      <c r="A12" s="23" t="s">
        <v>281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3" t="s">
        <v>282</v>
      </c>
      <c r="F13" s="27" t="n">
        <f aca="false">Assumptions!$C$6</f>
        <v>2026</v>
      </c>
      <c r="G13" s="20" t="n">
        <f aca="false">F13+1</f>
        <v>2027</v>
      </c>
      <c r="H13" s="20" t="n">
        <f aca="false">G13+1</f>
        <v>2028</v>
      </c>
      <c r="I13" s="20" t="n">
        <f aca="false">H13+1</f>
        <v>2029</v>
      </c>
      <c r="J13" s="20" t="n">
        <f aca="false">I13+1</f>
        <v>2030</v>
      </c>
      <c r="K13" s="20" t="n">
        <f aca="false">J13+1</f>
        <v>2031</v>
      </c>
    </row>
    <row r="14" customFormat="false" ht="15" hidden="false" customHeight="false" outlineLevel="0" collapsed="false">
      <c r="A14" s="3" t="s">
        <v>283</v>
      </c>
      <c r="G14" s="20" t="n">
        <f aca="false">G13-Assumptions!$C$6</f>
        <v>1</v>
      </c>
      <c r="H14" s="20" t="n">
        <f aca="false">H13-Assumptions!$C$6</f>
        <v>2</v>
      </c>
      <c r="I14" s="20" t="n">
        <f aca="false">I13-Assumptions!$C$6</f>
        <v>3</v>
      </c>
      <c r="J14" s="20" t="n">
        <f aca="false">J13-Assumptions!$C$6</f>
        <v>4</v>
      </c>
      <c r="K14" s="20" t="n">
        <f aca="false">K13-Assumptions!$C$6</f>
        <v>5</v>
      </c>
    </row>
    <row r="15" customFormat="false" ht="15" hidden="false" customHeight="false" outlineLevel="0" collapsed="false">
      <c r="A15" s="3" t="s">
        <v>165</v>
      </c>
      <c r="G15" s="21" t="n">
        <f aca="false">CHOOSE($C$6,Assumptions!$G$71,Assumptions!$G$90,Assumptions!$G$109)+$C$7</f>
        <v>-0.045</v>
      </c>
      <c r="H15" s="21" t="n">
        <f aca="false">CHOOSE($C$6,Assumptions!$H$71,Assumptions!$H$90,Assumptions!$H$109)+$C$7</f>
        <v>-0.04</v>
      </c>
      <c r="I15" s="21" t="n">
        <f aca="false">CHOOSE($C$6,Assumptions!$I$71,Assumptions!$I$90,Assumptions!$I$109)+$C$7</f>
        <v>-0.035</v>
      </c>
      <c r="J15" s="21" t="n">
        <f aca="false">CHOOSE($C$6,Assumptions!$J$71,Assumptions!$J$90,Assumptions!$J$109)+$C$7</f>
        <v>-0.03</v>
      </c>
      <c r="K15" s="21" t="n">
        <f aca="false">CHOOSE($C$6,Assumptions!$K$71,Assumptions!$K$90,Assumptions!$K$109)+$C$7</f>
        <v>-0.03</v>
      </c>
    </row>
    <row r="16" customFormat="false" ht="15" hidden="false" customHeight="false" outlineLevel="0" collapsed="false">
      <c r="A16" s="3" t="s">
        <v>166</v>
      </c>
      <c r="G16" s="21" t="n">
        <f aca="false">CHOOSE($C$6,Assumptions!$G$72,Assumptions!$G$91,Assumptions!$G$110)</f>
        <v>0.483246670103635</v>
      </c>
      <c r="H16" s="21" t="n">
        <f aca="false">CHOOSE($C$6,Assumptions!$H$72,Assumptions!$H$91,Assumptions!$H$110)</f>
        <v>0.483246670103635</v>
      </c>
      <c r="I16" s="21" t="n">
        <f aca="false">CHOOSE($C$6,Assumptions!$I$72,Assumptions!$I$91,Assumptions!$I$110)</f>
        <v>0.481246670103635</v>
      </c>
      <c r="J16" s="21" t="n">
        <f aca="false">CHOOSE($C$6,Assumptions!$J$72,Assumptions!$J$91,Assumptions!$J$110)</f>
        <v>0.479246670103635</v>
      </c>
      <c r="K16" s="21" t="n">
        <f aca="false">CHOOSE($C$6,Assumptions!$K$72,Assumptions!$K$91,Assumptions!$K$110)</f>
        <v>0.477246670103635</v>
      </c>
    </row>
    <row r="17" customFormat="false" ht="15" hidden="false" customHeight="false" outlineLevel="0" collapsed="false">
      <c r="A17" s="3" t="s">
        <v>167</v>
      </c>
      <c r="G17" s="21" t="n">
        <f aca="false">CHOOSE($C$6,Assumptions!$G$73,Assumptions!$G$92,Assumptions!$G$111)+$C$8</f>
        <v>0.14</v>
      </c>
      <c r="H17" s="21" t="n">
        <f aca="false">CHOOSE($C$6,Assumptions!$H$73,Assumptions!$H$92,Assumptions!$H$111)+$C$8</f>
        <v>0.14</v>
      </c>
      <c r="I17" s="21" t="n">
        <f aca="false">CHOOSE($C$6,Assumptions!$I$73,Assumptions!$I$92,Assumptions!$I$111)+$C$8</f>
        <v>0.138</v>
      </c>
      <c r="J17" s="21" t="n">
        <f aca="false">CHOOSE($C$6,Assumptions!$J$73,Assumptions!$J$92,Assumptions!$J$111)+$C$8</f>
        <v>0.136</v>
      </c>
      <c r="K17" s="21" t="n">
        <f aca="false">CHOOSE($C$6,Assumptions!$K$73,Assumptions!$K$92,Assumptions!$K$111)+$C$8</f>
        <v>0.134</v>
      </c>
    </row>
    <row r="18" customFormat="false" ht="15" hidden="false" customHeight="false" outlineLevel="0" collapsed="false">
      <c r="A18" s="23" t="s">
        <v>284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A19" s="2" t="s">
        <v>256</v>
      </c>
      <c r="F19" s="28" t="n">
        <f aca="false">'Historical Financials'!G23</f>
        <v>2246.166</v>
      </c>
      <c r="G19" s="16" t="n">
        <f aca="false">F19*(1+G15)</f>
        <v>2145.08853</v>
      </c>
      <c r="H19" s="16" t="n">
        <f aca="false">G19*(1+H15)</f>
        <v>2059.2849888</v>
      </c>
      <c r="I19" s="16" t="n">
        <f aca="false">H19*(1+I15)</f>
        <v>1987.210014192</v>
      </c>
      <c r="J19" s="16" t="n">
        <f aca="false">I19*(1+J15)</f>
        <v>1927.59371376624</v>
      </c>
      <c r="K19" s="16" t="n">
        <f aca="false">J19*(1+K15)</f>
        <v>1869.76590235325</v>
      </c>
    </row>
    <row r="20" customFormat="false" ht="15" hidden="false" customHeight="false" outlineLevel="0" collapsed="false">
      <c r="A20" s="3" t="s">
        <v>257</v>
      </c>
      <c r="G20" s="25" t="n">
        <f aca="false">G19*(1-G16)</f>
        <v>1108.4816408</v>
      </c>
      <c r="H20" s="25" t="n">
        <f aca="false">H19*(1-H16)</f>
        <v>1064.142375168</v>
      </c>
      <c r="I20" s="25" t="n">
        <f aca="false">I19*(1-I16)</f>
        <v>1030.8718120655</v>
      </c>
      <c r="J20" s="25" t="n">
        <f aca="false">J19*(1-J16)</f>
        <v>1003.80084513107</v>
      </c>
      <c r="K20" s="25" t="n">
        <f aca="false">K19*(1-K16)</f>
        <v>977.426351581845</v>
      </c>
    </row>
    <row r="21" customFormat="false" ht="15" hidden="false" customHeight="false" outlineLevel="0" collapsed="false">
      <c r="A21" s="2" t="s">
        <v>258</v>
      </c>
      <c r="G21" s="16" t="n">
        <f aca="false">G19-G20</f>
        <v>1036.6068892</v>
      </c>
      <c r="H21" s="16" t="n">
        <f aca="false">H19-H20</f>
        <v>995.142613632</v>
      </c>
      <c r="I21" s="16" t="n">
        <f aca="false">I19-I20</f>
        <v>956.338202126496</v>
      </c>
      <c r="J21" s="16" t="n">
        <f aca="false">J19-J20</f>
        <v>923.792868635169</v>
      </c>
      <c r="K21" s="16" t="n">
        <f aca="false">K19-K20</f>
        <v>892.339550771407</v>
      </c>
    </row>
    <row r="22" customFormat="false" ht="15" hidden="false" customHeight="false" outlineLevel="0" collapsed="false">
      <c r="A22" s="3" t="s">
        <v>285</v>
      </c>
      <c r="G22" s="25" t="n">
        <f aca="false">G21-G23</f>
        <v>736.294495</v>
      </c>
      <c r="H22" s="25" t="n">
        <f aca="false">H21-H23</f>
        <v>706.8427152</v>
      </c>
      <c r="I22" s="25" t="n">
        <f aca="false">I21-I23</f>
        <v>682.103220168</v>
      </c>
      <c r="J22" s="25" t="n">
        <f aca="false">J21-J23</f>
        <v>661.64012356296</v>
      </c>
      <c r="K22" s="25" t="n">
        <f aca="false">K21-K23</f>
        <v>641.790919856071</v>
      </c>
    </row>
    <row r="23" customFormat="false" ht="15" hidden="false" customHeight="false" outlineLevel="0" collapsed="false">
      <c r="A23" s="2" t="s">
        <v>286</v>
      </c>
      <c r="G23" s="16" t="n">
        <f aca="false">G19*G17</f>
        <v>300.3123942</v>
      </c>
      <c r="H23" s="16" t="n">
        <f aca="false">H19*H17</f>
        <v>288.299898432</v>
      </c>
      <c r="I23" s="16" t="n">
        <f aca="false">I19*I17</f>
        <v>274.234981958496</v>
      </c>
      <c r="J23" s="16" t="n">
        <f aca="false">J19*J17</f>
        <v>262.152745072209</v>
      </c>
      <c r="K23" s="16" t="n">
        <f aca="false">K19*K17</f>
        <v>250.548630915336</v>
      </c>
    </row>
    <row r="24" customFormat="false" ht="15" hidden="false" customHeight="false" outlineLevel="0" collapsed="false">
      <c r="A24" s="3" t="s">
        <v>287</v>
      </c>
      <c r="G24" s="25" t="n">
        <f aca="false">G19*'Historical Financials'!G28/'Historical Financials'!G23</f>
        <v>81.45768</v>
      </c>
      <c r="H24" s="25" t="n">
        <f aca="false">H19*'Historical Financials'!G28/'Historical Financials'!G23</f>
        <v>78.1993728</v>
      </c>
      <c r="I24" s="25" t="n">
        <f aca="false">I19*'Historical Financials'!G28/'Historical Financials'!G23</f>
        <v>75.462394752</v>
      </c>
      <c r="J24" s="25" t="n">
        <f aca="false">J19*'Historical Financials'!G28/'Historical Financials'!G23</f>
        <v>73.19852290944</v>
      </c>
      <c r="K24" s="25" t="n">
        <f aca="false">K19*'Historical Financials'!G28/'Historical Financials'!G23</f>
        <v>71.0025672221568</v>
      </c>
    </row>
    <row r="25" customFormat="false" ht="15" hidden="false" customHeight="false" outlineLevel="0" collapsed="false">
      <c r="A25" s="3" t="s">
        <v>288</v>
      </c>
      <c r="G25" s="25" t="n">
        <f aca="false">G19*'Historical Financials'!G29/'Historical Financials'!G23</f>
        <v>23.25998</v>
      </c>
      <c r="H25" s="25" t="n">
        <f aca="false">H19*'Historical Financials'!G29/'Historical Financials'!G23</f>
        <v>22.3295808</v>
      </c>
      <c r="I25" s="25" t="n">
        <f aca="false">I19*'Historical Financials'!G29/'Historical Financials'!G23</f>
        <v>21.548045472</v>
      </c>
      <c r="J25" s="25" t="n">
        <f aca="false">J19*'Historical Financials'!G29/'Historical Financials'!G23</f>
        <v>20.90160410784</v>
      </c>
      <c r="K25" s="25" t="n">
        <f aca="false">K19*'Historical Financials'!G29/'Historical Financials'!G23</f>
        <v>20.2745559846048</v>
      </c>
    </row>
    <row r="26" customFormat="false" ht="15" hidden="false" customHeight="false" outlineLevel="0" collapsed="false">
      <c r="A26" s="2" t="s">
        <v>289</v>
      </c>
      <c r="G26" s="16" t="n">
        <f aca="false">G23-G24-G25</f>
        <v>195.5947342</v>
      </c>
      <c r="H26" s="16" t="n">
        <f aca="false">H23-H24-H25</f>
        <v>187.770944832</v>
      </c>
      <c r="I26" s="16" t="n">
        <f aca="false">I23-I24-I25</f>
        <v>177.224541734496</v>
      </c>
      <c r="J26" s="16" t="n">
        <f aca="false">J23-J24-J25</f>
        <v>168.052618054929</v>
      </c>
      <c r="K26" s="16" t="n">
        <f aca="false">K23-K24-K25</f>
        <v>159.271507708574</v>
      </c>
    </row>
    <row r="27" customFormat="false" ht="15" hidden="false" customHeight="false" outlineLevel="0" collapsed="false">
      <c r="A27" s="3" t="s">
        <v>290</v>
      </c>
      <c r="G27" s="25" t="n">
        <f aca="false">G53+G66+G79</f>
        <v>155.95467</v>
      </c>
      <c r="H27" s="25" t="n">
        <f aca="false">H53+H66+H79</f>
        <v>155.95467</v>
      </c>
      <c r="I27" s="25" t="n">
        <f aca="false">I53+I66+I79</f>
        <v>155.95467</v>
      </c>
      <c r="J27" s="25" t="n">
        <f aca="false">J53+J66+J79</f>
        <v>138.08529</v>
      </c>
      <c r="K27" s="25" t="n">
        <f aca="false">K53+K66+K79</f>
        <v>138.08529</v>
      </c>
    </row>
    <row r="28" customFormat="false" ht="15" hidden="false" customHeight="false" outlineLevel="0" collapsed="false">
      <c r="A28" s="3" t="s">
        <v>291</v>
      </c>
      <c r="G28" s="25" t="n">
        <f aca="false">G54+G67+G80</f>
        <v>0</v>
      </c>
      <c r="H28" s="25" t="n">
        <f aca="false">H54+H67+H80</f>
        <v>0</v>
      </c>
      <c r="I28" s="25" t="n">
        <f aca="false">I54+I67+I80</f>
        <v>0</v>
      </c>
      <c r="J28" s="25" t="n">
        <f aca="false">J54+J67+J80</f>
        <v>0</v>
      </c>
      <c r="K28" s="25" t="n">
        <f aca="false">K54+K67+K80</f>
        <v>0</v>
      </c>
    </row>
    <row r="29" customFormat="false" ht="15" hidden="false" customHeight="false" outlineLevel="0" collapsed="false">
      <c r="A29" s="3" t="s">
        <v>239</v>
      </c>
      <c r="G29" s="25" t="n">
        <f aca="false">G27+G28</f>
        <v>155.95467</v>
      </c>
      <c r="H29" s="25" t="n">
        <f aca="false">H27+H28</f>
        <v>155.95467</v>
      </c>
      <c r="I29" s="25" t="n">
        <f aca="false">I27+I28</f>
        <v>155.95467</v>
      </c>
      <c r="J29" s="25" t="n">
        <f aca="false">J27+J28</f>
        <v>138.08529</v>
      </c>
      <c r="K29" s="25" t="n">
        <f aca="false">K27+K28</f>
        <v>138.08529</v>
      </c>
    </row>
    <row r="30" customFormat="false" ht="15" hidden="false" customHeight="false" outlineLevel="0" collapsed="false">
      <c r="A30" s="2" t="s">
        <v>264</v>
      </c>
      <c r="G30" s="16" t="n">
        <f aca="false">G26-G29</f>
        <v>39.6400642</v>
      </c>
      <c r="H30" s="16" t="n">
        <f aca="false">H26-H29</f>
        <v>31.816274832</v>
      </c>
      <c r="I30" s="16" t="n">
        <f aca="false">I26-I29</f>
        <v>21.269871734496</v>
      </c>
      <c r="J30" s="16" t="n">
        <f aca="false">J26-J29</f>
        <v>29.9673280549286</v>
      </c>
      <c r="K30" s="16" t="n">
        <f aca="false">K26-K29</f>
        <v>21.1862177085742</v>
      </c>
    </row>
    <row r="31" customFormat="false" ht="15" hidden="false" customHeight="false" outlineLevel="0" collapsed="false">
      <c r="A31" s="3" t="s">
        <v>292</v>
      </c>
      <c r="G31" s="25" t="n">
        <f aca="false">MAX(0,G30)*Assumptions!$C$9</f>
        <v>9.91001604999999</v>
      </c>
      <c r="H31" s="25" t="n">
        <f aca="false">MAX(0,H30)*Assumptions!$C$9</f>
        <v>7.95406870799999</v>
      </c>
      <c r="I31" s="25" t="n">
        <f aca="false">MAX(0,I30)*Assumptions!$C$9</f>
        <v>5.317467933624</v>
      </c>
      <c r="J31" s="25" t="n">
        <f aca="false">MAX(0,J30)*Assumptions!$C$9</f>
        <v>7.49183201373215</v>
      </c>
      <c r="K31" s="25" t="n">
        <f aca="false">MAX(0,K30)*Assumptions!$C$9</f>
        <v>5.29655442714356</v>
      </c>
    </row>
    <row r="32" customFormat="false" ht="15" hidden="false" customHeight="false" outlineLevel="0" collapsed="false">
      <c r="A32" s="2" t="s">
        <v>293</v>
      </c>
      <c r="G32" s="16" t="n">
        <f aca="false">G30-G31</f>
        <v>29.73004815</v>
      </c>
      <c r="H32" s="16" t="n">
        <f aca="false">H30-H31</f>
        <v>23.862206124</v>
      </c>
      <c r="I32" s="16" t="n">
        <f aca="false">I30-I31</f>
        <v>15.952403800872</v>
      </c>
      <c r="J32" s="16" t="n">
        <f aca="false">J30-J31</f>
        <v>22.4754960411965</v>
      </c>
      <c r="K32" s="16" t="n">
        <f aca="false">K30-K31</f>
        <v>15.8896632814307</v>
      </c>
    </row>
    <row r="33" customFormat="false" ht="15" hidden="false" customHeight="false" outlineLevel="0" collapsed="false">
      <c r="A33" s="23" t="s">
        <v>294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customFormat="false" ht="15" hidden="false" customHeight="false" outlineLevel="0" collapsed="false">
      <c r="A34" s="3" t="s">
        <v>169</v>
      </c>
      <c r="G34" s="25" t="n">
        <f aca="false">G19*CHOOSE($C$6,Assumptions!$C$75,Assumptions!$C$94,Assumptions!$C$113)</f>
        <v>30.03123942</v>
      </c>
      <c r="H34" s="25" t="n">
        <f aca="false">H19*CHOOSE($C$6,Assumptions!$C$75,Assumptions!$C$94,Assumptions!$C$113)</f>
        <v>28.8299898432</v>
      </c>
      <c r="I34" s="25" t="n">
        <f aca="false">I19*CHOOSE($C$6,Assumptions!$C$75,Assumptions!$C$94,Assumptions!$C$113)</f>
        <v>27.820940198688</v>
      </c>
      <c r="J34" s="25" t="n">
        <f aca="false">J19*CHOOSE($C$6,Assumptions!$C$75,Assumptions!$C$94,Assumptions!$C$113)</f>
        <v>26.9863119927274</v>
      </c>
      <c r="K34" s="25" t="n">
        <f aca="false">K19*CHOOSE($C$6,Assumptions!$C$75,Assumptions!$C$94,Assumptions!$C$113)</f>
        <v>26.1767226329455</v>
      </c>
    </row>
    <row r="35" customFormat="false" ht="15" hidden="false" customHeight="false" outlineLevel="0" collapsed="false">
      <c r="A35" s="3" t="s">
        <v>295</v>
      </c>
      <c r="G35" s="25" t="n">
        <f aca="false">CHOOSE($C$6,Assumptions!$C$76,Assumptions!$C$95,Assumptions!$C$114)*(G19-F19)+CHOOSE($C$6,Assumptions!$C$77,Assumptions!$C$96,Assumptions!$C$115)*G19</f>
        <v>-21.4508853</v>
      </c>
      <c r="H35" s="25" t="n">
        <f aca="false">CHOOSE($C$6,Assumptions!$C$76,Assumptions!$C$95,Assumptions!$C$114)*(H19-G19)+CHOOSE($C$6,Assumptions!$C$77,Assumptions!$C$96,Assumptions!$C$115)*H19</f>
        <v>-20.592849888</v>
      </c>
      <c r="I35" s="25" t="n">
        <f aca="false">CHOOSE($C$6,Assumptions!$C$76,Assumptions!$C$95,Assumptions!$C$114)*(I19-H19)+CHOOSE($C$6,Assumptions!$C$77,Assumptions!$C$96,Assumptions!$C$115)*I19</f>
        <v>-19.87210014192</v>
      </c>
      <c r="J35" s="25" t="n">
        <f aca="false">CHOOSE($C$6,Assumptions!$C$76,Assumptions!$C$95,Assumptions!$C$114)*(J19-I19)+CHOOSE($C$6,Assumptions!$C$77,Assumptions!$C$96,Assumptions!$C$115)*J19</f>
        <v>-19.2759371376624</v>
      </c>
      <c r="K35" s="25" t="n">
        <f aca="false">CHOOSE($C$6,Assumptions!$C$76,Assumptions!$C$95,Assumptions!$C$114)*(K19-J19)+CHOOSE($C$6,Assumptions!$C$77,Assumptions!$C$96,Assumptions!$C$115)*K19</f>
        <v>-18.6976590235325</v>
      </c>
    </row>
    <row r="36" customFormat="false" ht="15" hidden="false" customHeight="false" outlineLevel="0" collapsed="false">
      <c r="A36" s="2" t="s">
        <v>296</v>
      </c>
      <c r="G36" s="16" t="n">
        <f aca="false">G32+G24+G25+G28-G34-G35</f>
        <v>125.86735403</v>
      </c>
      <c r="H36" s="16" t="n">
        <f aca="false">H32+H24+H25+H28-H34-H35</f>
        <v>116.1540197688</v>
      </c>
      <c r="I36" s="16" t="n">
        <f aca="false">I32+I24+I25+I28-I34-I35</f>
        <v>105.014003968104</v>
      </c>
      <c r="J36" s="16" t="n">
        <f aca="false">J32+J24+J25+J28-J34-J35</f>
        <v>108.865248203412</v>
      </c>
      <c r="K36" s="16" t="n">
        <f aca="false">K32+K24+K25+K28-K34-K35</f>
        <v>99.6877228787792</v>
      </c>
    </row>
    <row r="38" customFormat="false" ht="15" hidden="false" customHeight="false" outlineLevel="0" collapsed="false">
      <c r="A38" s="23" t="s">
        <v>298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customFormat="false" ht="15" hidden="false" customHeight="false" outlineLevel="0" collapsed="false">
      <c r="A39" s="3" t="s">
        <v>299</v>
      </c>
      <c r="G39" s="30" t="n">
        <f aca="false">Assumptions!$G$52</f>
        <v>0.039</v>
      </c>
      <c r="H39" s="30" t="n">
        <f aca="false">Assumptions!$H$52</f>
        <v>0.0375</v>
      </c>
      <c r="I39" s="30" t="n">
        <f aca="false">Assumptions!$I$52</f>
        <v>0.035</v>
      </c>
      <c r="J39" s="30" t="n">
        <f aca="false">Assumptions!$J$52</f>
        <v>0.035</v>
      </c>
      <c r="K39" s="30" t="n">
        <f aca="false">Assumptions!$K$52</f>
        <v>0.035</v>
      </c>
    </row>
    <row r="40" customFormat="false" ht="15" hidden="false" customHeight="false" outlineLevel="0" collapsed="false">
      <c r="A40" s="3" t="s">
        <v>300</v>
      </c>
      <c r="C40" s="31" t="n">
        <f aca="false">CHOOSE($C$6,Assumptions!$C$78,Assumptions!$C$97,Assumptions!$C$116)+$C$9</f>
        <v>0</v>
      </c>
    </row>
    <row r="41" customFormat="false" ht="15" hidden="false" customHeight="false" outlineLevel="0" collapsed="false">
      <c r="A41" s="3" t="s">
        <v>301</v>
      </c>
      <c r="C41" s="31" t="n">
        <f aca="false">CHOOSE($C$6,Assumptions!$C$79,Assumptions!$C$98,Assumptions!$C$117)</f>
        <v>0.11</v>
      </c>
    </row>
    <row r="42" customFormat="false" ht="15" hidden="false" customHeight="false" outlineLevel="0" collapsed="false">
      <c r="A42" s="3" t="s">
        <v>302</v>
      </c>
      <c r="C42" s="32" t="n">
        <f aca="false">CHOOSE($C$6,Assumptions!$C$80,Assumptions!$C$99,Assumptions!$C$118)</f>
        <v>6</v>
      </c>
    </row>
    <row r="43" customFormat="false" ht="15" hidden="false" customHeight="false" outlineLevel="0" collapsed="false">
      <c r="A43" s="3" t="s">
        <v>303</v>
      </c>
      <c r="C43" s="32" t="n">
        <f aca="false">CHOOSE($C$6,Assumptions!$C$81,Assumptions!$C$100,Assumptions!$C$119)</f>
        <v>1.25</v>
      </c>
    </row>
    <row r="44" customFormat="false" ht="15" hidden="false" customHeight="false" outlineLevel="0" collapsed="false">
      <c r="A44" s="3" t="s">
        <v>304</v>
      </c>
      <c r="G44" s="25" t="n">
        <f aca="false">G49+G62+G75</f>
        <v>1735.554</v>
      </c>
      <c r="H44" s="25" t="n">
        <f aca="false">H49+H62+H75</f>
        <v>1735.554</v>
      </c>
      <c r="I44" s="25" t="n">
        <f aca="false">I49+I62+I75</f>
        <v>1735.554</v>
      </c>
      <c r="J44" s="25" t="n">
        <f aca="false">J49+J62+J75</f>
        <v>1315.098</v>
      </c>
      <c r="K44" s="25" t="n">
        <f aca="false">K49+K62+K75</f>
        <v>1315.098</v>
      </c>
    </row>
    <row r="45" customFormat="false" ht="15" hidden="false" customHeight="false" outlineLevel="0" collapsed="false">
      <c r="A45" s="3" t="s">
        <v>305</v>
      </c>
      <c r="G45" s="25" t="n">
        <f aca="false">F118</f>
        <v>463.996</v>
      </c>
      <c r="H45" s="25" t="n">
        <f aca="false">G118</f>
        <v>589.86335403</v>
      </c>
      <c r="I45" s="25" t="n">
        <f aca="false">H118</f>
        <v>706.0173737988</v>
      </c>
      <c r="J45" s="25" t="n">
        <f aca="false">I118</f>
        <v>390.575377766904</v>
      </c>
      <c r="K45" s="25" t="n">
        <f aca="false">J118</f>
        <v>499.440625970316</v>
      </c>
    </row>
    <row r="46" customFormat="false" ht="15" hidden="false" customHeight="false" outlineLevel="0" collapsed="false">
      <c r="A46" s="3" t="s">
        <v>306</v>
      </c>
      <c r="G46" s="25" t="n">
        <f aca="false">G49*IF(G50=1,$C$41,IF(Assumptions!$I$56=1,MAX(G39,Assumptions!$G$56)+Assumptions!$F$56+$C$40,Assumptions!$E$56))+G62*IF(G63=1,$C$41,IF(Assumptions!$I$57=1,MAX(G39,Assumptions!$G$57)+Assumptions!$F$57+$C$40,Assumptions!$E$57))+G75*IF(G76=1,$C$41,IF(Assumptions!$I$58=1,MAX(G39,Assumptions!$G$58)+Assumptions!$F$58+$C$40,Assumptions!$E$58))</f>
        <v>155.95467</v>
      </c>
      <c r="H46" s="25" t="n">
        <f aca="false">H49*IF(OR(H50=1,G196=1),$C$41,IF(Assumptions!$I$56=1,MAX(H39,Assumptions!$G$56)+Assumptions!$F$56+$C$40,Assumptions!$E$56))+H62*IF(OR(H63=1,G197=1),$C$41,IF(Assumptions!$I$57=1,MAX(H39,Assumptions!$G$57)+Assumptions!$F$57+$C$40,Assumptions!$E$57))+H75*IF(OR(H76=1,G198=1),$C$41,IF(Assumptions!$I$58=1,MAX(H39,Assumptions!$G$58)+Assumptions!$F$58+$C$40,Assumptions!$E$58))</f>
        <v>155.95467</v>
      </c>
      <c r="I46" s="25" t="n">
        <f aca="false">I49*IF(OR(I50=1,H196=1),$C$41,IF(Assumptions!$I$56=1,MAX(I39,Assumptions!$G$56)+Assumptions!$F$56+$C$40,Assumptions!$E$56))+I62*IF(OR(I63=1,H197=1),$C$41,IF(Assumptions!$I$57=1,MAX(I39,Assumptions!$G$57)+Assumptions!$F$57+$C$40,Assumptions!$E$57))+I75*IF(OR(I76=1,H198=1),$C$41,IF(Assumptions!$I$58=1,MAX(I39,Assumptions!$G$58)+Assumptions!$F$58+$C$40,Assumptions!$E$58))</f>
        <v>184.33545</v>
      </c>
      <c r="J46" s="25" t="n">
        <f aca="false">J49*IF(OR(J50=1,I196=1),$C$41,IF(Assumptions!$I$56=1,MAX(J39,Assumptions!$G$56)+Assumptions!$F$56+$C$40,Assumptions!$E$56))+J62*IF(OR(J63=1,I197=1),$C$41,IF(Assumptions!$I$57=1,MAX(J39,Assumptions!$G$57)+Assumptions!$F$57+$C$40,Assumptions!$E$57))+J75*IF(OR(J76=1,I198=1),$C$41,IF(Assumptions!$I$58=1,MAX(J39,Assumptions!$G$58)+Assumptions!$F$58+$C$40,Assumptions!$E$58))</f>
        <v>138.08529</v>
      </c>
      <c r="K46" s="25" t="n">
        <f aca="false">K49*IF(OR(K50=1,J196=1),$C$41,IF(Assumptions!$I$56=1,MAX(K39,Assumptions!$G$56)+Assumptions!$F$56+$C$40,Assumptions!$E$56))+K62*IF(OR(K63=1,J197=1),$C$41,IF(Assumptions!$I$57=1,MAX(K39,Assumptions!$G$57)+Assumptions!$F$57+$C$40,Assumptions!$E$57))+K75*IF(OR(K76=1,J198=1),$C$41,IF(Assumptions!$I$58=1,MAX(K39,Assumptions!$G$58)+Assumptions!$F$58+$C$40,Assumptions!$E$58))</f>
        <v>138.08529</v>
      </c>
    </row>
    <row r="47" customFormat="false" ht="15" hidden="false" customHeight="false" outlineLevel="0" collapsed="false">
      <c r="A47" s="3" t="s">
        <v>307</v>
      </c>
      <c r="G47" s="20" t="n">
        <f aca="false">IF(G23&lt;=0,0,IF(AND((G44-G45)/G23&lt;=$C$42,G23/G46&gt;=$C$43),1,0))</f>
        <v>1</v>
      </c>
      <c r="H47" s="20" t="n">
        <f aca="false">IF(H23&lt;=0,0,IF(AND((H44-H45)/H23&lt;=$C$42,H23/H46&gt;=$C$43),1,0))</f>
        <v>1</v>
      </c>
      <c r="I47" s="20" t="n">
        <f aca="false">IF(I23&lt;=0,0,IF(AND((I44-I45)/I23&lt;=$C$42,I23/I46&gt;=$C$43),1,0))</f>
        <v>1</v>
      </c>
      <c r="J47" s="20" t="n">
        <f aca="false">IF(J23&lt;=0,0,IF(AND((J44-J45)/J23&lt;=$C$42,J23/J46&gt;=$C$43),1,0))</f>
        <v>1</v>
      </c>
      <c r="K47" s="20" t="n">
        <f aca="false">IF(K23&lt;=0,0,IF(AND((K44-K45)/K23&lt;=$C$42,K23/K46&gt;=$C$43),1,0))</f>
        <v>1</v>
      </c>
    </row>
    <row r="48" customFormat="false" ht="15" hidden="false" customHeight="false" outlineLevel="0" collapsed="false">
      <c r="A48" s="23" t="s">
        <v>308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customFormat="false" ht="15" hidden="false" customHeight="false" outlineLevel="0" collapsed="false">
      <c r="A49" s="3" t="s">
        <v>309</v>
      </c>
      <c r="G49" s="25" t="n">
        <f aca="false">F60</f>
        <v>1315.098</v>
      </c>
      <c r="H49" s="25" t="n">
        <f aca="false">G60</f>
        <v>1315.098</v>
      </c>
      <c r="I49" s="25" t="n">
        <f aca="false">H60</f>
        <v>1315.098</v>
      </c>
      <c r="J49" s="25" t="n">
        <f aca="false">I60</f>
        <v>1315.098</v>
      </c>
      <c r="K49" s="25" t="n">
        <f aca="false">J60</f>
        <v>1315.098</v>
      </c>
    </row>
    <row r="50" customFormat="false" ht="15" hidden="false" customHeight="false" outlineLevel="0" collapsed="false">
      <c r="A50" s="3" t="s">
        <v>310</v>
      </c>
      <c r="G50" s="20" t="n">
        <f aca="false">IF(G13=Assumptions!$K$56,1,0)</f>
        <v>0</v>
      </c>
      <c r="H50" s="20" t="n">
        <f aca="false">IF(H13=Assumptions!$K$56,1,0)</f>
        <v>0</v>
      </c>
      <c r="I50" s="20" t="n">
        <f aca="false">IF(I13=Assumptions!$K$56,1,0)</f>
        <v>0</v>
      </c>
      <c r="J50" s="20" t="n">
        <f aca="false">IF(J13=Assumptions!$K$56,1,0)</f>
        <v>0</v>
      </c>
      <c r="K50" s="20" t="n">
        <f aca="false">IF(K13=Assumptions!$K$56,1,0)</f>
        <v>0</v>
      </c>
    </row>
    <row r="52" customFormat="false" ht="15" hidden="false" customHeight="false" outlineLevel="0" collapsed="false">
      <c r="A52" s="3" t="s">
        <v>311</v>
      </c>
      <c r="G52" s="31" t="n">
        <f aca="false">IF(Assumptions!$I$56=1,MAX(G39,Assumptions!$G$56)+Assumptions!$F$56+$C$40,Assumptions!$E$56)</f>
        <v>0.105</v>
      </c>
      <c r="H52" s="31" t="n">
        <f aca="false">IF(G196=1,$C$41,IF(Assumptions!$I$56=1,MAX(H39,Assumptions!$G$56)+Assumptions!$F$56+$C$40,Assumptions!$E$56))</f>
        <v>0.105</v>
      </c>
      <c r="I52" s="31" t="n">
        <f aca="false">IF(H196=1,$C$41,IF(Assumptions!$I$56=1,MAX(I39,Assumptions!$G$56)+Assumptions!$F$56+$C$40,Assumptions!$E$56))</f>
        <v>0.105</v>
      </c>
      <c r="J52" s="31" t="n">
        <f aca="false">IF(I196=1,$C$41,IF(Assumptions!$I$56=1,MAX(J39,Assumptions!$G$56)+Assumptions!$F$56+$C$40,Assumptions!$E$56))</f>
        <v>0.105</v>
      </c>
      <c r="K52" s="31" t="n">
        <f aca="false">IF(J196=1,$C$41,IF(Assumptions!$I$56=1,MAX(K39,Assumptions!$G$56)+Assumptions!$F$56+$C$40,Assumptions!$E$56))</f>
        <v>0.105</v>
      </c>
    </row>
    <row r="53" customFormat="false" ht="15" hidden="false" customHeight="false" outlineLevel="0" collapsed="false">
      <c r="A53" s="3" t="s">
        <v>312</v>
      </c>
      <c r="G53" s="25" t="n">
        <f aca="false">G49*G52</f>
        <v>138.08529</v>
      </c>
      <c r="H53" s="25" t="n">
        <f aca="false">H49*H52</f>
        <v>138.08529</v>
      </c>
      <c r="I53" s="25" t="n">
        <f aca="false">I49*I52</f>
        <v>138.08529</v>
      </c>
      <c r="J53" s="25" t="n">
        <f aca="false">J49*J52</f>
        <v>138.08529</v>
      </c>
      <c r="K53" s="25" t="n">
        <f aca="false">K49*K52</f>
        <v>138.08529</v>
      </c>
    </row>
    <row r="54" customFormat="false" ht="15" hidden="false" customHeight="false" outlineLevel="0" collapsed="false">
      <c r="A54" s="3" t="s">
        <v>313</v>
      </c>
      <c r="G54" s="25" t="n">
        <f aca="false">G49*Assumptions!$H$56</f>
        <v>0</v>
      </c>
      <c r="H54" s="25" t="n">
        <f aca="false">H49*Assumptions!$H$56</f>
        <v>0</v>
      </c>
      <c r="I54" s="25" t="n">
        <f aca="false">I49*Assumptions!$H$56</f>
        <v>0</v>
      </c>
      <c r="J54" s="25" t="n">
        <f aca="false">J49*Assumptions!$H$56</f>
        <v>0</v>
      </c>
      <c r="K54" s="25" t="n">
        <f aca="false">K49*Assumptions!$H$56</f>
        <v>0</v>
      </c>
    </row>
    <row r="55" customFormat="false" ht="15" hidden="false" customHeight="false" outlineLevel="0" collapsed="false">
      <c r="A55" s="3" t="s">
        <v>314</v>
      </c>
      <c r="G55" s="25" t="n">
        <f aca="false">MIN(G49,Assumptions!$L$56*Assumptions!$C$56)</f>
        <v>0</v>
      </c>
      <c r="H55" s="25" t="n">
        <f aca="false">MIN(H49,Assumptions!$L$56*Assumptions!$C$56)</f>
        <v>0</v>
      </c>
      <c r="I55" s="25" t="n">
        <f aca="false">MIN(I49,Assumptions!$L$56*Assumptions!$C$56)</f>
        <v>0</v>
      </c>
      <c r="J55" s="25" t="n">
        <f aca="false">MIN(J49,Assumptions!$L$56*Assumptions!$C$56)</f>
        <v>0</v>
      </c>
      <c r="K55" s="25" t="n">
        <f aca="false">MIN(K49,Assumptions!$L$56*Assumptions!$C$56)</f>
        <v>0</v>
      </c>
    </row>
    <row r="56" customFormat="false" ht="15" hidden="false" customHeight="false" outlineLevel="0" collapsed="false">
      <c r="A56" s="3" t="s">
        <v>315</v>
      </c>
      <c r="G56" s="25" t="n">
        <f aca="false">IF(AND(Assumptions!$P$56=1,G13&lt;Assumptions!$K$56),MIN(MAX(0,-G110),MAX(0,Assumptions!$D$56-G49)),0)</f>
        <v>0</v>
      </c>
      <c r="H56" s="25" t="n">
        <f aca="false">IF(AND(Assumptions!$P$56=1,OR(H13&lt;Assumptions!$K$56,G196=1)),MIN(MAX(0,-H110),MAX(0,Assumptions!$D$56-H49)),0)</f>
        <v>0</v>
      </c>
      <c r="I56" s="25" t="n">
        <f aca="false">IF(AND(Assumptions!$P$56=1,OR(I13&lt;Assumptions!$K$56,H196=1)),MIN(MAX(0,-I110),MAX(0,Assumptions!$D$56-I49)),0)</f>
        <v>0</v>
      </c>
      <c r="J56" s="25" t="n">
        <f aca="false">IF(AND(Assumptions!$P$56=1,OR(J13&lt;Assumptions!$K$56,I196=1)),MIN(MAX(0,-J110),MAX(0,Assumptions!$D$56-J49)),0)</f>
        <v>0</v>
      </c>
      <c r="K56" s="25" t="n">
        <f aca="false">IF(AND(Assumptions!$P$56=1,OR(K13&lt;Assumptions!$K$56,J196=1)),MIN(MAX(0,-K110),MAX(0,Assumptions!$D$56-K49)),0)</f>
        <v>0</v>
      </c>
    </row>
    <row r="57" customFormat="false" ht="15" hidden="false" customHeight="false" outlineLevel="0" collapsed="false">
      <c r="A57" s="3" t="s">
        <v>316</v>
      </c>
      <c r="G57" s="25" t="n">
        <f aca="false">G50*MIN(G49-G55+G54,MAX(0,G112-Assumptions!$C$12*G47))</f>
        <v>0</v>
      </c>
      <c r="H57" s="25" t="n">
        <f aca="false">H50*MIN(H49-H55+H54,MAX(0,H112-Assumptions!$C$12*H47))</f>
        <v>0</v>
      </c>
      <c r="I57" s="25" t="n">
        <f aca="false">I50*MIN(I49-I55+I54,MAX(0,I112-Assumptions!$C$12*I47))</f>
        <v>0</v>
      </c>
      <c r="J57" s="25" t="n">
        <f aca="false">J50*MIN(J49-J55+J54,MAX(0,J112-Assumptions!$C$12*J47))</f>
        <v>0</v>
      </c>
      <c r="K57" s="25" t="n">
        <f aca="false">K50*MIN(K49-K55+K54,MAX(0,K112-Assumptions!$C$12*K47))</f>
        <v>0</v>
      </c>
    </row>
    <row r="58" customFormat="false" ht="15" hidden="false" customHeight="false" outlineLevel="0" collapsed="false">
      <c r="A58" s="3" t="s">
        <v>317</v>
      </c>
      <c r="G58" s="25" t="n">
        <f aca="false">Assumptions!$N$56*MIN(G49+G56+G54-G55-G57,MAX(0,G116))</f>
        <v>0</v>
      </c>
      <c r="H58" s="25" t="n">
        <f aca="false">Assumptions!$N$56*MIN(H49+H56+H54-H55-H57,MAX(0,H116))</f>
        <v>0</v>
      </c>
      <c r="I58" s="25" t="n">
        <f aca="false">Assumptions!$N$56*MIN(I49+I56+I54-I55-I57,MAX(0,I116))</f>
        <v>0</v>
      </c>
      <c r="J58" s="25" t="n">
        <f aca="false">Assumptions!$N$56*MIN(J49+J56+J54-J55-J57,MAX(0,J116))</f>
        <v>0</v>
      </c>
      <c r="K58" s="25" t="n">
        <f aca="false">Assumptions!$N$56*MIN(K49+K56+K54-K55-K57,MAX(0,K116))</f>
        <v>0</v>
      </c>
    </row>
    <row r="59" customFormat="false" ht="15" hidden="false" customHeight="false" outlineLevel="0" collapsed="false">
      <c r="A59" s="3" t="s">
        <v>318</v>
      </c>
      <c r="G59" s="25" t="n">
        <f aca="false">G50*(1-G47)*(G49-G55+G54-G57)</f>
        <v>0</v>
      </c>
      <c r="H59" s="25" t="n">
        <f aca="false">H50*(1-H47)*(H49-H55+H54-H57)</f>
        <v>0</v>
      </c>
      <c r="I59" s="25" t="n">
        <f aca="false">I50*(1-I47)*(I49-I55+I54-I57)</f>
        <v>0</v>
      </c>
      <c r="J59" s="25" t="n">
        <f aca="false">J50*(1-J47)*(J49-J55+J54-J57)</f>
        <v>0</v>
      </c>
      <c r="K59" s="25" t="n">
        <f aca="false">K50*(1-K47)*(K49-K55+K54-K57)</f>
        <v>0</v>
      </c>
    </row>
    <row r="60" customFormat="false" ht="15" hidden="false" customHeight="false" outlineLevel="0" collapsed="false">
      <c r="A60" s="2" t="s">
        <v>319</v>
      </c>
      <c r="F60" s="28" t="n">
        <f aca="false">Assumptions!$C$56</f>
        <v>1315.098</v>
      </c>
      <c r="G60" s="16" t="n">
        <f aca="false">G49+G56+G54-G55-G57-G58</f>
        <v>1315.098</v>
      </c>
      <c r="H60" s="16" t="n">
        <f aca="false">H49+H56+H54-H55-H57-H58</f>
        <v>1315.098</v>
      </c>
      <c r="I60" s="16" t="n">
        <f aca="false">I49+I56+I54-I55-I57-I58</f>
        <v>1315.098</v>
      </c>
      <c r="J60" s="16" t="n">
        <f aca="false">J49+J56+J54-J55-J57-J58</f>
        <v>1315.098</v>
      </c>
      <c r="K60" s="16" t="n">
        <f aca="false">K49+K56+K54-K55-K57-K58</f>
        <v>1315.098</v>
      </c>
    </row>
    <row r="61" customFormat="false" ht="15" hidden="false" customHeight="false" outlineLevel="0" collapsed="false">
      <c r="A61" s="23" t="s">
        <v>320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customFormat="false" ht="15" hidden="false" customHeight="false" outlineLevel="0" collapsed="false">
      <c r="A62" s="3" t="s">
        <v>309</v>
      </c>
      <c r="G62" s="25" t="n">
        <f aca="false">F73</f>
        <v>276.706</v>
      </c>
      <c r="H62" s="25" t="n">
        <f aca="false">G73</f>
        <v>276.706</v>
      </c>
      <c r="I62" s="25" t="n">
        <f aca="false">H73</f>
        <v>276.706</v>
      </c>
      <c r="J62" s="25" t="n">
        <f aca="false">I73</f>
        <v>0</v>
      </c>
      <c r="K62" s="25" t="n">
        <f aca="false">J73</f>
        <v>0</v>
      </c>
    </row>
    <row r="63" customFormat="false" ht="15" hidden="false" customHeight="false" outlineLevel="0" collapsed="false">
      <c r="A63" s="3" t="s">
        <v>310</v>
      </c>
      <c r="G63" s="20" t="n">
        <f aca="false">IF(G13=Assumptions!$K$57,1,0)</f>
        <v>0</v>
      </c>
      <c r="H63" s="20" t="n">
        <f aca="false">IF(H13=Assumptions!$K$57,1,0)</f>
        <v>0</v>
      </c>
      <c r="I63" s="20" t="n">
        <f aca="false">IF(I13=Assumptions!$K$57,1,0)</f>
        <v>1</v>
      </c>
      <c r="J63" s="20" t="n">
        <f aca="false">IF(J13=Assumptions!$K$57,1,0)</f>
        <v>0</v>
      </c>
      <c r="K63" s="20" t="n">
        <f aca="false">IF(K13=Assumptions!$K$57,1,0)</f>
        <v>0</v>
      </c>
    </row>
    <row r="65" customFormat="false" ht="15" hidden="false" customHeight="false" outlineLevel="0" collapsed="false">
      <c r="A65" s="3" t="s">
        <v>311</v>
      </c>
      <c r="G65" s="31" t="n">
        <f aca="false">IF(Assumptions!$I$57=1,MAX(G39,Assumptions!$G$57)+Assumptions!$F$57+$C$40,Assumptions!$E$57)</f>
        <v>0.0425</v>
      </c>
      <c r="H65" s="31" t="n">
        <f aca="false">IF(G197=1,$C$41,IF(Assumptions!$I$57=1,MAX(H39,Assumptions!$G$57)+Assumptions!$F$57+$C$40,Assumptions!$E$57))</f>
        <v>0.0425</v>
      </c>
      <c r="I65" s="31" t="n">
        <f aca="false">IF(H197=1,$C$41,IF(Assumptions!$I$57=1,MAX(I39,Assumptions!$G$57)+Assumptions!$F$57+$C$40,Assumptions!$E$57))</f>
        <v>0.0425</v>
      </c>
      <c r="J65" s="31" t="n">
        <f aca="false">IF(I197=1,$C$41,IF(Assumptions!$I$57=1,MAX(J39,Assumptions!$G$57)+Assumptions!$F$57+$C$40,Assumptions!$E$57))</f>
        <v>0.11</v>
      </c>
      <c r="K65" s="31" t="n">
        <f aca="false">IF(J197=1,$C$41,IF(Assumptions!$I$57=1,MAX(K39,Assumptions!$G$57)+Assumptions!$F$57+$C$40,Assumptions!$E$57))</f>
        <v>0.11</v>
      </c>
    </row>
    <row r="66" customFormat="false" ht="15" hidden="false" customHeight="false" outlineLevel="0" collapsed="false">
      <c r="A66" s="3" t="s">
        <v>312</v>
      </c>
      <c r="G66" s="25" t="n">
        <f aca="false">G62*G65</f>
        <v>11.760005</v>
      </c>
      <c r="H66" s="25" t="n">
        <f aca="false">H62*H65</f>
        <v>11.760005</v>
      </c>
      <c r="I66" s="25" t="n">
        <f aca="false">I62*I65</f>
        <v>11.760005</v>
      </c>
      <c r="J66" s="25" t="n">
        <f aca="false">J62*J65</f>
        <v>0</v>
      </c>
      <c r="K66" s="25" t="n">
        <f aca="false">K62*K65</f>
        <v>0</v>
      </c>
    </row>
    <row r="67" customFormat="false" ht="15" hidden="false" customHeight="false" outlineLevel="0" collapsed="false">
      <c r="A67" s="3" t="s">
        <v>313</v>
      </c>
      <c r="G67" s="25" t="n">
        <f aca="false">G62*Assumptions!$H$57</f>
        <v>0</v>
      </c>
      <c r="H67" s="25" t="n">
        <f aca="false">H62*Assumptions!$H$57</f>
        <v>0</v>
      </c>
      <c r="I67" s="25" t="n">
        <f aca="false">I62*Assumptions!$H$57</f>
        <v>0</v>
      </c>
      <c r="J67" s="25" t="n">
        <f aca="false">J62*Assumptions!$H$57</f>
        <v>0</v>
      </c>
      <c r="K67" s="25" t="n">
        <f aca="false">K62*Assumptions!$H$57</f>
        <v>0</v>
      </c>
    </row>
    <row r="68" customFormat="false" ht="15" hidden="false" customHeight="false" outlineLevel="0" collapsed="false">
      <c r="A68" s="3" t="s">
        <v>314</v>
      </c>
      <c r="G68" s="25" t="n">
        <f aca="false">MIN(G62,Assumptions!$L$57*Assumptions!$C$57)</f>
        <v>0</v>
      </c>
      <c r="H68" s="25" t="n">
        <f aca="false">MIN(H62,Assumptions!$L$57*Assumptions!$C$57)</f>
        <v>0</v>
      </c>
      <c r="I68" s="25" t="n">
        <f aca="false">MIN(I62,Assumptions!$L$57*Assumptions!$C$57)</f>
        <v>0</v>
      </c>
      <c r="J68" s="25" t="n">
        <f aca="false">MIN(J62,Assumptions!$L$57*Assumptions!$C$57)</f>
        <v>0</v>
      </c>
      <c r="K68" s="25" t="n">
        <f aca="false">MIN(K62,Assumptions!$L$57*Assumptions!$C$57)</f>
        <v>0</v>
      </c>
    </row>
    <row r="69" customFormat="false" ht="15" hidden="false" customHeight="false" outlineLevel="0" collapsed="false">
      <c r="A69" s="3" t="s">
        <v>315</v>
      </c>
      <c r="G69" s="25" t="n">
        <f aca="false">IF(AND(Assumptions!$P$57=1,G13&lt;Assumptions!$K$57),MIN(MAX(0,-G110),MAX(0,Assumptions!$D$57-G62)),0)</f>
        <v>0</v>
      </c>
      <c r="H69" s="25" t="n">
        <f aca="false">IF(AND(Assumptions!$P$57=1,OR(H13&lt;Assumptions!$K$57,G197=1)),MIN(MAX(0,-H110),MAX(0,Assumptions!$D$57-H62)),0)</f>
        <v>0</v>
      </c>
      <c r="I69" s="25" t="n">
        <f aca="false">IF(AND(Assumptions!$P$57=1,OR(I13&lt;Assumptions!$K$57,H197=1)),MIN(MAX(0,-I110),MAX(0,Assumptions!$D$57-I62)),0)</f>
        <v>0</v>
      </c>
      <c r="J69" s="25" t="n">
        <f aca="false">IF(AND(Assumptions!$P$57=1,OR(J13&lt;Assumptions!$K$57,I197=1)),MIN(MAX(0,-J110),MAX(0,Assumptions!$D$57-J62)),0)</f>
        <v>0</v>
      </c>
      <c r="K69" s="25" t="n">
        <f aca="false">IF(AND(Assumptions!$P$57=1,OR(K13&lt;Assumptions!$K$57,J197=1)),MIN(MAX(0,-K110),MAX(0,Assumptions!$D$57-K62)),0)</f>
        <v>0</v>
      </c>
    </row>
    <row r="70" customFormat="false" ht="15" hidden="false" customHeight="false" outlineLevel="0" collapsed="false">
      <c r="A70" s="3" t="s">
        <v>316</v>
      </c>
      <c r="G70" s="25" t="n">
        <f aca="false">G63*MIN(G62-G68+G67,MAX(0,G112-Assumptions!$C$12*G47-G57))</f>
        <v>0</v>
      </c>
      <c r="H70" s="25" t="n">
        <f aca="false">H63*MIN(H62-H68+H67,MAX(0,H112-Assumptions!$C$12*H47-H57))</f>
        <v>0</v>
      </c>
      <c r="I70" s="25" t="n">
        <f aca="false">I63*MIN(I62-I68+I67,MAX(0,I112-Assumptions!$C$12*I47-I57))</f>
        <v>276.706</v>
      </c>
      <c r="J70" s="25" t="n">
        <f aca="false">J63*MIN(J62-J68+J67,MAX(0,J112-Assumptions!$C$12*J47-J57))</f>
        <v>0</v>
      </c>
      <c r="K70" s="25" t="n">
        <f aca="false">K63*MIN(K62-K68+K67,MAX(0,K112-Assumptions!$C$12*K47-K57))</f>
        <v>0</v>
      </c>
    </row>
    <row r="71" customFormat="false" ht="15" hidden="false" customHeight="false" outlineLevel="0" collapsed="false">
      <c r="A71" s="3" t="s">
        <v>317</v>
      </c>
      <c r="G71" s="25" t="n">
        <f aca="false">Assumptions!$N$57*MIN(G62+G69+G67-G68-G70,MAX(0,G116-G58))</f>
        <v>0</v>
      </c>
      <c r="H71" s="25" t="n">
        <f aca="false">Assumptions!$N$57*MIN(H62+H69+H67-H68-H70,MAX(0,H116-H58))</f>
        <v>0</v>
      </c>
      <c r="I71" s="25" t="n">
        <f aca="false">Assumptions!$N$57*MIN(I62+I69+I67-I68-I70,MAX(0,I116-I58))</f>
        <v>0</v>
      </c>
      <c r="J71" s="25" t="n">
        <f aca="false">Assumptions!$N$57*MIN(J62+J69+J67-J68-J70,MAX(0,J116-J58))</f>
        <v>0</v>
      </c>
      <c r="K71" s="25" t="n">
        <f aca="false">Assumptions!$N$57*MIN(K62+K69+K67-K68-K70,MAX(0,K116-K58))</f>
        <v>0</v>
      </c>
    </row>
    <row r="72" customFormat="false" ht="15" hidden="false" customHeight="false" outlineLevel="0" collapsed="false">
      <c r="A72" s="3" t="s">
        <v>318</v>
      </c>
      <c r="G72" s="25" t="n">
        <f aca="false">G63*(1-G47)*(G62-G68+G67-G70)</f>
        <v>0</v>
      </c>
      <c r="H72" s="25" t="n">
        <f aca="false">H63*(1-H47)*(H62-H68+H67-H70)</f>
        <v>0</v>
      </c>
      <c r="I72" s="25" t="n">
        <f aca="false">I63*(1-I47)*(I62-I68+I67-I70)</f>
        <v>0</v>
      </c>
      <c r="J72" s="25" t="n">
        <f aca="false">J63*(1-J47)*(J62-J68+J67-J70)</f>
        <v>0</v>
      </c>
      <c r="K72" s="25" t="n">
        <f aca="false">K63*(1-K47)*(K62-K68+K67-K70)</f>
        <v>0</v>
      </c>
    </row>
    <row r="73" customFormat="false" ht="15" hidden="false" customHeight="false" outlineLevel="0" collapsed="false">
      <c r="A73" s="2" t="s">
        <v>319</v>
      </c>
      <c r="F73" s="28" t="n">
        <f aca="false">Assumptions!$C$57</f>
        <v>276.706</v>
      </c>
      <c r="G73" s="16" t="n">
        <f aca="false">G62+G69+G67-G68-G70-G71</f>
        <v>276.706</v>
      </c>
      <c r="H73" s="16" t="n">
        <f aca="false">H62+H69+H67-H68-H70-H71</f>
        <v>276.706</v>
      </c>
      <c r="I73" s="16" t="n">
        <f aca="false">I62+I69+I67-I68-I70-I71</f>
        <v>0</v>
      </c>
      <c r="J73" s="16" t="n">
        <f aca="false">J62+J69+J67-J68-J70-J71</f>
        <v>0</v>
      </c>
      <c r="K73" s="16" t="n">
        <f aca="false">K62+K69+K67-K68-K70-K71</f>
        <v>0</v>
      </c>
    </row>
    <row r="74" customFormat="false" ht="15" hidden="false" customHeight="false" outlineLevel="0" collapsed="false">
      <c r="A74" s="23" t="s">
        <v>321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customFormat="false" ht="15" hidden="false" customHeight="false" outlineLevel="0" collapsed="false">
      <c r="A75" s="3" t="s">
        <v>309</v>
      </c>
      <c r="G75" s="25" t="n">
        <f aca="false">F86</f>
        <v>143.75</v>
      </c>
      <c r="H75" s="25" t="n">
        <f aca="false">G86</f>
        <v>143.75</v>
      </c>
      <c r="I75" s="25" t="n">
        <f aca="false">H86</f>
        <v>143.75</v>
      </c>
      <c r="J75" s="25" t="n">
        <f aca="false">I86</f>
        <v>0</v>
      </c>
      <c r="K75" s="25" t="n">
        <f aca="false">J86</f>
        <v>0</v>
      </c>
    </row>
    <row r="76" customFormat="false" ht="15" hidden="false" customHeight="false" outlineLevel="0" collapsed="false">
      <c r="A76" s="3" t="s">
        <v>310</v>
      </c>
      <c r="G76" s="20" t="n">
        <f aca="false">IF(G13=Assumptions!$K$58,1,0)</f>
        <v>0</v>
      </c>
      <c r="H76" s="20" t="n">
        <f aca="false">IF(H13=Assumptions!$K$58,1,0)</f>
        <v>0</v>
      </c>
      <c r="I76" s="20" t="n">
        <f aca="false">IF(I13=Assumptions!$K$58,1,0)</f>
        <v>1</v>
      </c>
      <c r="J76" s="20" t="n">
        <f aca="false">IF(J13=Assumptions!$K$58,1,0)</f>
        <v>0</v>
      </c>
      <c r="K76" s="20" t="n">
        <f aca="false">IF(K13=Assumptions!$K$58,1,0)</f>
        <v>0</v>
      </c>
    </row>
    <row r="78" customFormat="false" ht="15" hidden="false" customHeight="false" outlineLevel="0" collapsed="false">
      <c r="A78" s="3" t="s">
        <v>311</v>
      </c>
      <c r="G78" s="31" t="n">
        <f aca="false">IF(Assumptions!$I$58=1,MAX(G39,Assumptions!$G$58)+Assumptions!$F$58+$C$40,Assumptions!$E$58)</f>
        <v>0.0425</v>
      </c>
      <c r="H78" s="31" t="n">
        <f aca="false">IF(G198=1,$C$41,IF(Assumptions!$I$58=1,MAX(H39,Assumptions!$G$58)+Assumptions!$F$58+$C$40,Assumptions!$E$58))</f>
        <v>0.0425</v>
      </c>
      <c r="I78" s="31" t="n">
        <f aca="false">IF(H198=1,$C$41,IF(Assumptions!$I$58=1,MAX(I39,Assumptions!$G$58)+Assumptions!$F$58+$C$40,Assumptions!$E$58))</f>
        <v>0.0425</v>
      </c>
      <c r="J78" s="31" t="n">
        <f aca="false">IF(I198=1,$C$41,IF(Assumptions!$I$58=1,MAX(J39,Assumptions!$G$58)+Assumptions!$F$58+$C$40,Assumptions!$E$58))</f>
        <v>0.11</v>
      </c>
      <c r="K78" s="31" t="n">
        <f aca="false">IF(J198=1,$C$41,IF(Assumptions!$I$58=1,MAX(K39,Assumptions!$G$58)+Assumptions!$F$58+$C$40,Assumptions!$E$58))</f>
        <v>0.11</v>
      </c>
    </row>
    <row r="79" customFormat="false" ht="15" hidden="false" customHeight="false" outlineLevel="0" collapsed="false">
      <c r="A79" s="3" t="s">
        <v>312</v>
      </c>
      <c r="G79" s="25" t="n">
        <f aca="false">G75*G78</f>
        <v>6.109375</v>
      </c>
      <c r="H79" s="25" t="n">
        <f aca="false">H75*H78</f>
        <v>6.109375</v>
      </c>
      <c r="I79" s="25" t="n">
        <f aca="false">I75*I78</f>
        <v>6.109375</v>
      </c>
      <c r="J79" s="25" t="n">
        <f aca="false">J75*J78</f>
        <v>0</v>
      </c>
      <c r="K79" s="25" t="n">
        <f aca="false">K75*K78</f>
        <v>0</v>
      </c>
    </row>
    <row r="80" customFormat="false" ht="15" hidden="false" customHeight="false" outlineLevel="0" collapsed="false">
      <c r="A80" s="3" t="s">
        <v>313</v>
      </c>
      <c r="G80" s="25" t="n">
        <f aca="false">G75*Assumptions!$H$58</f>
        <v>0</v>
      </c>
      <c r="H80" s="25" t="n">
        <f aca="false">H75*Assumptions!$H$58</f>
        <v>0</v>
      </c>
      <c r="I80" s="25" t="n">
        <f aca="false">I75*Assumptions!$H$58</f>
        <v>0</v>
      </c>
      <c r="J80" s="25" t="n">
        <f aca="false">J75*Assumptions!$H$58</f>
        <v>0</v>
      </c>
      <c r="K80" s="25" t="n">
        <f aca="false">K75*Assumptions!$H$58</f>
        <v>0</v>
      </c>
    </row>
    <row r="81" customFormat="false" ht="15" hidden="false" customHeight="false" outlineLevel="0" collapsed="false">
      <c r="A81" s="3" t="s">
        <v>314</v>
      </c>
      <c r="G81" s="25" t="n">
        <f aca="false">MIN(G75,Assumptions!$L$58*Assumptions!$C$58)</f>
        <v>0</v>
      </c>
      <c r="H81" s="25" t="n">
        <f aca="false">MIN(H75,Assumptions!$L$58*Assumptions!$C$58)</f>
        <v>0</v>
      </c>
      <c r="I81" s="25" t="n">
        <f aca="false">MIN(I75,Assumptions!$L$58*Assumptions!$C$58)</f>
        <v>0</v>
      </c>
      <c r="J81" s="25" t="n">
        <f aca="false">MIN(J75,Assumptions!$L$58*Assumptions!$C$58)</f>
        <v>0</v>
      </c>
      <c r="K81" s="25" t="n">
        <f aca="false">MIN(K75,Assumptions!$L$58*Assumptions!$C$58)</f>
        <v>0</v>
      </c>
    </row>
    <row r="82" customFormat="false" ht="15" hidden="false" customHeight="false" outlineLevel="0" collapsed="false">
      <c r="A82" s="3" t="s">
        <v>315</v>
      </c>
      <c r="G82" s="25" t="n">
        <f aca="false">IF(AND(Assumptions!$P$58=1,G13&lt;Assumptions!$K$58),MIN(MAX(0,-G110),MAX(0,Assumptions!$D$58-G75)),0)</f>
        <v>0</v>
      </c>
      <c r="H82" s="25" t="n">
        <f aca="false">IF(AND(Assumptions!$P$58=1,OR(H13&lt;Assumptions!$K$58,G198=1)),MIN(MAX(0,-H110),MAX(0,Assumptions!$D$58-H75)),0)</f>
        <v>0</v>
      </c>
      <c r="I82" s="25" t="n">
        <f aca="false">IF(AND(Assumptions!$P$58=1,OR(I13&lt;Assumptions!$K$58,H198=1)),MIN(MAX(0,-I110),MAX(0,Assumptions!$D$58-I75)),0)</f>
        <v>0</v>
      </c>
      <c r="J82" s="25" t="n">
        <f aca="false">IF(AND(Assumptions!$P$58=1,OR(J13&lt;Assumptions!$K$58,I198=1)),MIN(MAX(0,-J110),MAX(0,Assumptions!$D$58-J75)),0)</f>
        <v>0</v>
      </c>
      <c r="K82" s="25" t="n">
        <f aca="false">IF(AND(Assumptions!$P$58=1,OR(K13&lt;Assumptions!$K$58,J198=1)),MIN(MAX(0,-K110),MAX(0,Assumptions!$D$58-K75)),0)</f>
        <v>0</v>
      </c>
    </row>
    <row r="83" customFormat="false" ht="15" hidden="false" customHeight="false" outlineLevel="0" collapsed="false">
      <c r="A83" s="3" t="s">
        <v>316</v>
      </c>
      <c r="G83" s="25" t="n">
        <f aca="false">G76*MIN(G75-G81+G80,MAX(0,G112-Assumptions!$C$12*G47-G57-G70))</f>
        <v>0</v>
      </c>
      <c r="H83" s="25" t="n">
        <f aca="false">H76*MIN(H75-H81+H80,MAX(0,H112-Assumptions!$C$12*H47-H57-H70))</f>
        <v>0</v>
      </c>
      <c r="I83" s="25" t="n">
        <f aca="false">I76*MIN(I75-I81+I80,MAX(0,I112-Assumptions!$C$12*I47-I57-I70))</f>
        <v>143.75</v>
      </c>
      <c r="J83" s="25" t="n">
        <f aca="false">J76*MIN(J75-J81+J80,MAX(0,J112-Assumptions!$C$12*J47-J57-J70))</f>
        <v>0</v>
      </c>
      <c r="K83" s="25" t="n">
        <f aca="false">K76*MIN(K75-K81+K80,MAX(0,K112-Assumptions!$C$12*K47-K57-K70))</f>
        <v>0</v>
      </c>
    </row>
    <row r="84" customFormat="false" ht="15" hidden="false" customHeight="false" outlineLevel="0" collapsed="false">
      <c r="A84" s="3" t="s">
        <v>317</v>
      </c>
      <c r="G84" s="25" t="n">
        <f aca="false">Assumptions!$N$58*MIN(G75+G82+G80-G81-G83,MAX(0,G116-G58-G71))</f>
        <v>0</v>
      </c>
      <c r="H84" s="25" t="n">
        <f aca="false">Assumptions!$N$58*MIN(H75+H82+H80-H81-H83,MAX(0,H116-H58-H71))</f>
        <v>0</v>
      </c>
      <c r="I84" s="25" t="n">
        <f aca="false">Assumptions!$N$58*MIN(I75+I82+I80-I81-I83,MAX(0,I116-I58-I71))</f>
        <v>0</v>
      </c>
      <c r="J84" s="25" t="n">
        <f aca="false">Assumptions!$N$58*MIN(J75+J82+J80-J81-J83,MAX(0,J116-J58-J71))</f>
        <v>0</v>
      </c>
      <c r="K84" s="25" t="n">
        <f aca="false">Assumptions!$N$58*MIN(K75+K82+K80-K81-K83,MAX(0,K116-K58-K71))</f>
        <v>0</v>
      </c>
    </row>
    <row r="85" customFormat="false" ht="15" hidden="false" customHeight="false" outlineLevel="0" collapsed="false">
      <c r="A85" s="3" t="s">
        <v>318</v>
      </c>
      <c r="G85" s="25" t="n">
        <f aca="false">G76*(1-G47)*(G75-G81+G80-G83)</f>
        <v>0</v>
      </c>
      <c r="H85" s="25" t="n">
        <f aca="false">H76*(1-H47)*(H75-H81+H80-H83)</f>
        <v>0</v>
      </c>
      <c r="I85" s="25" t="n">
        <f aca="false">I76*(1-I47)*(I75-I81+I80-I83)</f>
        <v>0</v>
      </c>
      <c r="J85" s="25" t="n">
        <f aca="false">J76*(1-J47)*(J75-J81+J80-J83)</f>
        <v>0</v>
      </c>
      <c r="K85" s="25" t="n">
        <f aca="false">K76*(1-K47)*(K75-K81+K80-K83)</f>
        <v>0</v>
      </c>
    </row>
    <row r="86" customFormat="false" ht="15" hidden="false" customHeight="false" outlineLevel="0" collapsed="false">
      <c r="A86" s="2" t="s">
        <v>319</v>
      </c>
      <c r="F86" s="28" t="n">
        <f aca="false">Assumptions!$C$58</f>
        <v>143.75</v>
      </c>
      <c r="G86" s="16" t="n">
        <f aca="false">G75+G82+G80-G81-G83-G84</f>
        <v>143.75</v>
      </c>
      <c r="H86" s="16" t="n">
        <f aca="false">H75+H82+H80-H81-H83-H84</f>
        <v>143.75</v>
      </c>
      <c r="I86" s="16" t="n">
        <f aca="false">I75+I82+I80-I81-I83-I84</f>
        <v>0</v>
      </c>
      <c r="J86" s="16" t="n">
        <f aca="false">J75+J82+J80-J81-J83-J84</f>
        <v>0</v>
      </c>
      <c r="K86" s="16" t="n">
        <f aca="false">K75+K82+K80-K81-K83-K84</f>
        <v>0</v>
      </c>
    </row>
    <row r="87" customFormat="false" ht="15" hidden="false" customHeight="false" outlineLevel="0" collapsed="false">
      <c r="A87" s="23" t="s">
        <v>322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customFormat="false" ht="15" hidden="false" customHeight="false" outlineLevel="0" collapsed="false">
      <c r="A88" s="2" t="s">
        <v>323</v>
      </c>
      <c r="F88" s="16" t="n">
        <f aca="false">F60+F73+F86</f>
        <v>1735.554</v>
      </c>
      <c r="G88" s="16" t="n">
        <f aca="false">G60+G73+G86</f>
        <v>1735.554</v>
      </c>
      <c r="H88" s="16" t="n">
        <f aca="false">H60+H73+H86</f>
        <v>1735.554</v>
      </c>
      <c r="I88" s="16" t="n">
        <f aca="false">I60+I73+I86</f>
        <v>1315.098</v>
      </c>
      <c r="J88" s="16" t="n">
        <f aca="false">J60+J73+J86</f>
        <v>1315.098</v>
      </c>
      <c r="K88" s="16" t="n">
        <f aca="false">K60+K73+K86</f>
        <v>1315.098</v>
      </c>
    </row>
    <row r="89" customFormat="false" ht="15" hidden="false" customHeight="false" outlineLevel="0" collapsed="false">
      <c r="A89" s="3" t="s">
        <v>324</v>
      </c>
      <c r="G89" s="25" t="n">
        <f aca="false">G50*Assumptions!$C$56+G63*Assumptions!$C$57+G76*Assumptions!$C$58</f>
        <v>0</v>
      </c>
      <c r="H89" s="25" t="n">
        <f aca="false">H50*Assumptions!$C$56+H63*Assumptions!$C$57+H76*Assumptions!$C$58</f>
        <v>0</v>
      </c>
      <c r="I89" s="25" t="n">
        <f aca="false">I50*Assumptions!$C$56+I63*Assumptions!$C$57+I76*Assumptions!$C$58</f>
        <v>420.456</v>
      </c>
      <c r="J89" s="25" t="n">
        <f aca="false">J50*Assumptions!$C$56+J63*Assumptions!$C$57+J76*Assumptions!$C$58</f>
        <v>0</v>
      </c>
      <c r="K89" s="25" t="n">
        <f aca="false">K50*Assumptions!$C$56+K63*Assumptions!$C$57+K76*Assumptions!$C$58</f>
        <v>0</v>
      </c>
    </row>
    <row r="90" customFormat="false" ht="15" hidden="false" customHeight="false" outlineLevel="0" collapsed="false">
      <c r="A90" s="23" t="s">
        <v>325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customFormat="false" ht="15" hidden="false" customHeight="false" outlineLevel="0" collapsed="false">
      <c r="A91" s="3" t="s">
        <v>326</v>
      </c>
      <c r="C91" s="25" t="n">
        <f aca="false">SUMPRODUCT($G$50:$K$50,$G$49:$K$49-$G$55:$K$55+$G$54:$K$54)</f>
        <v>0</v>
      </c>
    </row>
    <row r="92" customFormat="false" ht="15" hidden="false" customHeight="false" outlineLevel="0" collapsed="false">
      <c r="A92" s="3" t="s">
        <v>327</v>
      </c>
      <c r="C92" s="25" t="n">
        <f aca="false">SUMPRODUCT($G$50:$K$50,$G$57:$K$57)</f>
        <v>0</v>
      </c>
    </row>
    <row r="93" customFormat="false" ht="15" hidden="false" customHeight="false" outlineLevel="0" collapsed="false">
      <c r="A93" s="3" t="s">
        <v>328</v>
      </c>
      <c r="C93" s="3" t="str">
        <f aca="false">IF(SUM($G$50:$K$50)=0,"n/a (beyond horizon)",IF(SUMPRODUCT($G$50:$K$50,$G$47:$K$47)&gt;0,"REFINANCING PASS","REFINANCING FAILURE"))</f>
        <v>n/a (beyond horizon)</v>
      </c>
    </row>
    <row r="94" customFormat="false" ht="15" hidden="false" customHeight="false" outlineLevel="0" collapsed="false">
      <c r="A94" s="3" t="s">
        <v>329</v>
      </c>
      <c r="C94" s="3" t="str">
        <f aca="false">IF(SUM($G$50:$K$50)=0,"n/a",IF(C92&gt;=C91-0.001,"Repaid from cash",IF(SUMPRODUCT($G$50:$K$50,$G$47:$K$47)&gt;0,IF(C92&gt;0,"Partly repaid; remainder refinanced","Refinanced"),IF(SUM($G$59:$K$59)&gt;0.001,IF(C92&gt;0,"Partial repayment; PAYMENT DEFAULT","PAYMENT DEFAULT"),"Repaid from cash"))))</f>
        <v>n/a</v>
      </c>
    </row>
    <row r="95" customFormat="false" ht="15" hidden="false" customHeight="false" outlineLevel="0" collapsed="false">
      <c r="A95" s="3" t="s">
        <v>330</v>
      </c>
      <c r="C95" s="25" t="n">
        <f aca="false">SUMPRODUCT($G$63:$K$63,$G$62:$K$62-$G$68:$K$68+$G$67:$K$67)</f>
        <v>276.706</v>
      </c>
    </row>
    <row r="96" customFormat="false" ht="15" hidden="false" customHeight="false" outlineLevel="0" collapsed="false">
      <c r="A96" s="3" t="s">
        <v>331</v>
      </c>
      <c r="C96" s="25" t="n">
        <f aca="false">SUMPRODUCT($G$63:$K$63,$G$70:$K$70)</f>
        <v>276.706</v>
      </c>
    </row>
    <row r="97" customFormat="false" ht="15" hidden="false" customHeight="false" outlineLevel="0" collapsed="false">
      <c r="A97" s="3" t="s">
        <v>332</v>
      </c>
      <c r="C97" s="3" t="str">
        <f aca="false">IF(SUM($G$63:$K$63)=0,"n/a (beyond horizon)",IF(SUMPRODUCT($G$63:$K$63,$G$47:$K$47)&gt;0,"REFINANCING PASS","REFINANCING FAILURE"))</f>
        <v>REFINANCING PASS</v>
      </c>
    </row>
    <row r="98" customFormat="false" ht="15" hidden="false" customHeight="false" outlineLevel="0" collapsed="false">
      <c r="A98" s="3" t="s">
        <v>333</v>
      </c>
      <c r="C98" s="3" t="str">
        <f aca="false">IF(SUM($G$63:$K$63)=0,"n/a",IF(C96&gt;=C95-0.001,"Repaid from cash",IF(SUMPRODUCT($G$63:$K$63,$G$47:$K$47)&gt;0,IF(C96&gt;0,"Partly repaid; remainder refinanced","Refinanced"),IF(SUM($G$72:$K$72)&gt;0.001,IF(C96&gt;0,"Partial repayment; PAYMENT DEFAULT","PAYMENT DEFAULT"),"Repaid from cash"))))</f>
        <v>Repaid from cash</v>
      </c>
    </row>
    <row r="99" customFormat="false" ht="15" hidden="false" customHeight="false" outlineLevel="0" collapsed="false">
      <c r="A99" s="3" t="s">
        <v>334</v>
      </c>
      <c r="C99" s="25" t="n">
        <f aca="false">SUMPRODUCT($G$76:$K$76,$G$75:$K$75-$G$81:$K$81+$G$80:$K$80)</f>
        <v>143.75</v>
      </c>
    </row>
    <row r="100" customFormat="false" ht="15" hidden="false" customHeight="false" outlineLevel="0" collapsed="false">
      <c r="A100" s="3" t="s">
        <v>335</v>
      </c>
      <c r="C100" s="25" t="n">
        <f aca="false">SUMPRODUCT($G$76:$K$76,$G$83:$K$83)</f>
        <v>143.75</v>
      </c>
    </row>
    <row r="101" customFormat="false" ht="15" hidden="false" customHeight="false" outlineLevel="0" collapsed="false">
      <c r="A101" s="3" t="s">
        <v>336</v>
      </c>
      <c r="C101" s="3" t="str">
        <f aca="false">IF(SUM($G$76:$K$76)=0,"n/a (beyond horizon)",IF(SUMPRODUCT($G$76:$K$76,$G$47:$K$47)&gt;0,"REFINANCING PASS","REFINANCING FAILURE"))</f>
        <v>REFINANCING PASS</v>
      </c>
    </row>
    <row r="102" customFormat="false" ht="15" hidden="false" customHeight="false" outlineLevel="0" collapsed="false">
      <c r="A102" s="3" t="s">
        <v>337</v>
      </c>
      <c r="C102" s="3" t="str">
        <f aca="false">IF(SUM($G$76:$K$76)=0,"n/a",IF(C100&gt;=C99-0.001,"Repaid from cash",IF(SUMPRODUCT($G$76:$K$76,$G$47:$K$47)&gt;0,IF(C100&gt;0,"Partly repaid; remainder refinanced","Refinanced"),IF(SUM($G$85:$K$85)&gt;0.001,IF(C100&gt;0,"Partial repayment; PAYMENT DEFAULT","PAYMENT DEFAULT"),"Repaid from cash"))))</f>
        <v>Repaid from cash</v>
      </c>
    </row>
    <row r="103" customFormat="false" ht="15" hidden="false" customHeight="false" outlineLevel="0" collapsed="false">
      <c r="A103" s="3" t="s">
        <v>338</v>
      </c>
      <c r="C103" s="20" t="n">
        <f aca="false">IF(C93="REFINANCING FAILURE",1,0)+IF(C97="REFINANCING FAILURE",1,0)+IF(C101="REFINANCING FAILURE",1,0)</f>
        <v>0</v>
      </c>
    </row>
    <row r="105" customFormat="false" ht="15" hidden="false" customHeight="false" outlineLevel="0" collapsed="false">
      <c r="A105" s="23" t="s">
        <v>340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</row>
    <row r="106" customFormat="false" ht="15" hidden="false" customHeight="false" outlineLevel="0" collapsed="false">
      <c r="A106" s="3" t="s">
        <v>305</v>
      </c>
      <c r="G106" s="25" t="n">
        <f aca="false">F118</f>
        <v>463.996</v>
      </c>
      <c r="H106" s="25" t="n">
        <f aca="false">G118</f>
        <v>589.86335403</v>
      </c>
      <c r="I106" s="25" t="n">
        <f aca="false">H118</f>
        <v>706.0173737988</v>
      </c>
      <c r="J106" s="25" t="n">
        <f aca="false">I118</f>
        <v>390.575377766904</v>
      </c>
      <c r="K106" s="25" t="n">
        <f aca="false">J118</f>
        <v>499.440625970316</v>
      </c>
    </row>
    <row r="107" customFormat="false" ht="15" hidden="false" customHeight="false" outlineLevel="0" collapsed="false">
      <c r="A107" s="3" t="s">
        <v>341</v>
      </c>
      <c r="G107" s="25" t="n">
        <f aca="false">G36</f>
        <v>125.86735403</v>
      </c>
      <c r="H107" s="25" t="n">
        <f aca="false">H36</f>
        <v>116.1540197688</v>
      </c>
      <c r="I107" s="25" t="n">
        <f aca="false">I36</f>
        <v>105.014003968104</v>
      </c>
      <c r="J107" s="25" t="n">
        <f aca="false">J36</f>
        <v>108.865248203412</v>
      </c>
      <c r="K107" s="25" t="n">
        <f aca="false">K36</f>
        <v>99.6877228787792</v>
      </c>
    </row>
    <row r="108" customFormat="false" ht="15" hidden="false" customHeight="false" outlineLevel="0" collapsed="false">
      <c r="A108" s="3" t="s">
        <v>342</v>
      </c>
      <c r="G108" s="25" t="n">
        <f aca="false">CHOOSE($C$6,Assumptions!$G$74,Assumptions!$G$93,Assumptions!$G$112)</f>
        <v>0</v>
      </c>
      <c r="H108" s="25" t="n">
        <f aca="false">CHOOSE($C$6,Assumptions!$H$74,Assumptions!$H$93,Assumptions!$H$112)</f>
        <v>0</v>
      </c>
      <c r="I108" s="25" t="n">
        <f aca="false">CHOOSE($C$6,Assumptions!$I$74,Assumptions!$I$93,Assumptions!$I$112)</f>
        <v>0</v>
      </c>
      <c r="J108" s="25" t="n">
        <f aca="false">CHOOSE($C$6,Assumptions!$J$74,Assumptions!$J$93,Assumptions!$J$112)</f>
        <v>0</v>
      </c>
      <c r="K108" s="25" t="n">
        <f aca="false">CHOOSE($C$6,Assumptions!$K$74,Assumptions!$K$93,Assumptions!$K$112)</f>
        <v>0</v>
      </c>
    </row>
    <row r="109" customFormat="false" ht="15" hidden="false" customHeight="false" outlineLevel="0" collapsed="false">
      <c r="A109" s="3" t="s">
        <v>343</v>
      </c>
      <c r="G109" s="25" t="n">
        <f aca="false">G55+G68+G81</f>
        <v>0</v>
      </c>
      <c r="H109" s="25" t="n">
        <f aca="false">H55+H68+H81</f>
        <v>0</v>
      </c>
      <c r="I109" s="25" t="n">
        <f aca="false">I55+I68+I81</f>
        <v>0</v>
      </c>
      <c r="J109" s="25" t="n">
        <f aca="false">J55+J68+J81</f>
        <v>0</v>
      </c>
      <c r="K109" s="25" t="n">
        <f aca="false">K55+K68+K81</f>
        <v>0</v>
      </c>
    </row>
    <row r="110" customFormat="false" ht="15" hidden="false" customHeight="false" outlineLevel="0" collapsed="false">
      <c r="A110" s="2" t="s">
        <v>344</v>
      </c>
      <c r="G110" s="16" t="n">
        <f aca="false">G106+G107+G108-G109</f>
        <v>589.86335403</v>
      </c>
      <c r="H110" s="16" t="n">
        <f aca="false">H106+H107+H108-H109</f>
        <v>706.0173737988</v>
      </c>
      <c r="I110" s="16" t="n">
        <f aca="false">I106+I107+I108-I109</f>
        <v>811.031377766904</v>
      </c>
      <c r="J110" s="16" t="n">
        <f aca="false">J106+J107+J108-J109</f>
        <v>499.440625970316</v>
      </c>
      <c r="K110" s="16" t="n">
        <f aca="false">K106+K107+K108-K109</f>
        <v>599.128348849095</v>
      </c>
    </row>
    <row r="111" customFormat="false" ht="15" hidden="false" customHeight="false" outlineLevel="0" collapsed="false">
      <c r="A111" s="3" t="s">
        <v>345</v>
      </c>
      <c r="G111" s="25" t="n">
        <f aca="false">G56+G69+G82</f>
        <v>0</v>
      </c>
      <c r="H111" s="25" t="n">
        <f aca="false">H56+H69+H82</f>
        <v>0</v>
      </c>
      <c r="I111" s="25" t="n">
        <f aca="false">I56+I69+I82</f>
        <v>0</v>
      </c>
      <c r="J111" s="25" t="n">
        <f aca="false">J56+J69+J82</f>
        <v>0</v>
      </c>
      <c r="K111" s="25" t="n">
        <f aca="false">K56+K69+K82</f>
        <v>0</v>
      </c>
    </row>
    <row r="112" customFormat="false" ht="15" hidden="false" customHeight="false" outlineLevel="0" collapsed="false">
      <c r="A112" s="2" t="s">
        <v>346</v>
      </c>
      <c r="G112" s="16" t="n">
        <f aca="false">G110+G111</f>
        <v>589.86335403</v>
      </c>
      <c r="H112" s="16" t="n">
        <f aca="false">H110+H111</f>
        <v>706.0173737988</v>
      </c>
      <c r="I112" s="16" t="n">
        <f aca="false">I110+I111</f>
        <v>811.031377766904</v>
      </c>
      <c r="J112" s="16" t="n">
        <f aca="false">J110+J111</f>
        <v>499.440625970316</v>
      </c>
      <c r="K112" s="16" t="n">
        <f aca="false">K110+K111</f>
        <v>599.128348849095</v>
      </c>
    </row>
    <row r="113" customFormat="false" ht="15" hidden="false" customHeight="false" outlineLevel="0" collapsed="false">
      <c r="A113" s="3" t="s">
        <v>347</v>
      </c>
      <c r="G113" s="25" t="n">
        <f aca="false">G57+G70+G83</f>
        <v>0</v>
      </c>
      <c r="H113" s="25" t="n">
        <f aca="false">H57+H70+H83</f>
        <v>0</v>
      </c>
      <c r="I113" s="25" t="n">
        <f aca="false">I57+I70+I83</f>
        <v>420.456</v>
      </c>
      <c r="J113" s="25" t="n">
        <f aca="false">J57+J70+J83</f>
        <v>0</v>
      </c>
      <c r="K113" s="25" t="n">
        <f aca="false">K57+K70+K83</f>
        <v>0</v>
      </c>
    </row>
    <row r="114" customFormat="false" ht="15" hidden="false" customHeight="false" outlineLevel="0" collapsed="false">
      <c r="A114" s="2" t="s">
        <v>348</v>
      </c>
      <c r="G114" s="16" t="n">
        <f aca="false">G112-G113</f>
        <v>589.86335403</v>
      </c>
      <c r="H114" s="16" t="n">
        <f aca="false">H112-H113</f>
        <v>706.0173737988</v>
      </c>
      <c r="I114" s="16" t="n">
        <f aca="false">I112-I113</f>
        <v>390.575377766904</v>
      </c>
      <c r="J114" s="16" t="n">
        <f aca="false">J112-J113</f>
        <v>499.440625970316</v>
      </c>
      <c r="K114" s="16" t="n">
        <f aca="false">K112-K113</f>
        <v>599.128348849095</v>
      </c>
    </row>
    <row r="115" customFormat="false" ht="15" hidden="false" customHeight="false" outlineLevel="0" collapsed="false">
      <c r="A115" s="3" t="s">
        <v>349</v>
      </c>
      <c r="G115" s="25" t="n">
        <f aca="false">MAX(0,-G114)</f>
        <v>0</v>
      </c>
      <c r="H115" s="25" t="n">
        <f aca="false">MAX(0,-H114)</f>
        <v>0</v>
      </c>
      <c r="I115" s="25" t="n">
        <f aca="false">MAX(0,-I114)</f>
        <v>0</v>
      </c>
      <c r="J115" s="25" t="n">
        <f aca="false">MAX(0,-J114)</f>
        <v>0</v>
      </c>
      <c r="K115" s="25" t="n">
        <f aca="false">MAX(0,-K114)</f>
        <v>0</v>
      </c>
    </row>
    <row r="116" customFormat="false" ht="15" hidden="false" customHeight="false" outlineLevel="0" collapsed="false">
      <c r="A116" s="3" t="s">
        <v>350</v>
      </c>
      <c r="G116" s="25" t="n">
        <f aca="false">MAX(0,G114-Assumptions!$C$12)*Assumptions!$C$13</f>
        <v>0</v>
      </c>
      <c r="H116" s="25" t="n">
        <f aca="false">MAX(0,H114-Assumptions!$C$12)*Assumptions!$C$13</f>
        <v>0</v>
      </c>
      <c r="I116" s="25" t="n">
        <f aca="false">MAX(0,I114-Assumptions!$C$12)*Assumptions!$C$13</f>
        <v>0</v>
      </c>
      <c r="J116" s="25" t="n">
        <f aca="false">MAX(0,J114-Assumptions!$C$12)*Assumptions!$C$13</f>
        <v>0</v>
      </c>
      <c r="K116" s="25" t="n">
        <f aca="false">MAX(0,K114-Assumptions!$C$12)*Assumptions!$C$13</f>
        <v>0</v>
      </c>
    </row>
    <row r="117" customFormat="false" ht="15" hidden="false" customHeight="false" outlineLevel="0" collapsed="false">
      <c r="A117" s="3" t="s">
        <v>351</v>
      </c>
      <c r="G117" s="25" t="n">
        <f aca="false">G58+G71+G84</f>
        <v>0</v>
      </c>
      <c r="H117" s="25" t="n">
        <f aca="false">H58+H71+H84</f>
        <v>0</v>
      </c>
      <c r="I117" s="25" t="n">
        <f aca="false">I58+I71+I84</f>
        <v>0</v>
      </c>
      <c r="J117" s="25" t="n">
        <f aca="false">J58+J71+J84</f>
        <v>0</v>
      </c>
      <c r="K117" s="25" t="n">
        <f aca="false">K58+K71+K84</f>
        <v>0</v>
      </c>
    </row>
    <row r="118" customFormat="false" ht="15" hidden="false" customHeight="false" outlineLevel="0" collapsed="false">
      <c r="A118" s="2" t="s">
        <v>352</v>
      </c>
      <c r="F118" s="28" t="n">
        <f aca="false">Assumptions!$C$11</f>
        <v>463.996</v>
      </c>
      <c r="G118" s="16" t="n">
        <f aca="false">G114-G117</f>
        <v>589.86335403</v>
      </c>
      <c r="H118" s="16" t="n">
        <f aca="false">H114-H117</f>
        <v>706.0173737988</v>
      </c>
      <c r="I118" s="16" t="n">
        <f aca="false">I114-I117</f>
        <v>390.575377766904</v>
      </c>
      <c r="J118" s="16" t="n">
        <f aca="false">J114-J117</f>
        <v>499.440625970316</v>
      </c>
      <c r="K118" s="16" t="n">
        <f aca="false">K114-K117</f>
        <v>599.128348849095</v>
      </c>
    </row>
    <row r="119" customFormat="false" ht="15" hidden="false" customHeight="false" outlineLevel="0" collapsed="false">
      <c r="A119" s="3" t="s">
        <v>353</v>
      </c>
      <c r="G119" s="25" t="n">
        <f aca="false">G59+G72+G85</f>
        <v>0</v>
      </c>
      <c r="H119" s="25" t="n">
        <f aca="false">H59+H72+H85</f>
        <v>0</v>
      </c>
      <c r="I119" s="25" t="n">
        <f aca="false">I59+I72+I85</f>
        <v>0</v>
      </c>
      <c r="J119" s="25" t="n">
        <f aca="false">J59+J72+J85</f>
        <v>0</v>
      </c>
      <c r="K119" s="25" t="n">
        <f aca="false">K59+K72+K85</f>
        <v>0</v>
      </c>
    </row>
    <row r="120" customFormat="false" ht="15" hidden="false" customHeight="false" outlineLevel="0" collapsed="false">
      <c r="A120" s="3" t="s">
        <v>354</v>
      </c>
      <c r="G120" s="20" t="n">
        <f aca="false">IF(OR(G115&gt;0.001,G119&gt;0.001),1,0)</f>
        <v>0</v>
      </c>
      <c r="H120" s="20" t="n">
        <f aca="false">IF(OR(H115&gt;0.001,H119&gt;0.001),1,0)</f>
        <v>0</v>
      </c>
      <c r="I120" s="20" t="n">
        <f aca="false">IF(OR(I115&gt;0.001,I119&gt;0.001),1,0)</f>
        <v>0</v>
      </c>
      <c r="J120" s="20" t="n">
        <f aca="false">IF(OR(J115&gt;0.001,J119&gt;0.001),1,0)</f>
        <v>0</v>
      </c>
      <c r="K120" s="20" t="n">
        <f aca="false">IF(OR(K115&gt;0.001,K119&gt;0.001),1,0)</f>
        <v>0</v>
      </c>
    </row>
    <row r="121" customFormat="false" ht="15" hidden="false" customHeight="false" outlineLevel="0" collapsed="false">
      <c r="A121" s="3" t="s">
        <v>355</v>
      </c>
      <c r="G121" s="20" t="n">
        <f aca="false">IF(G120=1,1,0)</f>
        <v>0</v>
      </c>
      <c r="H121" s="20" t="n">
        <f aca="false">IF(AND(H120=1,SUM($G$120:G120)=0),1,0)</f>
        <v>0</v>
      </c>
      <c r="I121" s="20" t="n">
        <f aca="false">IF(AND(I120=1,SUM($G$120:H120)=0),1,0)</f>
        <v>0</v>
      </c>
      <c r="J121" s="20" t="n">
        <f aca="false">IF(AND(J120=1,SUM($G$120:I120)=0),1,0)</f>
        <v>0</v>
      </c>
      <c r="K121" s="20" t="n">
        <f aca="false">IF(AND(K120=1,SUM($G$120:J120)=0),1,0)</f>
        <v>0</v>
      </c>
    </row>
    <row r="122" customFormat="false" ht="15" hidden="false" customHeight="false" outlineLevel="0" collapsed="false">
      <c r="A122" s="3" t="s">
        <v>356</v>
      </c>
      <c r="G122" s="25" t="n">
        <f aca="false">(G88-F88)-(G111+G28-G109-G113-G117)</f>
        <v>0</v>
      </c>
      <c r="H122" s="25" t="n">
        <f aca="false">(H88-G88)-(H111+H28-H109-H113-H117)</f>
        <v>0</v>
      </c>
      <c r="I122" s="25" t="n">
        <f aca="false">(I88-H88)-(I111+I28-I109-I113-I117)</f>
        <v>0</v>
      </c>
      <c r="J122" s="25" t="n">
        <f aca="false">(J88-I88)-(J111+J28-J109-J113-J117)</f>
        <v>0</v>
      </c>
      <c r="K122" s="25" t="n">
        <f aca="false">(K88-J88)-(K111+K28-K109-K113-K117)</f>
        <v>0</v>
      </c>
    </row>
    <row r="124" customFormat="false" ht="15" hidden="false" customHeight="false" outlineLevel="0" collapsed="false">
      <c r="A124" s="23" t="s">
        <v>358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customFormat="false" ht="15" hidden="false" customHeight="false" outlineLevel="0" collapsed="false">
      <c r="A125" s="3" t="s">
        <v>359</v>
      </c>
      <c r="G125" s="25" t="n">
        <f aca="false">G88</f>
        <v>1735.554</v>
      </c>
      <c r="H125" s="25" t="n">
        <f aca="false">H88</f>
        <v>1735.554</v>
      </c>
      <c r="I125" s="25" t="n">
        <f aca="false">I88</f>
        <v>1315.098</v>
      </c>
      <c r="J125" s="25" t="n">
        <f aca="false">J88</f>
        <v>1315.098</v>
      </c>
      <c r="K125" s="25" t="n">
        <f aca="false">K88</f>
        <v>1315.098</v>
      </c>
    </row>
    <row r="126" customFormat="false" ht="15" hidden="false" customHeight="false" outlineLevel="0" collapsed="false">
      <c r="A126" s="3" t="s">
        <v>360</v>
      </c>
      <c r="G126" s="25" t="n">
        <f aca="false">Assumptions!$O$56*G60+Assumptions!$O$57*G73+Assumptions!$O$58*G86</f>
        <v>1315.098</v>
      </c>
      <c r="H126" s="25" t="n">
        <f aca="false">Assumptions!$O$56*H60+Assumptions!$O$57*H73+Assumptions!$O$58*H86</f>
        <v>1315.098</v>
      </c>
      <c r="I126" s="25" t="n">
        <f aca="false">Assumptions!$O$56*I60+Assumptions!$O$57*I73+Assumptions!$O$58*I86</f>
        <v>1315.098</v>
      </c>
      <c r="J126" s="25" t="n">
        <f aca="false">Assumptions!$O$56*J60+Assumptions!$O$57*J73+Assumptions!$O$58*J86</f>
        <v>1315.098</v>
      </c>
      <c r="K126" s="25" t="n">
        <f aca="false">Assumptions!$O$56*K60+Assumptions!$O$57*K73+Assumptions!$O$58*K86</f>
        <v>1315.098</v>
      </c>
    </row>
    <row r="127" customFormat="false" ht="15" hidden="false" customHeight="false" outlineLevel="0" collapsed="false">
      <c r="A127" s="3" t="s">
        <v>361</v>
      </c>
      <c r="G127" s="25" t="n">
        <f aca="false">G125-G118</f>
        <v>1145.69064597</v>
      </c>
      <c r="H127" s="25" t="n">
        <f aca="false">H125-H118</f>
        <v>1029.5366262012</v>
      </c>
      <c r="I127" s="25" t="n">
        <f aca="false">I125-I118</f>
        <v>924.522622233096</v>
      </c>
      <c r="J127" s="25" t="n">
        <f aca="false">J125-J118</f>
        <v>815.657374029684</v>
      </c>
      <c r="K127" s="25" t="n">
        <f aca="false">K125-K118</f>
        <v>715.969651150905</v>
      </c>
    </row>
    <row r="128" customFormat="false" ht="15" hidden="false" customHeight="false" outlineLevel="0" collapsed="false">
      <c r="A128" s="3" t="s">
        <v>362</v>
      </c>
      <c r="G128" s="32" t="n">
        <f aca="false">IF(G23&gt;0,G125/G23,0)</f>
        <v>5.77916207762031</v>
      </c>
      <c r="H128" s="32" t="n">
        <f aca="false">IF(H23&gt;0,H125/H23,0)</f>
        <v>6.01996049752115</v>
      </c>
      <c r="I128" s="32" t="n">
        <f aca="false">IF(I23&gt;0,I125/I23,0)</f>
        <v>4.79551511119407</v>
      </c>
      <c r="J128" s="32" t="n">
        <f aca="false">IF(J23&gt;0,J125/J23,0)</f>
        <v>5.01653339406293</v>
      </c>
      <c r="K128" s="32" t="n">
        <f aca="false">IF(K23&gt;0,K125/K23,0)</f>
        <v>5.2488732235156</v>
      </c>
    </row>
    <row r="129" customFormat="false" ht="15" hidden="false" customHeight="false" outlineLevel="0" collapsed="false">
      <c r="A129" s="3" t="s">
        <v>363</v>
      </c>
      <c r="G129" s="32" t="n">
        <f aca="false">IF(G23&gt;0,G127/G23,0)</f>
        <v>3.81499621093561</v>
      </c>
      <c r="H129" s="32" t="n">
        <f aca="false">IF(H23&gt;0,H127/H23,0)</f>
        <v>3.57106135590274</v>
      </c>
      <c r="I129" s="32" t="n">
        <f aca="false">IF(I23&gt;0,I127/I23,0)</f>
        <v>3.37127895073947</v>
      </c>
      <c r="J129" s="32" t="n">
        <f aca="false">IF(J23&gt;0,J127/J23,0)</f>
        <v>3.11138215930188</v>
      </c>
      <c r="K129" s="32" t="n">
        <f aca="false">IF(K23&gt;0,K127/K23,0)</f>
        <v>2.85760751729209</v>
      </c>
    </row>
    <row r="130" customFormat="false" ht="15" hidden="false" customHeight="false" outlineLevel="0" collapsed="false">
      <c r="A130" s="3" t="s">
        <v>364</v>
      </c>
      <c r="G130" s="32" t="n">
        <f aca="false">IF(G27&gt;0,G23/G27,0)</f>
        <v>1.92563899625449</v>
      </c>
      <c r="H130" s="32" t="n">
        <f aca="false">IF(H27&gt;0,H23/H27,0)</f>
        <v>1.84861343640431</v>
      </c>
      <c r="I130" s="32" t="n">
        <f aca="false">IF(I27&gt;0,I23/I27,0)</f>
        <v>1.75842750947116</v>
      </c>
      <c r="J130" s="32" t="n">
        <f aca="false">IF(J27&gt;0,J23/J27,0)</f>
        <v>1.89848422719182</v>
      </c>
      <c r="K130" s="32" t="n">
        <f aca="false">IF(K27&gt;0,K23/K27,0)</f>
        <v>1.81444838125289</v>
      </c>
    </row>
    <row r="131" customFormat="false" ht="15" hidden="false" customHeight="false" outlineLevel="0" collapsed="false">
      <c r="A131" s="3" t="s">
        <v>365</v>
      </c>
      <c r="G131" s="32" t="n">
        <f aca="false">IF(G27&gt;0,G26/G27,0)</f>
        <v>1.25417683356324</v>
      </c>
      <c r="H131" s="32" t="n">
        <f aca="false">IF(H27&gt;0,H26/H27,0)</f>
        <v>1.20400976022071</v>
      </c>
      <c r="I131" s="32" t="n">
        <f aca="false">IF(I27&gt;0,I26/I27,0)</f>
        <v>1.13638496195398</v>
      </c>
      <c r="J131" s="32" t="n">
        <f aca="false">IF(J27&gt;0,J26/J27,0)</f>
        <v>1.21702042306555</v>
      </c>
      <c r="K131" s="32" t="n">
        <f aca="false">IF(K27&gt;0,K26/K27,0)</f>
        <v>1.1534284912504</v>
      </c>
    </row>
    <row r="132" customFormat="false" ht="15" hidden="false" customHeight="false" outlineLevel="0" collapsed="false">
      <c r="A132" s="3" t="s">
        <v>198</v>
      </c>
      <c r="G132" s="21" t="n">
        <f aca="false">IF(G125&gt;0,G36/G125,0)</f>
        <v>0.0725228682196002</v>
      </c>
      <c r="H132" s="21" t="n">
        <f aca="false">IF(H125&gt;0,H36/H125,0)</f>
        <v>0.0669261917340515</v>
      </c>
      <c r="I132" s="21" t="n">
        <f aca="false">IF(I125&gt;0,I36/I125,0)</f>
        <v>0.0798526071578726</v>
      </c>
      <c r="J132" s="21" t="n">
        <f aca="false">IF(J125&gt;0,J36/J125,0)</f>
        <v>0.0827810917539313</v>
      </c>
      <c r="K132" s="21" t="n">
        <f aca="false">IF(K125&gt;0,K36/K125,0)</f>
        <v>0.0758025051203631</v>
      </c>
    </row>
    <row r="133" customFormat="false" ht="15" hidden="false" customHeight="false" outlineLevel="0" collapsed="false">
      <c r="A133" s="3" t="s">
        <v>366</v>
      </c>
      <c r="G133" s="32" t="n">
        <f aca="false">IF(G27+G109&gt;0,(G23-G34-G31)/(G27+G109),0)</f>
        <v>1.66953088823823</v>
      </c>
      <c r="H133" s="32" t="n">
        <f aca="false">IF(H27+H109&gt;0,(H23-H34-H31)/(H27+H109),0)</f>
        <v>1.6127496527087</v>
      </c>
      <c r="I133" s="32" t="n">
        <f aca="false">IF(I27+I109&gt;0,(I23-I34-I31)/(I27+I109),0)</f>
        <v>1.54594007236964</v>
      </c>
      <c r="J133" s="32" t="n">
        <f aca="false">IF(J27+J109&gt;0,(J23-J34-J31)/(J27+J109),0)</f>
        <v>1.64879692156745</v>
      </c>
      <c r="K133" s="32" t="n">
        <f aca="false">IF(K27+K109&gt;0,(K23-K34-K31)/(K27+K109),0)</f>
        <v>1.58652202457805</v>
      </c>
    </row>
    <row r="134" customFormat="false" ht="15" hidden="false" customHeight="false" outlineLevel="0" collapsed="false">
      <c r="A134" s="3" t="s">
        <v>367</v>
      </c>
      <c r="G134" s="25" t="n">
        <f aca="false">MAX(0,G118)+Assumptions!$P$56*MAX(0,Assumptions!$D$56-G60)+Assumptions!$P$57*MAX(0,Assumptions!$D$57-G73)+Assumptions!$P$58*MAX(0,Assumptions!$D$58-G86)</f>
        <v>589.86335403</v>
      </c>
      <c r="H134" s="25" t="n">
        <f aca="false">MAX(0,H118)+Assumptions!$P$56*MAX(0,Assumptions!$D$56-H60)+Assumptions!$P$57*MAX(0,Assumptions!$D$57-H73)+Assumptions!$P$58*MAX(0,Assumptions!$D$58-H86)</f>
        <v>706.0173737988</v>
      </c>
      <c r="I134" s="25" t="n">
        <f aca="false">MAX(0,I118)+Assumptions!$P$56*MAX(0,Assumptions!$D$56-I60)+Assumptions!$P$57*MAX(0,Assumptions!$D$57-I73)+Assumptions!$P$58*MAX(0,Assumptions!$D$58-I86)</f>
        <v>390.575377766904</v>
      </c>
      <c r="J134" s="25" t="n">
        <f aca="false">MAX(0,J118)+Assumptions!$P$56*MAX(0,Assumptions!$D$56-J60)+Assumptions!$P$57*MAX(0,Assumptions!$D$57-J73)+Assumptions!$P$58*MAX(0,Assumptions!$D$58-J86)</f>
        <v>499.440625970316</v>
      </c>
      <c r="K134" s="25" t="n">
        <f aca="false">MAX(0,K118)+Assumptions!$P$56*MAX(0,Assumptions!$D$56-K60)+Assumptions!$P$57*MAX(0,Assumptions!$D$57-K73)+Assumptions!$P$58*MAX(0,Assumptions!$D$58-K86)</f>
        <v>599.128348849095</v>
      </c>
    </row>
    <row r="135" customFormat="false" ht="15" hidden="false" customHeight="false" outlineLevel="0" collapsed="false">
      <c r="A135" s="3" t="s">
        <v>368</v>
      </c>
      <c r="G135" s="21" t="n">
        <f aca="false">IF(G125&gt;0,G125/(G125+MAX(0,G23*CHOOSE($C$6,Assumptions!$C$82,Assumptions!$C$101,Assumptions!$C$120)-G127)),0)</f>
        <v>0.774254240974845</v>
      </c>
      <c r="H135" s="21" t="n">
        <f aca="false">IF(H125&gt;0,H125/(H125+MAX(0,H23*CHOOSE($C$6,Assumptions!$C$82,Assumptions!$C$101,Assumptions!$C$120)-H127)),0)</f>
        <v>0.757332605467614</v>
      </c>
      <c r="I135" s="21" t="n">
        <f aca="false">IF(I125&gt;0,I125/(I125+MAX(0,I23*CHOOSE($C$6,Assumptions!$C$82,Assumptions!$C$101,Assumptions!$C$120)-I127)),0)</f>
        <v>0.692569548476987</v>
      </c>
      <c r="J135" s="21" t="n">
        <f aca="false">IF(J125&gt;0,J125/(J125+MAX(0,J23*CHOOSE($C$6,Assumptions!$C$82,Assumptions!$C$101,Assumptions!$C$120)-J127)),0)</f>
        <v>0.677438344609961</v>
      </c>
      <c r="K135" s="21" t="n">
        <f aca="false">IF(K125&gt;0,K125/(K125+MAX(0,K23*CHOOSE($C$6,Assumptions!$C$82,Assumptions!$C$101,Assumptions!$C$120)-K127)),0)</f>
        <v>0.665149726155595</v>
      </c>
    </row>
    <row r="136" customFormat="false" ht="15" hidden="false" customHeight="false" outlineLevel="0" collapsed="false">
      <c r="A136" s="3" t="s">
        <v>369</v>
      </c>
      <c r="G136" s="21" t="n">
        <f aca="false">IF(G125&gt;0,MAX(0,G118)/G125,0)</f>
        <v>0.339870354958705</v>
      </c>
      <c r="H136" s="21" t="n">
        <f aca="false">IF(H125&gt;0,MAX(0,H118)/H125,0)</f>
        <v>0.406796546692756</v>
      </c>
      <c r="I136" s="21" t="n">
        <f aca="false">IF(I125&gt;0,MAX(0,I118)/I125,0)</f>
        <v>0.296993363055</v>
      </c>
      <c r="J136" s="21" t="n">
        <f aca="false">IF(J125&gt;0,MAX(0,J118)/J125,0)</f>
        <v>0.379774454808931</v>
      </c>
      <c r="K136" s="21" t="n">
        <f aca="false">IF(K125&gt;0,MAX(0,K118)/K125,0)</f>
        <v>0.455576959929294</v>
      </c>
    </row>
    <row r="137" customFormat="false" ht="15" hidden="false" customHeight="false" outlineLevel="0" collapsed="false">
      <c r="A137" s="3" t="s">
        <v>370</v>
      </c>
      <c r="G137" s="25" t="n">
        <f aca="false">Assumptions!$C$30*(1-CHOOSE($C$6,Assumptions!$C$85,Assumptions!$C$104,Assumptions!$C$123))</f>
        <v>2454.971</v>
      </c>
      <c r="H137" s="25" t="n">
        <f aca="false">Assumptions!$C$30*(1-CHOOSE($C$6,Assumptions!$C$85,Assumptions!$C$104,Assumptions!$C$123))</f>
        <v>2454.971</v>
      </c>
      <c r="I137" s="25" t="n">
        <f aca="false">Assumptions!$C$30*(1-CHOOSE($C$6,Assumptions!$C$85,Assumptions!$C$104,Assumptions!$C$123))</f>
        <v>2454.971</v>
      </c>
      <c r="J137" s="25" t="n">
        <f aca="false">Assumptions!$C$30*(1-CHOOSE($C$6,Assumptions!$C$85,Assumptions!$C$104,Assumptions!$C$123))</f>
        <v>2454.971</v>
      </c>
      <c r="K137" s="25" t="n">
        <f aca="false">Assumptions!$C$30*(1-CHOOSE($C$6,Assumptions!$C$85,Assumptions!$C$104,Assumptions!$C$123))</f>
        <v>2454.971</v>
      </c>
    </row>
    <row r="138" customFormat="false" ht="15" hidden="false" customHeight="false" outlineLevel="0" collapsed="false">
      <c r="A138" s="23" t="s">
        <v>371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</row>
    <row r="139" customFormat="false" ht="15" hidden="false" customHeight="false" outlineLevel="0" collapsed="false">
      <c r="A139" s="23" t="s">
        <v>372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</row>
    <row r="140" customFormat="false" ht="15" hidden="false" customHeight="false" outlineLevel="0" collapsed="false">
      <c r="A140" s="3" t="s">
        <v>373</v>
      </c>
      <c r="G140" s="32" t="n">
        <f aca="false">IF(G23&gt;0,G127/G23,99)</f>
        <v>3.81499621093561</v>
      </c>
      <c r="H140" s="32" t="n">
        <f aca="false">IF(H23&gt;0,H127/H23,99)</f>
        <v>3.57106135590274</v>
      </c>
      <c r="I140" s="32" t="n">
        <f aca="false">IF(I23&gt;0,I127/I23,99)</f>
        <v>3.37127895073947</v>
      </c>
      <c r="J140" s="32" t="n">
        <f aca="false">IF(J23&gt;0,J127/J23,99)</f>
        <v>3.11138215930188</v>
      </c>
      <c r="K140" s="32" t="n">
        <f aca="false">IF(K23&gt;0,K127/K23,99)</f>
        <v>2.85760751729209</v>
      </c>
    </row>
    <row r="141" customFormat="false" ht="15" hidden="false" customHeight="false" outlineLevel="0" collapsed="false">
      <c r="A141" s="3" t="s">
        <v>374</v>
      </c>
      <c r="G141" s="33" t="n">
        <f aca="false">Assumptions!$G$65</f>
        <v>5.25</v>
      </c>
      <c r="H141" s="33" t="n">
        <f aca="false">Assumptions!$H$65</f>
        <v>5.25</v>
      </c>
      <c r="I141" s="33" t="n">
        <f aca="false">Assumptions!$I$65</f>
        <v>5</v>
      </c>
      <c r="J141" s="33" t="n">
        <f aca="false">Assumptions!$J$65</f>
        <v>5</v>
      </c>
      <c r="K141" s="33" t="n">
        <f aca="false">Assumptions!$K$65</f>
        <v>5</v>
      </c>
    </row>
    <row r="142" customFormat="false" ht="15" hidden="false" customHeight="false" outlineLevel="0" collapsed="false">
      <c r="A142" s="3" t="s">
        <v>375</v>
      </c>
      <c r="G142" s="32" t="n">
        <f aca="false">G141-G140</f>
        <v>1.43500378906439</v>
      </c>
      <c r="H142" s="32" t="n">
        <f aca="false">H141-H140</f>
        <v>1.67893864409726</v>
      </c>
      <c r="I142" s="32" t="n">
        <f aca="false">I141-I140</f>
        <v>1.62872104926053</v>
      </c>
      <c r="J142" s="32" t="n">
        <f aca="false">J141-J140</f>
        <v>1.88861784069812</v>
      </c>
      <c r="K142" s="32" t="n">
        <f aca="false">K141-K140</f>
        <v>2.14239248270791</v>
      </c>
    </row>
    <row r="143" customFormat="false" ht="15" hidden="false" customHeight="false" outlineLevel="0" collapsed="false">
      <c r="A143" s="3" t="s">
        <v>376</v>
      </c>
      <c r="G143" s="21" t="n">
        <f aca="false">IF(G141=0,0,G142/ABS(G141))</f>
        <v>0.273334055059884</v>
      </c>
      <c r="H143" s="21" t="n">
        <f aca="false">IF(H141=0,0,H142/ABS(H141))</f>
        <v>0.319797836970907</v>
      </c>
      <c r="I143" s="21" t="n">
        <f aca="false">IF(I141=0,0,I142/ABS(I141))</f>
        <v>0.325744209852106</v>
      </c>
      <c r="J143" s="21" t="n">
        <f aca="false">IF(J141=0,0,J142/ABS(J141))</f>
        <v>0.377723568139623</v>
      </c>
      <c r="K143" s="21" t="n">
        <f aca="false">IF(K141=0,0,K142/ABS(K141))</f>
        <v>0.428478496541582</v>
      </c>
    </row>
    <row r="144" customFormat="false" ht="15" hidden="false" customHeight="false" outlineLevel="0" collapsed="false">
      <c r="A144" s="3" t="s">
        <v>377</v>
      </c>
      <c r="G144" s="20" t="n">
        <f aca="false">IF(G142&lt;0,1,0)</f>
        <v>0</v>
      </c>
      <c r="H144" s="20" t="n">
        <f aca="false">IF(H142&lt;0,1,0)</f>
        <v>0</v>
      </c>
      <c r="I144" s="20" t="n">
        <f aca="false">IF(I142&lt;0,1,0)</f>
        <v>0</v>
      </c>
      <c r="J144" s="20" t="n">
        <f aca="false">IF(J142&lt;0,1,0)</f>
        <v>0</v>
      </c>
      <c r="K144" s="20" t="n">
        <f aca="false">IF(K142&lt;0,1,0)</f>
        <v>0</v>
      </c>
    </row>
    <row r="145" customFormat="false" ht="15" hidden="false" customHeight="false" outlineLevel="0" collapsed="false">
      <c r="A145" s="3" t="s">
        <v>378</v>
      </c>
      <c r="C145" s="20" t="n">
        <f aca="false">IFERROR(INDEX($G$13:$K$13,MATCH(1,$G$144:$K$144,0)),0)</f>
        <v>0</v>
      </c>
    </row>
    <row r="146" customFormat="false" ht="15" hidden="false" customHeight="false" outlineLevel="0" collapsed="false">
      <c r="A146" s="3" t="s">
        <v>379</v>
      </c>
      <c r="C146" s="21" t="n">
        <f aca="false">MIN($G$143:$K$143)</f>
        <v>0.273334055059884</v>
      </c>
    </row>
    <row r="147" customFormat="false" ht="15" hidden="false" customHeight="false" outlineLevel="0" collapsed="false">
      <c r="A147" s="23" t="s">
        <v>380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customFormat="false" ht="15" hidden="false" customHeight="false" outlineLevel="0" collapsed="false">
      <c r="A148" s="3" t="s">
        <v>373</v>
      </c>
      <c r="G148" s="32" t="n">
        <f aca="false">IF(G27&gt;0,G23/G27,99)</f>
        <v>1.92563899625449</v>
      </c>
      <c r="H148" s="32" t="n">
        <f aca="false">IF(H27&gt;0,H23/H27,99)</f>
        <v>1.84861343640431</v>
      </c>
      <c r="I148" s="32" t="n">
        <f aca="false">IF(I27&gt;0,I23/I27,99)</f>
        <v>1.75842750947116</v>
      </c>
      <c r="J148" s="32" t="n">
        <f aca="false">IF(J27&gt;0,J23/J27,99)</f>
        <v>1.89848422719182</v>
      </c>
      <c r="K148" s="32" t="n">
        <f aca="false">IF(K27&gt;0,K23/K27,99)</f>
        <v>1.81444838125289</v>
      </c>
    </row>
    <row r="149" customFormat="false" ht="15" hidden="false" customHeight="false" outlineLevel="0" collapsed="false">
      <c r="A149" s="3" t="s">
        <v>374</v>
      </c>
      <c r="G149" s="33" t="n">
        <f aca="false">Assumptions!$G$66</f>
        <v>1.4</v>
      </c>
      <c r="H149" s="33" t="n">
        <f aca="false">Assumptions!$H$66</f>
        <v>1.4</v>
      </c>
      <c r="I149" s="33" t="n">
        <f aca="false">Assumptions!$I$66</f>
        <v>1.4</v>
      </c>
      <c r="J149" s="33" t="n">
        <f aca="false">Assumptions!$J$66</f>
        <v>1.5</v>
      </c>
      <c r="K149" s="33" t="n">
        <f aca="false">Assumptions!$K$66</f>
        <v>1.5</v>
      </c>
    </row>
    <row r="150" customFormat="false" ht="15" hidden="false" customHeight="false" outlineLevel="0" collapsed="false">
      <c r="A150" s="3" t="s">
        <v>375</v>
      </c>
      <c r="G150" s="32" t="n">
        <f aca="false">G148-G149</f>
        <v>0.525638996254489</v>
      </c>
      <c r="H150" s="32" t="n">
        <f aca="false">H148-H149</f>
        <v>0.448613436404309</v>
      </c>
      <c r="I150" s="32" t="n">
        <f aca="false">I148-I149</f>
        <v>0.358427509471156</v>
      </c>
      <c r="J150" s="32" t="n">
        <f aca="false">J148-J149</f>
        <v>0.398484227191822</v>
      </c>
      <c r="K150" s="32" t="n">
        <f aca="false">K148-K149</f>
        <v>0.31444838125289</v>
      </c>
    </row>
    <row r="151" customFormat="false" ht="15" hidden="false" customHeight="false" outlineLevel="0" collapsed="false">
      <c r="A151" s="3" t="s">
        <v>376</v>
      </c>
      <c r="G151" s="21" t="n">
        <f aca="false">IF(G149=0,0,G150/ABS(G149))</f>
        <v>0.375456425896063</v>
      </c>
      <c r="H151" s="21" t="n">
        <f aca="false">IF(H149=0,0,H150/ABS(H149))</f>
        <v>0.320438168860221</v>
      </c>
      <c r="I151" s="21" t="n">
        <f aca="false">IF(I149=0,0,I150/ABS(I149))</f>
        <v>0.256019649622254</v>
      </c>
      <c r="J151" s="21" t="n">
        <f aca="false">IF(J149=0,0,J150/ABS(J149))</f>
        <v>0.265656151461215</v>
      </c>
      <c r="K151" s="21" t="n">
        <f aca="false">IF(K149=0,0,K150/ABS(K149))</f>
        <v>0.209632254168593</v>
      </c>
    </row>
    <row r="152" customFormat="false" ht="15" hidden="false" customHeight="false" outlineLevel="0" collapsed="false">
      <c r="A152" s="3" t="s">
        <v>377</v>
      </c>
      <c r="G152" s="20" t="n">
        <f aca="false">IF(G150&lt;0,1,0)</f>
        <v>0</v>
      </c>
      <c r="H152" s="20" t="n">
        <f aca="false">IF(H150&lt;0,1,0)</f>
        <v>0</v>
      </c>
      <c r="I152" s="20" t="n">
        <f aca="false">IF(I150&lt;0,1,0)</f>
        <v>0</v>
      </c>
      <c r="J152" s="20" t="n">
        <f aca="false">IF(J150&lt;0,1,0)</f>
        <v>0</v>
      </c>
      <c r="K152" s="20" t="n">
        <f aca="false">IF(K150&lt;0,1,0)</f>
        <v>0</v>
      </c>
    </row>
    <row r="153" customFormat="false" ht="15" hidden="false" customHeight="false" outlineLevel="0" collapsed="false">
      <c r="A153" s="3" t="s">
        <v>378</v>
      </c>
      <c r="C153" s="20" t="n">
        <f aca="false">IFERROR(INDEX($G$13:$K$13,MATCH(1,$G$152:$K$152,0)),0)</f>
        <v>0</v>
      </c>
    </row>
    <row r="154" customFormat="false" ht="15" hidden="false" customHeight="false" outlineLevel="0" collapsed="false">
      <c r="A154" s="3" t="s">
        <v>379</v>
      </c>
      <c r="C154" s="21" t="n">
        <f aca="false">MIN($G$151:$K$151)</f>
        <v>0.209632254168593</v>
      </c>
    </row>
    <row r="155" customFormat="false" ht="15" hidden="false" customHeight="false" outlineLevel="0" collapsed="false">
      <c r="A155" s="23" t="s">
        <v>381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customFormat="false" ht="15" hidden="false" customHeight="false" outlineLevel="0" collapsed="false">
      <c r="A156" s="3" t="s">
        <v>373</v>
      </c>
      <c r="G156" s="25" t="n">
        <f aca="false">G134</f>
        <v>589.86335403</v>
      </c>
      <c r="H156" s="25" t="n">
        <f aca="false">H134</f>
        <v>706.0173737988</v>
      </c>
      <c r="I156" s="25" t="n">
        <f aca="false">I134</f>
        <v>390.575377766904</v>
      </c>
      <c r="J156" s="25" t="n">
        <f aca="false">J134</f>
        <v>499.440625970316</v>
      </c>
      <c r="K156" s="25" t="n">
        <f aca="false">K134</f>
        <v>599.128348849095</v>
      </c>
    </row>
    <row r="157" customFormat="false" ht="15" hidden="false" customHeight="false" outlineLevel="0" collapsed="false">
      <c r="A157" s="3" t="s">
        <v>374</v>
      </c>
      <c r="G157" s="29" t="n">
        <f aca="false">Assumptions!$G$67</f>
        <v>200</v>
      </c>
      <c r="H157" s="29" t="n">
        <f aca="false">Assumptions!$H$67</f>
        <v>200</v>
      </c>
      <c r="I157" s="29" t="n">
        <f aca="false">Assumptions!$I$67</f>
        <v>200</v>
      </c>
      <c r="J157" s="29" t="n">
        <f aca="false">Assumptions!$J$67</f>
        <v>200</v>
      </c>
      <c r="K157" s="29" t="n">
        <f aca="false">Assumptions!$K$67</f>
        <v>200</v>
      </c>
    </row>
    <row r="158" customFormat="false" ht="15" hidden="false" customHeight="false" outlineLevel="0" collapsed="false">
      <c r="A158" s="3" t="s">
        <v>375</v>
      </c>
      <c r="G158" s="25" t="n">
        <f aca="false">G156-G157</f>
        <v>389.86335403</v>
      </c>
      <c r="H158" s="25" t="n">
        <f aca="false">H156-H157</f>
        <v>506.0173737988</v>
      </c>
      <c r="I158" s="25" t="n">
        <f aca="false">I156-I157</f>
        <v>190.575377766904</v>
      </c>
      <c r="J158" s="25" t="n">
        <f aca="false">J156-J157</f>
        <v>299.440625970316</v>
      </c>
      <c r="K158" s="25" t="n">
        <f aca="false">K156-K157</f>
        <v>399.128348849095</v>
      </c>
    </row>
    <row r="159" customFormat="false" ht="15" hidden="false" customHeight="false" outlineLevel="0" collapsed="false">
      <c r="A159" s="3" t="s">
        <v>376</v>
      </c>
      <c r="G159" s="21" t="n">
        <f aca="false">IF(G157=0,0,G158/ABS(G157))</f>
        <v>1.94931677015</v>
      </c>
      <c r="H159" s="21" t="n">
        <f aca="false">IF(H157=0,0,H158/ABS(H157))</f>
        <v>2.530086868994</v>
      </c>
      <c r="I159" s="21" t="n">
        <f aca="false">IF(I157=0,0,I158/ABS(I157))</f>
        <v>0.95287688883452</v>
      </c>
      <c r="J159" s="21" t="n">
        <f aca="false">IF(J157=0,0,J158/ABS(J157))</f>
        <v>1.49720312985158</v>
      </c>
      <c r="K159" s="21" t="n">
        <f aca="false">IF(K157=0,0,K158/ABS(K157))</f>
        <v>1.99564174424547</v>
      </c>
    </row>
    <row r="160" customFormat="false" ht="15" hidden="false" customHeight="false" outlineLevel="0" collapsed="false">
      <c r="A160" s="3" t="s">
        <v>377</v>
      </c>
      <c r="G160" s="20" t="n">
        <f aca="false">IF(G158&lt;0,1,0)</f>
        <v>0</v>
      </c>
      <c r="H160" s="20" t="n">
        <f aca="false">IF(H158&lt;0,1,0)</f>
        <v>0</v>
      </c>
      <c r="I160" s="20" t="n">
        <f aca="false">IF(I158&lt;0,1,0)</f>
        <v>0</v>
      </c>
      <c r="J160" s="20" t="n">
        <f aca="false">IF(J158&lt;0,1,0)</f>
        <v>0</v>
      </c>
      <c r="K160" s="20" t="n">
        <f aca="false">IF(K158&lt;0,1,0)</f>
        <v>0</v>
      </c>
    </row>
    <row r="161" customFormat="false" ht="15" hidden="false" customHeight="false" outlineLevel="0" collapsed="false">
      <c r="A161" s="3" t="s">
        <v>378</v>
      </c>
      <c r="C161" s="20" t="n">
        <f aca="false">IFERROR(INDEX($G$13:$K$13,MATCH(1,$G$160:$K$160,0)),0)</f>
        <v>0</v>
      </c>
    </row>
    <row r="162" customFormat="false" ht="15" hidden="false" customHeight="false" outlineLevel="0" collapsed="false">
      <c r="A162" s="3" t="s">
        <v>379</v>
      </c>
      <c r="C162" s="21" t="n">
        <f aca="false">MIN($G$159:$K$159)</f>
        <v>0.95287688883452</v>
      </c>
    </row>
    <row r="163" customFormat="false" ht="15" hidden="false" customHeight="false" outlineLevel="0" collapsed="false">
      <c r="A163" s="3" t="s">
        <v>382</v>
      </c>
      <c r="G163" s="20" t="n">
        <f aca="false">G144+G152+G160</f>
        <v>0</v>
      </c>
      <c r="H163" s="20" t="n">
        <f aca="false">H144+H152+H160</f>
        <v>0</v>
      </c>
      <c r="I163" s="20" t="n">
        <f aca="false">I144+I152+I160</f>
        <v>0</v>
      </c>
      <c r="J163" s="20" t="n">
        <f aca="false">J144+J152+J160</f>
        <v>0</v>
      </c>
      <c r="K163" s="20" t="n">
        <f aca="false">K144+K152+K160</f>
        <v>0</v>
      </c>
    </row>
    <row r="164" customFormat="false" ht="15" hidden="false" customHeight="false" outlineLevel="0" collapsed="false">
      <c r="A164" s="3" t="s">
        <v>383</v>
      </c>
      <c r="C164" s="20" t="n">
        <f aca="false">SUM($G$163:$K$163)</f>
        <v>0</v>
      </c>
    </row>
    <row r="165" customFormat="false" ht="15" hidden="false" customHeight="false" outlineLevel="0" collapsed="false">
      <c r="A165" s="3" t="s">
        <v>384</v>
      </c>
      <c r="C165" s="21" t="n">
        <f aca="false">MIN(C146,C154,C162)</f>
        <v>0.209632254168593</v>
      </c>
    </row>
    <row r="167" customFormat="false" ht="15" hidden="false" customHeight="false" outlineLevel="0" collapsed="false">
      <c r="A167" s="23" t="s">
        <v>486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customFormat="false" ht="15" hidden="false" customHeight="false" outlineLevel="0" collapsed="false">
      <c r="A168" s="3" t="s">
        <v>487</v>
      </c>
      <c r="G168" s="20" t="n">
        <f aca="false">IF($C$169=1,G121,IF(G23=MIN($G$23:$K$23),1,0))</f>
        <v>0</v>
      </c>
      <c r="H168" s="20" t="n">
        <f aca="false">IF($C$169=1,H121,IF(AND(H23=MIN($G$23:$K$23),SUM($G$168:G168)=0),1,0))</f>
        <v>0</v>
      </c>
      <c r="I168" s="20" t="n">
        <f aca="false">IF($C$169=1,I121,IF(AND(I23=MIN($G$23:$K$23),SUM($G$168:H168)=0),1,0))</f>
        <v>0</v>
      </c>
      <c r="J168" s="20" t="n">
        <f aca="false">IF($C$169=1,J121,IF(AND(J23=MIN($G$23:$K$23),SUM($G$168:I168)=0),1,0))</f>
        <v>0</v>
      </c>
      <c r="K168" s="20" t="n">
        <f aca="false">IF($C$169=1,K121,IF(AND(K23=MIN($G$23:$K$23),SUM($G$168:J168)=0),1,0))</f>
        <v>1</v>
      </c>
    </row>
    <row r="169" customFormat="false" ht="15" hidden="false" customHeight="false" outlineLevel="0" collapsed="false">
      <c r="A169" s="3" t="s">
        <v>488</v>
      </c>
      <c r="C169" s="20" t="n">
        <f aca="false">IF(SUM($G$121:$K$121)&gt;0,1,0)</f>
        <v>0</v>
      </c>
    </row>
    <row r="170" customFormat="false" ht="15" hidden="false" customHeight="false" outlineLevel="0" collapsed="false">
      <c r="A170" s="3" t="s">
        <v>489</v>
      </c>
      <c r="C170" s="20" t="n">
        <f aca="false">SUMPRODUCT($G$168:$K$168,$G$13:$K$13)</f>
        <v>2031</v>
      </c>
    </row>
    <row r="171" customFormat="false" ht="15" hidden="false" customHeight="false" outlineLevel="0" collapsed="false">
      <c r="A171" s="3" t="s">
        <v>490</v>
      </c>
      <c r="C171" s="25" t="n">
        <f aca="false">SUMPRODUCT($G$168:$K$168,$G$23:$K$23)</f>
        <v>250.548630915336</v>
      </c>
    </row>
    <row r="172" customFormat="false" ht="15" hidden="false" customHeight="false" outlineLevel="0" collapsed="false">
      <c r="A172" s="3" t="s">
        <v>491</v>
      </c>
      <c r="C172" s="25" t="n">
        <f aca="false">MAX(0,SUMPRODUCT($G$168:$K$168,$G$118:$K$118))</f>
        <v>599.128348849095</v>
      </c>
    </row>
    <row r="173" customFormat="false" ht="15" hidden="false" customHeight="false" outlineLevel="0" collapsed="false">
      <c r="A173" s="3" t="s">
        <v>492</v>
      </c>
      <c r="C173" s="25" t="n">
        <f aca="false">(CHOOSE($C$6,Assumptions!$C$84,Assumptions!$C$103,Assumptions!$C$122)+$C$10)*C171</f>
        <v>1252.74315457668</v>
      </c>
    </row>
    <row r="174" customFormat="false" ht="15" hidden="false" customHeight="false" outlineLevel="0" collapsed="false">
      <c r="A174" s="3" t="s">
        <v>493</v>
      </c>
      <c r="C174" s="25" t="n">
        <f aca="false">Assumptions!$C$30*(1-CHOOSE($C$6,Assumptions!$C$85,Assumptions!$C$104,Assumptions!$C$123))*CHOOSE($C$6,Assumptions!$C$86,Assumptions!$C$105,Assumptions!$C$124)</f>
        <v>736.4913</v>
      </c>
    </row>
    <row r="175" customFormat="false" ht="15" hidden="false" customHeight="false" outlineLevel="0" collapsed="false">
      <c r="A175" s="3" t="s">
        <v>494</v>
      </c>
      <c r="C175" s="25" t="n">
        <f aca="false">MAX(C173,C174)+C172</f>
        <v>1851.87150342577</v>
      </c>
    </row>
    <row r="176" customFormat="false" ht="15" hidden="false" customHeight="false" outlineLevel="0" collapsed="false">
      <c r="A176" s="2" t="s">
        <v>495</v>
      </c>
      <c r="C176" s="16" t="n">
        <f aca="false">IF(ISNUMBER(Assumptions!$C$14),Assumptions!$C$14,C175)</f>
        <v>1851.87150342577</v>
      </c>
    </row>
    <row r="177" customFormat="false" ht="15" hidden="false" customHeight="false" outlineLevel="0" collapsed="false">
      <c r="A177" s="3" t="s">
        <v>496</v>
      </c>
      <c r="C177" s="25" t="n">
        <f aca="false">C176*Assumptions!$C$15</f>
        <v>74.074860137031</v>
      </c>
    </row>
    <row r="178" customFormat="false" ht="15" hidden="false" customHeight="false" outlineLevel="0" collapsed="false">
      <c r="A178" s="2" t="s">
        <v>497</v>
      </c>
      <c r="C178" s="16" t="n">
        <f aca="false">C176-C177</f>
        <v>1777.79664328874</v>
      </c>
    </row>
    <row r="179" customFormat="false" ht="15" hidden="false" customHeight="false" outlineLevel="0" collapsed="false">
      <c r="A179" s="23" t="s">
        <v>498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customFormat="false" ht="15" hidden="false" customHeight="false" outlineLevel="0" collapsed="false">
      <c r="A180" s="3" t="s">
        <v>499</v>
      </c>
      <c r="C180" s="25" t="n">
        <f aca="false">SUMPRODUCT($G$168:$K$168,$G$60:$K$60)*(1+SUMPRODUCT($G$168:$K$168,$G$52:$K$52)*Assumptions!$C$16/12)</f>
        <v>1349.6193225</v>
      </c>
    </row>
    <row r="181" customFormat="false" ht="15" hidden="false" customHeight="false" outlineLevel="0" collapsed="false">
      <c r="A181" s="3" t="s">
        <v>500</v>
      </c>
      <c r="C181" s="25" t="n">
        <f aca="false">SUMPRODUCT($G$168:$K$168,$G$73:$K$73)*(1+SUMPRODUCT($G$168:$K$168,$G$65:$K$65)*Assumptions!$C$16/12)</f>
        <v>0</v>
      </c>
    </row>
    <row r="182" customFormat="false" ht="15" hidden="false" customHeight="false" outlineLevel="0" collapsed="false">
      <c r="A182" s="3" t="s">
        <v>501</v>
      </c>
      <c r="C182" s="25" t="n">
        <f aca="false">SUMPRODUCT($G$168:$K$168,$G$86:$K$86)*(1+SUMPRODUCT($G$168:$K$168,$G$78:$K$78)*Assumptions!$C$16/12)</f>
        <v>0</v>
      </c>
    </row>
    <row r="183" customFormat="false" ht="15" hidden="false" customHeight="false" outlineLevel="0" collapsed="false">
      <c r="A183" s="23" t="s">
        <v>502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</row>
    <row r="184" customFormat="false" ht="15" hidden="false" customHeight="false" outlineLevel="0" collapsed="false">
      <c r="A184" s="3" t="s">
        <v>499</v>
      </c>
      <c r="C184" s="27" t="n">
        <f aca="false">Assumptions!$M$56</f>
        <v>1</v>
      </c>
    </row>
    <row r="185" customFormat="false" ht="15" hidden="false" customHeight="false" outlineLevel="0" collapsed="false">
      <c r="A185" s="3" t="s">
        <v>500</v>
      </c>
      <c r="C185" s="27" t="n">
        <f aca="false">Assumptions!$M$57</f>
        <v>2</v>
      </c>
    </row>
    <row r="186" customFormat="false" ht="15" hidden="false" customHeight="false" outlineLevel="0" collapsed="false">
      <c r="A186" s="3" t="s">
        <v>501</v>
      </c>
      <c r="C186" s="27" t="n">
        <f aca="false">Assumptions!$M$58</f>
        <v>2</v>
      </c>
    </row>
    <row r="187" customFormat="false" ht="15" hidden="false" customHeight="false" outlineLevel="0" collapsed="false">
      <c r="A187" s="23" t="s">
        <v>503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</row>
    <row r="188" customFormat="false" ht="15" hidden="false" customHeight="false" outlineLevel="0" collapsed="false">
      <c r="A188" s="3" t="s">
        <v>499</v>
      </c>
      <c r="C188" s="35" t="n">
        <f aca="false">Assumptions!$Q$56</f>
        <v>0</v>
      </c>
    </row>
    <row r="189" customFormat="false" ht="15" hidden="false" customHeight="false" outlineLevel="0" collapsed="false">
      <c r="A189" s="3" t="s">
        <v>500</v>
      </c>
      <c r="C189" s="35" t="n">
        <f aca="false">Assumptions!$Q$57</f>
        <v>0</v>
      </c>
    </row>
    <row r="190" customFormat="false" ht="15" hidden="false" customHeight="false" outlineLevel="0" collapsed="false">
      <c r="A190" s="3" t="s">
        <v>501</v>
      </c>
      <c r="C190" s="35" t="n">
        <f aca="false">Assumptions!$Q$58</f>
        <v>0</v>
      </c>
    </row>
    <row r="191" customFormat="false" ht="15" hidden="false" customHeight="false" outlineLevel="0" collapsed="false">
      <c r="A191" s="23" t="s">
        <v>504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</row>
    <row r="192" customFormat="false" ht="15" hidden="false" customHeight="false" outlineLevel="0" collapsed="false">
      <c r="A192" s="3" t="s">
        <v>499</v>
      </c>
      <c r="C192" s="25" t="n">
        <f aca="false">IF(C188&gt;0,MIN(C180,C188*$C$178),0)</f>
        <v>0</v>
      </c>
    </row>
    <row r="193" customFormat="false" ht="15" hidden="false" customHeight="false" outlineLevel="0" collapsed="false">
      <c r="A193" s="3" t="s">
        <v>500</v>
      </c>
      <c r="C193" s="25" t="n">
        <f aca="false">IF(C189&gt;0,MIN(C181,C189*$C$178),0)</f>
        <v>0</v>
      </c>
    </row>
    <row r="194" customFormat="false" ht="15" hidden="false" customHeight="false" outlineLevel="0" collapsed="false">
      <c r="A194" s="3" t="s">
        <v>501</v>
      </c>
      <c r="C194" s="25" t="n">
        <f aca="false">IF(C190&gt;0,MIN(C182,C190*$C$178),0)</f>
        <v>0</v>
      </c>
    </row>
    <row r="195" customFormat="false" ht="15" hidden="false" customHeight="false" outlineLevel="0" collapsed="false">
      <c r="A195" s="23" t="s">
        <v>505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customFormat="false" ht="15" hidden="false" customHeight="false" outlineLevel="0" collapsed="false">
      <c r="A196" s="3" t="s">
        <v>499</v>
      </c>
      <c r="C196" s="25" t="n">
        <f aca="false">IF(C188&gt;0,C180-C192,0)</f>
        <v>0</v>
      </c>
      <c r="G196" s="20" t="n">
        <f aca="false">IF(AND(G50=1,G47=1),1,0)</f>
        <v>0</v>
      </c>
      <c r="H196" s="20" t="n">
        <f aca="false">IF(G196=1,1,IF(AND(H50=1,H47=1),1,0))</f>
        <v>0</v>
      </c>
      <c r="I196" s="20" t="n">
        <f aca="false">IF(H196=1,1,IF(AND(I50=1,I47=1),1,0))</f>
        <v>0</v>
      </c>
      <c r="J196" s="20" t="n">
        <f aca="false">IF(I196=1,1,IF(AND(J50=1,J47=1),1,0))</f>
        <v>0</v>
      </c>
      <c r="K196" s="20" t="n">
        <f aca="false">IF(J196=1,1,IF(AND(K50=1,K47=1),1,0))</f>
        <v>0</v>
      </c>
    </row>
    <row r="197" customFormat="false" ht="15" hidden="false" customHeight="false" outlineLevel="0" collapsed="false">
      <c r="A197" s="3" t="s">
        <v>500</v>
      </c>
      <c r="C197" s="25" t="n">
        <f aca="false">IF(C189&gt;0,C181-C193,0)</f>
        <v>0</v>
      </c>
      <c r="G197" s="20" t="n">
        <f aca="false">IF(AND(G63=1,G47=1),1,0)</f>
        <v>0</v>
      </c>
      <c r="H197" s="20" t="n">
        <f aca="false">IF(G197=1,1,IF(AND(H63=1,H47=1),1,0))</f>
        <v>0</v>
      </c>
      <c r="I197" s="20" t="n">
        <f aca="false">IF(H197=1,1,IF(AND(I63=1,I47=1),1,0))</f>
        <v>1</v>
      </c>
      <c r="J197" s="20" t="n">
        <f aca="false">IF(I197=1,1,IF(AND(J63=1,J47=1),1,0))</f>
        <v>1</v>
      </c>
      <c r="K197" s="20" t="n">
        <f aca="false">IF(J197=1,1,IF(AND(K63=1,K47=1),1,0))</f>
        <v>1</v>
      </c>
    </row>
    <row r="198" customFormat="false" ht="15" hidden="false" customHeight="false" outlineLevel="0" collapsed="false">
      <c r="A198" s="3" t="s">
        <v>501</v>
      </c>
      <c r="C198" s="25" t="n">
        <f aca="false">IF(C190&gt;0,C182-C194,0)</f>
        <v>0</v>
      </c>
      <c r="G198" s="20" t="n">
        <f aca="false">IF(AND(G76=1,G47=1),1,0)</f>
        <v>0</v>
      </c>
      <c r="H198" s="20" t="n">
        <f aca="false">IF(G198=1,1,IF(AND(H76=1,H47=1),1,0))</f>
        <v>0</v>
      </c>
      <c r="I198" s="20" t="n">
        <f aca="false">IF(H198=1,1,IF(AND(I76=1,I47=1),1,0))</f>
        <v>1</v>
      </c>
      <c r="J198" s="20" t="n">
        <f aca="false">IF(I198=1,1,IF(AND(J76=1,J47=1),1,0))</f>
        <v>1</v>
      </c>
      <c r="K198" s="20" t="n">
        <f aca="false">IF(J198=1,1,IF(AND(K76=1,K47=1),1,0))</f>
        <v>1</v>
      </c>
    </row>
    <row r="199" customFormat="false" ht="15" hidden="false" customHeight="false" outlineLevel="0" collapsed="false">
      <c r="A199" s="23" t="s">
        <v>506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  <row r="200" customFormat="false" ht="15" hidden="false" customHeight="false" outlineLevel="0" collapsed="false">
      <c r="A200" s="3" t="s">
        <v>499</v>
      </c>
      <c r="C200" s="25" t="n">
        <f aca="false">IF(C188&gt;0,C196,C180)</f>
        <v>1349.6193225</v>
      </c>
    </row>
    <row r="201" customFormat="false" ht="15" hidden="false" customHeight="false" outlineLevel="0" collapsed="false">
      <c r="A201" s="3" t="s">
        <v>500</v>
      </c>
      <c r="C201" s="25" t="n">
        <f aca="false">IF(C189&gt;0,C197,C181)</f>
        <v>0</v>
      </c>
    </row>
    <row r="202" customFormat="false" ht="15" hidden="false" customHeight="false" outlineLevel="0" collapsed="false">
      <c r="A202" s="3" t="s">
        <v>501</v>
      </c>
      <c r="C202" s="25" t="n">
        <f aca="false">IF(C190&gt;0,C198,C182)</f>
        <v>0</v>
      </c>
    </row>
    <row r="203" customFormat="false" ht="15" hidden="false" customHeight="false" outlineLevel="0" collapsed="false">
      <c r="A203" s="23" t="s">
        <v>507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</row>
    <row r="204" customFormat="false" ht="15" hidden="false" customHeight="false" outlineLevel="0" collapsed="false">
      <c r="A204" s="3" t="s">
        <v>499</v>
      </c>
      <c r="C204" s="20" t="n">
        <f aca="false">IF(C188&gt;0,Assumptions!$C$17,C184)</f>
        <v>1</v>
      </c>
    </row>
    <row r="205" customFormat="false" ht="15" hidden="false" customHeight="false" outlineLevel="0" collapsed="false">
      <c r="A205" s="3" t="s">
        <v>500</v>
      </c>
      <c r="C205" s="20" t="n">
        <f aca="false">IF(C189&gt;0,Assumptions!$C$17,C185)</f>
        <v>2</v>
      </c>
    </row>
    <row r="206" customFormat="false" ht="15" hidden="false" customHeight="false" outlineLevel="0" collapsed="false">
      <c r="A206" s="3" t="s">
        <v>501</v>
      </c>
      <c r="C206" s="20" t="n">
        <f aca="false">IF(C190&gt;0,Assumptions!$C$17,C186)</f>
        <v>2</v>
      </c>
    </row>
    <row r="207" customFormat="false" ht="15" hidden="false" customHeight="false" outlineLevel="0" collapsed="false">
      <c r="A207" s="23" t="s">
        <v>508</v>
      </c>
      <c r="B207" s="24"/>
      <c r="C207" s="24"/>
      <c r="D207" s="24"/>
      <c r="E207" s="24"/>
      <c r="F207" s="24"/>
      <c r="G207" s="24"/>
      <c r="H207" s="24"/>
      <c r="I207" s="24"/>
      <c r="J207" s="24"/>
      <c r="K207" s="24"/>
    </row>
    <row r="208" customFormat="false" ht="15" hidden="false" customHeight="false" outlineLevel="0" collapsed="false">
      <c r="A208" s="3" t="s">
        <v>499</v>
      </c>
      <c r="C208" s="25" t="n">
        <f aca="false">SUMPRODUCT(($C$204:$C$206&lt;C204)*$C$200:$C$202)</f>
        <v>0</v>
      </c>
    </row>
    <row r="209" customFormat="false" ht="15" hidden="false" customHeight="false" outlineLevel="0" collapsed="false">
      <c r="A209" s="3" t="s">
        <v>500</v>
      </c>
      <c r="C209" s="25" t="n">
        <f aca="false">SUMPRODUCT(($C$204:$C$206&lt;C205)*$C$200:$C$202)</f>
        <v>1349.6193225</v>
      </c>
    </row>
    <row r="210" customFormat="false" ht="15" hidden="false" customHeight="false" outlineLevel="0" collapsed="false">
      <c r="A210" s="3" t="s">
        <v>501</v>
      </c>
      <c r="C210" s="25" t="n">
        <f aca="false">SUMPRODUCT(($C$204:$C$206&lt;C206)*$C$200:$C$202)</f>
        <v>1349.6193225</v>
      </c>
    </row>
    <row r="211" customFormat="false" ht="15" hidden="false" customHeight="false" outlineLevel="0" collapsed="false">
      <c r="A211" s="23" t="s">
        <v>509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customFormat="false" ht="15" hidden="false" customHeight="false" outlineLevel="0" collapsed="false">
      <c r="A212" s="3" t="s">
        <v>499</v>
      </c>
      <c r="C212" s="25" t="n">
        <f aca="false">SUMPRODUCT(($C$204:$C$206=C204)*$C$200:$C$202)</f>
        <v>1349.6193225</v>
      </c>
    </row>
    <row r="213" customFormat="false" ht="15" hidden="false" customHeight="false" outlineLevel="0" collapsed="false">
      <c r="A213" s="3" t="s">
        <v>500</v>
      </c>
      <c r="C213" s="25" t="n">
        <f aca="false">SUMPRODUCT(($C$204:$C$206=C205)*$C$200:$C$202)</f>
        <v>0</v>
      </c>
    </row>
    <row r="214" customFormat="false" ht="15" hidden="false" customHeight="false" outlineLevel="0" collapsed="false">
      <c r="A214" s="3" t="s">
        <v>501</v>
      </c>
      <c r="C214" s="25" t="n">
        <f aca="false">SUMPRODUCT(($C$204:$C$206=C206)*$C$200:$C$202)</f>
        <v>0</v>
      </c>
    </row>
    <row r="215" customFormat="false" ht="15" hidden="false" customHeight="false" outlineLevel="0" collapsed="false">
      <c r="A215" s="23" t="s">
        <v>510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customFormat="false" ht="15" hidden="false" customHeight="false" outlineLevel="0" collapsed="false">
      <c r="A216" s="3" t="s">
        <v>499</v>
      </c>
      <c r="C216" s="25" t="n">
        <f aca="false">IF(C212=0,0,C200/C212*MAX(0,MIN(C212,$C$178-SUM($C$192:$C$194)-C208)))</f>
        <v>1349.6193225</v>
      </c>
    </row>
    <row r="217" customFormat="false" ht="15" hidden="false" customHeight="false" outlineLevel="0" collapsed="false">
      <c r="A217" s="3" t="s">
        <v>500</v>
      </c>
      <c r="C217" s="25" t="n">
        <f aca="false">IF(C213=0,0,C201/C213*MAX(0,MIN(C213,$C$178-SUM($C$192:$C$194)-C209)))</f>
        <v>0</v>
      </c>
    </row>
    <row r="218" customFormat="false" ht="15" hidden="false" customHeight="false" outlineLevel="0" collapsed="false">
      <c r="A218" s="3" t="s">
        <v>501</v>
      </c>
      <c r="C218" s="25" t="n">
        <f aca="false">IF(C214=0,0,C202/C214*MAX(0,MIN(C214,$C$178-SUM($C$192:$C$194)-C210)))</f>
        <v>0</v>
      </c>
    </row>
    <row r="219" customFormat="false" ht="15" hidden="false" customHeight="false" outlineLevel="0" collapsed="false">
      <c r="A219" s="23" t="s">
        <v>511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</row>
    <row r="220" customFormat="false" ht="15" hidden="false" customHeight="false" outlineLevel="0" collapsed="false">
      <c r="A220" s="2" t="s">
        <v>499</v>
      </c>
      <c r="C220" s="16" t="n">
        <f aca="false">C192+C216</f>
        <v>1349.6193225</v>
      </c>
    </row>
    <row r="221" customFormat="false" ht="15" hidden="false" customHeight="false" outlineLevel="0" collapsed="false">
      <c r="A221" s="2" t="s">
        <v>500</v>
      </c>
      <c r="C221" s="16" t="n">
        <f aca="false">C193+C217</f>
        <v>0</v>
      </c>
    </row>
    <row r="222" customFormat="false" ht="15" hidden="false" customHeight="false" outlineLevel="0" collapsed="false">
      <c r="A222" s="2" t="s">
        <v>501</v>
      </c>
      <c r="C222" s="16" t="n">
        <f aca="false">C194+C218</f>
        <v>0</v>
      </c>
    </row>
    <row r="223" customFormat="false" ht="15" hidden="false" customHeight="false" outlineLevel="0" collapsed="false">
      <c r="A223" s="23" t="s">
        <v>512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</row>
    <row r="224" customFormat="false" ht="15" hidden="false" customHeight="false" outlineLevel="0" collapsed="false">
      <c r="A224" s="3" t="s">
        <v>499</v>
      </c>
      <c r="C224" s="21" t="n">
        <f aca="false">IF(C180=0,1,C220/C180)</f>
        <v>1</v>
      </c>
    </row>
    <row r="225" customFormat="false" ht="15" hidden="false" customHeight="false" outlineLevel="0" collapsed="false">
      <c r="A225" s="3" t="s">
        <v>500</v>
      </c>
      <c r="C225" s="21" t="n">
        <f aca="false">IF(C181=0,1,C221/C181)</f>
        <v>1</v>
      </c>
    </row>
    <row r="226" customFormat="false" ht="15" hidden="false" customHeight="false" outlineLevel="0" collapsed="false">
      <c r="A226" s="3" t="s">
        <v>501</v>
      </c>
      <c r="C226" s="21" t="n">
        <f aca="false">IF(C182=0,1,C222/C182)</f>
        <v>1</v>
      </c>
    </row>
    <row r="227" customFormat="false" ht="15" hidden="false" customHeight="false" outlineLevel="0" collapsed="false">
      <c r="A227" s="23" t="s">
        <v>513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</row>
    <row r="228" customFormat="false" ht="15" hidden="false" customHeight="false" outlineLevel="0" collapsed="false">
      <c r="A228" s="3" t="s">
        <v>499</v>
      </c>
      <c r="C228" s="25" t="n">
        <f aca="false">C180-C220</f>
        <v>0</v>
      </c>
    </row>
    <row r="229" customFormat="false" ht="15" hidden="false" customHeight="false" outlineLevel="0" collapsed="false">
      <c r="A229" s="3" t="s">
        <v>500</v>
      </c>
      <c r="C229" s="25" t="n">
        <f aca="false">C181-C221</f>
        <v>0</v>
      </c>
    </row>
    <row r="230" customFormat="false" ht="15" hidden="false" customHeight="false" outlineLevel="0" collapsed="false">
      <c r="A230" s="3" t="s">
        <v>501</v>
      </c>
      <c r="C230" s="25" t="n">
        <f aca="false">C182-C222</f>
        <v>0</v>
      </c>
    </row>
    <row r="231" customFormat="false" ht="15" hidden="false" customHeight="false" outlineLevel="0" collapsed="false">
      <c r="A231" s="23" t="s">
        <v>514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</row>
    <row r="232" customFormat="false" ht="15" hidden="false" customHeight="false" outlineLevel="0" collapsed="false">
      <c r="A232" s="3" t="s">
        <v>499</v>
      </c>
      <c r="C232" s="21" t="n">
        <f aca="false">IF(C180=0,0,C228/C180)</f>
        <v>0</v>
      </c>
    </row>
    <row r="233" customFormat="false" ht="15" hidden="false" customHeight="false" outlineLevel="0" collapsed="false">
      <c r="A233" s="3" t="s">
        <v>500</v>
      </c>
      <c r="C233" s="21" t="n">
        <f aca="false">IF(C181=0,0,C229/C181)</f>
        <v>0</v>
      </c>
    </row>
    <row r="234" customFormat="false" ht="15" hidden="false" customHeight="false" outlineLevel="0" collapsed="false">
      <c r="A234" s="3" t="s">
        <v>501</v>
      </c>
      <c r="C234" s="21" t="n">
        <f aca="false">IF(C182=0,0,C230/C182)</f>
        <v>0</v>
      </c>
    </row>
    <row r="235" customFormat="false" ht="15" hidden="false" customHeight="false" outlineLevel="0" collapsed="false">
      <c r="A235" s="2" t="s">
        <v>515</v>
      </c>
      <c r="C235" s="16" t="n">
        <f aca="false">MAX(0,$C$178-SUM($C$192:$C$194)-SUM($C$200:$C$202))</f>
        <v>428.177320788743</v>
      </c>
    </row>
    <row r="236" customFormat="false" ht="15" hidden="false" customHeight="false" outlineLevel="0" collapsed="false">
      <c r="A236" s="3" t="s">
        <v>516</v>
      </c>
      <c r="C236" s="25" t="n">
        <f aca="false">SUM($C$220:$C$222)+C235+C177-C176</f>
        <v>0</v>
      </c>
    </row>
    <row r="238" customFormat="false" ht="15" hidden="false" customHeight="false" outlineLevel="0" collapsed="false">
      <c r="A238" s="23" t="s">
        <v>519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</row>
    <row r="239" customFormat="false" ht="15" hidden="false" customHeight="false" outlineLevel="0" collapsed="false">
      <c r="A239" s="3" t="s">
        <v>520</v>
      </c>
      <c r="C239" s="27" t="n">
        <f aca="false">Assumptions!$C$33</f>
        <v>1</v>
      </c>
    </row>
    <row r="240" customFormat="false" ht="15" hidden="false" customHeight="false" outlineLevel="0" collapsed="false">
      <c r="A240" s="3" t="s">
        <v>521</v>
      </c>
      <c r="C240" s="29" t="n">
        <f aca="false">Assumptions!$C$34</f>
        <v>100</v>
      </c>
    </row>
    <row r="241" customFormat="false" ht="15" hidden="false" customHeight="false" outlineLevel="0" collapsed="false">
      <c r="A241" s="3" t="s">
        <v>522</v>
      </c>
      <c r="C241" s="40" t="n">
        <f aca="false">Assumptions!$C$35</f>
        <v>95</v>
      </c>
    </row>
    <row r="242" customFormat="false" ht="15" hidden="false" customHeight="false" outlineLevel="0" collapsed="false">
      <c r="A242" s="3" t="s">
        <v>523</v>
      </c>
      <c r="C242" s="25" t="n">
        <f aca="false">C240*C241/100*(1+Assumptions!$C$36)</f>
        <v>95</v>
      </c>
    </row>
    <row r="243" customFormat="false" ht="15" hidden="false" customHeight="false" outlineLevel="0" collapsed="false">
      <c r="A243" s="3" t="s">
        <v>524</v>
      </c>
      <c r="C243" s="27" t="n">
        <f aca="false">Assumptions!$C$37</f>
        <v>3</v>
      </c>
    </row>
    <row r="244" customFormat="false" ht="15" hidden="false" customHeight="false" outlineLevel="0" collapsed="false">
      <c r="A244" s="3" t="s">
        <v>525</v>
      </c>
      <c r="C244" s="20" t="n">
        <f aca="false">IF(C169=1,SUMPRODUCT($G$121:$K$121,$G$14:$K$14),0)</f>
        <v>0</v>
      </c>
    </row>
    <row r="245" customFormat="false" ht="15" hidden="false" customHeight="false" outlineLevel="0" collapsed="false">
      <c r="A245" s="3" t="s">
        <v>526</v>
      </c>
      <c r="C245" s="21" t="n">
        <f aca="false">IFERROR(C240/CHOOSE(C239,SUMPRODUCT($G$168:$K$168,$G$60:$K$60),SUMPRODUCT($G$168:$K$168,$G$73:$K$73),SUMPRODUCT($G$168:$K$168,$G$86:$K$86)),0)</f>
        <v>0.0760399605200525</v>
      </c>
    </row>
    <row r="246" customFormat="false" ht="15" hidden="false" customHeight="false" outlineLevel="0" collapsed="false">
      <c r="A246" s="3" t="s">
        <v>527</v>
      </c>
      <c r="C246" s="25" t="n">
        <f aca="false">CHOOSE(C239,C220,C221,C222)*C245</f>
        <v>102.625</v>
      </c>
    </row>
    <row r="247" customFormat="false" ht="15" hidden="false" customHeight="false" outlineLevel="0" collapsed="false">
      <c r="A247" s="3" t="s">
        <v>528</v>
      </c>
      <c r="C247" s="21" t="n">
        <f aca="false">CHOOSE(C239,C224,C225,C226)</f>
        <v>1</v>
      </c>
    </row>
    <row r="248" customFormat="false" ht="15" hidden="false" customHeight="false" outlineLevel="0" collapsed="false">
      <c r="A248" s="3" t="s">
        <v>529</v>
      </c>
      <c r="C248" s="20" t="n">
        <f aca="false">IF(C169=1,C244,C243)</f>
        <v>3</v>
      </c>
    </row>
    <row r="249" customFormat="false" ht="15" hidden="false" customHeight="false" outlineLevel="0" collapsed="false">
      <c r="A249" s="3" t="s">
        <v>530</v>
      </c>
      <c r="C249" s="34" t="n">
        <f aca="false">CHOOSE($C$6,Assumptions!$C$83,Assumptions!$C$102,Assumptions!$C$121)</f>
        <v>100</v>
      </c>
    </row>
    <row r="250" customFormat="false" ht="15" hidden="false" customHeight="false" outlineLevel="0" collapsed="false">
      <c r="A250" s="3" t="s">
        <v>531</v>
      </c>
      <c r="C250" s="25" t="n">
        <f aca="false">INDEX($G$23:$K$23,C243)*CHOOSE($C$6,Assumptions!$C$82,Assumptions!$C$101,Assumptions!$C$120)+MAX(0,INDEX($G$118:$K$118,C243))</f>
        <v>1898.86777853863</v>
      </c>
    </row>
    <row r="251" customFormat="false" ht="15" hidden="false" customHeight="false" outlineLevel="0" collapsed="false">
      <c r="A251" s="23" t="s">
        <v>532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</row>
    <row r="252" customFormat="false" ht="15" hidden="false" customHeight="false" outlineLevel="0" collapsed="false">
      <c r="A252" s="3" t="s">
        <v>499</v>
      </c>
      <c r="C252" s="25" t="n">
        <f aca="false">INDEX($G$60:$K$60,C243)</f>
        <v>1315.098</v>
      </c>
    </row>
    <row r="253" customFormat="false" ht="15" hidden="false" customHeight="false" outlineLevel="0" collapsed="false">
      <c r="A253" s="3" t="s">
        <v>500</v>
      </c>
      <c r="C253" s="25" t="n">
        <f aca="false">INDEX($G$73:$K$73,C243)</f>
        <v>0</v>
      </c>
    </row>
    <row r="254" customFormat="false" ht="15" hidden="false" customHeight="false" outlineLevel="0" collapsed="false">
      <c r="A254" s="3" t="s">
        <v>501</v>
      </c>
      <c r="C254" s="25" t="n">
        <f aca="false">INDEX($G$86:$K$86,C243)</f>
        <v>0</v>
      </c>
    </row>
    <row r="255" customFormat="false" ht="15" hidden="false" customHeight="false" outlineLevel="0" collapsed="false">
      <c r="A255" s="23" t="s">
        <v>502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</row>
    <row r="256" customFormat="false" ht="15" hidden="false" customHeight="false" outlineLevel="0" collapsed="false">
      <c r="A256" s="3" t="s">
        <v>499</v>
      </c>
      <c r="C256" s="27" t="n">
        <f aca="false">Assumptions!$M$56</f>
        <v>1</v>
      </c>
    </row>
    <row r="257" customFormat="false" ht="15" hidden="false" customHeight="false" outlineLevel="0" collapsed="false">
      <c r="A257" s="3" t="s">
        <v>500</v>
      </c>
      <c r="C257" s="27" t="n">
        <f aca="false">Assumptions!$M$57</f>
        <v>2</v>
      </c>
    </row>
    <row r="258" customFormat="false" ht="15" hidden="false" customHeight="false" outlineLevel="0" collapsed="false">
      <c r="A258" s="3" t="s">
        <v>501</v>
      </c>
      <c r="C258" s="27" t="n">
        <f aca="false">Assumptions!$M$58</f>
        <v>2</v>
      </c>
    </row>
    <row r="259" customFormat="false" ht="15" hidden="false" customHeight="false" outlineLevel="0" collapsed="false">
      <c r="A259" s="23" t="s">
        <v>503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r="260" customFormat="false" ht="15" hidden="false" customHeight="false" outlineLevel="0" collapsed="false">
      <c r="A260" s="3" t="s">
        <v>499</v>
      </c>
      <c r="C260" s="35" t="n">
        <f aca="false">Assumptions!$Q$56</f>
        <v>0</v>
      </c>
    </row>
    <row r="261" customFormat="false" ht="15" hidden="false" customHeight="false" outlineLevel="0" collapsed="false">
      <c r="A261" s="3" t="s">
        <v>500</v>
      </c>
      <c r="C261" s="35" t="n">
        <f aca="false">Assumptions!$Q$57</f>
        <v>0</v>
      </c>
    </row>
    <row r="262" customFormat="false" ht="15" hidden="false" customHeight="false" outlineLevel="0" collapsed="false">
      <c r="A262" s="3" t="s">
        <v>501</v>
      </c>
      <c r="C262" s="35" t="n">
        <f aca="false">Assumptions!$Q$58</f>
        <v>0</v>
      </c>
    </row>
    <row r="263" customFormat="false" ht="15" hidden="false" customHeight="false" outlineLevel="0" collapsed="false">
      <c r="A263" s="23" t="s">
        <v>504</v>
      </c>
      <c r="B263" s="24"/>
      <c r="C263" s="24"/>
      <c r="D263" s="24"/>
      <c r="E263" s="24"/>
      <c r="F263" s="24"/>
      <c r="G263" s="24"/>
      <c r="H263" s="24"/>
      <c r="I263" s="24"/>
      <c r="J263" s="24"/>
      <c r="K263" s="24"/>
    </row>
    <row r="264" customFormat="false" ht="15" hidden="false" customHeight="false" outlineLevel="0" collapsed="false">
      <c r="A264" s="3" t="s">
        <v>499</v>
      </c>
      <c r="C264" s="25" t="n">
        <f aca="false">IF(C260&gt;0,MIN(C252,C260*$C$250),0)</f>
        <v>0</v>
      </c>
    </row>
    <row r="265" customFormat="false" ht="15" hidden="false" customHeight="false" outlineLevel="0" collapsed="false">
      <c r="A265" s="3" t="s">
        <v>500</v>
      </c>
      <c r="C265" s="25" t="n">
        <f aca="false">IF(C261&gt;0,MIN(C253,C261*$C$250),0)</f>
        <v>0</v>
      </c>
    </row>
    <row r="266" customFormat="false" ht="15" hidden="false" customHeight="false" outlineLevel="0" collapsed="false">
      <c r="A266" s="3" t="s">
        <v>501</v>
      </c>
      <c r="C266" s="25" t="n">
        <f aca="false">IF(C262&gt;0,MIN(C254,C262*$C$250),0)</f>
        <v>0</v>
      </c>
    </row>
    <row r="267" customFormat="false" ht="15" hidden="false" customHeight="false" outlineLevel="0" collapsed="false">
      <c r="A267" s="23" t="s">
        <v>505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24"/>
    </row>
    <row r="268" customFormat="false" ht="15" hidden="false" customHeight="false" outlineLevel="0" collapsed="false">
      <c r="A268" s="3" t="s">
        <v>499</v>
      </c>
      <c r="C268" s="25" t="n">
        <f aca="false">IF(C260&gt;0,C252-C264,0)</f>
        <v>0</v>
      </c>
    </row>
    <row r="269" customFormat="false" ht="15" hidden="false" customHeight="false" outlineLevel="0" collapsed="false">
      <c r="A269" s="3" t="s">
        <v>500</v>
      </c>
      <c r="C269" s="25" t="n">
        <f aca="false">IF(C261&gt;0,C253-C265,0)</f>
        <v>0</v>
      </c>
    </row>
    <row r="270" customFormat="false" ht="15" hidden="false" customHeight="false" outlineLevel="0" collapsed="false">
      <c r="A270" s="3" t="s">
        <v>501</v>
      </c>
      <c r="C270" s="25" t="n">
        <f aca="false">IF(C262&gt;0,C254-C266,0)</f>
        <v>0</v>
      </c>
    </row>
    <row r="271" customFormat="false" ht="15" hidden="false" customHeight="false" outlineLevel="0" collapsed="false">
      <c r="A271" s="23" t="s">
        <v>506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</row>
    <row r="272" customFormat="false" ht="15" hidden="false" customHeight="false" outlineLevel="0" collapsed="false">
      <c r="A272" s="3" t="s">
        <v>499</v>
      </c>
      <c r="C272" s="25" t="n">
        <f aca="false">IF(C260&gt;0,C268,C252)</f>
        <v>1315.098</v>
      </c>
    </row>
    <row r="273" customFormat="false" ht="15" hidden="false" customHeight="false" outlineLevel="0" collapsed="false">
      <c r="A273" s="3" t="s">
        <v>500</v>
      </c>
      <c r="C273" s="25" t="n">
        <f aca="false">IF(C261&gt;0,C269,C253)</f>
        <v>0</v>
      </c>
    </row>
    <row r="274" customFormat="false" ht="15" hidden="false" customHeight="false" outlineLevel="0" collapsed="false">
      <c r="A274" s="3" t="s">
        <v>501</v>
      </c>
      <c r="C274" s="25" t="n">
        <f aca="false">IF(C262&gt;0,C270,C254)</f>
        <v>0</v>
      </c>
    </row>
    <row r="275" customFormat="false" ht="15" hidden="false" customHeight="false" outlineLevel="0" collapsed="false">
      <c r="A275" s="23" t="s">
        <v>507</v>
      </c>
      <c r="B275" s="24"/>
      <c r="C275" s="24"/>
      <c r="D275" s="24"/>
      <c r="E275" s="24"/>
      <c r="F275" s="24"/>
      <c r="G275" s="24"/>
      <c r="H275" s="24"/>
      <c r="I275" s="24"/>
      <c r="J275" s="24"/>
      <c r="K275" s="24"/>
    </row>
    <row r="276" customFormat="false" ht="15" hidden="false" customHeight="false" outlineLevel="0" collapsed="false">
      <c r="A276" s="3" t="s">
        <v>499</v>
      </c>
      <c r="C276" s="20" t="n">
        <f aca="false">IF(C260&gt;0,Assumptions!$C$17,C256)</f>
        <v>1</v>
      </c>
    </row>
    <row r="277" customFormat="false" ht="15" hidden="false" customHeight="false" outlineLevel="0" collapsed="false">
      <c r="A277" s="3" t="s">
        <v>500</v>
      </c>
      <c r="C277" s="20" t="n">
        <f aca="false">IF(C261&gt;0,Assumptions!$C$17,C257)</f>
        <v>2</v>
      </c>
    </row>
    <row r="278" customFormat="false" ht="15" hidden="false" customHeight="false" outlineLevel="0" collapsed="false">
      <c r="A278" s="3" t="s">
        <v>501</v>
      </c>
      <c r="C278" s="20" t="n">
        <f aca="false">IF(C262&gt;0,Assumptions!$C$17,C258)</f>
        <v>2</v>
      </c>
    </row>
    <row r="279" customFormat="false" ht="15" hidden="false" customHeight="false" outlineLevel="0" collapsed="false">
      <c r="A279" s="23" t="s">
        <v>508</v>
      </c>
      <c r="B279" s="24"/>
      <c r="C279" s="24"/>
      <c r="D279" s="24"/>
      <c r="E279" s="24"/>
      <c r="F279" s="24"/>
      <c r="G279" s="24"/>
      <c r="H279" s="24"/>
      <c r="I279" s="24"/>
      <c r="J279" s="24"/>
      <c r="K279" s="24"/>
    </row>
    <row r="280" customFormat="false" ht="15" hidden="false" customHeight="false" outlineLevel="0" collapsed="false">
      <c r="A280" s="3" t="s">
        <v>499</v>
      </c>
      <c r="C280" s="25" t="n">
        <f aca="false">SUMPRODUCT(($C$276:$C$278&lt;C276)*$C$272:$C$274)</f>
        <v>0</v>
      </c>
    </row>
    <row r="281" customFormat="false" ht="15" hidden="false" customHeight="false" outlineLevel="0" collapsed="false">
      <c r="A281" s="3" t="s">
        <v>500</v>
      </c>
      <c r="C281" s="25" t="n">
        <f aca="false">SUMPRODUCT(($C$276:$C$278&lt;C277)*$C$272:$C$274)</f>
        <v>1315.098</v>
      </c>
    </row>
    <row r="282" customFormat="false" ht="15" hidden="false" customHeight="false" outlineLevel="0" collapsed="false">
      <c r="A282" s="3" t="s">
        <v>501</v>
      </c>
      <c r="C282" s="25" t="n">
        <f aca="false">SUMPRODUCT(($C$276:$C$278&lt;C278)*$C$272:$C$274)</f>
        <v>1315.098</v>
      </c>
    </row>
    <row r="283" customFormat="false" ht="15" hidden="false" customHeight="false" outlineLevel="0" collapsed="false">
      <c r="A283" s="23" t="s">
        <v>509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</row>
    <row r="284" customFormat="false" ht="15" hidden="false" customHeight="false" outlineLevel="0" collapsed="false">
      <c r="A284" s="3" t="s">
        <v>499</v>
      </c>
      <c r="C284" s="25" t="n">
        <f aca="false">SUMPRODUCT(($C$276:$C$278=C276)*$C$272:$C$274)</f>
        <v>1315.098</v>
      </c>
    </row>
    <row r="285" customFormat="false" ht="15" hidden="false" customHeight="false" outlineLevel="0" collapsed="false">
      <c r="A285" s="3" t="s">
        <v>500</v>
      </c>
      <c r="C285" s="25" t="n">
        <f aca="false">SUMPRODUCT(($C$276:$C$278=C277)*$C$272:$C$274)</f>
        <v>0</v>
      </c>
    </row>
    <row r="286" customFormat="false" ht="15" hidden="false" customHeight="false" outlineLevel="0" collapsed="false">
      <c r="A286" s="3" t="s">
        <v>501</v>
      </c>
      <c r="C286" s="25" t="n">
        <f aca="false">SUMPRODUCT(($C$276:$C$278=C278)*$C$272:$C$274)</f>
        <v>0</v>
      </c>
    </row>
    <row r="287" customFormat="false" ht="15" hidden="false" customHeight="false" outlineLevel="0" collapsed="false">
      <c r="A287" s="23" t="s">
        <v>510</v>
      </c>
      <c r="B287" s="24"/>
      <c r="C287" s="24"/>
      <c r="D287" s="24"/>
      <c r="E287" s="24"/>
      <c r="F287" s="24"/>
      <c r="G287" s="24"/>
      <c r="H287" s="24"/>
      <c r="I287" s="24"/>
      <c r="J287" s="24"/>
      <c r="K287" s="24"/>
    </row>
    <row r="288" customFormat="false" ht="15" hidden="false" customHeight="false" outlineLevel="0" collapsed="false">
      <c r="A288" s="3" t="s">
        <v>499</v>
      </c>
      <c r="C288" s="25" t="n">
        <f aca="false">IF(C284=0,0,C272/C284*MAX(0,MIN(C284,$C$250-SUM($C$264:$C$266)-C280)))</f>
        <v>1315.098</v>
      </c>
    </row>
    <row r="289" customFormat="false" ht="15" hidden="false" customHeight="false" outlineLevel="0" collapsed="false">
      <c r="A289" s="3" t="s">
        <v>500</v>
      </c>
      <c r="C289" s="25" t="n">
        <f aca="false">IF(C285=0,0,C273/C285*MAX(0,MIN(C285,$C$250-SUM($C$264:$C$266)-C281)))</f>
        <v>0</v>
      </c>
    </row>
    <row r="290" customFormat="false" ht="15" hidden="false" customHeight="false" outlineLevel="0" collapsed="false">
      <c r="A290" s="3" t="s">
        <v>501</v>
      </c>
      <c r="C290" s="25" t="n">
        <f aca="false">IF(C286=0,0,C274/C286*MAX(0,MIN(C286,$C$250-SUM($C$264:$C$266)-C282)))</f>
        <v>0</v>
      </c>
    </row>
    <row r="291" customFormat="false" ht="15" hidden="false" customHeight="false" outlineLevel="0" collapsed="false">
      <c r="A291" s="23" t="s">
        <v>511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r="292" customFormat="false" ht="15" hidden="false" customHeight="false" outlineLevel="0" collapsed="false">
      <c r="A292" s="2" t="s">
        <v>499</v>
      </c>
      <c r="C292" s="16" t="n">
        <f aca="false">C264+C288</f>
        <v>1315.098</v>
      </c>
    </row>
    <row r="293" customFormat="false" ht="15" hidden="false" customHeight="false" outlineLevel="0" collapsed="false">
      <c r="A293" s="2" t="s">
        <v>500</v>
      </c>
      <c r="C293" s="16" t="n">
        <f aca="false">C265+C289</f>
        <v>0</v>
      </c>
    </row>
    <row r="294" customFormat="false" ht="15" hidden="false" customHeight="false" outlineLevel="0" collapsed="false">
      <c r="A294" s="2" t="s">
        <v>501</v>
      </c>
      <c r="C294" s="16" t="n">
        <f aca="false">C266+C290</f>
        <v>0</v>
      </c>
    </row>
    <row r="295" customFormat="false" ht="15" hidden="false" customHeight="false" outlineLevel="0" collapsed="false">
      <c r="A295" s="23" t="s">
        <v>512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</row>
    <row r="296" customFormat="false" ht="15" hidden="false" customHeight="false" outlineLevel="0" collapsed="false">
      <c r="A296" s="3" t="s">
        <v>499</v>
      </c>
      <c r="C296" s="21" t="n">
        <f aca="false">IF(C252=0,1,C292/C252)</f>
        <v>1</v>
      </c>
    </row>
    <row r="297" customFormat="false" ht="15" hidden="false" customHeight="false" outlineLevel="0" collapsed="false">
      <c r="A297" s="3" t="s">
        <v>500</v>
      </c>
      <c r="C297" s="21" t="n">
        <f aca="false">IF(C253=0,1,C293/C253)</f>
        <v>1</v>
      </c>
    </row>
    <row r="298" customFormat="false" ht="15" hidden="false" customHeight="false" outlineLevel="0" collapsed="false">
      <c r="A298" s="3" t="s">
        <v>501</v>
      </c>
      <c r="C298" s="21" t="n">
        <f aca="false">IF(C254=0,1,C294/C254)</f>
        <v>1</v>
      </c>
    </row>
    <row r="299" customFormat="false" ht="15" hidden="false" customHeight="false" outlineLevel="0" collapsed="false">
      <c r="A299" s="23" t="s">
        <v>513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</row>
    <row r="300" customFormat="false" ht="15" hidden="false" customHeight="false" outlineLevel="0" collapsed="false">
      <c r="A300" s="3" t="s">
        <v>499</v>
      </c>
      <c r="C300" s="25" t="n">
        <f aca="false">C252-C292</f>
        <v>0</v>
      </c>
    </row>
    <row r="301" customFormat="false" ht="15" hidden="false" customHeight="false" outlineLevel="0" collapsed="false">
      <c r="A301" s="3" t="s">
        <v>500</v>
      </c>
      <c r="C301" s="25" t="n">
        <f aca="false">C253-C293</f>
        <v>0</v>
      </c>
    </row>
    <row r="302" customFormat="false" ht="15" hidden="false" customHeight="false" outlineLevel="0" collapsed="false">
      <c r="A302" s="3" t="s">
        <v>501</v>
      </c>
      <c r="C302" s="25" t="n">
        <f aca="false">C254-C294</f>
        <v>0</v>
      </c>
    </row>
    <row r="303" customFormat="false" ht="15" hidden="false" customHeight="false" outlineLevel="0" collapsed="false">
      <c r="A303" s="23" t="s">
        <v>514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</row>
    <row r="304" customFormat="false" ht="15" hidden="false" customHeight="false" outlineLevel="0" collapsed="false">
      <c r="A304" s="3" t="s">
        <v>499</v>
      </c>
      <c r="C304" s="21" t="n">
        <f aca="false">IF(C252=0,0,C300/C252)</f>
        <v>0</v>
      </c>
    </row>
    <row r="305" customFormat="false" ht="15" hidden="false" customHeight="false" outlineLevel="0" collapsed="false">
      <c r="A305" s="3" t="s">
        <v>500</v>
      </c>
      <c r="C305" s="21" t="n">
        <f aca="false">IF(C253=0,0,C301/C253)</f>
        <v>0</v>
      </c>
    </row>
    <row r="306" customFormat="false" ht="15" hidden="false" customHeight="false" outlineLevel="0" collapsed="false">
      <c r="A306" s="3" t="s">
        <v>501</v>
      </c>
      <c r="C306" s="21" t="n">
        <f aca="false">IF(C254=0,0,C302/C254)</f>
        <v>0</v>
      </c>
    </row>
    <row r="307" customFormat="false" ht="15" hidden="false" customHeight="false" outlineLevel="0" collapsed="false">
      <c r="A307" s="2" t="s">
        <v>515</v>
      </c>
      <c r="C307" s="16" t="n">
        <f aca="false">MAX(0,$C$250-SUM($C$264:$C$266)-SUM($C$272:$C$274))</f>
        <v>583.769778538632</v>
      </c>
    </row>
    <row r="308" customFormat="false" ht="15" hidden="false" customHeight="false" outlineLevel="0" collapsed="false">
      <c r="A308" s="3" t="s">
        <v>533</v>
      </c>
      <c r="C308" s="34" t="n">
        <f aca="false">MIN(C249,100*CHOOSE(C239,C296,C297,C298))</f>
        <v>100</v>
      </c>
    </row>
    <row r="309" customFormat="false" ht="15" hidden="false" customHeight="false" outlineLevel="0" collapsed="false">
      <c r="A309" s="3" t="s">
        <v>534</v>
      </c>
      <c r="C309" s="20" t="n">
        <f aca="false">IF(C169=1,C244+Assumptions!$C$39,C243)</f>
        <v>3</v>
      </c>
    </row>
    <row r="310" customFormat="false" ht="15" hidden="false" customHeight="false" outlineLevel="0" collapsed="false">
      <c r="A310" s="23" t="s">
        <v>535</v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</row>
    <row r="311" customFormat="false" ht="15" hidden="false" customHeight="false" outlineLevel="0" collapsed="false">
      <c r="A311" s="3" t="s">
        <v>536</v>
      </c>
      <c r="C311" s="20" t="n">
        <f aca="false">COLUMN()-COLUMN($C$1)</f>
        <v>0</v>
      </c>
      <c r="D311" s="20" t="n">
        <f aca="false">COLUMN()-COLUMN($C$1)</f>
        <v>1</v>
      </c>
      <c r="E311" s="20" t="n">
        <f aca="false">COLUMN()-COLUMN($C$1)</f>
        <v>2</v>
      </c>
      <c r="F311" s="20" t="n">
        <f aca="false">COLUMN()-COLUMN($C$1)</f>
        <v>3</v>
      </c>
      <c r="G311" s="20" t="n">
        <f aca="false">COLUMN()-COLUMN($C$1)</f>
        <v>4</v>
      </c>
      <c r="H311" s="20" t="n">
        <f aca="false">COLUMN()-COLUMN($C$1)</f>
        <v>5</v>
      </c>
      <c r="I311" s="20" t="n">
        <f aca="false">COLUMN()-COLUMN($C$1)</f>
        <v>6</v>
      </c>
    </row>
    <row r="312" customFormat="false" ht="15" hidden="false" customHeight="false" outlineLevel="0" collapsed="false">
      <c r="A312" s="3" t="s">
        <v>537</v>
      </c>
      <c r="D312" s="31" t="n">
        <f aca="false">CHOOSE($C$239,G52,G65,G78)</f>
        <v>0.105</v>
      </c>
      <c r="E312" s="31" t="n">
        <f aca="false">CHOOSE($C$239,H52,H65,H78)</f>
        <v>0.105</v>
      </c>
      <c r="F312" s="31" t="n">
        <f aca="false">CHOOSE($C$239,I52,I65,I78)</f>
        <v>0.105</v>
      </c>
      <c r="G312" s="31" t="n">
        <f aca="false">CHOOSE($C$239,J52,J65,J78)</f>
        <v>0.105</v>
      </c>
      <c r="H312" s="31" t="n">
        <f aca="false">CHOOSE($C$239,K52,K65,K78)</f>
        <v>0.105</v>
      </c>
    </row>
    <row r="313" customFormat="false" ht="15" hidden="false" customHeight="false" outlineLevel="0" collapsed="false">
      <c r="A313" s="3" t="s">
        <v>538</v>
      </c>
      <c r="D313" s="25" t="n">
        <f aca="false">IF(D311&lt;=$C$248,$C$240*D312,0)</f>
        <v>10.5</v>
      </c>
      <c r="E313" s="25" t="n">
        <f aca="false">IF(E311&lt;=$C$248,$C$240*E312,0)</f>
        <v>10.5</v>
      </c>
      <c r="F313" s="25" t="n">
        <f aca="false">IF(F311&lt;=$C$248,$C$240*F312,0)</f>
        <v>10.5</v>
      </c>
      <c r="G313" s="25" t="n">
        <f aca="false">IF(G311&lt;=$C$248,$C$240*G312,0)</f>
        <v>0</v>
      </c>
      <c r="H313" s="25" t="n">
        <f aca="false">IF(H311&lt;=$C$248,$C$240*H312,0)</f>
        <v>0</v>
      </c>
    </row>
    <row r="314" customFormat="false" ht="15" hidden="false" customHeight="false" outlineLevel="0" collapsed="false">
      <c r="A314" s="3" t="s">
        <v>539</v>
      </c>
      <c r="D314" s="25" t="n">
        <f aca="false">IF(AND($C$169=0,D311=$C$243),$C$240*$C$308/100,0)+IF(AND($C$169=1,D311=$C$309),$C$246,0)</f>
        <v>0</v>
      </c>
      <c r="E314" s="25" t="n">
        <f aca="false">IF(AND($C$169=0,E311=$C$243),$C$240*$C$308/100,0)+IF(AND($C$169=1,E311=$C$309),$C$246,0)</f>
        <v>0</v>
      </c>
      <c r="F314" s="25" t="n">
        <f aca="false">IF(AND($C$169=0,F311=$C$243),$C$240*$C$308/100,0)+IF(AND($C$169=1,F311=$C$309),$C$246,0)</f>
        <v>100</v>
      </c>
      <c r="G314" s="25" t="n">
        <f aca="false">IF(AND($C$169=0,G311=$C$243),$C$240*$C$308/100,0)+IF(AND($C$169=1,G311=$C$309),$C$246,0)</f>
        <v>0</v>
      </c>
      <c r="H314" s="25" t="n">
        <f aca="false">IF(AND($C$169=0,H311=$C$243),$C$240*$C$308/100,0)+IF(AND($C$169=1,H311=$C$309),$C$246,0)</f>
        <v>0</v>
      </c>
      <c r="I314" s="25" t="n">
        <f aca="false">IF(AND($C$169=0,I311=$C$243),$C$240*$C$308/100,0)+IF(AND($C$169=1,I311=$C$309),$C$246,0)</f>
        <v>0</v>
      </c>
    </row>
    <row r="315" customFormat="false" ht="15" hidden="false" customHeight="false" outlineLevel="0" collapsed="false">
      <c r="A315" s="2" t="s">
        <v>540</v>
      </c>
      <c r="C315" s="16" t="n">
        <f aca="false">-$C$242</f>
        <v>-95</v>
      </c>
      <c r="D315" s="16" t="n">
        <f aca="false">D313+D314</f>
        <v>10.5</v>
      </c>
      <c r="E315" s="16" t="n">
        <f aca="false">E313+E314</f>
        <v>10.5</v>
      </c>
      <c r="F315" s="16" t="n">
        <f aca="false">F313+F314</f>
        <v>110.5</v>
      </c>
      <c r="G315" s="16" t="n">
        <f aca="false">G313+G314</f>
        <v>0</v>
      </c>
      <c r="H315" s="16" t="n">
        <f aca="false">H313+H314</f>
        <v>0</v>
      </c>
      <c r="I315" s="16" t="n">
        <f aca="false">I313+I314</f>
        <v>0</v>
      </c>
    </row>
    <row r="316" customFormat="false" ht="15" hidden="false" customHeight="false" outlineLevel="0" collapsed="false">
      <c r="A316" s="3" t="s">
        <v>541</v>
      </c>
      <c r="C316" s="25" t="n">
        <f aca="false">SUM($C$313:$I$313)</f>
        <v>31.5</v>
      </c>
    </row>
    <row r="317" customFormat="false" ht="15" hidden="false" customHeight="false" outlineLevel="0" collapsed="false">
      <c r="A317" s="3" t="s">
        <v>542</v>
      </c>
      <c r="C317" s="25" t="n">
        <f aca="false">SUM($C$314:$I$314)</f>
        <v>100</v>
      </c>
    </row>
    <row r="318" customFormat="false" ht="15" hidden="false" customHeight="false" outlineLevel="0" collapsed="false">
      <c r="A318" s="3" t="s">
        <v>543</v>
      </c>
      <c r="C318" s="25" t="n">
        <f aca="false">C316+C317</f>
        <v>131.5</v>
      </c>
    </row>
    <row r="319" customFormat="false" ht="15" hidden="false" customHeight="false" outlineLevel="0" collapsed="false">
      <c r="A319" s="3" t="s">
        <v>544</v>
      </c>
      <c r="C319" s="25" t="n">
        <f aca="false">C317-C240*C241/100</f>
        <v>5</v>
      </c>
    </row>
    <row r="320" customFormat="false" ht="15" hidden="false" customHeight="false" outlineLevel="0" collapsed="false">
      <c r="A320" s="3" t="s">
        <v>545</v>
      </c>
      <c r="C320" s="25" t="n">
        <f aca="false">C318-C242</f>
        <v>36.5</v>
      </c>
    </row>
    <row r="321" customFormat="false" ht="15" hidden="false" customHeight="false" outlineLevel="0" collapsed="false">
      <c r="A321" s="2" t="s">
        <v>427</v>
      </c>
      <c r="C321" s="44" t="n">
        <f aca="false">C318/C242</f>
        <v>1.38421052631579</v>
      </c>
    </row>
    <row r="322" customFormat="false" ht="15" hidden="false" customHeight="false" outlineLevel="0" collapsed="false">
      <c r="A322" s="2" t="s">
        <v>426</v>
      </c>
      <c r="C322" s="42" t="n">
        <f aca="false">IF(C318&lt;=0,-1,IFERROR(IRR($C$315:$I$315,MAX(-0.9,C321^(1/C309)-1)),IRR($C$315:$I$315,0.1)))</f>
        <v>0.126033624615204</v>
      </c>
    </row>
    <row r="323" customFormat="false" ht="15" hidden="false" customHeight="false" outlineLevel="0" collapsed="false">
      <c r="A323" s="3" t="s">
        <v>546</v>
      </c>
      <c r="C323" s="32" t="n">
        <f aca="false">MAX($G$129:$K$129)</f>
        <v>3.81499621093561</v>
      </c>
    </row>
    <row r="324" customFormat="false" ht="15" hidden="false" customHeight="false" outlineLevel="0" collapsed="false">
      <c r="A324" s="3" t="s">
        <v>547</v>
      </c>
      <c r="C324" s="32" t="n">
        <f aca="false">MIN($G$130:$K$130)</f>
        <v>1.75842750947116</v>
      </c>
    </row>
    <row r="325" customFormat="false" ht="15" hidden="false" customHeight="false" outlineLevel="0" collapsed="false">
      <c r="A325" s="3" t="s">
        <v>548</v>
      </c>
      <c r="C325" s="25" t="n">
        <f aca="false">SUM($G$36:$K$36)</f>
        <v>555.588348849095</v>
      </c>
    </row>
    <row r="329" customFormat="false" ht="15" hidden="false" customHeight="false" outlineLevel="0" collapsed="false">
      <c r="A329" s="9" t="s">
        <v>1015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customFormat="false" ht="15" hidden="false" customHeight="false" outlineLevel="0" collapsed="false">
      <c r="A330" s="3" t="s">
        <v>1010</v>
      </c>
      <c r="C330" s="11" t="n">
        <v>2</v>
      </c>
    </row>
    <row r="331" customFormat="false" ht="15" hidden="false" customHeight="false" outlineLevel="0" collapsed="false">
      <c r="A331" s="3" t="s">
        <v>1011</v>
      </c>
      <c r="C331" s="18" t="n">
        <v>0</v>
      </c>
    </row>
    <row r="332" customFormat="false" ht="15" hidden="false" customHeight="false" outlineLevel="0" collapsed="false">
      <c r="A332" s="3" t="s">
        <v>1012</v>
      </c>
      <c r="C332" s="18" t="n">
        <v>0</v>
      </c>
    </row>
    <row r="333" customFormat="false" ht="15" hidden="false" customHeight="false" outlineLevel="0" collapsed="false">
      <c r="A333" s="3" t="s">
        <v>1013</v>
      </c>
      <c r="C333" s="18" t="n">
        <v>0</v>
      </c>
    </row>
    <row r="334" customFormat="false" ht="15" hidden="false" customHeight="false" outlineLevel="0" collapsed="false">
      <c r="A334" s="3" t="s">
        <v>1014</v>
      </c>
      <c r="C334" s="15" t="n">
        <v>0</v>
      </c>
    </row>
    <row r="336" customFormat="false" ht="15" hidden="false" customHeight="false" outlineLevel="0" collapsed="false">
      <c r="A336" s="23" t="s">
        <v>281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</row>
    <row r="337" customFormat="false" ht="15" hidden="false" customHeight="false" outlineLevel="0" collapsed="false">
      <c r="A337" s="3" t="s">
        <v>282</v>
      </c>
      <c r="F337" s="27" t="n">
        <f aca="false">Assumptions!$C$6</f>
        <v>2026</v>
      </c>
      <c r="G337" s="20" t="n">
        <f aca="false">F337+1</f>
        <v>2027</v>
      </c>
      <c r="H337" s="20" t="n">
        <f aca="false">G337+1</f>
        <v>2028</v>
      </c>
      <c r="I337" s="20" t="n">
        <f aca="false">H337+1</f>
        <v>2029</v>
      </c>
      <c r="J337" s="20" t="n">
        <f aca="false">I337+1</f>
        <v>2030</v>
      </c>
      <c r="K337" s="20" t="n">
        <f aca="false">J337+1</f>
        <v>2031</v>
      </c>
    </row>
    <row r="338" customFormat="false" ht="15" hidden="false" customHeight="false" outlineLevel="0" collapsed="false">
      <c r="A338" s="3" t="s">
        <v>283</v>
      </c>
      <c r="G338" s="20" t="n">
        <f aca="false">G337-Assumptions!$C$6</f>
        <v>1</v>
      </c>
      <c r="H338" s="20" t="n">
        <f aca="false">H337-Assumptions!$C$6</f>
        <v>2</v>
      </c>
      <c r="I338" s="20" t="n">
        <f aca="false">I337-Assumptions!$C$6</f>
        <v>3</v>
      </c>
      <c r="J338" s="20" t="n">
        <f aca="false">J337-Assumptions!$C$6</f>
        <v>4</v>
      </c>
      <c r="K338" s="20" t="n">
        <f aca="false">K337-Assumptions!$C$6</f>
        <v>5</v>
      </c>
    </row>
    <row r="339" customFormat="false" ht="15" hidden="false" customHeight="false" outlineLevel="0" collapsed="false">
      <c r="A339" s="3" t="s">
        <v>165</v>
      </c>
      <c r="G339" s="21" t="n">
        <f aca="false">CHOOSE($C$330,Assumptions!$G$71,Assumptions!$G$90,Assumptions!$G$109)+$C$331</f>
        <v>-0.08</v>
      </c>
      <c r="H339" s="21" t="n">
        <f aca="false">CHOOSE($C$330,Assumptions!$H$71,Assumptions!$H$90,Assumptions!$H$109)+$C$331</f>
        <v>-0.07</v>
      </c>
      <c r="I339" s="21" t="n">
        <f aca="false">CHOOSE($C$330,Assumptions!$I$71,Assumptions!$I$90,Assumptions!$I$109)+$C$331</f>
        <v>-0.06</v>
      </c>
      <c r="J339" s="21" t="n">
        <f aca="false">CHOOSE($C$330,Assumptions!$J$71,Assumptions!$J$90,Assumptions!$J$109)+$C$331</f>
        <v>-0.05</v>
      </c>
      <c r="K339" s="21" t="n">
        <f aca="false">CHOOSE($C$330,Assumptions!$K$71,Assumptions!$K$90,Assumptions!$K$109)+$C$331</f>
        <v>-0.05</v>
      </c>
    </row>
    <row r="340" customFormat="false" ht="15" hidden="false" customHeight="false" outlineLevel="0" collapsed="false">
      <c r="A340" s="3" t="s">
        <v>166</v>
      </c>
      <c r="G340" s="21" t="n">
        <f aca="false">CHOOSE($C$330,Assumptions!$G$72,Assumptions!$G$91,Assumptions!$G$110)</f>
        <v>0.463246670103635</v>
      </c>
      <c r="H340" s="21" t="n">
        <f aca="false">CHOOSE($C$330,Assumptions!$H$72,Assumptions!$H$91,Assumptions!$H$110)</f>
        <v>0.453246670103635</v>
      </c>
      <c r="I340" s="21" t="n">
        <f aca="false">CHOOSE($C$330,Assumptions!$I$72,Assumptions!$I$91,Assumptions!$I$110)</f>
        <v>0.448246670103634</v>
      </c>
      <c r="J340" s="21" t="n">
        <f aca="false">CHOOSE($C$330,Assumptions!$J$72,Assumptions!$J$91,Assumptions!$J$110)</f>
        <v>0.443246670103635</v>
      </c>
      <c r="K340" s="21" t="n">
        <f aca="false">CHOOSE($C$330,Assumptions!$K$72,Assumptions!$K$91,Assumptions!$K$110)</f>
        <v>0.443246670103635</v>
      </c>
    </row>
    <row r="341" customFormat="false" ht="15" hidden="false" customHeight="false" outlineLevel="0" collapsed="false">
      <c r="A341" s="3" t="s">
        <v>167</v>
      </c>
      <c r="G341" s="21" t="n">
        <f aca="false">CHOOSE($C$330,Assumptions!$G$73,Assumptions!$G$92,Assumptions!$G$111)+$C$332</f>
        <v>0.12</v>
      </c>
      <c r="H341" s="21" t="n">
        <f aca="false">CHOOSE($C$330,Assumptions!$H$73,Assumptions!$H$92,Assumptions!$H$111)+$C$332</f>
        <v>0.11</v>
      </c>
      <c r="I341" s="21" t="n">
        <f aca="false">CHOOSE($C$330,Assumptions!$I$73,Assumptions!$I$92,Assumptions!$I$111)+$C$332</f>
        <v>0.105</v>
      </c>
      <c r="J341" s="21" t="n">
        <f aca="false">CHOOSE($C$330,Assumptions!$J$73,Assumptions!$J$92,Assumptions!$J$111)+$C$332</f>
        <v>0.1</v>
      </c>
      <c r="K341" s="21" t="n">
        <f aca="false">CHOOSE($C$330,Assumptions!$K$73,Assumptions!$K$92,Assumptions!$K$111)+$C$332</f>
        <v>0.1</v>
      </c>
    </row>
    <row r="342" customFormat="false" ht="15" hidden="false" customHeight="false" outlineLevel="0" collapsed="false">
      <c r="A342" s="23" t="s">
        <v>284</v>
      </c>
      <c r="B342" s="24"/>
      <c r="C342" s="24"/>
      <c r="D342" s="24"/>
      <c r="E342" s="24"/>
      <c r="F342" s="24"/>
      <c r="G342" s="24"/>
      <c r="H342" s="24"/>
      <c r="I342" s="24"/>
      <c r="J342" s="24"/>
      <c r="K342" s="24"/>
    </row>
    <row r="343" customFormat="false" ht="15" hidden="false" customHeight="false" outlineLevel="0" collapsed="false">
      <c r="A343" s="2" t="s">
        <v>256</v>
      </c>
      <c r="F343" s="28" t="n">
        <f aca="false">'Historical Financials'!G23</f>
        <v>2246.166</v>
      </c>
      <c r="G343" s="16" t="n">
        <f aca="false">F343*(1+G339)</f>
        <v>2066.47272</v>
      </c>
      <c r="H343" s="16" t="n">
        <f aca="false">G343*(1+H339)</f>
        <v>1921.8196296</v>
      </c>
      <c r="I343" s="16" t="n">
        <f aca="false">H343*(1+I339)</f>
        <v>1806.510451824</v>
      </c>
      <c r="J343" s="16" t="n">
        <f aca="false">I343*(1+J339)</f>
        <v>1716.1849292328</v>
      </c>
      <c r="K343" s="16" t="n">
        <f aca="false">J343*(1+K339)</f>
        <v>1630.37568277116</v>
      </c>
    </row>
    <row r="344" customFormat="false" ht="15" hidden="false" customHeight="false" outlineLevel="0" collapsed="false">
      <c r="A344" s="3" t="s">
        <v>257</v>
      </c>
      <c r="G344" s="25" t="n">
        <f aca="false">G343*(1-G340)</f>
        <v>1109.1861136</v>
      </c>
      <c r="H344" s="25" t="n">
        <f aca="false">H343*(1-H340)</f>
        <v>1050.761281944</v>
      </c>
      <c r="I344" s="25" t="n">
        <f aca="false">I343*(1-I340)</f>
        <v>996.74815728648</v>
      </c>
      <c r="J344" s="25" t="n">
        <f aca="false">J343*(1-J340)</f>
        <v>955.49167406832</v>
      </c>
      <c r="K344" s="25" t="n">
        <f aca="false">K343*(1-K340)</f>
        <v>907.717090364904</v>
      </c>
    </row>
    <row r="345" customFormat="false" ht="15" hidden="false" customHeight="false" outlineLevel="0" collapsed="false">
      <c r="A345" s="2" t="s">
        <v>258</v>
      </c>
      <c r="G345" s="16" t="n">
        <f aca="false">G343-G344</f>
        <v>957.2866064</v>
      </c>
      <c r="H345" s="16" t="n">
        <f aca="false">H343-H344</f>
        <v>871.058347656</v>
      </c>
      <c r="I345" s="16" t="n">
        <f aca="false">I343-I344</f>
        <v>809.76229453752</v>
      </c>
      <c r="J345" s="16" t="n">
        <f aca="false">J343-J344</f>
        <v>760.69325516448</v>
      </c>
      <c r="K345" s="16" t="n">
        <f aca="false">K343-K344</f>
        <v>722.658592406256</v>
      </c>
    </row>
    <row r="346" customFormat="false" ht="15" hidden="false" customHeight="false" outlineLevel="0" collapsed="false">
      <c r="A346" s="3" t="s">
        <v>285</v>
      </c>
      <c r="G346" s="25" t="n">
        <f aca="false">G345-G347</f>
        <v>709.30988</v>
      </c>
      <c r="H346" s="25" t="n">
        <f aca="false">H345-H347</f>
        <v>659.6581884</v>
      </c>
      <c r="I346" s="25" t="n">
        <f aca="false">I345-I347</f>
        <v>620.078697096</v>
      </c>
      <c r="J346" s="25" t="n">
        <f aca="false">J345-J347</f>
        <v>589.0747622412</v>
      </c>
      <c r="K346" s="25" t="n">
        <f aca="false">K345-K347</f>
        <v>559.62102412914</v>
      </c>
    </row>
    <row r="347" customFormat="false" ht="15" hidden="false" customHeight="false" outlineLevel="0" collapsed="false">
      <c r="A347" s="2" t="s">
        <v>286</v>
      </c>
      <c r="G347" s="16" t="n">
        <f aca="false">G343*G341</f>
        <v>247.9767264</v>
      </c>
      <c r="H347" s="16" t="n">
        <f aca="false">H343*H341</f>
        <v>211.400159256</v>
      </c>
      <c r="I347" s="16" t="n">
        <f aca="false">I343*I341</f>
        <v>189.68359744152</v>
      </c>
      <c r="J347" s="16" t="n">
        <f aca="false">J343*J341</f>
        <v>171.61849292328</v>
      </c>
      <c r="K347" s="16" t="n">
        <f aca="false">K343*K341</f>
        <v>163.037568277116</v>
      </c>
    </row>
    <row r="348" customFormat="false" ht="15" hidden="false" customHeight="false" outlineLevel="0" collapsed="false">
      <c r="A348" s="3" t="s">
        <v>287</v>
      </c>
      <c r="G348" s="25" t="n">
        <f aca="false">G343*'Historical Financials'!G28/'Historical Financials'!G23</f>
        <v>78.47232</v>
      </c>
      <c r="H348" s="25" t="n">
        <f aca="false">H343*'Historical Financials'!G28/'Historical Financials'!G23</f>
        <v>72.9792576</v>
      </c>
      <c r="I348" s="25" t="n">
        <f aca="false">I343*'Historical Financials'!G28/'Historical Financials'!G23</f>
        <v>68.600502144</v>
      </c>
      <c r="J348" s="25" t="n">
        <f aca="false">J343*'Historical Financials'!G28/'Historical Financials'!G23</f>
        <v>65.1704770368</v>
      </c>
      <c r="K348" s="25" t="n">
        <f aca="false">K343*'Historical Financials'!G28/'Historical Financials'!G23</f>
        <v>61.91195318496</v>
      </c>
    </row>
    <row r="349" customFormat="false" ht="15" hidden="false" customHeight="false" outlineLevel="0" collapsed="false">
      <c r="A349" s="3" t="s">
        <v>288</v>
      </c>
      <c r="G349" s="25" t="n">
        <f aca="false">G343*'Historical Financials'!G29/'Historical Financials'!G23</f>
        <v>22.40752</v>
      </c>
      <c r="H349" s="25" t="n">
        <f aca="false">H343*'Historical Financials'!G29/'Historical Financials'!G23</f>
        <v>20.8389936</v>
      </c>
      <c r="I349" s="25" t="n">
        <f aca="false">I343*'Historical Financials'!G29/'Historical Financials'!G23</f>
        <v>19.588653984</v>
      </c>
      <c r="J349" s="25" t="n">
        <f aca="false">J343*'Historical Financials'!G29/'Historical Financials'!G23</f>
        <v>18.6092212848</v>
      </c>
      <c r="K349" s="25" t="n">
        <f aca="false">K343*'Historical Financials'!G29/'Historical Financials'!G23</f>
        <v>17.67876022056</v>
      </c>
    </row>
    <row r="350" customFormat="false" ht="15" hidden="false" customHeight="false" outlineLevel="0" collapsed="false">
      <c r="A350" s="2" t="s">
        <v>289</v>
      </c>
      <c r="G350" s="16" t="n">
        <f aca="false">G347-G348-G349</f>
        <v>147.0968864</v>
      </c>
      <c r="H350" s="16" t="n">
        <f aca="false">H347-H348-H349</f>
        <v>117.581908056</v>
      </c>
      <c r="I350" s="16" t="n">
        <f aca="false">I347-I348-I349</f>
        <v>101.49444131352</v>
      </c>
      <c r="J350" s="16" t="n">
        <f aca="false">J347-J348-J349</f>
        <v>87.83879460168</v>
      </c>
      <c r="K350" s="16" t="n">
        <f aca="false">K347-K348-K349</f>
        <v>83.446854871596</v>
      </c>
    </row>
    <row r="351" customFormat="false" ht="15" hidden="false" customHeight="false" outlineLevel="0" collapsed="false">
      <c r="A351" s="3" t="s">
        <v>290</v>
      </c>
      <c r="G351" s="25" t="n">
        <f aca="false">G377+G390+G403</f>
        <v>155.95467</v>
      </c>
      <c r="H351" s="25" t="n">
        <f aca="false">H377+H390+H403</f>
        <v>155.95467</v>
      </c>
      <c r="I351" s="25" t="n">
        <f aca="false">I377+I390+I403</f>
        <v>155.95467</v>
      </c>
      <c r="J351" s="25" t="n">
        <f aca="false">J377+J390+J403</f>
        <v>138.08529</v>
      </c>
      <c r="K351" s="25" t="n">
        <f aca="false">K377+K390+K403</f>
        <v>138.08529</v>
      </c>
    </row>
    <row r="352" customFormat="false" ht="15" hidden="false" customHeight="false" outlineLevel="0" collapsed="false">
      <c r="A352" s="3" t="s">
        <v>291</v>
      </c>
      <c r="G352" s="25" t="n">
        <f aca="false">G378+G391+G404</f>
        <v>0</v>
      </c>
      <c r="H352" s="25" t="n">
        <f aca="false">H378+H391+H404</f>
        <v>0</v>
      </c>
      <c r="I352" s="25" t="n">
        <f aca="false">I378+I391+I404</f>
        <v>0</v>
      </c>
      <c r="J352" s="25" t="n">
        <f aca="false">J378+J391+J404</f>
        <v>0</v>
      </c>
      <c r="K352" s="25" t="n">
        <f aca="false">K378+K391+K404</f>
        <v>0</v>
      </c>
    </row>
    <row r="353" customFormat="false" ht="15" hidden="false" customHeight="false" outlineLevel="0" collapsed="false">
      <c r="A353" s="3" t="s">
        <v>239</v>
      </c>
      <c r="G353" s="25" t="n">
        <f aca="false">G351+G352</f>
        <v>155.95467</v>
      </c>
      <c r="H353" s="25" t="n">
        <f aca="false">H351+H352</f>
        <v>155.95467</v>
      </c>
      <c r="I353" s="25" t="n">
        <f aca="false">I351+I352</f>
        <v>155.95467</v>
      </c>
      <c r="J353" s="25" t="n">
        <f aca="false">J351+J352</f>
        <v>138.08529</v>
      </c>
      <c r="K353" s="25" t="n">
        <f aca="false">K351+K352</f>
        <v>138.08529</v>
      </c>
    </row>
    <row r="354" customFormat="false" ht="15" hidden="false" customHeight="false" outlineLevel="0" collapsed="false">
      <c r="A354" s="2" t="s">
        <v>264</v>
      </c>
      <c r="G354" s="16" t="n">
        <f aca="false">G350-G353</f>
        <v>-8.85778360000006</v>
      </c>
      <c r="H354" s="16" t="n">
        <f aca="false">H350-H353</f>
        <v>-38.372761944</v>
      </c>
      <c r="I354" s="16" t="n">
        <f aca="false">I350-I353</f>
        <v>-54.46022868648</v>
      </c>
      <c r="J354" s="16" t="n">
        <f aca="false">J350-J353</f>
        <v>-50.24649539832</v>
      </c>
      <c r="K354" s="16" t="n">
        <f aca="false">K350-K353</f>
        <v>-54.638435128404</v>
      </c>
    </row>
    <row r="355" customFormat="false" ht="15" hidden="false" customHeight="false" outlineLevel="0" collapsed="false">
      <c r="A355" s="3" t="s">
        <v>292</v>
      </c>
      <c r="G355" s="25" t="n">
        <f aca="false">MAX(0,G354)*Assumptions!$C$9</f>
        <v>0</v>
      </c>
      <c r="H355" s="25" t="n">
        <f aca="false">MAX(0,H354)*Assumptions!$C$9</f>
        <v>0</v>
      </c>
      <c r="I355" s="25" t="n">
        <f aca="false">MAX(0,I354)*Assumptions!$C$9</f>
        <v>0</v>
      </c>
      <c r="J355" s="25" t="n">
        <f aca="false">MAX(0,J354)*Assumptions!$C$9</f>
        <v>0</v>
      </c>
      <c r="K355" s="25" t="n">
        <f aca="false">MAX(0,K354)*Assumptions!$C$9</f>
        <v>0</v>
      </c>
    </row>
    <row r="356" customFormat="false" ht="15" hidden="false" customHeight="false" outlineLevel="0" collapsed="false">
      <c r="A356" s="2" t="s">
        <v>293</v>
      </c>
      <c r="G356" s="16" t="n">
        <f aca="false">G354-G355</f>
        <v>-8.85778360000006</v>
      </c>
      <c r="H356" s="16" t="n">
        <f aca="false">H354-H355</f>
        <v>-38.372761944</v>
      </c>
      <c r="I356" s="16" t="n">
        <f aca="false">I354-I355</f>
        <v>-54.46022868648</v>
      </c>
      <c r="J356" s="16" t="n">
        <f aca="false">J354-J355</f>
        <v>-50.24649539832</v>
      </c>
      <c r="K356" s="16" t="n">
        <f aca="false">K354-K355</f>
        <v>-54.638435128404</v>
      </c>
    </row>
    <row r="357" customFormat="false" ht="15" hidden="false" customHeight="false" outlineLevel="0" collapsed="false">
      <c r="A357" s="23" t="s">
        <v>294</v>
      </c>
      <c r="B357" s="24"/>
      <c r="C357" s="24"/>
      <c r="D357" s="24"/>
      <c r="E357" s="24"/>
      <c r="F357" s="24"/>
      <c r="G357" s="24"/>
      <c r="H357" s="24"/>
      <c r="I357" s="24"/>
      <c r="J357" s="24"/>
      <c r="K357" s="24"/>
    </row>
    <row r="358" customFormat="false" ht="15" hidden="false" customHeight="false" outlineLevel="0" collapsed="false">
      <c r="A358" s="3" t="s">
        <v>169</v>
      </c>
      <c r="G358" s="25" t="n">
        <f aca="false">G343*CHOOSE($C$330,Assumptions!$C$75,Assumptions!$C$94,Assumptions!$C$113)</f>
        <v>26.86414536</v>
      </c>
      <c r="H358" s="25" t="n">
        <f aca="false">H343*CHOOSE($C$330,Assumptions!$C$75,Assumptions!$C$94,Assumptions!$C$113)</f>
        <v>24.9836551848</v>
      </c>
      <c r="I358" s="25" t="n">
        <f aca="false">I343*CHOOSE($C$330,Assumptions!$C$75,Assumptions!$C$94,Assumptions!$C$113)</f>
        <v>23.484635873712</v>
      </c>
      <c r="J358" s="25" t="n">
        <f aca="false">J343*CHOOSE($C$330,Assumptions!$C$75,Assumptions!$C$94,Assumptions!$C$113)</f>
        <v>22.3104040800264</v>
      </c>
      <c r="K358" s="25" t="n">
        <f aca="false">K343*CHOOSE($C$330,Assumptions!$C$75,Assumptions!$C$94,Assumptions!$C$113)</f>
        <v>21.1948838760251</v>
      </c>
    </row>
    <row r="359" customFormat="false" ht="15" hidden="false" customHeight="false" outlineLevel="0" collapsed="false">
      <c r="A359" s="3" t="s">
        <v>295</v>
      </c>
      <c r="G359" s="25" t="n">
        <f aca="false">CHOOSE($C$330,Assumptions!$C$76,Assumptions!$C$95,Assumptions!$C$114)*(G343-F343)+CHOOSE($C$330,Assumptions!$C$77,Assumptions!$C$96,Assumptions!$C$115)*G343</f>
        <v>10.3323636</v>
      </c>
      <c r="H359" s="25" t="n">
        <f aca="false">CHOOSE($C$330,Assumptions!$C$76,Assumptions!$C$95,Assumptions!$C$114)*(H343-G343)+CHOOSE($C$330,Assumptions!$C$77,Assumptions!$C$96,Assumptions!$C$115)*H343</f>
        <v>9.609098148</v>
      </c>
      <c r="I359" s="25" t="n">
        <f aca="false">CHOOSE($C$330,Assumptions!$C$76,Assumptions!$C$95,Assumptions!$C$114)*(I343-H343)+CHOOSE($C$330,Assumptions!$C$77,Assumptions!$C$96,Assumptions!$C$115)*I343</f>
        <v>9.03255225912</v>
      </c>
      <c r="J359" s="25" t="n">
        <f aca="false">CHOOSE($C$330,Assumptions!$C$76,Assumptions!$C$95,Assumptions!$C$114)*(J343-I343)+CHOOSE($C$330,Assumptions!$C$77,Assumptions!$C$96,Assumptions!$C$115)*J343</f>
        <v>8.580924646164</v>
      </c>
      <c r="K359" s="25" t="n">
        <f aca="false">CHOOSE($C$330,Assumptions!$C$76,Assumptions!$C$95,Assumptions!$C$114)*(K343-J343)+CHOOSE($C$330,Assumptions!$C$77,Assumptions!$C$96,Assumptions!$C$115)*K343</f>
        <v>8.1518784138558</v>
      </c>
    </row>
    <row r="360" customFormat="false" ht="15" hidden="false" customHeight="false" outlineLevel="0" collapsed="false">
      <c r="A360" s="2" t="s">
        <v>296</v>
      </c>
      <c r="G360" s="16" t="n">
        <f aca="false">G356+G348+G349+G352-G358-G359</f>
        <v>54.8255474399999</v>
      </c>
      <c r="H360" s="16" t="n">
        <f aca="false">H356+H348+H349+H352-H358-H359</f>
        <v>20.8527359232</v>
      </c>
      <c r="I360" s="16" t="n">
        <f aca="false">I356+I348+I349+I352-I358-I359</f>
        <v>1.21173930868796</v>
      </c>
      <c r="J360" s="16" t="n">
        <f aca="false">J356+J348+J349+J352-J358-J359</f>
        <v>2.6418741970896</v>
      </c>
      <c r="K360" s="16" t="n">
        <f aca="false">K356+K348+K349+K352-K358-K359</f>
        <v>-4.39448401276491</v>
      </c>
    </row>
    <row r="362" customFormat="false" ht="15" hidden="false" customHeight="false" outlineLevel="0" collapsed="false">
      <c r="A362" s="23" t="s">
        <v>298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</row>
    <row r="363" customFormat="false" ht="15" hidden="false" customHeight="false" outlineLevel="0" collapsed="false">
      <c r="A363" s="3" t="s">
        <v>299</v>
      </c>
      <c r="G363" s="30" t="n">
        <f aca="false">Assumptions!$G$52</f>
        <v>0.039</v>
      </c>
      <c r="H363" s="30" t="n">
        <f aca="false">Assumptions!$H$52</f>
        <v>0.0375</v>
      </c>
      <c r="I363" s="30" t="n">
        <f aca="false">Assumptions!$I$52</f>
        <v>0.035</v>
      </c>
      <c r="J363" s="30" t="n">
        <f aca="false">Assumptions!$J$52</f>
        <v>0.035</v>
      </c>
      <c r="K363" s="30" t="n">
        <f aca="false">Assumptions!$K$52</f>
        <v>0.035</v>
      </c>
    </row>
    <row r="364" customFormat="false" ht="15" hidden="false" customHeight="false" outlineLevel="0" collapsed="false">
      <c r="A364" s="3" t="s">
        <v>300</v>
      </c>
      <c r="C364" s="31" t="n">
        <f aca="false">CHOOSE($C$330,Assumptions!$C$78,Assumptions!$C$97,Assumptions!$C$116)+$C$333</f>
        <v>0.015</v>
      </c>
    </row>
    <row r="365" customFormat="false" ht="15" hidden="false" customHeight="false" outlineLevel="0" collapsed="false">
      <c r="A365" s="3" t="s">
        <v>301</v>
      </c>
      <c r="C365" s="31" t="n">
        <f aca="false">CHOOSE($C$330,Assumptions!$C$79,Assumptions!$C$98,Assumptions!$C$117)</f>
        <v>0.13</v>
      </c>
    </row>
    <row r="366" customFormat="false" ht="15" hidden="false" customHeight="false" outlineLevel="0" collapsed="false">
      <c r="A366" s="3" t="s">
        <v>302</v>
      </c>
      <c r="C366" s="32" t="n">
        <f aca="false">CHOOSE($C$330,Assumptions!$C$80,Assumptions!$C$99,Assumptions!$C$118)</f>
        <v>5.5</v>
      </c>
    </row>
    <row r="367" customFormat="false" ht="15" hidden="false" customHeight="false" outlineLevel="0" collapsed="false">
      <c r="A367" s="3" t="s">
        <v>303</v>
      </c>
      <c r="C367" s="32" t="n">
        <f aca="false">CHOOSE($C$330,Assumptions!$C$81,Assumptions!$C$100,Assumptions!$C$119)</f>
        <v>1.5</v>
      </c>
    </row>
    <row r="368" customFormat="false" ht="15" hidden="false" customHeight="false" outlineLevel="0" collapsed="false">
      <c r="A368" s="3" t="s">
        <v>304</v>
      </c>
      <c r="G368" s="25" t="n">
        <f aca="false">G373+G386+G399</f>
        <v>1735.554</v>
      </c>
      <c r="H368" s="25" t="n">
        <f aca="false">H373+H386+H399</f>
        <v>1735.554</v>
      </c>
      <c r="I368" s="25" t="n">
        <f aca="false">I373+I386+I399</f>
        <v>1735.554</v>
      </c>
      <c r="J368" s="25" t="n">
        <f aca="false">J373+J386+J399</f>
        <v>1315.098</v>
      </c>
      <c r="K368" s="25" t="n">
        <f aca="false">K373+K386+K399</f>
        <v>1315.098</v>
      </c>
    </row>
    <row r="369" customFormat="false" ht="15" hidden="false" customHeight="false" outlineLevel="0" collapsed="false">
      <c r="A369" s="3" t="s">
        <v>305</v>
      </c>
      <c r="G369" s="25" t="n">
        <f aca="false">F442</f>
        <v>463.996</v>
      </c>
      <c r="H369" s="25" t="n">
        <f aca="false">G442</f>
        <v>518.82154744</v>
      </c>
      <c r="I369" s="25" t="n">
        <f aca="false">H442</f>
        <v>539.6742833632</v>
      </c>
      <c r="J369" s="25" t="n">
        <f aca="false">I442</f>
        <v>120.430022671888</v>
      </c>
      <c r="K369" s="25" t="n">
        <f aca="false">J442</f>
        <v>123.071896868977</v>
      </c>
    </row>
    <row r="370" customFormat="false" ht="15" hidden="false" customHeight="false" outlineLevel="0" collapsed="false">
      <c r="A370" s="3" t="s">
        <v>306</v>
      </c>
      <c r="G370" s="25" t="n">
        <f aca="false">G373*IF(G374=1,$C$365,IF(Assumptions!$I$56=1,MAX(G363,Assumptions!$G$56)+Assumptions!$F$56+$C$364,Assumptions!$E$56))+G386*IF(G387=1,$C$365,IF(Assumptions!$I$57=1,MAX(G363,Assumptions!$G$57)+Assumptions!$F$57+$C$364,Assumptions!$E$57))+G399*IF(G400=1,$C$365,IF(Assumptions!$I$58=1,MAX(G363,Assumptions!$G$58)+Assumptions!$F$58+$C$364,Assumptions!$E$58))</f>
        <v>155.95467</v>
      </c>
      <c r="H370" s="25" t="n">
        <f aca="false">H373*IF(OR(H374=1,G520=1),$C$365,IF(Assumptions!$I$56=1,MAX(H363,Assumptions!$G$56)+Assumptions!$F$56+$C$364,Assumptions!$E$56))+H386*IF(OR(H387=1,G521=1),$C$365,IF(Assumptions!$I$57=1,MAX(H363,Assumptions!$G$57)+Assumptions!$F$57+$C$364,Assumptions!$E$57))+H399*IF(OR(H400=1,G522=1),$C$365,IF(Assumptions!$I$58=1,MAX(H363,Assumptions!$G$58)+Assumptions!$F$58+$C$364,Assumptions!$E$58))</f>
        <v>155.95467</v>
      </c>
      <c r="I370" s="25" t="n">
        <f aca="false">I373*IF(OR(I374=1,H520=1),$C$365,IF(Assumptions!$I$56=1,MAX(I363,Assumptions!$G$56)+Assumptions!$F$56+$C$364,Assumptions!$E$56))+I386*IF(OR(I387=1,H521=1),$C$365,IF(Assumptions!$I$57=1,MAX(I363,Assumptions!$G$57)+Assumptions!$F$57+$C$364,Assumptions!$E$57))+I399*IF(OR(I400=1,H522=1),$C$365,IF(Assumptions!$I$58=1,MAX(I363,Assumptions!$G$58)+Assumptions!$F$58+$C$364,Assumptions!$E$58))</f>
        <v>192.74457</v>
      </c>
      <c r="J370" s="25" t="n">
        <f aca="false">J373*IF(OR(J374=1,I520=1),$C$365,IF(Assumptions!$I$56=1,MAX(J363,Assumptions!$G$56)+Assumptions!$F$56+$C$364,Assumptions!$E$56))+J386*IF(OR(J387=1,I521=1),$C$365,IF(Assumptions!$I$57=1,MAX(J363,Assumptions!$G$57)+Assumptions!$F$57+$C$364,Assumptions!$E$57))+J399*IF(OR(J400=1,I522=1),$C$365,IF(Assumptions!$I$58=1,MAX(J363,Assumptions!$G$58)+Assumptions!$F$58+$C$364,Assumptions!$E$58))</f>
        <v>138.08529</v>
      </c>
      <c r="K370" s="25" t="n">
        <f aca="false">K373*IF(OR(K374=1,J520=1),$C$365,IF(Assumptions!$I$56=1,MAX(K363,Assumptions!$G$56)+Assumptions!$F$56+$C$364,Assumptions!$E$56))+K386*IF(OR(K387=1,J521=1),$C$365,IF(Assumptions!$I$57=1,MAX(K363,Assumptions!$G$57)+Assumptions!$F$57+$C$364,Assumptions!$E$57))+K399*IF(OR(K400=1,J522=1),$C$365,IF(Assumptions!$I$58=1,MAX(K363,Assumptions!$G$58)+Assumptions!$F$58+$C$364,Assumptions!$E$58))</f>
        <v>138.08529</v>
      </c>
    </row>
    <row r="371" customFormat="false" ht="15" hidden="false" customHeight="false" outlineLevel="0" collapsed="false">
      <c r="A371" s="3" t="s">
        <v>307</v>
      </c>
      <c r="G371" s="20" t="n">
        <f aca="false">IF(G347&lt;=0,0,IF(AND((G368-G369)/G347&lt;=$C$366,G347/G370&gt;=$C$367),1,0))</f>
        <v>1</v>
      </c>
      <c r="H371" s="20" t="n">
        <f aca="false">IF(H347&lt;=0,0,IF(AND((H368-H369)/H347&lt;=$C$366,H347/H370&gt;=$C$367),1,0))</f>
        <v>0</v>
      </c>
      <c r="I371" s="20" t="n">
        <f aca="false">IF(I347&lt;=0,0,IF(AND((I368-I369)/I347&lt;=$C$366,I347/I370&gt;=$C$367),1,0))</f>
        <v>0</v>
      </c>
      <c r="J371" s="20" t="n">
        <f aca="false">IF(J347&lt;=0,0,IF(AND((J368-J369)/J347&lt;=$C$366,J347/J370&gt;=$C$367),1,0))</f>
        <v>0</v>
      </c>
      <c r="K371" s="20" t="n">
        <f aca="false">IF(K347&lt;=0,0,IF(AND((K368-K369)/K347&lt;=$C$366,K347/K370&gt;=$C$367),1,0))</f>
        <v>0</v>
      </c>
    </row>
    <row r="372" customFormat="false" ht="15" hidden="false" customHeight="false" outlineLevel="0" collapsed="false">
      <c r="A372" s="23" t="s">
        <v>308</v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</row>
    <row r="373" customFormat="false" ht="15" hidden="false" customHeight="false" outlineLevel="0" collapsed="false">
      <c r="A373" s="3" t="s">
        <v>309</v>
      </c>
      <c r="G373" s="25" t="n">
        <f aca="false">F384</f>
        <v>1315.098</v>
      </c>
      <c r="H373" s="25" t="n">
        <f aca="false">G384</f>
        <v>1315.098</v>
      </c>
      <c r="I373" s="25" t="n">
        <f aca="false">H384</f>
        <v>1315.098</v>
      </c>
      <c r="J373" s="25" t="n">
        <f aca="false">I384</f>
        <v>1315.098</v>
      </c>
      <c r="K373" s="25" t="n">
        <f aca="false">J384</f>
        <v>1315.098</v>
      </c>
    </row>
    <row r="374" customFormat="false" ht="15" hidden="false" customHeight="false" outlineLevel="0" collapsed="false">
      <c r="A374" s="3" t="s">
        <v>310</v>
      </c>
      <c r="G374" s="20" t="n">
        <f aca="false">IF(G337=Assumptions!$K$56,1,0)</f>
        <v>0</v>
      </c>
      <c r="H374" s="20" t="n">
        <f aca="false">IF(H337=Assumptions!$K$56,1,0)</f>
        <v>0</v>
      </c>
      <c r="I374" s="20" t="n">
        <f aca="false">IF(I337=Assumptions!$K$56,1,0)</f>
        <v>0</v>
      </c>
      <c r="J374" s="20" t="n">
        <f aca="false">IF(J337=Assumptions!$K$56,1,0)</f>
        <v>0</v>
      </c>
      <c r="K374" s="20" t="n">
        <f aca="false">IF(K337=Assumptions!$K$56,1,0)</f>
        <v>0</v>
      </c>
    </row>
    <row r="376" customFormat="false" ht="15" hidden="false" customHeight="false" outlineLevel="0" collapsed="false">
      <c r="A376" s="3" t="s">
        <v>311</v>
      </c>
      <c r="G376" s="31" t="n">
        <f aca="false">IF(Assumptions!$I$56=1,MAX(G363,Assumptions!$G$56)+Assumptions!$F$56+$C$364,Assumptions!$E$56)</f>
        <v>0.105</v>
      </c>
      <c r="H376" s="31" t="n">
        <f aca="false">IF(G520=1,$C$365,IF(Assumptions!$I$56=1,MAX(H363,Assumptions!$G$56)+Assumptions!$F$56+$C$364,Assumptions!$E$56))</f>
        <v>0.105</v>
      </c>
      <c r="I376" s="31" t="n">
        <f aca="false">IF(H520=1,$C$365,IF(Assumptions!$I$56=1,MAX(I363,Assumptions!$G$56)+Assumptions!$F$56+$C$364,Assumptions!$E$56))</f>
        <v>0.105</v>
      </c>
      <c r="J376" s="31" t="n">
        <f aca="false">IF(I520=1,$C$365,IF(Assumptions!$I$56=1,MAX(J363,Assumptions!$G$56)+Assumptions!$F$56+$C$364,Assumptions!$E$56))</f>
        <v>0.105</v>
      </c>
      <c r="K376" s="31" t="n">
        <f aca="false">IF(J520=1,$C$365,IF(Assumptions!$I$56=1,MAX(K363,Assumptions!$G$56)+Assumptions!$F$56+$C$364,Assumptions!$E$56))</f>
        <v>0.105</v>
      </c>
    </row>
    <row r="377" customFormat="false" ht="15" hidden="false" customHeight="false" outlineLevel="0" collapsed="false">
      <c r="A377" s="3" t="s">
        <v>312</v>
      </c>
      <c r="G377" s="25" t="n">
        <f aca="false">G373*G376</f>
        <v>138.08529</v>
      </c>
      <c r="H377" s="25" t="n">
        <f aca="false">H373*H376</f>
        <v>138.08529</v>
      </c>
      <c r="I377" s="25" t="n">
        <f aca="false">I373*I376</f>
        <v>138.08529</v>
      </c>
      <c r="J377" s="25" t="n">
        <f aca="false">J373*J376</f>
        <v>138.08529</v>
      </c>
      <c r="K377" s="25" t="n">
        <f aca="false">K373*K376</f>
        <v>138.08529</v>
      </c>
    </row>
    <row r="378" customFormat="false" ht="15" hidden="false" customHeight="false" outlineLevel="0" collapsed="false">
      <c r="A378" s="3" t="s">
        <v>313</v>
      </c>
      <c r="G378" s="25" t="n">
        <f aca="false">G373*Assumptions!$H$56</f>
        <v>0</v>
      </c>
      <c r="H378" s="25" t="n">
        <f aca="false">H373*Assumptions!$H$56</f>
        <v>0</v>
      </c>
      <c r="I378" s="25" t="n">
        <f aca="false">I373*Assumptions!$H$56</f>
        <v>0</v>
      </c>
      <c r="J378" s="25" t="n">
        <f aca="false">J373*Assumptions!$H$56</f>
        <v>0</v>
      </c>
      <c r="K378" s="25" t="n">
        <f aca="false">K373*Assumptions!$H$56</f>
        <v>0</v>
      </c>
    </row>
    <row r="379" customFormat="false" ht="15" hidden="false" customHeight="false" outlineLevel="0" collapsed="false">
      <c r="A379" s="3" t="s">
        <v>314</v>
      </c>
      <c r="G379" s="25" t="n">
        <f aca="false">MIN(G373,Assumptions!$L$56*Assumptions!$C$56)</f>
        <v>0</v>
      </c>
      <c r="H379" s="25" t="n">
        <f aca="false">MIN(H373,Assumptions!$L$56*Assumptions!$C$56)</f>
        <v>0</v>
      </c>
      <c r="I379" s="25" t="n">
        <f aca="false">MIN(I373,Assumptions!$L$56*Assumptions!$C$56)</f>
        <v>0</v>
      </c>
      <c r="J379" s="25" t="n">
        <f aca="false">MIN(J373,Assumptions!$L$56*Assumptions!$C$56)</f>
        <v>0</v>
      </c>
      <c r="K379" s="25" t="n">
        <f aca="false">MIN(K373,Assumptions!$L$56*Assumptions!$C$56)</f>
        <v>0</v>
      </c>
    </row>
    <row r="380" customFormat="false" ht="15" hidden="false" customHeight="false" outlineLevel="0" collapsed="false">
      <c r="A380" s="3" t="s">
        <v>315</v>
      </c>
      <c r="G380" s="25" t="n">
        <f aca="false">IF(AND(Assumptions!$P$56=1,G337&lt;Assumptions!$K$56),MIN(MAX(0,-G434),MAX(0,Assumptions!$D$56-G373)),0)</f>
        <v>0</v>
      </c>
      <c r="H380" s="25" t="n">
        <f aca="false">IF(AND(Assumptions!$P$56=1,OR(H337&lt;Assumptions!$K$56,G520=1)),MIN(MAX(0,-H434),MAX(0,Assumptions!$D$56-H373)),0)</f>
        <v>0</v>
      </c>
      <c r="I380" s="25" t="n">
        <f aca="false">IF(AND(Assumptions!$P$56=1,OR(I337&lt;Assumptions!$K$56,H520=1)),MIN(MAX(0,-I434),MAX(0,Assumptions!$D$56-I373)),0)</f>
        <v>0</v>
      </c>
      <c r="J380" s="25" t="n">
        <f aca="false">IF(AND(Assumptions!$P$56=1,OR(J337&lt;Assumptions!$K$56,I520=1)),MIN(MAX(0,-J434),MAX(0,Assumptions!$D$56-J373)),0)</f>
        <v>0</v>
      </c>
      <c r="K380" s="25" t="n">
        <f aca="false">IF(AND(Assumptions!$P$56=1,OR(K337&lt;Assumptions!$K$56,J520=1)),MIN(MAX(0,-K434),MAX(0,Assumptions!$D$56-K373)),0)</f>
        <v>0</v>
      </c>
    </row>
    <row r="381" customFormat="false" ht="15" hidden="false" customHeight="false" outlineLevel="0" collapsed="false">
      <c r="A381" s="3" t="s">
        <v>316</v>
      </c>
      <c r="G381" s="25" t="n">
        <f aca="false">G374*MIN(G373-G379+G378,MAX(0,G436-Assumptions!$C$12*G371))</f>
        <v>0</v>
      </c>
      <c r="H381" s="25" t="n">
        <f aca="false">H374*MIN(H373-H379+H378,MAX(0,H436-Assumptions!$C$12*H371))</f>
        <v>0</v>
      </c>
      <c r="I381" s="25" t="n">
        <f aca="false">I374*MIN(I373-I379+I378,MAX(0,I436-Assumptions!$C$12*I371))</f>
        <v>0</v>
      </c>
      <c r="J381" s="25" t="n">
        <f aca="false">J374*MIN(J373-J379+J378,MAX(0,J436-Assumptions!$C$12*J371))</f>
        <v>0</v>
      </c>
      <c r="K381" s="25" t="n">
        <f aca="false">K374*MIN(K373-K379+K378,MAX(0,K436-Assumptions!$C$12*K371))</f>
        <v>0</v>
      </c>
    </row>
    <row r="382" customFormat="false" ht="15" hidden="false" customHeight="false" outlineLevel="0" collapsed="false">
      <c r="A382" s="3" t="s">
        <v>317</v>
      </c>
      <c r="G382" s="25" t="n">
        <f aca="false">Assumptions!$N$56*MIN(G373+G380+G378-G379-G381,MAX(0,G440))</f>
        <v>0</v>
      </c>
      <c r="H382" s="25" t="n">
        <f aca="false">Assumptions!$N$56*MIN(H373+H380+H378-H379-H381,MAX(0,H440))</f>
        <v>0</v>
      </c>
      <c r="I382" s="25" t="n">
        <f aca="false">Assumptions!$N$56*MIN(I373+I380+I378-I379-I381,MAX(0,I440))</f>
        <v>0</v>
      </c>
      <c r="J382" s="25" t="n">
        <f aca="false">Assumptions!$N$56*MIN(J373+J380+J378-J379-J381,MAX(0,J440))</f>
        <v>0</v>
      </c>
      <c r="K382" s="25" t="n">
        <f aca="false">Assumptions!$N$56*MIN(K373+K380+K378-K379-K381,MAX(0,K440))</f>
        <v>0</v>
      </c>
    </row>
    <row r="383" customFormat="false" ht="15" hidden="false" customHeight="false" outlineLevel="0" collapsed="false">
      <c r="A383" s="3" t="s">
        <v>318</v>
      </c>
      <c r="G383" s="25" t="n">
        <f aca="false">G374*(1-G371)*(G373-G379+G378-G381)</f>
        <v>0</v>
      </c>
      <c r="H383" s="25" t="n">
        <f aca="false">H374*(1-H371)*(H373-H379+H378-H381)</f>
        <v>0</v>
      </c>
      <c r="I383" s="25" t="n">
        <f aca="false">I374*(1-I371)*(I373-I379+I378-I381)</f>
        <v>0</v>
      </c>
      <c r="J383" s="25" t="n">
        <f aca="false">J374*(1-J371)*(J373-J379+J378-J381)</f>
        <v>0</v>
      </c>
      <c r="K383" s="25" t="n">
        <f aca="false">K374*(1-K371)*(K373-K379+K378-K381)</f>
        <v>0</v>
      </c>
    </row>
    <row r="384" customFormat="false" ht="15" hidden="false" customHeight="false" outlineLevel="0" collapsed="false">
      <c r="A384" s="2" t="s">
        <v>319</v>
      </c>
      <c r="F384" s="28" t="n">
        <f aca="false">Assumptions!$C$56</f>
        <v>1315.098</v>
      </c>
      <c r="G384" s="16" t="n">
        <f aca="false">G373+G380+G378-G379-G381-G382</f>
        <v>1315.098</v>
      </c>
      <c r="H384" s="16" t="n">
        <f aca="false">H373+H380+H378-H379-H381-H382</f>
        <v>1315.098</v>
      </c>
      <c r="I384" s="16" t="n">
        <f aca="false">I373+I380+I378-I379-I381-I382</f>
        <v>1315.098</v>
      </c>
      <c r="J384" s="16" t="n">
        <f aca="false">J373+J380+J378-J379-J381-J382</f>
        <v>1315.098</v>
      </c>
      <c r="K384" s="16" t="n">
        <f aca="false">K373+K380+K378-K379-K381-K382</f>
        <v>1315.098</v>
      </c>
    </row>
    <row r="385" customFormat="false" ht="15" hidden="false" customHeight="false" outlineLevel="0" collapsed="false">
      <c r="A385" s="23" t="s">
        <v>320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</row>
    <row r="386" customFormat="false" ht="15" hidden="false" customHeight="false" outlineLevel="0" collapsed="false">
      <c r="A386" s="3" t="s">
        <v>309</v>
      </c>
      <c r="G386" s="25" t="n">
        <f aca="false">F397</f>
        <v>276.706</v>
      </c>
      <c r="H386" s="25" t="n">
        <f aca="false">G397</f>
        <v>276.706</v>
      </c>
      <c r="I386" s="25" t="n">
        <f aca="false">H397</f>
        <v>276.706</v>
      </c>
      <c r="J386" s="25" t="n">
        <f aca="false">I397</f>
        <v>0</v>
      </c>
      <c r="K386" s="25" t="n">
        <f aca="false">J397</f>
        <v>0</v>
      </c>
    </row>
    <row r="387" customFormat="false" ht="15" hidden="false" customHeight="false" outlineLevel="0" collapsed="false">
      <c r="A387" s="3" t="s">
        <v>310</v>
      </c>
      <c r="G387" s="20" t="n">
        <f aca="false">IF(G337=Assumptions!$K$57,1,0)</f>
        <v>0</v>
      </c>
      <c r="H387" s="20" t="n">
        <f aca="false">IF(H337=Assumptions!$K$57,1,0)</f>
        <v>0</v>
      </c>
      <c r="I387" s="20" t="n">
        <f aca="false">IF(I337=Assumptions!$K$57,1,0)</f>
        <v>1</v>
      </c>
      <c r="J387" s="20" t="n">
        <f aca="false">IF(J337=Assumptions!$K$57,1,0)</f>
        <v>0</v>
      </c>
      <c r="K387" s="20" t="n">
        <f aca="false">IF(K337=Assumptions!$K$57,1,0)</f>
        <v>0</v>
      </c>
    </row>
    <row r="389" customFormat="false" ht="15" hidden="false" customHeight="false" outlineLevel="0" collapsed="false">
      <c r="A389" s="3" t="s">
        <v>311</v>
      </c>
      <c r="G389" s="31" t="n">
        <f aca="false">IF(Assumptions!$I$57=1,MAX(G363,Assumptions!$G$57)+Assumptions!$F$57+$C$364,Assumptions!$E$57)</f>
        <v>0.0425</v>
      </c>
      <c r="H389" s="31" t="n">
        <f aca="false">IF(G521=1,$C$365,IF(Assumptions!$I$57=1,MAX(H363,Assumptions!$G$57)+Assumptions!$F$57+$C$364,Assumptions!$E$57))</f>
        <v>0.0425</v>
      </c>
      <c r="I389" s="31" t="n">
        <f aca="false">IF(H521=1,$C$365,IF(Assumptions!$I$57=1,MAX(I363,Assumptions!$G$57)+Assumptions!$F$57+$C$364,Assumptions!$E$57))</f>
        <v>0.0425</v>
      </c>
      <c r="J389" s="31" t="n">
        <f aca="false">IF(I521=1,$C$365,IF(Assumptions!$I$57=1,MAX(J363,Assumptions!$G$57)+Assumptions!$F$57+$C$364,Assumptions!$E$57))</f>
        <v>0.0425</v>
      </c>
      <c r="K389" s="31" t="n">
        <f aca="false">IF(J521=1,$C$365,IF(Assumptions!$I$57=1,MAX(K363,Assumptions!$G$57)+Assumptions!$F$57+$C$364,Assumptions!$E$57))</f>
        <v>0.0425</v>
      </c>
    </row>
    <row r="390" customFormat="false" ht="15" hidden="false" customHeight="false" outlineLevel="0" collapsed="false">
      <c r="A390" s="3" t="s">
        <v>312</v>
      </c>
      <c r="G390" s="25" t="n">
        <f aca="false">G386*G389</f>
        <v>11.760005</v>
      </c>
      <c r="H390" s="25" t="n">
        <f aca="false">H386*H389</f>
        <v>11.760005</v>
      </c>
      <c r="I390" s="25" t="n">
        <f aca="false">I386*I389</f>
        <v>11.760005</v>
      </c>
      <c r="J390" s="25" t="n">
        <f aca="false">J386*J389</f>
        <v>0</v>
      </c>
      <c r="K390" s="25" t="n">
        <f aca="false">K386*K389</f>
        <v>0</v>
      </c>
    </row>
    <row r="391" customFormat="false" ht="15" hidden="false" customHeight="false" outlineLevel="0" collapsed="false">
      <c r="A391" s="3" t="s">
        <v>313</v>
      </c>
      <c r="G391" s="25" t="n">
        <f aca="false">G386*Assumptions!$H$57</f>
        <v>0</v>
      </c>
      <c r="H391" s="25" t="n">
        <f aca="false">H386*Assumptions!$H$57</f>
        <v>0</v>
      </c>
      <c r="I391" s="25" t="n">
        <f aca="false">I386*Assumptions!$H$57</f>
        <v>0</v>
      </c>
      <c r="J391" s="25" t="n">
        <f aca="false">J386*Assumptions!$H$57</f>
        <v>0</v>
      </c>
      <c r="K391" s="25" t="n">
        <f aca="false">K386*Assumptions!$H$57</f>
        <v>0</v>
      </c>
    </row>
    <row r="392" customFormat="false" ht="15" hidden="false" customHeight="false" outlineLevel="0" collapsed="false">
      <c r="A392" s="3" t="s">
        <v>314</v>
      </c>
      <c r="G392" s="25" t="n">
        <f aca="false">MIN(G386,Assumptions!$L$57*Assumptions!$C$57)</f>
        <v>0</v>
      </c>
      <c r="H392" s="25" t="n">
        <f aca="false">MIN(H386,Assumptions!$L$57*Assumptions!$C$57)</f>
        <v>0</v>
      </c>
      <c r="I392" s="25" t="n">
        <f aca="false">MIN(I386,Assumptions!$L$57*Assumptions!$C$57)</f>
        <v>0</v>
      </c>
      <c r="J392" s="25" t="n">
        <f aca="false">MIN(J386,Assumptions!$L$57*Assumptions!$C$57)</f>
        <v>0</v>
      </c>
      <c r="K392" s="25" t="n">
        <f aca="false">MIN(K386,Assumptions!$L$57*Assumptions!$C$57)</f>
        <v>0</v>
      </c>
    </row>
    <row r="393" customFormat="false" ht="15" hidden="false" customHeight="false" outlineLevel="0" collapsed="false">
      <c r="A393" s="3" t="s">
        <v>315</v>
      </c>
      <c r="G393" s="25" t="n">
        <f aca="false">IF(AND(Assumptions!$P$57=1,G337&lt;Assumptions!$K$57),MIN(MAX(0,-G434),MAX(0,Assumptions!$D$57-G386)),0)</f>
        <v>0</v>
      </c>
      <c r="H393" s="25" t="n">
        <f aca="false">IF(AND(Assumptions!$P$57=1,OR(H337&lt;Assumptions!$K$57,G521=1)),MIN(MAX(0,-H434),MAX(0,Assumptions!$D$57-H386)),0)</f>
        <v>0</v>
      </c>
      <c r="I393" s="25" t="n">
        <f aca="false">IF(AND(Assumptions!$P$57=1,OR(I337&lt;Assumptions!$K$57,H521=1)),MIN(MAX(0,-I434),MAX(0,Assumptions!$D$57-I386)),0)</f>
        <v>0</v>
      </c>
      <c r="J393" s="25" t="n">
        <f aca="false">IF(AND(Assumptions!$P$57=1,OR(J337&lt;Assumptions!$K$57,I521=1)),MIN(MAX(0,-J434),MAX(0,Assumptions!$D$57-J386)),0)</f>
        <v>0</v>
      </c>
      <c r="K393" s="25" t="n">
        <f aca="false">IF(AND(Assumptions!$P$57=1,OR(K337&lt;Assumptions!$K$57,J521=1)),MIN(MAX(0,-K434),MAX(0,Assumptions!$D$57-K386)),0)</f>
        <v>0</v>
      </c>
    </row>
    <row r="394" customFormat="false" ht="15" hidden="false" customHeight="false" outlineLevel="0" collapsed="false">
      <c r="A394" s="3" t="s">
        <v>316</v>
      </c>
      <c r="G394" s="25" t="n">
        <f aca="false">G387*MIN(G386-G392+G391,MAX(0,G436-Assumptions!$C$12*G371-G381))</f>
        <v>0</v>
      </c>
      <c r="H394" s="25" t="n">
        <f aca="false">H387*MIN(H386-H392+H391,MAX(0,H436-Assumptions!$C$12*H371-H381))</f>
        <v>0</v>
      </c>
      <c r="I394" s="25" t="n">
        <f aca="false">I387*MIN(I386-I392+I391,MAX(0,I436-Assumptions!$C$12*I371-I381))</f>
        <v>276.706</v>
      </c>
      <c r="J394" s="25" t="n">
        <f aca="false">J387*MIN(J386-J392+J391,MAX(0,J436-Assumptions!$C$12*J371-J381))</f>
        <v>0</v>
      </c>
      <c r="K394" s="25" t="n">
        <f aca="false">K387*MIN(K386-K392+K391,MAX(0,K436-Assumptions!$C$12*K371-K381))</f>
        <v>0</v>
      </c>
    </row>
    <row r="395" customFormat="false" ht="15" hidden="false" customHeight="false" outlineLevel="0" collapsed="false">
      <c r="A395" s="3" t="s">
        <v>317</v>
      </c>
      <c r="G395" s="25" t="n">
        <f aca="false">Assumptions!$N$57*MIN(G386+G393+G391-G392-G394,MAX(0,G440-G382))</f>
        <v>0</v>
      </c>
      <c r="H395" s="25" t="n">
        <f aca="false">Assumptions!$N$57*MIN(H386+H393+H391-H392-H394,MAX(0,H440-H382))</f>
        <v>0</v>
      </c>
      <c r="I395" s="25" t="n">
        <f aca="false">Assumptions!$N$57*MIN(I386+I393+I391-I392-I394,MAX(0,I440-I382))</f>
        <v>0</v>
      </c>
      <c r="J395" s="25" t="n">
        <f aca="false">Assumptions!$N$57*MIN(J386+J393+J391-J392-J394,MAX(0,J440-J382))</f>
        <v>0</v>
      </c>
      <c r="K395" s="25" t="n">
        <f aca="false">Assumptions!$N$57*MIN(K386+K393+K391-K392-K394,MAX(0,K440-K382))</f>
        <v>0</v>
      </c>
    </row>
    <row r="396" customFormat="false" ht="15" hidden="false" customHeight="false" outlineLevel="0" collapsed="false">
      <c r="A396" s="3" t="s">
        <v>318</v>
      </c>
      <c r="G396" s="25" t="n">
        <f aca="false">G387*(1-G371)*(G386-G392+G391-G394)</f>
        <v>0</v>
      </c>
      <c r="H396" s="25" t="n">
        <f aca="false">H387*(1-H371)*(H386-H392+H391-H394)</f>
        <v>0</v>
      </c>
      <c r="I396" s="25" t="n">
        <f aca="false">I387*(1-I371)*(I386-I392+I391-I394)</f>
        <v>0</v>
      </c>
      <c r="J396" s="25" t="n">
        <f aca="false">J387*(1-J371)*(J386-J392+J391-J394)</f>
        <v>0</v>
      </c>
      <c r="K396" s="25" t="n">
        <f aca="false">K387*(1-K371)*(K386-K392+K391-K394)</f>
        <v>0</v>
      </c>
    </row>
    <row r="397" customFormat="false" ht="15" hidden="false" customHeight="false" outlineLevel="0" collapsed="false">
      <c r="A397" s="2" t="s">
        <v>319</v>
      </c>
      <c r="F397" s="28" t="n">
        <f aca="false">Assumptions!$C$57</f>
        <v>276.706</v>
      </c>
      <c r="G397" s="16" t="n">
        <f aca="false">G386+G393+G391-G392-G394-G395</f>
        <v>276.706</v>
      </c>
      <c r="H397" s="16" t="n">
        <f aca="false">H386+H393+H391-H392-H394-H395</f>
        <v>276.706</v>
      </c>
      <c r="I397" s="16" t="n">
        <f aca="false">I386+I393+I391-I392-I394-I395</f>
        <v>0</v>
      </c>
      <c r="J397" s="16" t="n">
        <f aca="false">J386+J393+J391-J392-J394-J395</f>
        <v>0</v>
      </c>
      <c r="K397" s="16" t="n">
        <f aca="false">K386+K393+K391-K392-K394-K395</f>
        <v>0</v>
      </c>
    </row>
    <row r="398" customFormat="false" ht="15" hidden="false" customHeight="false" outlineLevel="0" collapsed="false">
      <c r="A398" s="23" t="s">
        <v>321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</row>
    <row r="399" customFormat="false" ht="15" hidden="false" customHeight="false" outlineLevel="0" collapsed="false">
      <c r="A399" s="3" t="s">
        <v>309</v>
      </c>
      <c r="G399" s="25" t="n">
        <f aca="false">F410</f>
        <v>143.75</v>
      </c>
      <c r="H399" s="25" t="n">
        <f aca="false">G410</f>
        <v>143.75</v>
      </c>
      <c r="I399" s="25" t="n">
        <f aca="false">H410</f>
        <v>143.75</v>
      </c>
      <c r="J399" s="25" t="n">
        <f aca="false">I410</f>
        <v>0</v>
      </c>
      <c r="K399" s="25" t="n">
        <f aca="false">J410</f>
        <v>0</v>
      </c>
    </row>
    <row r="400" customFormat="false" ht="15" hidden="false" customHeight="false" outlineLevel="0" collapsed="false">
      <c r="A400" s="3" t="s">
        <v>310</v>
      </c>
      <c r="G400" s="20" t="n">
        <f aca="false">IF(G337=Assumptions!$K$58,1,0)</f>
        <v>0</v>
      </c>
      <c r="H400" s="20" t="n">
        <f aca="false">IF(H337=Assumptions!$K$58,1,0)</f>
        <v>0</v>
      </c>
      <c r="I400" s="20" t="n">
        <f aca="false">IF(I337=Assumptions!$K$58,1,0)</f>
        <v>1</v>
      </c>
      <c r="J400" s="20" t="n">
        <f aca="false">IF(J337=Assumptions!$K$58,1,0)</f>
        <v>0</v>
      </c>
      <c r="K400" s="20" t="n">
        <f aca="false">IF(K337=Assumptions!$K$58,1,0)</f>
        <v>0</v>
      </c>
    </row>
    <row r="402" customFormat="false" ht="15" hidden="false" customHeight="false" outlineLevel="0" collapsed="false">
      <c r="A402" s="3" t="s">
        <v>311</v>
      </c>
      <c r="G402" s="31" t="n">
        <f aca="false">IF(Assumptions!$I$58=1,MAX(G363,Assumptions!$G$58)+Assumptions!$F$58+$C$364,Assumptions!$E$58)</f>
        <v>0.0425</v>
      </c>
      <c r="H402" s="31" t="n">
        <f aca="false">IF(G522=1,$C$365,IF(Assumptions!$I$58=1,MAX(H363,Assumptions!$G$58)+Assumptions!$F$58+$C$364,Assumptions!$E$58))</f>
        <v>0.0425</v>
      </c>
      <c r="I402" s="31" t="n">
        <f aca="false">IF(H522=1,$C$365,IF(Assumptions!$I$58=1,MAX(I363,Assumptions!$G$58)+Assumptions!$F$58+$C$364,Assumptions!$E$58))</f>
        <v>0.0425</v>
      </c>
      <c r="J402" s="31" t="n">
        <f aca="false">IF(I522=1,$C$365,IF(Assumptions!$I$58=1,MAX(J363,Assumptions!$G$58)+Assumptions!$F$58+$C$364,Assumptions!$E$58))</f>
        <v>0.0425</v>
      </c>
      <c r="K402" s="31" t="n">
        <f aca="false">IF(J522=1,$C$365,IF(Assumptions!$I$58=1,MAX(K363,Assumptions!$G$58)+Assumptions!$F$58+$C$364,Assumptions!$E$58))</f>
        <v>0.0425</v>
      </c>
    </row>
    <row r="403" customFormat="false" ht="15" hidden="false" customHeight="false" outlineLevel="0" collapsed="false">
      <c r="A403" s="3" t="s">
        <v>312</v>
      </c>
      <c r="G403" s="25" t="n">
        <f aca="false">G399*G402</f>
        <v>6.109375</v>
      </c>
      <c r="H403" s="25" t="n">
        <f aca="false">H399*H402</f>
        <v>6.109375</v>
      </c>
      <c r="I403" s="25" t="n">
        <f aca="false">I399*I402</f>
        <v>6.109375</v>
      </c>
      <c r="J403" s="25" t="n">
        <f aca="false">J399*J402</f>
        <v>0</v>
      </c>
      <c r="K403" s="25" t="n">
        <f aca="false">K399*K402</f>
        <v>0</v>
      </c>
    </row>
    <row r="404" customFormat="false" ht="15" hidden="false" customHeight="false" outlineLevel="0" collapsed="false">
      <c r="A404" s="3" t="s">
        <v>313</v>
      </c>
      <c r="G404" s="25" t="n">
        <f aca="false">G399*Assumptions!$H$58</f>
        <v>0</v>
      </c>
      <c r="H404" s="25" t="n">
        <f aca="false">H399*Assumptions!$H$58</f>
        <v>0</v>
      </c>
      <c r="I404" s="25" t="n">
        <f aca="false">I399*Assumptions!$H$58</f>
        <v>0</v>
      </c>
      <c r="J404" s="25" t="n">
        <f aca="false">J399*Assumptions!$H$58</f>
        <v>0</v>
      </c>
      <c r="K404" s="25" t="n">
        <f aca="false">K399*Assumptions!$H$58</f>
        <v>0</v>
      </c>
    </row>
    <row r="405" customFormat="false" ht="15" hidden="false" customHeight="false" outlineLevel="0" collapsed="false">
      <c r="A405" s="3" t="s">
        <v>314</v>
      </c>
      <c r="G405" s="25" t="n">
        <f aca="false">MIN(G399,Assumptions!$L$58*Assumptions!$C$58)</f>
        <v>0</v>
      </c>
      <c r="H405" s="25" t="n">
        <f aca="false">MIN(H399,Assumptions!$L$58*Assumptions!$C$58)</f>
        <v>0</v>
      </c>
      <c r="I405" s="25" t="n">
        <f aca="false">MIN(I399,Assumptions!$L$58*Assumptions!$C$58)</f>
        <v>0</v>
      </c>
      <c r="J405" s="25" t="n">
        <f aca="false">MIN(J399,Assumptions!$L$58*Assumptions!$C$58)</f>
        <v>0</v>
      </c>
      <c r="K405" s="25" t="n">
        <f aca="false">MIN(K399,Assumptions!$L$58*Assumptions!$C$58)</f>
        <v>0</v>
      </c>
    </row>
    <row r="406" customFormat="false" ht="15" hidden="false" customHeight="false" outlineLevel="0" collapsed="false">
      <c r="A406" s="3" t="s">
        <v>315</v>
      </c>
      <c r="G406" s="25" t="n">
        <f aca="false">IF(AND(Assumptions!$P$58=1,G337&lt;Assumptions!$K$58),MIN(MAX(0,-G434),MAX(0,Assumptions!$D$58-G399)),0)</f>
        <v>0</v>
      </c>
      <c r="H406" s="25" t="n">
        <f aca="false">IF(AND(Assumptions!$P$58=1,OR(H337&lt;Assumptions!$K$58,G522=1)),MIN(MAX(0,-H434),MAX(0,Assumptions!$D$58-H399)),0)</f>
        <v>0</v>
      </c>
      <c r="I406" s="25" t="n">
        <f aca="false">IF(AND(Assumptions!$P$58=1,OR(I337&lt;Assumptions!$K$58,H522=1)),MIN(MAX(0,-I434),MAX(0,Assumptions!$D$58-I399)),0)</f>
        <v>0</v>
      </c>
      <c r="J406" s="25" t="n">
        <f aca="false">IF(AND(Assumptions!$P$58=1,OR(J337&lt;Assumptions!$K$58,I522=1)),MIN(MAX(0,-J434),MAX(0,Assumptions!$D$58-J399)),0)</f>
        <v>0</v>
      </c>
      <c r="K406" s="25" t="n">
        <f aca="false">IF(AND(Assumptions!$P$58=1,OR(K337&lt;Assumptions!$K$58,J522=1)),MIN(MAX(0,-K434),MAX(0,Assumptions!$D$58-K399)),0)</f>
        <v>0</v>
      </c>
    </row>
    <row r="407" customFormat="false" ht="15" hidden="false" customHeight="false" outlineLevel="0" collapsed="false">
      <c r="A407" s="3" t="s">
        <v>316</v>
      </c>
      <c r="G407" s="25" t="n">
        <f aca="false">G400*MIN(G399-G405+G404,MAX(0,G436-Assumptions!$C$12*G371-G381-G394))</f>
        <v>0</v>
      </c>
      <c r="H407" s="25" t="n">
        <f aca="false">H400*MIN(H399-H405+H404,MAX(0,H436-Assumptions!$C$12*H371-H381-H394))</f>
        <v>0</v>
      </c>
      <c r="I407" s="25" t="n">
        <f aca="false">I400*MIN(I399-I405+I404,MAX(0,I436-Assumptions!$C$12*I371-I381-I394))</f>
        <v>143.75</v>
      </c>
      <c r="J407" s="25" t="n">
        <f aca="false">J400*MIN(J399-J405+J404,MAX(0,J436-Assumptions!$C$12*J371-J381-J394))</f>
        <v>0</v>
      </c>
      <c r="K407" s="25" t="n">
        <f aca="false">K400*MIN(K399-K405+K404,MAX(0,K436-Assumptions!$C$12*K371-K381-K394))</f>
        <v>0</v>
      </c>
    </row>
    <row r="408" customFormat="false" ht="15" hidden="false" customHeight="false" outlineLevel="0" collapsed="false">
      <c r="A408" s="3" t="s">
        <v>317</v>
      </c>
      <c r="G408" s="25" t="n">
        <f aca="false">Assumptions!$N$58*MIN(G399+G406+G404-G405-G407,MAX(0,G440-G382-G395))</f>
        <v>0</v>
      </c>
      <c r="H408" s="25" t="n">
        <f aca="false">Assumptions!$N$58*MIN(H399+H406+H404-H405-H407,MAX(0,H440-H382-H395))</f>
        <v>0</v>
      </c>
      <c r="I408" s="25" t="n">
        <f aca="false">Assumptions!$N$58*MIN(I399+I406+I404-I405-I407,MAX(0,I440-I382-I395))</f>
        <v>0</v>
      </c>
      <c r="J408" s="25" t="n">
        <f aca="false">Assumptions!$N$58*MIN(J399+J406+J404-J405-J407,MAX(0,J440-J382-J395))</f>
        <v>0</v>
      </c>
      <c r="K408" s="25" t="n">
        <f aca="false">Assumptions!$N$58*MIN(K399+K406+K404-K405-K407,MAX(0,K440-K382-K395))</f>
        <v>0</v>
      </c>
    </row>
    <row r="409" customFormat="false" ht="15" hidden="false" customHeight="false" outlineLevel="0" collapsed="false">
      <c r="A409" s="3" t="s">
        <v>318</v>
      </c>
      <c r="G409" s="25" t="n">
        <f aca="false">G400*(1-G371)*(G399-G405+G404-G407)</f>
        <v>0</v>
      </c>
      <c r="H409" s="25" t="n">
        <f aca="false">H400*(1-H371)*(H399-H405+H404-H407)</f>
        <v>0</v>
      </c>
      <c r="I409" s="25" t="n">
        <f aca="false">I400*(1-I371)*(I399-I405+I404-I407)</f>
        <v>0</v>
      </c>
      <c r="J409" s="25" t="n">
        <f aca="false">J400*(1-J371)*(J399-J405+J404-J407)</f>
        <v>0</v>
      </c>
      <c r="K409" s="25" t="n">
        <f aca="false">K400*(1-K371)*(K399-K405+K404-K407)</f>
        <v>0</v>
      </c>
    </row>
    <row r="410" customFormat="false" ht="15" hidden="false" customHeight="false" outlineLevel="0" collapsed="false">
      <c r="A410" s="2" t="s">
        <v>319</v>
      </c>
      <c r="F410" s="28" t="n">
        <f aca="false">Assumptions!$C$58</f>
        <v>143.75</v>
      </c>
      <c r="G410" s="16" t="n">
        <f aca="false">G399+G406+G404-G405-G407-G408</f>
        <v>143.75</v>
      </c>
      <c r="H410" s="16" t="n">
        <f aca="false">H399+H406+H404-H405-H407-H408</f>
        <v>143.75</v>
      </c>
      <c r="I410" s="16" t="n">
        <f aca="false">I399+I406+I404-I405-I407-I408</f>
        <v>0</v>
      </c>
      <c r="J410" s="16" t="n">
        <f aca="false">J399+J406+J404-J405-J407-J408</f>
        <v>0</v>
      </c>
      <c r="K410" s="16" t="n">
        <f aca="false">K399+K406+K404-K405-K407-K408</f>
        <v>0</v>
      </c>
    </row>
    <row r="411" customFormat="false" ht="15" hidden="false" customHeight="false" outlineLevel="0" collapsed="false">
      <c r="A411" s="23" t="s">
        <v>322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</row>
    <row r="412" customFormat="false" ht="15" hidden="false" customHeight="false" outlineLevel="0" collapsed="false">
      <c r="A412" s="2" t="s">
        <v>323</v>
      </c>
      <c r="F412" s="16" t="n">
        <f aca="false">F384+F397+F410</f>
        <v>1735.554</v>
      </c>
      <c r="G412" s="16" t="n">
        <f aca="false">G384+G397+G410</f>
        <v>1735.554</v>
      </c>
      <c r="H412" s="16" t="n">
        <f aca="false">H384+H397+H410</f>
        <v>1735.554</v>
      </c>
      <c r="I412" s="16" t="n">
        <f aca="false">I384+I397+I410</f>
        <v>1315.098</v>
      </c>
      <c r="J412" s="16" t="n">
        <f aca="false">J384+J397+J410</f>
        <v>1315.098</v>
      </c>
      <c r="K412" s="16" t="n">
        <f aca="false">K384+K397+K410</f>
        <v>1315.098</v>
      </c>
    </row>
    <row r="413" customFormat="false" ht="15" hidden="false" customHeight="false" outlineLevel="0" collapsed="false">
      <c r="A413" s="3" t="s">
        <v>324</v>
      </c>
      <c r="G413" s="25" t="n">
        <f aca="false">G374*Assumptions!$C$56+G387*Assumptions!$C$57+G400*Assumptions!$C$58</f>
        <v>0</v>
      </c>
      <c r="H413" s="25" t="n">
        <f aca="false">H374*Assumptions!$C$56+H387*Assumptions!$C$57+H400*Assumptions!$C$58</f>
        <v>0</v>
      </c>
      <c r="I413" s="25" t="n">
        <f aca="false">I374*Assumptions!$C$56+I387*Assumptions!$C$57+I400*Assumptions!$C$58</f>
        <v>420.456</v>
      </c>
      <c r="J413" s="25" t="n">
        <f aca="false">J374*Assumptions!$C$56+J387*Assumptions!$C$57+J400*Assumptions!$C$58</f>
        <v>0</v>
      </c>
      <c r="K413" s="25" t="n">
        <f aca="false">K374*Assumptions!$C$56+K387*Assumptions!$C$57+K400*Assumptions!$C$58</f>
        <v>0</v>
      </c>
    </row>
    <row r="414" customFormat="false" ht="15" hidden="false" customHeight="false" outlineLevel="0" collapsed="false">
      <c r="A414" s="23" t="s">
        <v>325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</row>
    <row r="415" customFormat="false" ht="15" hidden="false" customHeight="false" outlineLevel="0" collapsed="false">
      <c r="A415" s="3" t="s">
        <v>326</v>
      </c>
      <c r="C415" s="25" t="n">
        <f aca="false">SUMPRODUCT($G$374:$K$374,$G$373:$K$373-$G$379:$K$379+$G$378:$K$378)</f>
        <v>0</v>
      </c>
    </row>
    <row r="416" customFormat="false" ht="15" hidden="false" customHeight="false" outlineLevel="0" collapsed="false">
      <c r="A416" s="3" t="s">
        <v>327</v>
      </c>
      <c r="C416" s="25" t="n">
        <f aca="false">SUMPRODUCT($G$374:$K$374,$G$381:$K$381)</f>
        <v>0</v>
      </c>
    </row>
    <row r="417" customFormat="false" ht="15" hidden="false" customHeight="false" outlineLevel="0" collapsed="false">
      <c r="A417" s="3" t="s">
        <v>328</v>
      </c>
      <c r="C417" s="3" t="str">
        <f aca="false">IF(SUM($G$374:$K$374)=0,"n/a (beyond horizon)",IF(SUMPRODUCT($G$374:$K$374,$G$371:$K$371)&gt;0,"REFINANCING PASS","REFINANCING FAILURE"))</f>
        <v>n/a (beyond horizon)</v>
      </c>
    </row>
    <row r="418" customFormat="false" ht="15" hidden="false" customHeight="false" outlineLevel="0" collapsed="false">
      <c r="A418" s="3" t="s">
        <v>329</v>
      </c>
      <c r="C418" s="3" t="str">
        <f aca="false">IF(SUM($G$374:$K$374)=0,"n/a",IF(C416&gt;=C415-0.001,"Repaid from cash",IF(SUMPRODUCT($G$374:$K$374,$G$371:$K$371)&gt;0,IF(C416&gt;0,"Partly repaid; remainder refinanced","Refinanced"),IF(SUM($G$383:$K$383)&gt;0.001,IF(C416&gt;0,"Partial repayment; PAYMENT DEFAULT","PAYMENT DEFAULT"),"Repaid from cash"))))</f>
        <v>n/a</v>
      </c>
    </row>
    <row r="419" customFormat="false" ht="15" hidden="false" customHeight="false" outlineLevel="0" collapsed="false">
      <c r="A419" s="3" t="s">
        <v>330</v>
      </c>
      <c r="C419" s="25" t="n">
        <f aca="false">SUMPRODUCT($G$387:$K$387,$G$386:$K$386-$G$392:$K$392+$G$391:$K$391)</f>
        <v>276.706</v>
      </c>
    </row>
    <row r="420" customFormat="false" ht="15" hidden="false" customHeight="false" outlineLevel="0" collapsed="false">
      <c r="A420" s="3" t="s">
        <v>331</v>
      </c>
      <c r="C420" s="25" t="n">
        <f aca="false">SUMPRODUCT($G$387:$K$387,$G$394:$K$394)</f>
        <v>276.706</v>
      </c>
    </row>
    <row r="421" customFormat="false" ht="15" hidden="false" customHeight="false" outlineLevel="0" collapsed="false">
      <c r="A421" s="3" t="s">
        <v>332</v>
      </c>
      <c r="C421" s="3" t="str">
        <f aca="false">IF(SUM($G$387:$K$387)=0,"n/a (beyond horizon)",IF(SUMPRODUCT($G$387:$K$387,$G$371:$K$371)&gt;0,"REFINANCING PASS","REFINANCING FAILURE"))</f>
        <v>REFINANCING FAILURE</v>
      </c>
    </row>
    <row r="422" customFormat="false" ht="15" hidden="false" customHeight="false" outlineLevel="0" collapsed="false">
      <c r="A422" s="3" t="s">
        <v>333</v>
      </c>
      <c r="C422" s="3" t="str">
        <f aca="false">IF(SUM($G$387:$K$387)=0,"n/a",IF(C420&gt;=C419-0.001,"Repaid from cash",IF(SUMPRODUCT($G$387:$K$387,$G$371:$K$371)&gt;0,IF(C420&gt;0,"Partly repaid; remainder refinanced","Refinanced"),IF(SUM($G$396:$K$396)&gt;0.001,IF(C420&gt;0,"Partial repayment; PAYMENT DEFAULT","PAYMENT DEFAULT"),"Repaid from cash"))))</f>
        <v>Repaid from cash</v>
      </c>
    </row>
    <row r="423" customFormat="false" ht="15" hidden="false" customHeight="false" outlineLevel="0" collapsed="false">
      <c r="A423" s="3" t="s">
        <v>334</v>
      </c>
      <c r="C423" s="25" t="n">
        <f aca="false">SUMPRODUCT($G$400:$K$400,$G$399:$K$399-$G$405:$K$405+$G$404:$K$404)</f>
        <v>143.75</v>
      </c>
    </row>
    <row r="424" customFormat="false" ht="15" hidden="false" customHeight="false" outlineLevel="0" collapsed="false">
      <c r="A424" s="3" t="s">
        <v>335</v>
      </c>
      <c r="C424" s="25" t="n">
        <f aca="false">SUMPRODUCT($G$400:$K$400,$G$407:$K$407)</f>
        <v>143.75</v>
      </c>
    </row>
    <row r="425" customFormat="false" ht="15" hidden="false" customHeight="false" outlineLevel="0" collapsed="false">
      <c r="A425" s="3" t="s">
        <v>336</v>
      </c>
      <c r="C425" s="3" t="str">
        <f aca="false">IF(SUM($G$400:$K$400)=0,"n/a (beyond horizon)",IF(SUMPRODUCT($G$400:$K$400,$G$371:$K$371)&gt;0,"REFINANCING PASS","REFINANCING FAILURE"))</f>
        <v>REFINANCING FAILURE</v>
      </c>
    </row>
    <row r="426" customFormat="false" ht="15" hidden="false" customHeight="false" outlineLevel="0" collapsed="false">
      <c r="A426" s="3" t="s">
        <v>337</v>
      </c>
      <c r="C426" s="3" t="str">
        <f aca="false">IF(SUM($G$400:$K$400)=0,"n/a",IF(C424&gt;=C423-0.001,"Repaid from cash",IF(SUMPRODUCT($G$400:$K$400,$G$371:$K$371)&gt;0,IF(C424&gt;0,"Partly repaid; remainder refinanced","Refinanced"),IF(SUM($G$409:$K$409)&gt;0.001,IF(C424&gt;0,"Partial repayment; PAYMENT DEFAULT","PAYMENT DEFAULT"),"Repaid from cash"))))</f>
        <v>Repaid from cash</v>
      </c>
    </row>
    <row r="427" customFormat="false" ht="15" hidden="false" customHeight="false" outlineLevel="0" collapsed="false">
      <c r="A427" s="3" t="s">
        <v>338</v>
      </c>
      <c r="C427" s="20" t="n">
        <f aca="false">IF(C417="REFINANCING FAILURE",1,0)+IF(C421="REFINANCING FAILURE",1,0)+IF(C425="REFINANCING FAILURE",1,0)</f>
        <v>2</v>
      </c>
    </row>
    <row r="429" customFormat="false" ht="15" hidden="false" customHeight="false" outlineLevel="0" collapsed="false">
      <c r="A429" s="23" t="s">
        <v>340</v>
      </c>
      <c r="B429" s="24"/>
      <c r="C429" s="24"/>
      <c r="D429" s="24"/>
      <c r="E429" s="24"/>
      <c r="F429" s="24"/>
      <c r="G429" s="24"/>
      <c r="H429" s="24"/>
      <c r="I429" s="24"/>
      <c r="J429" s="24"/>
      <c r="K429" s="24"/>
    </row>
    <row r="430" customFormat="false" ht="15" hidden="false" customHeight="false" outlineLevel="0" collapsed="false">
      <c r="A430" s="3" t="s">
        <v>305</v>
      </c>
      <c r="G430" s="25" t="n">
        <f aca="false">F442</f>
        <v>463.996</v>
      </c>
      <c r="H430" s="25" t="n">
        <f aca="false">G442</f>
        <v>518.82154744</v>
      </c>
      <c r="I430" s="25" t="n">
        <f aca="false">H442</f>
        <v>539.6742833632</v>
      </c>
      <c r="J430" s="25" t="n">
        <f aca="false">I442</f>
        <v>120.430022671888</v>
      </c>
      <c r="K430" s="25" t="n">
        <f aca="false">J442</f>
        <v>123.071896868977</v>
      </c>
    </row>
    <row r="431" customFormat="false" ht="15" hidden="false" customHeight="false" outlineLevel="0" collapsed="false">
      <c r="A431" s="3" t="s">
        <v>341</v>
      </c>
      <c r="G431" s="25" t="n">
        <f aca="false">G360</f>
        <v>54.8255474399999</v>
      </c>
      <c r="H431" s="25" t="n">
        <f aca="false">H360</f>
        <v>20.8527359232</v>
      </c>
      <c r="I431" s="25" t="n">
        <f aca="false">I360</f>
        <v>1.21173930868796</v>
      </c>
      <c r="J431" s="25" t="n">
        <f aca="false">J360</f>
        <v>2.6418741970896</v>
      </c>
      <c r="K431" s="25" t="n">
        <f aca="false">K360</f>
        <v>-4.39448401276491</v>
      </c>
    </row>
    <row r="432" customFormat="false" ht="15" hidden="false" customHeight="false" outlineLevel="0" collapsed="false">
      <c r="A432" s="3" t="s">
        <v>342</v>
      </c>
      <c r="G432" s="25" t="n">
        <f aca="false">CHOOSE($C$330,Assumptions!$G$74,Assumptions!$G$93,Assumptions!$G$112)</f>
        <v>0</v>
      </c>
      <c r="H432" s="25" t="n">
        <f aca="false">CHOOSE($C$330,Assumptions!$H$74,Assumptions!$H$93,Assumptions!$H$112)</f>
        <v>0</v>
      </c>
      <c r="I432" s="25" t="n">
        <f aca="false">CHOOSE($C$330,Assumptions!$I$74,Assumptions!$I$93,Assumptions!$I$112)</f>
        <v>0</v>
      </c>
      <c r="J432" s="25" t="n">
        <f aca="false">CHOOSE($C$330,Assumptions!$J$74,Assumptions!$J$93,Assumptions!$J$112)</f>
        <v>0</v>
      </c>
      <c r="K432" s="25" t="n">
        <f aca="false">CHOOSE($C$330,Assumptions!$K$74,Assumptions!$K$93,Assumptions!$K$112)</f>
        <v>0</v>
      </c>
    </row>
    <row r="433" customFormat="false" ht="15" hidden="false" customHeight="false" outlineLevel="0" collapsed="false">
      <c r="A433" s="3" t="s">
        <v>343</v>
      </c>
      <c r="G433" s="25" t="n">
        <f aca="false">G379+G392+G405</f>
        <v>0</v>
      </c>
      <c r="H433" s="25" t="n">
        <f aca="false">H379+H392+H405</f>
        <v>0</v>
      </c>
      <c r="I433" s="25" t="n">
        <f aca="false">I379+I392+I405</f>
        <v>0</v>
      </c>
      <c r="J433" s="25" t="n">
        <f aca="false">J379+J392+J405</f>
        <v>0</v>
      </c>
      <c r="K433" s="25" t="n">
        <f aca="false">K379+K392+K405</f>
        <v>0</v>
      </c>
    </row>
    <row r="434" customFormat="false" ht="15" hidden="false" customHeight="false" outlineLevel="0" collapsed="false">
      <c r="A434" s="2" t="s">
        <v>344</v>
      </c>
      <c r="G434" s="16" t="n">
        <f aca="false">G430+G431+G432-G433</f>
        <v>518.82154744</v>
      </c>
      <c r="H434" s="16" t="n">
        <f aca="false">H430+H431+H432-H433</f>
        <v>539.6742833632</v>
      </c>
      <c r="I434" s="16" t="n">
        <f aca="false">I430+I431+I432-I433</f>
        <v>540.886022671888</v>
      </c>
      <c r="J434" s="16" t="n">
        <f aca="false">J430+J431+J432-J433</f>
        <v>123.071896868977</v>
      </c>
      <c r="K434" s="16" t="n">
        <f aca="false">K430+K431+K432-K433</f>
        <v>118.677412856212</v>
      </c>
    </row>
    <row r="435" customFormat="false" ht="15" hidden="false" customHeight="false" outlineLevel="0" collapsed="false">
      <c r="A435" s="3" t="s">
        <v>345</v>
      </c>
      <c r="G435" s="25" t="n">
        <f aca="false">G380+G393+G406</f>
        <v>0</v>
      </c>
      <c r="H435" s="25" t="n">
        <f aca="false">H380+H393+H406</f>
        <v>0</v>
      </c>
      <c r="I435" s="25" t="n">
        <f aca="false">I380+I393+I406</f>
        <v>0</v>
      </c>
      <c r="J435" s="25" t="n">
        <f aca="false">J380+J393+J406</f>
        <v>0</v>
      </c>
      <c r="K435" s="25" t="n">
        <f aca="false">K380+K393+K406</f>
        <v>0</v>
      </c>
    </row>
    <row r="436" customFormat="false" ht="15" hidden="false" customHeight="false" outlineLevel="0" collapsed="false">
      <c r="A436" s="2" t="s">
        <v>346</v>
      </c>
      <c r="G436" s="16" t="n">
        <f aca="false">G434+G435</f>
        <v>518.82154744</v>
      </c>
      <c r="H436" s="16" t="n">
        <f aca="false">H434+H435</f>
        <v>539.6742833632</v>
      </c>
      <c r="I436" s="16" t="n">
        <f aca="false">I434+I435</f>
        <v>540.886022671888</v>
      </c>
      <c r="J436" s="16" t="n">
        <f aca="false">J434+J435</f>
        <v>123.071896868977</v>
      </c>
      <c r="K436" s="16" t="n">
        <f aca="false">K434+K435</f>
        <v>118.677412856212</v>
      </c>
    </row>
    <row r="437" customFormat="false" ht="15" hidden="false" customHeight="false" outlineLevel="0" collapsed="false">
      <c r="A437" s="3" t="s">
        <v>347</v>
      </c>
      <c r="G437" s="25" t="n">
        <f aca="false">G381+G394+G407</f>
        <v>0</v>
      </c>
      <c r="H437" s="25" t="n">
        <f aca="false">H381+H394+H407</f>
        <v>0</v>
      </c>
      <c r="I437" s="25" t="n">
        <f aca="false">I381+I394+I407</f>
        <v>420.456</v>
      </c>
      <c r="J437" s="25" t="n">
        <f aca="false">J381+J394+J407</f>
        <v>0</v>
      </c>
      <c r="K437" s="25" t="n">
        <f aca="false">K381+K394+K407</f>
        <v>0</v>
      </c>
    </row>
    <row r="438" customFormat="false" ht="15" hidden="false" customHeight="false" outlineLevel="0" collapsed="false">
      <c r="A438" s="2" t="s">
        <v>348</v>
      </c>
      <c r="G438" s="16" t="n">
        <f aca="false">G436-G437</f>
        <v>518.82154744</v>
      </c>
      <c r="H438" s="16" t="n">
        <f aca="false">H436-H437</f>
        <v>539.6742833632</v>
      </c>
      <c r="I438" s="16" t="n">
        <f aca="false">I436-I437</f>
        <v>120.430022671888</v>
      </c>
      <c r="J438" s="16" t="n">
        <f aca="false">J436-J437</f>
        <v>123.071896868977</v>
      </c>
      <c r="K438" s="16" t="n">
        <f aca="false">K436-K437</f>
        <v>118.677412856212</v>
      </c>
    </row>
    <row r="439" customFormat="false" ht="15" hidden="false" customHeight="false" outlineLevel="0" collapsed="false">
      <c r="A439" s="3" t="s">
        <v>349</v>
      </c>
      <c r="G439" s="25" t="n">
        <f aca="false">MAX(0,-G438)</f>
        <v>0</v>
      </c>
      <c r="H439" s="25" t="n">
        <f aca="false">MAX(0,-H438)</f>
        <v>0</v>
      </c>
      <c r="I439" s="25" t="n">
        <f aca="false">MAX(0,-I438)</f>
        <v>0</v>
      </c>
      <c r="J439" s="25" t="n">
        <f aca="false">MAX(0,-J438)</f>
        <v>0</v>
      </c>
      <c r="K439" s="25" t="n">
        <f aca="false">MAX(0,-K438)</f>
        <v>0</v>
      </c>
    </row>
    <row r="440" customFormat="false" ht="15" hidden="false" customHeight="false" outlineLevel="0" collapsed="false">
      <c r="A440" s="3" t="s">
        <v>350</v>
      </c>
      <c r="G440" s="25" t="n">
        <f aca="false">MAX(0,G438-Assumptions!$C$12)*Assumptions!$C$13</f>
        <v>0</v>
      </c>
      <c r="H440" s="25" t="n">
        <f aca="false">MAX(0,H438-Assumptions!$C$12)*Assumptions!$C$13</f>
        <v>0</v>
      </c>
      <c r="I440" s="25" t="n">
        <f aca="false">MAX(0,I438-Assumptions!$C$12)*Assumptions!$C$13</f>
        <v>0</v>
      </c>
      <c r="J440" s="25" t="n">
        <f aca="false">MAX(0,J438-Assumptions!$C$12)*Assumptions!$C$13</f>
        <v>0</v>
      </c>
      <c r="K440" s="25" t="n">
        <f aca="false">MAX(0,K438-Assumptions!$C$12)*Assumptions!$C$13</f>
        <v>0</v>
      </c>
    </row>
    <row r="441" customFormat="false" ht="15" hidden="false" customHeight="false" outlineLevel="0" collapsed="false">
      <c r="A441" s="3" t="s">
        <v>351</v>
      </c>
      <c r="G441" s="25" t="n">
        <f aca="false">G382+G395+G408</f>
        <v>0</v>
      </c>
      <c r="H441" s="25" t="n">
        <f aca="false">H382+H395+H408</f>
        <v>0</v>
      </c>
      <c r="I441" s="25" t="n">
        <f aca="false">I382+I395+I408</f>
        <v>0</v>
      </c>
      <c r="J441" s="25" t="n">
        <f aca="false">J382+J395+J408</f>
        <v>0</v>
      </c>
      <c r="K441" s="25" t="n">
        <f aca="false">K382+K395+K408</f>
        <v>0</v>
      </c>
    </row>
    <row r="442" customFormat="false" ht="15" hidden="false" customHeight="false" outlineLevel="0" collapsed="false">
      <c r="A442" s="2" t="s">
        <v>352</v>
      </c>
      <c r="F442" s="28" t="n">
        <f aca="false">Assumptions!$C$11</f>
        <v>463.996</v>
      </c>
      <c r="G442" s="16" t="n">
        <f aca="false">G438-G441</f>
        <v>518.82154744</v>
      </c>
      <c r="H442" s="16" t="n">
        <f aca="false">H438-H441</f>
        <v>539.6742833632</v>
      </c>
      <c r="I442" s="16" t="n">
        <f aca="false">I438-I441</f>
        <v>120.430022671888</v>
      </c>
      <c r="J442" s="16" t="n">
        <f aca="false">J438-J441</f>
        <v>123.071896868977</v>
      </c>
      <c r="K442" s="16" t="n">
        <f aca="false">K438-K441</f>
        <v>118.677412856212</v>
      </c>
    </row>
    <row r="443" customFormat="false" ht="15" hidden="false" customHeight="false" outlineLevel="0" collapsed="false">
      <c r="A443" s="3" t="s">
        <v>353</v>
      </c>
      <c r="G443" s="25" t="n">
        <f aca="false">G383+G396+G409</f>
        <v>0</v>
      </c>
      <c r="H443" s="25" t="n">
        <f aca="false">H383+H396+H409</f>
        <v>0</v>
      </c>
      <c r="I443" s="25" t="n">
        <f aca="false">I383+I396+I409</f>
        <v>0</v>
      </c>
      <c r="J443" s="25" t="n">
        <f aca="false">J383+J396+J409</f>
        <v>0</v>
      </c>
      <c r="K443" s="25" t="n">
        <f aca="false">K383+K396+K409</f>
        <v>0</v>
      </c>
    </row>
    <row r="444" customFormat="false" ht="15" hidden="false" customHeight="false" outlineLevel="0" collapsed="false">
      <c r="A444" s="3" t="s">
        <v>354</v>
      </c>
      <c r="G444" s="20" t="n">
        <f aca="false">IF(OR(G439&gt;0.001,G443&gt;0.001),1,0)</f>
        <v>0</v>
      </c>
      <c r="H444" s="20" t="n">
        <f aca="false">IF(OR(H439&gt;0.001,H443&gt;0.001),1,0)</f>
        <v>0</v>
      </c>
      <c r="I444" s="20" t="n">
        <f aca="false">IF(OR(I439&gt;0.001,I443&gt;0.001),1,0)</f>
        <v>0</v>
      </c>
      <c r="J444" s="20" t="n">
        <f aca="false">IF(OR(J439&gt;0.001,J443&gt;0.001),1,0)</f>
        <v>0</v>
      </c>
      <c r="K444" s="20" t="n">
        <f aca="false">IF(OR(K439&gt;0.001,K443&gt;0.001),1,0)</f>
        <v>0</v>
      </c>
    </row>
    <row r="445" customFormat="false" ht="15" hidden="false" customHeight="false" outlineLevel="0" collapsed="false">
      <c r="A445" s="3" t="s">
        <v>355</v>
      </c>
      <c r="G445" s="20" t="n">
        <f aca="false">IF(G444=1,1,0)</f>
        <v>0</v>
      </c>
      <c r="H445" s="20" t="n">
        <f aca="false">IF(AND(H444=1,SUM($G$444:G444)=0),1,0)</f>
        <v>0</v>
      </c>
      <c r="I445" s="20" t="n">
        <f aca="false">IF(AND(I444=1,SUM($G$444:H444)=0),1,0)</f>
        <v>0</v>
      </c>
      <c r="J445" s="20" t="n">
        <f aca="false">IF(AND(J444=1,SUM($G$444:I444)=0),1,0)</f>
        <v>0</v>
      </c>
      <c r="K445" s="20" t="n">
        <f aca="false">IF(AND(K444=1,SUM($G$444:J444)=0),1,0)</f>
        <v>0</v>
      </c>
    </row>
    <row r="446" customFormat="false" ht="15" hidden="false" customHeight="false" outlineLevel="0" collapsed="false">
      <c r="A446" s="3" t="s">
        <v>356</v>
      </c>
      <c r="G446" s="25" t="n">
        <f aca="false">(G412-F412)-(G435+G352-G433-G437-G441)</f>
        <v>0</v>
      </c>
      <c r="H446" s="25" t="n">
        <f aca="false">(H412-G412)-(H435+H352-H433-H437-H441)</f>
        <v>0</v>
      </c>
      <c r="I446" s="25" t="n">
        <f aca="false">(I412-H412)-(I435+I352-I433-I437-I441)</f>
        <v>0</v>
      </c>
      <c r="J446" s="25" t="n">
        <f aca="false">(J412-I412)-(J435+J352-J433-J437-J441)</f>
        <v>0</v>
      </c>
      <c r="K446" s="25" t="n">
        <f aca="false">(K412-J412)-(K435+K352-K433-K437-K441)</f>
        <v>0</v>
      </c>
    </row>
    <row r="448" customFormat="false" ht="15" hidden="false" customHeight="false" outlineLevel="0" collapsed="false">
      <c r="A448" s="23" t="s">
        <v>358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</row>
    <row r="449" customFormat="false" ht="15" hidden="false" customHeight="false" outlineLevel="0" collapsed="false">
      <c r="A449" s="3" t="s">
        <v>359</v>
      </c>
      <c r="G449" s="25" t="n">
        <f aca="false">G412</f>
        <v>1735.554</v>
      </c>
      <c r="H449" s="25" t="n">
        <f aca="false">H412</f>
        <v>1735.554</v>
      </c>
      <c r="I449" s="25" t="n">
        <f aca="false">I412</f>
        <v>1315.098</v>
      </c>
      <c r="J449" s="25" t="n">
        <f aca="false">J412</f>
        <v>1315.098</v>
      </c>
      <c r="K449" s="25" t="n">
        <f aca="false">K412</f>
        <v>1315.098</v>
      </c>
    </row>
    <row r="450" customFormat="false" ht="15" hidden="false" customHeight="false" outlineLevel="0" collapsed="false">
      <c r="A450" s="3" t="s">
        <v>360</v>
      </c>
      <c r="G450" s="25" t="n">
        <f aca="false">Assumptions!$O$56*G384+Assumptions!$O$57*G397+Assumptions!$O$58*G410</f>
        <v>1315.098</v>
      </c>
      <c r="H450" s="25" t="n">
        <f aca="false">Assumptions!$O$56*H384+Assumptions!$O$57*H397+Assumptions!$O$58*H410</f>
        <v>1315.098</v>
      </c>
      <c r="I450" s="25" t="n">
        <f aca="false">Assumptions!$O$56*I384+Assumptions!$O$57*I397+Assumptions!$O$58*I410</f>
        <v>1315.098</v>
      </c>
      <c r="J450" s="25" t="n">
        <f aca="false">Assumptions!$O$56*J384+Assumptions!$O$57*J397+Assumptions!$O$58*J410</f>
        <v>1315.098</v>
      </c>
      <c r="K450" s="25" t="n">
        <f aca="false">Assumptions!$O$56*K384+Assumptions!$O$57*K397+Assumptions!$O$58*K410</f>
        <v>1315.098</v>
      </c>
    </row>
    <row r="451" customFormat="false" ht="15" hidden="false" customHeight="false" outlineLevel="0" collapsed="false">
      <c r="A451" s="3" t="s">
        <v>361</v>
      </c>
      <c r="G451" s="25" t="n">
        <f aca="false">G449-G442</f>
        <v>1216.73245256</v>
      </c>
      <c r="H451" s="25" t="n">
        <f aca="false">H449-H442</f>
        <v>1195.8797166368</v>
      </c>
      <c r="I451" s="25" t="n">
        <f aca="false">I449-I442</f>
        <v>1194.66797732811</v>
      </c>
      <c r="J451" s="25" t="n">
        <f aca="false">J449-J442</f>
        <v>1192.02610313102</v>
      </c>
      <c r="K451" s="25" t="n">
        <f aca="false">K449-K442</f>
        <v>1196.42058714379</v>
      </c>
    </row>
    <row r="452" customFormat="false" ht="15" hidden="false" customHeight="false" outlineLevel="0" collapsed="false">
      <c r="A452" s="3" t="s">
        <v>362</v>
      </c>
      <c r="G452" s="32" t="n">
        <f aca="false">IF(G347&gt;0,G449/G347,0)</f>
        <v>6.99885842190068</v>
      </c>
      <c r="H452" s="32" t="n">
        <f aca="false">IF(H347&gt;0,H449/H347,0)</f>
        <v>8.20980460047</v>
      </c>
      <c r="I452" s="32" t="n">
        <f aca="false">IF(I347&gt;0,I449/I347,0)</f>
        <v>6.93311397368161</v>
      </c>
      <c r="J452" s="32" t="n">
        <f aca="false">IF(J347&gt;0,J449/J347,0)</f>
        <v>7.66291544459547</v>
      </c>
      <c r="K452" s="32" t="n">
        <f aca="false">IF(K347&gt;0,K449/K347,0)</f>
        <v>8.0662267837847</v>
      </c>
    </row>
    <row r="453" customFormat="false" ht="15" hidden="false" customHeight="false" outlineLevel="0" collapsed="false">
      <c r="A453" s="3" t="s">
        <v>363</v>
      </c>
      <c r="G453" s="32" t="n">
        <f aca="false">IF(G347&gt;0,G451/G347,0)</f>
        <v>4.9066397085884</v>
      </c>
      <c r="H453" s="32" t="n">
        <f aca="false">IF(H347&gt;0,H451/H347,0)</f>
        <v>5.65694804036842</v>
      </c>
      <c r="I453" s="32" t="n">
        <f aca="false">IF(I347&gt;0,I451/I347,0)</f>
        <v>6.29821446578391</v>
      </c>
      <c r="J453" s="32" t="n">
        <f aca="false">IF(J347&gt;0,J451/J347,0)</f>
        <v>6.94579053123316</v>
      </c>
      <c r="K453" s="32" t="n">
        <f aca="false">IF(K347&gt;0,K451/K347,0)</f>
        <v>7.33831226622703</v>
      </c>
    </row>
    <row r="454" customFormat="false" ht="15" hidden="false" customHeight="false" outlineLevel="0" collapsed="false">
      <c r="A454" s="3" t="s">
        <v>364</v>
      </c>
      <c r="G454" s="32" t="n">
        <f aca="false">IF(G351&gt;0,G347/G351,0)</f>
        <v>1.59005643370602</v>
      </c>
      <c r="H454" s="32" t="n">
        <f aca="false">IF(H351&gt;0,H347/H351,0)</f>
        <v>1.35552310973439</v>
      </c>
      <c r="I454" s="32" t="n">
        <f aca="false">IF(I351&gt;0,I347/I351,0)</f>
        <v>1.21627391755258</v>
      </c>
      <c r="J454" s="32" t="n">
        <f aca="false">IF(J351&gt;0,J347/J351,0)</f>
        <v>1.24284413584734</v>
      </c>
      <c r="K454" s="32" t="n">
        <f aca="false">IF(K351&gt;0,K347/K351,0)</f>
        <v>1.18070192905498</v>
      </c>
    </row>
    <row r="455" customFormat="false" ht="15" hidden="false" customHeight="false" outlineLevel="0" collapsed="false">
      <c r="A455" s="3" t="s">
        <v>365</v>
      </c>
      <c r="G455" s="32" t="n">
        <f aca="false">IF(G351&gt;0,G350/G351,0)</f>
        <v>0.943202831951104</v>
      </c>
      <c r="H455" s="32" t="n">
        <f aca="false">IF(H351&gt;0,H350/H351,0)</f>
        <v>0.75394926010231</v>
      </c>
      <c r="I455" s="32" t="n">
        <f aca="false">IF(I351&gt;0,I350/I351,0)</f>
        <v>0.65079449889843</v>
      </c>
      <c r="J455" s="32" t="n">
        <f aca="false">IF(J351&gt;0,J350/J351,0)</f>
        <v>0.636119854632452</v>
      </c>
      <c r="K455" s="32" t="n">
        <f aca="false">IF(K351&gt;0,K350/K351,0)</f>
        <v>0.604313861900829</v>
      </c>
    </row>
    <row r="456" customFormat="false" ht="15" hidden="false" customHeight="false" outlineLevel="0" collapsed="false">
      <c r="A456" s="3" t="s">
        <v>198</v>
      </c>
      <c r="G456" s="21" t="n">
        <f aca="false">IF(G449&gt;0,G360/G449,0)</f>
        <v>0.0315896523185104</v>
      </c>
      <c r="H456" s="21" t="n">
        <f aca="false">IF(H449&gt;0,H360/H449,0)</f>
        <v>0.0120150314673009</v>
      </c>
      <c r="I456" s="21" t="n">
        <f aca="false">IF(I449&gt;0,I360/I449,0)</f>
        <v>0.000921406091932281</v>
      </c>
      <c r="J456" s="21" t="n">
        <f aca="false">IF(J449&gt;0,J360/J449,0)</f>
        <v>0.00200888009645638</v>
      </c>
      <c r="K456" s="21" t="n">
        <f aca="false">IF(K449&gt;0,K360/K449,0)</f>
        <v>-0.00334156390836645</v>
      </c>
    </row>
    <row r="457" customFormat="false" ht="15" hidden="false" customHeight="false" outlineLevel="0" collapsed="false">
      <c r="A457" s="3" t="s">
        <v>366</v>
      </c>
      <c r="G457" s="32" t="n">
        <f aca="false">IF(G351+G433&gt;0,(G347-G358-G355)/(G351+G433),0)</f>
        <v>1.41780032005454</v>
      </c>
      <c r="H457" s="32" t="n">
        <f aca="false">IF(H351+H433&gt;0,(H347-H358-H355)/(H351+H433),0)</f>
        <v>1.1953249240385</v>
      </c>
      <c r="I457" s="32" t="n">
        <f aca="false">IF(I351+I433&gt;0,(I347-I358-I355)/(I351+I433),0)</f>
        <v>1.06568762299845</v>
      </c>
      <c r="J457" s="32" t="n">
        <f aca="false">IF(J351+J433&gt;0,(J347-J358-J355)/(J351+J433),0)</f>
        <v>1.08127439818719</v>
      </c>
      <c r="K457" s="32" t="n">
        <f aca="false">IF(K351+K433&gt;0,(K347-K358-K355)/(K351+K433),0)</f>
        <v>1.02721067827783</v>
      </c>
    </row>
    <row r="458" customFormat="false" ht="15" hidden="false" customHeight="false" outlineLevel="0" collapsed="false">
      <c r="A458" s="3" t="s">
        <v>367</v>
      </c>
      <c r="G458" s="25" t="n">
        <f aca="false">MAX(0,G442)+Assumptions!$P$56*MAX(0,Assumptions!$D$56-G384)+Assumptions!$P$57*MAX(0,Assumptions!$D$57-G397)+Assumptions!$P$58*MAX(0,Assumptions!$D$58-G410)</f>
        <v>518.82154744</v>
      </c>
      <c r="H458" s="25" t="n">
        <f aca="false">MAX(0,H442)+Assumptions!$P$56*MAX(0,Assumptions!$D$56-H384)+Assumptions!$P$57*MAX(0,Assumptions!$D$57-H397)+Assumptions!$P$58*MAX(0,Assumptions!$D$58-H410)</f>
        <v>539.6742833632</v>
      </c>
      <c r="I458" s="25" t="n">
        <f aca="false">MAX(0,I442)+Assumptions!$P$56*MAX(0,Assumptions!$D$56-I384)+Assumptions!$P$57*MAX(0,Assumptions!$D$57-I397)+Assumptions!$P$58*MAX(0,Assumptions!$D$58-I410)</f>
        <v>120.430022671888</v>
      </c>
      <c r="J458" s="25" t="n">
        <f aca="false">MAX(0,J442)+Assumptions!$P$56*MAX(0,Assumptions!$D$56-J384)+Assumptions!$P$57*MAX(0,Assumptions!$D$57-J397)+Assumptions!$P$58*MAX(0,Assumptions!$D$58-J410)</f>
        <v>123.071896868977</v>
      </c>
      <c r="K458" s="25" t="n">
        <f aca="false">MAX(0,K442)+Assumptions!$P$56*MAX(0,Assumptions!$D$56-K384)+Assumptions!$P$57*MAX(0,Assumptions!$D$57-K397)+Assumptions!$P$58*MAX(0,Assumptions!$D$58-K410)</f>
        <v>118.677412856212</v>
      </c>
    </row>
    <row r="459" customFormat="false" ht="15" hidden="false" customHeight="false" outlineLevel="0" collapsed="false">
      <c r="A459" s="3" t="s">
        <v>368</v>
      </c>
      <c r="G459" s="21" t="n">
        <f aca="false">IF(G449&gt;0,G449/(G449+MAX(0,G347*CHOOSE($C$330,Assumptions!$C$82,Assumptions!$C$101,Assumptions!$C$120)-G451)),0)</f>
        <v>0.986836236277321</v>
      </c>
      <c r="H459" s="21" t="n">
        <f aca="false">IF(H449&gt;0,H449/(H449+MAX(0,H347*CHOOSE($C$330,Assumptions!$C$82,Assumptions!$C$101,Assumptions!$C$120)-H451)),0)</f>
        <v>1</v>
      </c>
      <c r="I459" s="21" t="n">
        <f aca="false">IF(I449&gt;0,I449/(I449+MAX(0,I347*CHOOSE($C$330,Assumptions!$C$82,Assumptions!$C$101,Assumptions!$C$120)-I451)),0)</f>
        <v>1</v>
      </c>
      <c r="J459" s="21" t="n">
        <f aca="false">IF(J449&gt;0,J449/(J449+MAX(0,J347*CHOOSE($C$330,Assumptions!$C$82,Assumptions!$C$101,Assumptions!$C$120)-J451)),0)</f>
        <v>1</v>
      </c>
      <c r="K459" s="21" t="n">
        <f aca="false">IF(K449&gt;0,K449/(K449+MAX(0,K347*CHOOSE($C$330,Assumptions!$C$82,Assumptions!$C$101,Assumptions!$C$120)-K451)),0)</f>
        <v>1</v>
      </c>
    </row>
    <row r="460" customFormat="false" ht="15" hidden="false" customHeight="false" outlineLevel="0" collapsed="false">
      <c r="A460" s="3" t="s">
        <v>369</v>
      </c>
      <c r="G460" s="21" t="n">
        <f aca="false">IF(G449&gt;0,MAX(0,G442)/G449,0)</f>
        <v>0.298937139057615</v>
      </c>
      <c r="H460" s="21" t="n">
        <f aca="false">IF(H449&gt;0,MAX(0,H442)/H449,0)</f>
        <v>0.310952170524916</v>
      </c>
      <c r="I460" s="21" t="n">
        <f aca="false">IF(I449&gt;0,MAX(0,I442)/I449,0)</f>
        <v>0.0915749416939937</v>
      </c>
      <c r="J460" s="21" t="n">
        <f aca="false">IF(J449&gt;0,MAX(0,J442)/J449,0)</f>
        <v>0.0935838217904501</v>
      </c>
      <c r="K460" s="21" t="n">
        <f aca="false">IF(K449&gt;0,MAX(0,K442)/K449,0)</f>
        <v>0.0902422578820836</v>
      </c>
    </row>
    <row r="461" customFormat="false" ht="15" hidden="false" customHeight="false" outlineLevel="0" collapsed="false">
      <c r="A461" s="3" t="s">
        <v>370</v>
      </c>
      <c r="G461" s="25" t="n">
        <f aca="false">Assumptions!$C$30*(1-CHOOSE($C$330,Assumptions!$C$85,Assumptions!$C$104,Assumptions!$C$123))</f>
        <v>2086.72535</v>
      </c>
      <c r="H461" s="25" t="n">
        <f aca="false">Assumptions!$C$30*(1-CHOOSE($C$330,Assumptions!$C$85,Assumptions!$C$104,Assumptions!$C$123))</f>
        <v>2086.72535</v>
      </c>
      <c r="I461" s="25" t="n">
        <f aca="false">Assumptions!$C$30*(1-CHOOSE($C$330,Assumptions!$C$85,Assumptions!$C$104,Assumptions!$C$123))</f>
        <v>2086.72535</v>
      </c>
      <c r="J461" s="25" t="n">
        <f aca="false">Assumptions!$C$30*(1-CHOOSE($C$330,Assumptions!$C$85,Assumptions!$C$104,Assumptions!$C$123))</f>
        <v>2086.72535</v>
      </c>
      <c r="K461" s="25" t="n">
        <f aca="false">Assumptions!$C$30*(1-CHOOSE($C$330,Assumptions!$C$85,Assumptions!$C$104,Assumptions!$C$123))</f>
        <v>2086.72535</v>
      </c>
    </row>
    <row r="462" customFormat="false" ht="15" hidden="false" customHeight="false" outlineLevel="0" collapsed="false">
      <c r="A462" s="23" t="s">
        <v>371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</row>
    <row r="463" customFormat="false" ht="15" hidden="false" customHeight="false" outlineLevel="0" collapsed="false">
      <c r="A463" s="23" t="s">
        <v>372</v>
      </c>
      <c r="B463" s="24"/>
      <c r="C463" s="24"/>
      <c r="D463" s="24"/>
      <c r="E463" s="24"/>
      <c r="F463" s="24"/>
      <c r="G463" s="24"/>
      <c r="H463" s="24"/>
      <c r="I463" s="24"/>
      <c r="J463" s="24"/>
      <c r="K463" s="24"/>
    </row>
    <row r="464" customFormat="false" ht="15" hidden="false" customHeight="false" outlineLevel="0" collapsed="false">
      <c r="A464" s="3" t="s">
        <v>373</v>
      </c>
      <c r="G464" s="32" t="n">
        <f aca="false">IF(G347&gt;0,G451/G347,99)</f>
        <v>4.9066397085884</v>
      </c>
      <c r="H464" s="32" t="n">
        <f aca="false">IF(H347&gt;0,H451/H347,99)</f>
        <v>5.65694804036842</v>
      </c>
      <c r="I464" s="32" t="n">
        <f aca="false">IF(I347&gt;0,I451/I347,99)</f>
        <v>6.29821446578391</v>
      </c>
      <c r="J464" s="32" t="n">
        <f aca="false">IF(J347&gt;0,J451/J347,99)</f>
        <v>6.94579053123316</v>
      </c>
      <c r="K464" s="32" t="n">
        <f aca="false">IF(K347&gt;0,K451/K347,99)</f>
        <v>7.33831226622703</v>
      </c>
    </row>
    <row r="465" customFormat="false" ht="15" hidden="false" customHeight="false" outlineLevel="0" collapsed="false">
      <c r="A465" s="3" t="s">
        <v>374</v>
      </c>
      <c r="G465" s="33" t="n">
        <f aca="false">Assumptions!$G$65</f>
        <v>5.25</v>
      </c>
      <c r="H465" s="33" t="n">
        <f aca="false">Assumptions!$H$65</f>
        <v>5.25</v>
      </c>
      <c r="I465" s="33" t="n">
        <f aca="false">Assumptions!$I$65</f>
        <v>5</v>
      </c>
      <c r="J465" s="33" t="n">
        <f aca="false">Assumptions!$J$65</f>
        <v>5</v>
      </c>
      <c r="K465" s="33" t="n">
        <f aca="false">Assumptions!$K$65</f>
        <v>5</v>
      </c>
    </row>
    <row r="466" customFormat="false" ht="15" hidden="false" customHeight="false" outlineLevel="0" collapsed="false">
      <c r="A466" s="3" t="s">
        <v>375</v>
      </c>
      <c r="G466" s="32" t="n">
        <f aca="false">G465-G464</f>
        <v>0.343360291411604</v>
      </c>
      <c r="H466" s="32" t="n">
        <f aca="false">H465-H464</f>
        <v>-0.406948040368418</v>
      </c>
      <c r="I466" s="32" t="n">
        <f aca="false">I465-I464</f>
        <v>-1.29821446578391</v>
      </c>
      <c r="J466" s="32" t="n">
        <f aca="false">J465-J464</f>
        <v>-1.94579053123316</v>
      </c>
      <c r="K466" s="32" t="n">
        <f aca="false">K465-K464</f>
        <v>-2.33831226622703</v>
      </c>
    </row>
    <row r="467" customFormat="false" ht="15" hidden="false" customHeight="false" outlineLevel="0" collapsed="false">
      <c r="A467" s="3" t="s">
        <v>376</v>
      </c>
      <c r="G467" s="21" t="n">
        <f aca="false">IF(G465=0,0,G466/ABS(G465))</f>
        <v>0.0654019602688769</v>
      </c>
      <c r="H467" s="21" t="n">
        <f aca="false">IF(H465=0,0,H466/ABS(H465))</f>
        <v>-0.0775139124511272</v>
      </c>
      <c r="I467" s="21" t="n">
        <f aca="false">IF(I465=0,0,I466/ABS(I465))</f>
        <v>-0.259642893156781</v>
      </c>
      <c r="J467" s="21" t="n">
        <f aca="false">IF(J465=0,0,J466/ABS(J465))</f>
        <v>-0.389158106246632</v>
      </c>
      <c r="K467" s="21" t="n">
        <f aca="false">IF(K465=0,0,K466/ABS(K465))</f>
        <v>-0.467662453245407</v>
      </c>
    </row>
    <row r="468" customFormat="false" ht="15" hidden="false" customHeight="false" outlineLevel="0" collapsed="false">
      <c r="A468" s="3" t="s">
        <v>377</v>
      </c>
      <c r="G468" s="20" t="n">
        <f aca="false">IF(G466&lt;0,1,0)</f>
        <v>0</v>
      </c>
      <c r="H468" s="20" t="n">
        <f aca="false">IF(H466&lt;0,1,0)</f>
        <v>1</v>
      </c>
      <c r="I468" s="20" t="n">
        <f aca="false">IF(I466&lt;0,1,0)</f>
        <v>1</v>
      </c>
      <c r="J468" s="20" t="n">
        <f aca="false">IF(J466&lt;0,1,0)</f>
        <v>1</v>
      </c>
      <c r="K468" s="20" t="n">
        <f aca="false">IF(K466&lt;0,1,0)</f>
        <v>1</v>
      </c>
    </row>
    <row r="469" customFormat="false" ht="15" hidden="false" customHeight="false" outlineLevel="0" collapsed="false">
      <c r="A469" s="3" t="s">
        <v>378</v>
      </c>
      <c r="C469" s="20" t="n">
        <f aca="false">IFERROR(INDEX($G$337:$K$337,MATCH(1,$G$468:$K$468,0)),0)</f>
        <v>2028</v>
      </c>
    </row>
    <row r="470" customFormat="false" ht="15" hidden="false" customHeight="false" outlineLevel="0" collapsed="false">
      <c r="A470" s="3" t="s">
        <v>379</v>
      </c>
      <c r="C470" s="21" t="n">
        <f aca="false">MIN($G$467:$K$467)</f>
        <v>-0.467662453245407</v>
      </c>
    </row>
    <row r="471" customFormat="false" ht="15" hidden="false" customHeight="false" outlineLevel="0" collapsed="false">
      <c r="A471" s="23" t="s">
        <v>380</v>
      </c>
      <c r="B471" s="24"/>
      <c r="C471" s="24"/>
      <c r="D471" s="24"/>
      <c r="E471" s="24"/>
      <c r="F471" s="24"/>
      <c r="G471" s="24"/>
      <c r="H471" s="24"/>
      <c r="I471" s="24"/>
      <c r="J471" s="24"/>
      <c r="K471" s="24"/>
    </row>
    <row r="472" customFormat="false" ht="15" hidden="false" customHeight="false" outlineLevel="0" collapsed="false">
      <c r="A472" s="3" t="s">
        <v>373</v>
      </c>
      <c r="G472" s="32" t="n">
        <f aca="false">IF(G351&gt;0,G347/G351,99)</f>
        <v>1.59005643370602</v>
      </c>
      <c r="H472" s="32" t="n">
        <f aca="false">IF(H351&gt;0,H347/H351,99)</f>
        <v>1.35552310973439</v>
      </c>
      <c r="I472" s="32" t="n">
        <f aca="false">IF(I351&gt;0,I347/I351,99)</f>
        <v>1.21627391755258</v>
      </c>
      <c r="J472" s="32" t="n">
        <f aca="false">IF(J351&gt;0,J347/J351,99)</f>
        <v>1.24284413584734</v>
      </c>
      <c r="K472" s="32" t="n">
        <f aca="false">IF(K351&gt;0,K347/K351,99)</f>
        <v>1.18070192905498</v>
      </c>
    </row>
    <row r="473" customFormat="false" ht="15" hidden="false" customHeight="false" outlineLevel="0" collapsed="false">
      <c r="A473" s="3" t="s">
        <v>374</v>
      </c>
      <c r="G473" s="33" t="n">
        <f aca="false">Assumptions!$G$66</f>
        <v>1.4</v>
      </c>
      <c r="H473" s="33" t="n">
        <f aca="false">Assumptions!$H$66</f>
        <v>1.4</v>
      </c>
      <c r="I473" s="33" t="n">
        <f aca="false">Assumptions!$I$66</f>
        <v>1.4</v>
      </c>
      <c r="J473" s="33" t="n">
        <f aca="false">Assumptions!$J$66</f>
        <v>1.5</v>
      </c>
      <c r="K473" s="33" t="n">
        <f aca="false">Assumptions!$K$66</f>
        <v>1.5</v>
      </c>
    </row>
    <row r="474" customFormat="false" ht="15" hidden="false" customHeight="false" outlineLevel="0" collapsed="false">
      <c r="A474" s="3" t="s">
        <v>375</v>
      </c>
      <c r="G474" s="32" t="n">
        <f aca="false">G472-G473</f>
        <v>0.190056433706025</v>
      </c>
      <c r="H474" s="32" t="n">
        <f aca="false">H472-H473</f>
        <v>-0.0444768902656139</v>
      </c>
      <c r="I474" s="32" t="n">
        <f aca="false">I472-I473</f>
        <v>-0.183726082447419</v>
      </c>
      <c r="J474" s="32" t="n">
        <f aca="false">J472-J473</f>
        <v>-0.257155864152655</v>
      </c>
      <c r="K474" s="32" t="n">
        <f aca="false">K472-K473</f>
        <v>-0.319298070945023</v>
      </c>
    </row>
    <row r="475" customFormat="false" ht="15" hidden="false" customHeight="false" outlineLevel="0" collapsed="false">
      <c r="A475" s="3" t="s">
        <v>376</v>
      </c>
      <c r="G475" s="21" t="n">
        <f aca="false">IF(G473=0,0,G474/ABS(G473))</f>
        <v>0.135754595504304</v>
      </c>
      <c r="H475" s="21" t="n">
        <f aca="false">IF(H473=0,0,H474/ABS(H473))</f>
        <v>-0.0317692073325813</v>
      </c>
      <c r="I475" s="21" t="n">
        <f aca="false">IF(I473=0,0,I474/ABS(I473))</f>
        <v>-0.131232916033871</v>
      </c>
      <c r="J475" s="21" t="n">
        <f aca="false">IF(J473=0,0,J474/ABS(J473))</f>
        <v>-0.171437242768437</v>
      </c>
      <c r="K475" s="21" t="n">
        <f aca="false">IF(K473=0,0,K474/ABS(K473))</f>
        <v>-0.212865380630015</v>
      </c>
    </row>
    <row r="476" customFormat="false" ht="15" hidden="false" customHeight="false" outlineLevel="0" collapsed="false">
      <c r="A476" s="3" t="s">
        <v>377</v>
      </c>
      <c r="G476" s="20" t="n">
        <f aca="false">IF(G474&lt;0,1,0)</f>
        <v>0</v>
      </c>
      <c r="H476" s="20" t="n">
        <f aca="false">IF(H474&lt;0,1,0)</f>
        <v>1</v>
      </c>
      <c r="I476" s="20" t="n">
        <f aca="false">IF(I474&lt;0,1,0)</f>
        <v>1</v>
      </c>
      <c r="J476" s="20" t="n">
        <f aca="false">IF(J474&lt;0,1,0)</f>
        <v>1</v>
      </c>
      <c r="K476" s="20" t="n">
        <f aca="false">IF(K474&lt;0,1,0)</f>
        <v>1</v>
      </c>
    </row>
    <row r="477" customFormat="false" ht="15" hidden="false" customHeight="false" outlineLevel="0" collapsed="false">
      <c r="A477" s="3" t="s">
        <v>378</v>
      </c>
      <c r="C477" s="20" t="n">
        <f aca="false">IFERROR(INDEX($G$337:$K$337,MATCH(1,$G$476:$K$476,0)),0)</f>
        <v>2028</v>
      </c>
    </row>
    <row r="478" customFormat="false" ht="15" hidden="false" customHeight="false" outlineLevel="0" collapsed="false">
      <c r="A478" s="3" t="s">
        <v>379</v>
      </c>
      <c r="C478" s="21" t="n">
        <f aca="false">MIN($G$475:$K$475)</f>
        <v>-0.212865380630015</v>
      </c>
    </row>
    <row r="479" customFormat="false" ht="15" hidden="false" customHeight="false" outlineLevel="0" collapsed="false">
      <c r="A479" s="23" t="s">
        <v>381</v>
      </c>
      <c r="B479" s="24"/>
      <c r="C479" s="24"/>
      <c r="D479" s="24"/>
      <c r="E479" s="24"/>
      <c r="F479" s="24"/>
      <c r="G479" s="24"/>
      <c r="H479" s="24"/>
      <c r="I479" s="24"/>
      <c r="J479" s="24"/>
      <c r="K479" s="24"/>
    </row>
    <row r="480" customFormat="false" ht="15" hidden="false" customHeight="false" outlineLevel="0" collapsed="false">
      <c r="A480" s="3" t="s">
        <v>373</v>
      </c>
      <c r="G480" s="25" t="n">
        <f aca="false">G458</f>
        <v>518.82154744</v>
      </c>
      <c r="H480" s="25" t="n">
        <f aca="false">H458</f>
        <v>539.6742833632</v>
      </c>
      <c r="I480" s="25" t="n">
        <f aca="false">I458</f>
        <v>120.430022671888</v>
      </c>
      <c r="J480" s="25" t="n">
        <f aca="false">J458</f>
        <v>123.071896868977</v>
      </c>
      <c r="K480" s="25" t="n">
        <f aca="false">K458</f>
        <v>118.677412856212</v>
      </c>
    </row>
    <row r="481" customFormat="false" ht="15" hidden="false" customHeight="false" outlineLevel="0" collapsed="false">
      <c r="A481" s="3" t="s">
        <v>374</v>
      </c>
      <c r="G481" s="29" t="n">
        <f aca="false">Assumptions!$G$67</f>
        <v>200</v>
      </c>
      <c r="H481" s="29" t="n">
        <f aca="false">Assumptions!$H$67</f>
        <v>200</v>
      </c>
      <c r="I481" s="29" t="n">
        <f aca="false">Assumptions!$I$67</f>
        <v>200</v>
      </c>
      <c r="J481" s="29" t="n">
        <f aca="false">Assumptions!$J$67</f>
        <v>200</v>
      </c>
      <c r="K481" s="29" t="n">
        <f aca="false">Assumptions!$K$67</f>
        <v>200</v>
      </c>
    </row>
    <row r="482" customFormat="false" ht="15" hidden="false" customHeight="false" outlineLevel="0" collapsed="false">
      <c r="A482" s="3" t="s">
        <v>375</v>
      </c>
      <c r="G482" s="25" t="n">
        <f aca="false">G480-G481</f>
        <v>318.82154744</v>
      </c>
      <c r="H482" s="25" t="n">
        <f aca="false">H480-H481</f>
        <v>339.6742833632</v>
      </c>
      <c r="I482" s="25" t="n">
        <f aca="false">I480-I481</f>
        <v>-79.5699773281123</v>
      </c>
      <c r="J482" s="25" t="n">
        <f aca="false">J480-J481</f>
        <v>-76.9281031310227</v>
      </c>
      <c r="K482" s="25" t="n">
        <f aca="false">K480-K481</f>
        <v>-81.3225871437876</v>
      </c>
    </row>
    <row r="483" customFormat="false" ht="15" hidden="false" customHeight="false" outlineLevel="0" collapsed="false">
      <c r="A483" s="3" t="s">
        <v>376</v>
      </c>
      <c r="G483" s="21" t="n">
        <f aca="false">IF(G481=0,0,G482/ABS(G481))</f>
        <v>1.5941077372</v>
      </c>
      <c r="H483" s="21" t="n">
        <f aca="false">IF(H481=0,0,H482/ABS(H481))</f>
        <v>1.698371416816</v>
      </c>
      <c r="I483" s="21" t="n">
        <f aca="false">IF(I481=0,0,I482/ABS(I481))</f>
        <v>-0.397849886640561</v>
      </c>
      <c r="J483" s="21" t="n">
        <f aca="false">IF(J481=0,0,J482/ABS(J481))</f>
        <v>-0.384640515655113</v>
      </c>
      <c r="K483" s="21" t="n">
        <f aca="false">IF(K481=0,0,K482/ABS(K481))</f>
        <v>-0.406612935718938</v>
      </c>
    </row>
    <row r="484" customFormat="false" ht="15" hidden="false" customHeight="false" outlineLevel="0" collapsed="false">
      <c r="A484" s="3" t="s">
        <v>377</v>
      </c>
      <c r="G484" s="20" t="n">
        <f aca="false">IF(G482&lt;0,1,0)</f>
        <v>0</v>
      </c>
      <c r="H484" s="20" t="n">
        <f aca="false">IF(H482&lt;0,1,0)</f>
        <v>0</v>
      </c>
      <c r="I484" s="20" t="n">
        <f aca="false">IF(I482&lt;0,1,0)</f>
        <v>1</v>
      </c>
      <c r="J484" s="20" t="n">
        <f aca="false">IF(J482&lt;0,1,0)</f>
        <v>1</v>
      </c>
      <c r="K484" s="20" t="n">
        <f aca="false">IF(K482&lt;0,1,0)</f>
        <v>1</v>
      </c>
    </row>
    <row r="485" customFormat="false" ht="15" hidden="false" customHeight="false" outlineLevel="0" collapsed="false">
      <c r="A485" s="3" t="s">
        <v>378</v>
      </c>
      <c r="C485" s="20" t="n">
        <f aca="false">IFERROR(INDEX($G$337:$K$337,MATCH(1,$G$484:$K$484,0)),0)</f>
        <v>2029</v>
      </c>
    </row>
    <row r="486" customFormat="false" ht="15" hidden="false" customHeight="false" outlineLevel="0" collapsed="false">
      <c r="A486" s="3" t="s">
        <v>379</v>
      </c>
      <c r="C486" s="21" t="n">
        <f aca="false">MIN($G$483:$K$483)</f>
        <v>-0.406612935718938</v>
      </c>
    </row>
    <row r="487" customFormat="false" ht="15" hidden="false" customHeight="false" outlineLevel="0" collapsed="false">
      <c r="A487" s="3" t="s">
        <v>382</v>
      </c>
      <c r="G487" s="20" t="n">
        <f aca="false">G468+G476+G484</f>
        <v>0</v>
      </c>
      <c r="H487" s="20" t="n">
        <f aca="false">H468+H476+H484</f>
        <v>2</v>
      </c>
      <c r="I487" s="20" t="n">
        <f aca="false">I468+I476+I484</f>
        <v>3</v>
      </c>
      <c r="J487" s="20" t="n">
        <f aca="false">J468+J476+J484</f>
        <v>3</v>
      </c>
      <c r="K487" s="20" t="n">
        <f aca="false">K468+K476+K484</f>
        <v>3</v>
      </c>
    </row>
    <row r="488" customFormat="false" ht="15" hidden="false" customHeight="false" outlineLevel="0" collapsed="false">
      <c r="A488" s="3" t="s">
        <v>383</v>
      </c>
      <c r="C488" s="20" t="n">
        <f aca="false">SUM($G$487:$K$487)</f>
        <v>11</v>
      </c>
    </row>
    <row r="489" customFormat="false" ht="15" hidden="false" customHeight="false" outlineLevel="0" collapsed="false">
      <c r="A489" s="3" t="s">
        <v>384</v>
      </c>
      <c r="C489" s="21" t="n">
        <f aca="false">MIN(C470,C478,C486)</f>
        <v>-0.467662453245407</v>
      </c>
    </row>
    <row r="491" customFormat="false" ht="15" hidden="false" customHeight="false" outlineLevel="0" collapsed="false">
      <c r="A491" s="23" t="s">
        <v>486</v>
      </c>
      <c r="B491" s="24"/>
      <c r="C491" s="24"/>
      <c r="D491" s="24"/>
      <c r="E491" s="24"/>
      <c r="F491" s="24"/>
      <c r="G491" s="24"/>
      <c r="H491" s="24"/>
      <c r="I491" s="24"/>
      <c r="J491" s="24"/>
      <c r="K491" s="24"/>
    </row>
    <row r="492" customFormat="false" ht="15" hidden="false" customHeight="false" outlineLevel="0" collapsed="false">
      <c r="A492" s="3" t="s">
        <v>487</v>
      </c>
      <c r="G492" s="20" t="n">
        <f aca="false">IF($C$493=1,G445,IF(G347=MIN($G$347:$K$347),1,0))</f>
        <v>0</v>
      </c>
      <c r="H492" s="20" t="n">
        <f aca="false">IF($C$493=1,H445,IF(AND(H347=MIN($G$347:$K$347),SUM($G$492:G492)=0),1,0))</f>
        <v>0</v>
      </c>
      <c r="I492" s="20" t="n">
        <f aca="false">IF($C$493=1,I445,IF(AND(I347=MIN($G$347:$K$347),SUM($G$492:H492)=0),1,0))</f>
        <v>0</v>
      </c>
      <c r="J492" s="20" t="n">
        <f aca="false">IF($C$493=1,J445,IF(AND(J347=MIN($G$347:$K$347),SUM($G$492:I492)=0),1,0))</f>
        <v>0</v>
      </c>
      <c r="K492" s="20" t="n">
        <f aca="false">IF($C$493=1,K445,IF(AND(K347=MIN($G$347:$K$347),SUM($G$492:J492)=0),1,0))</f>
        <v>1</v>
      </c>
    </row>
    <row r="493" customFormat="false" ht="15" hidden="false" customHeight="false" outlineLevel="0" collapsed="false">
      <c r="A493" s="3" t="s">
        <v>488</v>
      </c>
      <c r="C493" s="20" t="n">
        <f aca="false">IF(SUM($G$445:$K$445)&gt;0,1,0)</f>
        <v>0</v>
      </c>
    </row>
    <row r="494" customFormat="false" ht="15" hidden="false" customHeight="false" outlineLevel="0" collapsed="false">
      <c r="A494" s="3" t="s">
        <v>489</v>
      </c>
      <c r="C494" s="20" t="n">
        <f aca="false">SUMPRODUCT($G$492:$K$492,$G$337:$K$337)</f>
        <v>2031</v>
      </c>
    </row>
    <row r="495" customFormat="false" ht="15" hidden="false" customHeight="false" outlineLevel="0" collapsed="false">
      <c r="A495" s="3" t="s">
        <v>490</v>
      </c>
      <c r="C495" s="25" t="n">
        <f aca="false">SUMPRODUCT($G$492:$K$492,$G$347:$K$347)</f>
        <v>163.037568277116</v>
      </c>
    </row>
    <row r="496" customFormat="false" ht="15" hidden="false" customHeight="false" outlineLevel="0" collapsed="false">
      <c r="A496" s="3" t="s">
        <v>491</v>
      </c>
      <c r="C496" s="25" t="n">
        <f aca="false">MAX(0,SUMPRODUCT($G$492:$K$492,$G$442:$K$442))</f>
        <v>118.677412856212</v>
      </c>
    </row>
    <row r="497" customFormat="false" ht="15" hidden="false" customHeight="false" outlineLevel="0" collapsed="false">
      <c r="A497" s="3" t="s">
        <v>492</v>
      </c>
      <c r="C497" s="25" t="n">
        <f aca="false">(CHOOSE($C$330,Assumptions!$C$84,Assumptions!$C$103,Assumptions!$C$122)+$C$334)*C495</f>
        <v>733.669057247022</v>
      </c>
    </row>
    <row r="498" customFormat="false" ht="15" hidden="false" customHeight="false" outlineLevel="0" collapsed="false">
      <c r="A498" s="3" t="s">
        <v>493</v>
      </c>
      <c r="C498" s="25" t="n">
        <f aca="false">Assumptions!$C$30*(1-CHOOSE($C$330,Assumptions!$C$85,Assumptions!$C$104,Assumptions!$C$123))*CHOOSE($C$330,Assumptions!$C$86,Assumptions!$C$105,Assumptions!$C$124)</f>
        <v>626.017605</v>
      </c>
    </row>
    <row r="499" customFormat="false" ht="15" hidden="false" customHeight="false" outlineLevel="0" collapsed="false">
      <c r="A499" s="3" t="s">
        <v>494</v>
      </c>
      <c r="C499" s="25" t="n">
        <f aca="false">MAX(C497,C498)+C496</f>
        <v>852.346470103234</v>
      </c>
    </row>
    <row r="500" customFormat="false" ht="15" hidden="false" customHeight="false" outlineLevel="0" collapsed="false">
      <c r="A500" s="2" t="s">
        <v>495</v>
      </c>
      <c r="C500" s="16" t="n">
        <f aca="false">IF(ISNUMBER(Assumptions!$C$14),Assumptions!$C$14,C499)</f>
        <v>852.346470103234</v>
      </c>
    </row>
    <row r="501" customFormat="false" ht="15" hidden="false" customHeight="false" outlineLevel="0" collapsed="false">
      <c r="A501" s="3" t="s">
        <v>496</v>
      </c>
      <c r="C501" s="25" t="n">
        <f aca="false">C500*Assumptions!$C$15</f>
        <v>34.0938588041294</v>
      </c>
    </row>
    <row r="502" customFormat="false" ht="15" hidden="false" customHeight="false" outlineLevel="0" collapsed="false">
      <c r="A502" s="2" t="s">
        <v>497</v>
      </c>
      <c r="C502" s="16" t="n">
        <f aca="false">C500-C501</f>
        <v>818.252611299105</v>
      </c>
    </row>
    <row r="503" customFormat="false" ht="15" hidden="false" customHeight="false" outlineLevel="0" collapsed="false">
      <c r="A503" s="23" t="s">
        <v>498</v>
      </c>
      <c r="B503" s="24"/>
      <c r="C503" s="24"/>
      <c r="D503" s="24"/>
      <c r="E503" s="24"/>
      <c r="F503" s="24"/>
      <c r="G503" s="24"/>
      <c r="H503" s="24"/>
      <c r="I503" s="24"/>
      <c r="J503" s="24"/>
      <c r="K503" s="24"/>
    </row>
    <row r="504" customFormat="false" ht="15" hidden="false" customHeight="false" outlineLevel="0" collapsed="false">
      <c r="A504" s="3" t="s">
        <v>499</v>
      </c>
      <c r="C504" s="25" t="n">
        <f aca="false">SUMPRODUCT($G$492:$K$492,$G$384:$K$384)*(1+SUMPRODUCT($G$492:$K$492,$G$376:$K$376)*Assumptions!$C$16/12)</f>
        <v>1349.6193225</v>
      </c>
    </row>
    <row r="505" customFormat="false" ht="15" hidden="false" customHeight="false" outlineLevel="0" collapsed="false">
      <c r="A505" s="3" t="s">
        <v>500</v>
      </c>
      <c r="C505" s="25" t="n">
        <f aca="false">SUMPRODUCT($G$492:$K$492,$G$397:$K$397)*(1+SUMPRODUCT($G$492:$K$492,$G$389:$K$389)*Assumptions!$C$16/12)</f>
        <v>0</v>
      </c>
    </row>
    <row r="506" customFormat="false" ht="15" hidden="false" customHeight="false" outlineLevel="0" collapsed="false">
      <c r="A506" s="3" t="s">
        <v>501</v>
      </c>
      <c r="C506" s="25" t="n">
        <f aca="false">SUMPRODUCT($G$492:$K$492,$G$410:$K$410)*(1+SUMPRODUCT($G$492:$K$492,$G$402:$K$402)*Assumptions!$C$16/12)</f>
        <v>0</v>
      </c>
    </row>
    <row r="507" customFormat="false" ht="15" hidden="false" customHeight="false" outlineLevel="0" collapsed="false">
      <c r="A507" s="23" t="s">
        <v>502</v>
      </c>
      <c r="B507" s="24"/>
      <c r="C507" s="24"/>
      <c r="D507" s="24"/>
      <c r="E507" s="24"/>
      <c r="F507" s="24"/>
      <c r="G507" s="24"/>
      <c r="H507" s="24"/>
      <c r="I507" s="24"/>
      <c r="J507" s="24"/>
      <c r="K507" s="24"/>
    </row>
    <row r="508" customFormat="false" ht="15" hidden="false" customHeight="false" outlineLevel="0" collapsed="false">
      <c r="A508" s="3" t="s">
        <v>499</v>
      </c>
      <c r="C508" s="27" t="n">
        <f aca="false">Assumptions!$M$56</f>
        <v>1</v>
      </c>
    </row>
    <row r="509" customFormat="false" ht="15" hidden="false" customHeight="false" outlineLevel="0" collapsed="false">
      <c r="A509" s="3" t="s">
        <v>500</v>
      </c>
      <c r="C509" s="27" t="n">
        <f aca="false">Assumptions!$M$57</f>
        <v>2</v>
      </c>
    </row>
    <row r="510" customFormat="false" ht="15" hidden="false" customHeight="false" outlineLevel="0" collapsed="false">
      <c r="A510" s="3" t="s">
        <v>501</v>
      </c>
      <c r="C510" s="27" t="n">
        <f aca="false">Assumptions!$M$58</f>
        <v>2</v>
      </c>
    </row>
    <row r="511" customFormat="false" ht="15" hidden="false" customHeight="false" outlineLevel="0" collapsed="false">
      <c r="A511" s="23" t="s">
        <v>503</v>
      </c>
      <c r="B511" s="24"/>
      <c r="C511" s="24"/>
      <c r="D511" s="24"/>
      <c r="E511" s="24"/>
      <c r="F511" s="24"/>
      <c r="G511" s="24"/>
      <c r="H511" s="24"/>
      <c r="I511" s="24"/>
      <c r="J511" s="24"/>
      <c r="K511" s="24"/>
    </row>
    <row r="512" customFormat="false" ht="15" hidden="false" customHeight="false" outlineLevel="0" collapsed="false">
      <c r="A512" s="3" t="s">
        <v>499</v>
      </c>
      <c r="C512" s="35" t="n">
        <f aca="false">Assumptions!$Q$56</f>
        <v>0</v>
      </c>
    </row>
    <row r="513" customFormat="false" ht="15" hidden="false" customHeight="false" outlineLevel="0" collapsed="false">
      <c r="A513" s="3" t="s">
        <v>500</v>
      </c>
      <c r="C513" s="35" t="n">
        <f aca="false">Assumptions!$Q$57</f>
        <v>0</v>
      </c>
    </row>
    <row r="514" customFormat="false" ht="15" hidden="false" customHeight="false" outlineLevel="0" collapsed="false">
      <c r="A514" s="3" t="s">
        <v>501</v>
      </c>
      <c r="C514" s="35" t="n">
        <f aca="false">Assumptions!$Q$58</f>
        <v>0</v>
      </c>
    </row>
    <row r="515" customFormat="false" ht="15" hidden="false" customHeight="false" outlineLevel="0" collapsed="false">
      <c r="A515" s="23" t="s">
        <v>504</v>
      </c>
      <c r="B515" s="24"/>
      <c r="C515" s="24"/>
      <c r="D515" s="24"/>
      <c r="E515" s="24"/>
      <c r="F515" s="24"/>
      <c r="G515" s="24"/>
      <c r="H515" s="24"/>
      <c r="I515" s="24"/>
      <c r="J515" s="24"/>
      <c r="K515" s="24"/>
    </row>
    <row r="516" customFormat="false" ht="15" hidden="false" customHeight="false" outlineLevel="0" collapsed="false">
      <c r="A516" s="3" t="s">
        <v>499</v>
      </c>
      <c r="C516" s="25" t="n">
        <f aca="false">IF(C512&gt;0,MIN(C504,C512*$C$502),0)</f>
        <v>0</v>
      </c>
    </row>
    <row r="517" customFormat="false" ht="15" hidden="false" customHeight="false" outlineLevel="0" collapsed="false">
      <c r="A517" s="3" t="s">
        <v>500</v>
      </c>
      <c r="C517" s="25" t="n">
        <f aca="false">IF(C513&gt;0,MIN(C505,C513*$C$502),0)</f>
        <v>0</v>
      </c>
    </row>
    <row r="518" customFormat="false" ht="15" hidden="false" customHeight="false" outlineLevel="0" collapsed="false">
      <c r="A518" s="3" t="s">
        <v>501</v>
      </c>
      <c r="C518" s="25" t="n">
        <f aca="false">IF(C514&gt;0,MIN(C506,C514*$C$502),0)</f>
        <v>0</v>
      </c>
    </row>
    <row r="519" customFormat="false" ht="15" hidden="false" customHeight="false" outlineLevel="0" collapsed="false">
      <c r="A519" s="23" t="s">
        <v>505</v>
      </c>
      <c r="B519" s="24"/>
      <c r="C519" s="24"/>
      <c r="D519" s="24"/>
      <c r="E519" s="24"/>
      <c r="F519" s="24"/>
      <c r="G519" s="24"/>
      <c r="H519" s="24"/>
      <c r="I519" s="24"/>
      <c r="J519" s="24"/>
      <c r="K519" s="24"/>
    </row>
    <row r="520" customFormat="false" ht="15" hidden="false" customHeight="false" outlineLevel="0" collapsed="false">
      <c r="A520" s="3" t="s">
        <v>499</v>
      </c>
      <c r="C520" s="25" t="n">
        <f aca="false">IF(C512&gt;0,C504-C516,0)</f>
        <v>0</v>
      </c>
      <c r="G520" s="20" t="n">
        <f aca="false">IF(AND(G374=1,G371=1),1,0)</f>
        <v>0</v>
      </c>
      <c r="H520" s="20" t="n">
        <f aca="false">IF(G520=1,1,IF(AND(H374=1,H371=1),1,0))</f>
        <v>0</v>
      </c>
      <c r="I520" s="20" t="n">
        <f aca="false">IF(H520=1,1,IF(AND(I374=1,I371=1),1,0))</f>
        <v>0</v>
      </c>
      <c r="J520" s="20" t="n">
        <f aca="false">IF(I520=1,1,IF(AND(J374=1,J371=1),1,0))</f>
        <v>0</v>
      </c>
      <c r="K520" s="20" t="n">
        <f aca="false">IF(J520=1,1,IF(AND(K374=1,K371=1),1,0))</f>
        <v>0</v>
      </c>
    </row>
    <row r="521" customFormat="false" ht="15" hidden="false" customHeight="false" outlineLevel="0" collapsed="false">
      <c r="A521" s="3" t="s">
        <v>500</v>
      </c>
      <c r="C521" s="25" t="n">
        <f aca="false">IF(C513&gt;0,C505-C517,0)</f>
        <v>0</v>
      </c>
      <c r="G521" s="20" t="n">
        <f aca="false">IF(AND(G387=1,G371=1),1,0)</f>
        <v>0</v>
      </c>
      <c r="H521" s="20" t="n">
        <f aca="false">IF(G521=1,1,IF(AND(H387=1,H371=1),1,0))</f>
        <v>0</v>
      </c>
      <c r="I521" s="20" t="n">
        <f aca="false">IF(H521=1,1,IF(AND(I387=1,I371=1),1,0))</f>
        <v>0</v>
      </c>
      <c r="J521" s="20" t="n">
        <f aca="false">IF(I521=1,1,IF(AND(J387=1,J371=1),1,0))</f>
        <v>0</v>
      </c>
      <c r="K521" s="20" t="n">
        <f aca="false">IF(J521=1,1,IF(AND(K387=1,K371=1),1,0))</f>
        <v>0</v>
      </c>
    </row>
    <row r="522" customFormat="false" ht="15" hidden="false" customHeight="false" outlineLevel="0" collapsed="false">
      <c r="A522" s="3" t="s">
        <v>501</v>
      </c>
      <c r="C522" s="25" t="n">
        <f aca="false">IF(C514&gt;0,C506-C518,0)</f>
        <v>0</v>
      </c>
      <c r="G522" s="20" t="n">
        <f aca="false">IF(AND(G400=1,G371=1),1,0)</f>
        <v>0</v>
      </c>
      <c r="H522" s="20" t="n">
        <f aca="false">IF(G522=1,1,IF(AND(H400=1,H371=1),1,0))</f>
        <v>0</v>
      </c>
      <c r="I522" s="20" t="n">
        <f aca="false">IF(H522=1,1,IF(AND(I400=1,I371=1),1,0))</f>
        <v>0</v>
      </c>
      <c r="J522" s="20" t="n">
        <f aca="false">IF(I522=1,1,IF(AND(J400=1,J371=1),1,0))</f>
        <v>0</v>
      </c>
      <c r="K522" s="20" t="n">
        <f aca="false">IF(J522=1,1,IF(AND(K400=1,K371=1),1,0))</f>
        <v>0</v>
      </c>
    </row>
    <row r="523" customFormat="false" ht="15" hidden="false" customHeight="false" outlineLevel="0" collapsed="false">
      <c r="A523" s="23" t="s">
        <v>506</v>
      </c>
      <c r="B523" s="24"/>
      <c r="C523" s="24"/>
      <c r="D523" s="24"/>
      <c r="E523" s="24"/>
      <c r="F523" s="24"/>
      <c r="G523" s="24"/>
      <c r="H523" s="24"/>
      <c r="I523" s="24"/>
      <c r="J523" s="24"/>
      <c r="K523" s="24"/>
    </row>
    <row r="524" customFormat="false" ht="15" hidden="false" customHeight="false" outlineLevel="0" collapsed="false">
      <c r="A524" s="3" t="s">
        <v>499</v>
      </c>
      <c r="C524" s="25" t="n">
        <f aca="false">IF(C512&gt;0,C520,C504)</f>
        <v>1349.6193225</v>
      </c>
    </row>
    <row r="525" customFormat="false" ht="15" hidden="false" customHeight="false" outlineLevel="0" collapsed="false">
      <c r="A525" s="3" t="s">
        <v>500</v>
      </c>
      <c r="C525" s="25" t="n">
        <f aca="false">IF(C513&gt;0,C521,C505)</f>
        <v>0</v>
      </c>
    </row>
    <row r="526" customFormat="false" ht="15" hidden="false" customHeight="false" outlineLevel="0" collapsed="false">
      <c r="A526" s="3" t="s">
        <v>501</v>
      </c>
      <c r="C526" s="25" t="n">
        <f aca="false">IF(C514&gt;0,C522,C506)</f>
        <v>0</v>
      </c>
    </row>
    <row r="527" customFormat="false" ht="15" hidden="false" customHeight="false" outlineLevel="0" collapsed="false">
      <c r="A527" s="23" t="s">
        <v>507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</row>
    <row r="528" customFormat="false" ht="15" hidden="false" customHeight="false" outlineLevel="0" collapsed="false">
      <c r="A528" s="3" t="s">
        <v>499</v>
      </c>
      <c r="C528" s="20" t="n">
        <f aca="false">IF(C512&gt;0,Assumptions!$C$17,C508)</f>
        <v>1</v>
      </c>
    </row>
    <row r="529" customFormat="false" ht="15" hidden="false" customHeight="false" outlineLevel="0" collapsed="false">
      <c r="A529" s="3" t="s">
        <v>500</v>
      </c>
      <c r="C529" s="20" t="n">
        <f aca="false">IF(C513&gt;0,Assumptions!$C$17,C509)</f>
        <v>2</v>
      </c>
    </row>
    <row r="530" customFormat="false" ht="15" hidden="false" customHeight="false" outlineLevel="0" collapsed="false">
      <c r="A530" s="3" t="s">
        <v>501</v>
      </c>
      <c r="C530" s="20" t="n">
        <f aca="false">IF(C514&gt;0,Assumptions!$C$17,C510)</f>
        <v>2</v>
      </c>
    </row>
    <row r="531" customFormat="false" ht="15" hidden="false" customHeight="false" outlineLevel="0" collapsed="false">
      <c r="A531" s="23" t="s">
        <v>508</v>
      </c>
      <c r="B531" s="24"/>
      <c r="C531" s="24"/>
      <c r="D531" s="24"/>
      <c r="E531" s="24"/>
      <c r="F531" s="24"/>
      <c r="G531" s="24"/>
      <c r="H531" s="24"/>
      <c r="I531" s="24"/>
      <c r="J531" s="24"/>
      <c r="K531" s="24"/>
    </row>
    <row r="532" customFormat="false" ht="15" hidden="false" customHeight="false" outlineLevel="0" collapsed="false">
      <c r="A532" s="3" t="s">
        <v>499</v>
      </c>
      <c r="C532" s="25" t="n">
        <f aca="false">SUMPRODUCT(($C$528:$C$530&lt;C528)*$C$524:$C$526)</f>
        <v>0</v>
      </c>
    </row>
    <row r="533" customFormat="false" ht="15" hidden="false" customHeight="false" outlineLevel="0" collapsed="false">
      <c r="A533" s="3" t="s">
        <v>500</v>
      </c>
      <c r="C533" s="25" t="n">
        <f aca="false">SUMPRODUCT(($C$528:$C$530&lt;C529)*$C$524:$C$526)</f>
        <v>1349.6193225</v>
      </c>
    </row>
    <row r="534" customFormat="false" ht="15" hidden="false" customHeight="false" outlineLevel="0" collapsed="false">
      <c r="A534" s="3" t="s">
        <v>501</v>
      </c>
      <c r="C534" s="25" t="n">
        <f aca="false">SUMPRODUCT(($C$528:$C$530&lt;C530)*$C$524:$C$526)</f>
        <v>1349.6193225</v>
      </c>
    </row>
    <row r="535" customFormat="false" ht="15" hidden="false" customHeight="false" outlineLevel="0" collapsed="false">
      <c r="A535" s="23" t="s">
        <v>509</v>
      </c>
      <c r="B535" s="24"/>
      <c r="C535" s="24"/>
      <c r="D535" s="24"/>
      <c r="E535" s="24"/>
      <c r="F535" s="24"/>
      <c r="G535" s="24"/>
      <c r="H535" s="24"/>
      <c r="I535" s="24"/>
      <c r="J535" s="24"/>
      <c r="K535" s="24"/>
    </row>
    <row r="536" customFormat="false" ht="15" hidden="false" customHeight="false" outlineLevel="0" collapsed="false">
      <c r="A536" s="3" t="s">
        <v>499</v>
      </c>
      <c r="C536" s="25" t="n">
        <f aca="false">SUMPRODUCT(($C$528:$C$530=C528)*$C$524:$C$526)</f>
        <v>1349.6193225</v>
      </c>
    </row>
    <row r="537" customFormat="false" ht="15" hidden="false" customHeight="false" outlineLevel="0" collapsed="false">
      <c r="A537" s="3" t="s">
        <v>500</v>
      </c>
      <c r="C537" s="25" t="n">
        <f aca="false">SUMPRODUCT(($C$528:$C$530=C529)*$C$524:$C$526)</f>
        <v>0</v>
      </c>
    </row>
    <row r="538" customFormat="false" ht="15" hidden="false" customHeight="false" outlineLevel="0" collapsed="false">
      <c r="A538" s="3" t="s">
        <v>501</v>
      </c>
      <c r="C538" s="25" t="n">
        <f aca="false">SUMPRODUCT(($C$528:$C$530=C530)*$C$524:$C$526)</f>
        <v>0</v>
      </c>
    </row>
    <row r="539" customFormat="false" ht="15" hidden="false" customHeight="false" outlineLevel="0" collapsed="false">
      <c r="A539" s="23" t="s">
        <v>510</v>
      </c>
      <c r="B539" s="24"/>
      <c r="C539" s="24"/>
      <c r="D539" s="24"/>
      <c r="E539" s="24"/>
      <c r="F539" s="24"/>
      <c r="G539" s="24"/>
      <c r="H539" s="24"/>
      <c r="I539" s="24"/>
      <c r="J539" s="24"/>
      <c r="K539" s="24"/>
    </row>
    <row r="540" customFormat="false" ht="15" hidden="false" customHeight="false" outlineLevel="0" collapsed="false">
      <c r="A540" s="3" t="s">
        <v>499</v>
      </c>
      <c r="C540" s="25" t="n">
        <f aca="false">IF(C536=0,0,C524/C536*MAX(0,MIN(C536,$C$502-SUM($C$516:$C$518)-C532)))</f>
        <v>818.252611299105</v>
      </c>
    </row>
    <row r="541" customFormat="false" ht="15" hidden="false" customHeight="false" outlineLevel="0" collapsed="false">
      <c r="A541" s="3" t="s">
        <v>500</v>
      </c>
      <c r="C541" s="25" t="n">
        <f aca="false">IF(C537=0,0,C525/C537*MAX(0,MIN(C537,$C$502-SUM($C$516:$C$518)-C533)))</f>
        <v>0</v>
      </c>
    </row>
    <row r="542" customFormat="false" ht="15" hidden="false" customHeight="false" outlineLevel="0" collapsed="false">
      <c r="A542" s="3" t="s">
        <v>501</v>
      </c>
      <c r="C542" s="25" t="n">
        <f aca="false">IF(C538=0,0,C526/C538*MAX(0,MIN(C538,$C$502-SUM($C$516:$C$518)-C534)))</f>
        <v>0</v>
      </c>
    </row>
    <row r="543" customFormat="false" ht="15" hidden="false" customHeight="false" outlineLevel="0" collapsed="false">
      <c r="A543" s="23" t="s">
        <v>511</v>
      </c>
      <c r="B543" s="24"/>
      <c r="C543" s="24"/>
      <c r="D543" s="24"/>
      <c r="E543" s="24"/>
      <c r="F543" s="24"/>
      <c r="G543" s="24"/>
      <c r="H543" s="24"/>
      <c r="I543" s="24"/>
      <c r="J543" s="24"/>
      <c r="K543" s="24"/>
    </row>
    <row r="544" customFormat="false" ht="15" hidden="false" customHeight="false" outlineLevel="0" collapsed="false">
      <c r="A544" s="2" t="s">
        <v>499</v>
      </c>
      <c r="C544" s="16" t="n">
        <f aca="false">C516+C540</f>
        <v>818.252611299105</v>
      </c>
    </row>
    <row r="545" customFormat="false" ht="15" hidden="false" customHeight="false" outlineLevel="0" collapsed="false">
      <c r="A545" s="2" t="s">
        <v>500</v>
      </c>
      <c r="C545" s="16" t="n">
        <f aca="false">C517+C541</f>
        <v>0</v>
      </c>
    </row>
    <row r="546" customFormat="false" ht="15" hidden="false" customHeight="false" outlineLevel="0" collapsed="false">
      <c r="A546" s="2" t="s">
        <v>501</v>
      </c>
      <c r="C546" s="16" t="n">
        <f aca="false">C518+C542</f>
        <v>0</v>
      </c>
    </row>
    <row r="547" customFormat="false" ht="15" hidden="false" customHeight="false" outlineLevel="0" collapsed="false">
      <c r="A547" s="23" t="s">
        <v>512</v>
      </c>
      <c r="B547" s="24"/>
      <c r="C547" s="24"/>
      <c r="D547" s="24"/>
      <c r="E547" s="24"/>
      <c r="F547" s="24"/>
      <c r="G547" s="24"/>
      <c r="H547" s="24"/>
      <c r="I547" s="24"/>
      <c r="J547" s="24"/>
      <c r="K547" s="24"/>
    </row>
    <row r="548" customFormat="false" ht="15" hidden="false" customHeight="false" outlineLevel="0" collapsed="false">
      <c r="A548" s="3" t="s">
        <v>499</v>
      </c>
      <c r="C548" s="21" t="n">
        <f aca="false">IF(C504=0,1,C544/C504)</f>
        <v>0.606284007392095</v>
      </c>
    </row>
    <row r="549" customFormat="false" ht="15" hidden="false" customHeight="false" outlineLevel="0" collapsed="false">
      <c r="A549" s="3" t="s">
        <v>500</v>
      </c>
      <c r="C549" s="21" t="n">
        <f aca="false">IF(C505=0,1,C545/C505)</f>
        <v>1</v>
      </c>
    </row>
    <row r="550" customFormat="false" ht="15" hidden="false" customHeight="false" outlineLevel="0" collapsed="false">
      <c r="A550" s="3" t="s">
        <v>501</v>
      </c>
      <c r="C550" s="21" t="n">
        <f aca="false">IF(C506=0,1,C546/C506)</f>
        <v>1</v>
      </c>
    </row>
    <row r="551" customFormat="false" ht="15" hidden="false" customHeight="false" outlineLevel="0" collapsed="false">
      <c r="A551" s="23" t="s">
        <v>513</v>
      </c>
      <c r="B551" s="24"/>
      <c r="C551" s="24"/>
      <c r="D551" s="24"/>
      <c r="E551" s="24"/>
      <c r="F551" s="24"/>
      <c r="G551" s="24"/>
      <c r="H551" s="24"/>
      <c r="I551" s="24"/>
      <c r="J551" s="24"/>
      <c r="K551" s="24"/>
    </row>
    <row r="552" customFormat="false" ht="15" hidden="false" customHeight="false" outlineLevel="0" collapsed="false">
      <c r="A552" s="3" t="s">
        <v>499</v>
      </c>
      <c r="C552" s="25" t="n">
        <f aca="false">C504-C544</f>
        <v>531.366711200895</v>
      </c>
    </row>
    <row r="553" customFormat="false" ht="15" hidden="false" customHeight="false" outlineLevel="0" collapsed="false">
      <c r="A553" s="3" t="s">
        <v>500</v>
      </c>
      <c r="C553" s="25" t="n">
        <f aca="false">C505-C545</f>
        <v>0</v>
      </c>
    </row>
    <row r="554" customFormat="false" ht="15" hidden="false" customHeight="false" outlineLevel="0" collapsed="false">
      <c r="A554" s="3" t="s">
        <v>501</v>
      </c>
      <c r="C554" s="25" t="n">
        <f aca="false">C506-C546</f>
        <v>0</v>
      </c>
    </row>
    <row r="555" customFormat="false" ht="15" hidden="false" customHeight="false" outlineLevel="0" collapsed="false">
      <c r="A555" s="23" t="s">
        <v>514</v>
      </c>
      <c r="B555" s="24"/>
      <c r="C555" s="24"/>
      <c r="D555" s="24"/>
      <c r="E555" s="24"/>
      <c r="F555" s="24"/>
      <c r="G555" s="24"/>
      <c r="H555" s="24"/>
      <c r="I555" s="24"/>
      <c r="J555" s="24"/>
      <c r="K555" s="24"/>
    </row>
    <row r="556" customFormat="false" ht="15" hidden="false" customHeight="false" outlineLevel="0" collapsed="false">
      <c r="A556" s="3" t="s">
        <v>499</v>
      </c>
      <c r="C556" s="21" t="n">
        <f aca="false">IF(C504=0,0,C552/C504)</f>
        <v>0.393715992607905</v>
      </c>
    </row>
    <row r="557" customFormat="false" ht="15" hidden="false" customHeight="false" outlineLevel="0" collapsed="false">
      <c r="A557" s="3" t="s">
        <v>500</v>
      </c>
      <c r="C557" s="21" t="n">
        <f aca="false">IF(C505=0,0,C553/C505)</f>
        <v>0</v>
      </c>
    </row>
    <row r="558" customFormat="false" ht="15" hidden="false" customHeight="false" outlineLevel="0" collapsed="false">
      <c r="A558" s="3" t="s">
        <v>501</v>
      </c>
      <c r="C558" s="21" t="n">
        <f aca="false">IF(C506=0,0,C554/C506)</f>
        <v>0</v>
      </c>
    </row>
    <row r="559" customFormat="false" ht="15" hidden="false" customHeight="false" outlineLevel="0" collapsed="false">
      <c r="A559" s="2" t="s">
        <v>515</v>
      </c>
      <c r="C559" s="16" t="n">
        <f aca="false">MAX(0,$C$502-SUM($C$516:$C$518)-SUM($C$524:$C$526))</f>
        <v>0</v>
      </c>
    </row>
    <row r="560" customFormat="false" ht="15" hidden="false" customHeight="false" outlineLevel="0" collapsed="false">
      <c r="A560" s="3" t="s">
        <v>516</v>
      </c>
      <c r="C560" s="25" t="n">
        <f aca="false">SUM($C$544:$C$546)+C559+C501-C500</f>
        <v>0</v>
      </c>
    </row>
    <row r="562" customFormat="false" ht="15" hidden="false" customHeight="false" outlineLevel="0" collapsed="false">
      <c r="A562" s="23" t="s">
        <v>519</v>
      </c>
      <c r="B562" s="24"/>
      <c r="C562" s="24"/>
      <c r="D562" s="24"/>
      <c r="E562" s="24"/>
      <c r="F562" s="24"/>
      <c r="G562" s="24"/>
      <c r="H562" s="24"/>
      <c r="I562" s="24"/>
      <c r="J562" s="24"/>
      <c r="K562" s="24"/>
    </row>
    <row r="563" customFormat="false" ht="15" hidden="false" customHeight="false" outlineLevel="0" collapsed="false">
      <c r="A563" s="3" t="s">
        <v>520</v>
      </c>
      <c r="C563" s="27" t="n">
        <f aca="false">Assumptions!$C$33</f>
        <v>1</v>
      </c>
    </row>
    <row r="564" customFormat="false" ht="15" hidden="false" customHeight="false" outlineLevel="0" collapsed="false">
      <c r="A564" s="3" t="s">
        <v>521</v>
      </c>
      <c r="C564" s="29" t="n">
        <f aca="false">Assumptions!$C$34</f>
        <v>100</v>
      </c>
    </row>
    <row r="565" customFormat="false" ht="15" hidden="false" customHeight="false" outlineLevel="0" collapsed="false">
      <c r="A565" s="3" t="s">
        <v>522</v>
      </c>
      <c r="C565" s="40" t="n">
        <f aca="false">Assumptions!$C$35</f>
        <v>95</v>
      </c>
    </row>
    <row r="566" customFormat="false" ht="15" hidden="false" customHeight="false" outlineLevel="0" collapsed="false">
      <c r="A566" s="3" t="s">
        <v>523</v>
      </c>
      <c r="C566" s="25" t="n">
        <f aca="false">C564*C565/100*(1+Assumptions!$C$36)</f>
        <v>95</v>
      </c>
    </row>
    <row r="567" customFormat="false" ht="15" hidden="false" customHeight="false" outlineLevel="0" collapsed="false">
      <c r="A567" s="3" t="s">
        <v>524</v>
      </c>
      <c r="C567" s="27" t="n">
        <f aca="false">Assumptions!$C$37</f>
        <v>3</v>
      </c>
    </row>
    <row r="568" customFormat="false" ht="15" hidden="false" customHeight="false" outlineLevel="0" collapsed="false">
      <c r="A568" s="3" t="s">
        <v>525</v>
      </c>
      <c r="C568" s="20" t="n">
        <f aca="false">IF(C493=1,SUMPRODUCT($G$445:$K$445,$G$338:$K$338),0)</f>
        <v>0</v>
      </c>
    </row>
    <row r="569" customFormat="false" ht="15" hidden="false" customHeight="false" outlineLevel="0" collapsed="false">
      <c r="A569" s="3" t="s">
        <v>526</v>
      </c>
      <c r="C569" s="21" t="n">
        <f aca="false">IFERROR(C564/CHOOSE(C563,SUMPRODUCT($G$492:$K$492,$G$384:$K$384),SUMPRODUCT($G$492:$K$492,$G$397:$K$397),SUMPRODUCT($G$492:$K$492,$G$410:$K$410)),0)</f>
        <v>0.0760399605200525</v>
      </c>
    </row>
    <row r="570" customFormat="false" ht="15" hidden="false" customHeight="false" outlineLevel="0" collapsed="false">
      <c r="A570" s="3" t="s">
        <v>527</v>
      </c>
      <c r="C570" s="25" t="n">
        <f aca="false">CHOOSE(C563,C544,C545,C546)*C569</f>
        <v>62.2198962586138</v>
      </c>
    </row>
    <row r="571" customFormat="false" ht="15" hidden="false" customHeight="false" outlineLevel="0" collapsed="false">
      <c r="A571" s="3" t="s">
        <v>528</v>
      </c>
      <c r="C571" s="21" t="n">
        <f aca="false">CHOOSE(C563,C548,C549,C550)</f>
        <v>0.606284007392095</v>
      </c>
    </row>
    <row r="572" customFormat="false" ht="15" hidden="false" customHeight="false" outlineLevel="0" collapsed="false">
      <c r="A572" s="3" t="s">
        <v>529</v>
      </c>
      <c r="C572" s="20" t="n">
        <f aca="false">IF(C493=1,C568,C567)</f>
        <v>3</v>
      </c>
    </row>
    <row r="573" customFormat="false" ht="15" hidden="false" customHeight="false" outlineLevel="0" collapsed="false">
      <c r="A573" s="3" t="s">
        <v>530</v>
      </c>
      <c r="C573" s="34" t="n">
        <f aca="false">CHOOSE($C$330,Assumptions!$C$83,Assumptions!$C$102,Assumptions!$C$121)</f>
        <v>95</v>
      </c>
    </row>
    <row r="574" customFormat="false" ht="15" hidden="false" customHeight="false" outlineLevel="0" collapsed="false">
      <c r="A574" s="3" t="s">
        <v>531</v>
      </c>
      <c r="C574" s="25" t="n">
        <f aca="false">INDEX($G$347:$K$347,C567)*CHOOSE($C$330,Assumptions!$C$82,Assumptions!$C$101,Assumptions!$C$120)+MAX(0,INDEX($G$442:$K$442,C567))</f>
        <v>1068.84800987949</v>
      </c>
    </row>
    <row r="575" customFormat="false" ht="15" hidden="false" customHeight="false" outlineLevel="0" collapsed="false">
      <c r="A575" s="23" t="s">
        <v>532</v>
      </c>
      <c r="B575" s="24"/>
      <c r="C575" s="24"/>
      <c r="D575" s="24"/>
      <c r="E575" s="24"/>
      <c r="F575" s="24"/>
      <c r="G575" s="24"/>
      <c r="H575" s="24"/>
      <c r="I575" s="24"/>
      <c r="J575" s="24"/>
      <c r="K575" s="24"/>
    </row>
    <row r="576" customFormat="false" ht="15" hidden="false" customHeight="false" outlineLevel="0" collapsed="false">
      <c r="A576" s="3" t="s">
        <v>499</v>
      </c>
      <c r="C576" s="25" t="n">
        <f aca="false">INDEX($G$384:$K$384,C567)</f>
        <v>1315.098</v>
      </c>
    </row>
    <row r="577" customFormat="false" ht="15" hidden="false" customHeight="false" outlineLevel="0" collapsed="false">
      <c r="A577" s="3" t="s">
        <v>500</v>
      </c>
      <c r="C577" s="25" t="n">
        <f aca="false">INDEX($G$397:$K$397,C567)</f>
        <v>0</v>
      </c>
    </row>
    <row r="578" customFormat="false" ht="15" hidden="false" customHeight="false" outlineLevel="0" collapsed="false">
      <c r="A578" s="3" t="s">
        <v>501</v>
      </c>
      <c r="C578" s="25" t="n">
        <f aca="false">INDEX($G$410:$K$410,C567)</f>
        <v>0</v>
      </c>
    </row>
    <row r="579" customFormat="false" ht="15" hidden="false" customHeight="false" outlineLevel="0" collapsed="false">
      <c r="A579" s="23" t="s">
        <v>502</v>
      </c>
      <c r="B579" s="24"/>
      <c r="C579" s="24"/>
      <c r="D579" s="24"/>
      <c r="E579" s="24"/>
      <c r="F579" s="24"/>
      <c r="G579" s="24"/>
      <c r="H579" s="24"/>
      <c r="I579" s="24"/>
      <c r="J579" s="24"/>
      <c r="K579" s="24"/>
    </row>
    <row r="580" customFormat="false" ht="15" hidden="false" customHeight="false" outlineLevel="0" collapsed="false">
      <c r="A580" s="3" t="s">
        <v>499</v>
      </c>
      <c r="C580" s="27" t="n">
        <f aca="false">Assumptions!$M$56</f>
        <v>1</v>
      </c>
    </row>
    <row r="581" customFormat="false" ht="15" hidden="false" customHeight="false" outlineLevel="0" collapsed="false">
      <c r="A581" s="3" t="s">
        <v>500</v>
      </c>
      <c r="C581" s="27" t="n">
        <f aca="false">Assumptions!$M$57</f>
        <v>2</v>
      </c>
    </row>
    <row r="582" customFormat="false" ht="15" hidden="false" customHeight="false" outlineLevel="0" collapsed="false">
      <c r="A582" s="3" t="s">
        <v>501</v>
      </c>
      <c r="C582" s="27" t="n">
        <f aca="false">Assumptions!$M$58</f>
        <v>2</v>
      </c>
    </row>
    <row r="583" customFormat="false" ht="15" hidden="false" customHeight="false" outlineLevel="0" collapsed="false">
      <c r="A583" s="23" t="s">
        <v>503</v>
      </c>
      <c r="B583" s="24"/>
      <c r="C583" s="24"/>
      <c r="D583" s="24"/>
      <c r="E583" s="24"/>
      <c r="F583" s="24"/>
      <c r="G583" s="24"/>
      <c r="H583" s="24"/>
      <c r="I583" s="24"/>
      <c r="J583" s="24"/>
      <c r="K583" s="24"/>
    </row>
    <row r="584" customFormat="false" ht="15" hidden="false" customHeight="false" outlineLevel="0" collapsed="false">
      <c r="A584" s="3" t="s">
        <v>499</v>
      </c>
      <c r="C584" s="35" t="n">
        <f aca="false">Assumptions!$Q$56</f>
        <v>0</v>
      </c>
    </row>
    <row r="585" customFormat="false" ht="15" hidden="false" customHeight="false" outlineLevel="0" collapsed="false">
      <c r="A585" s="3" t="s">
        <v>500</v>
      </c>
      <c r="C585" s="35" t="n">
        <f aca="false">Assumptions!$Q$57</f>
        <v>0</v>
      </c>
    </row>
    <row r="586" customFormat="false" ht="15" hidden="false" customHeight="false" outlineLevel="0" collapsed="false">
      <c r="A586" s="3" t="s">
        <v>501</v>
      </c>
      <c r="C586" s="35" t="n">
        <f aca="false">Assumptions!$Q$58</f>
        <v>0</v>
      </c>
    </row>
    <row r="587" customFormat="false" ht="15" hidden="false" customHeight="false" outlineLevel="0" collapsed="false">
      <c r="A587" s="23" t="s">
        <v>504</v>
      </c>
      <c r="B587" s="24"/>
      <c r="C587" s="24"/>
      <c r="D587" s="24"/>
      <c r="E587" s="24"/>
      <c r="F587" s="24"/>
      <c r="G587" s="24"/>
      <c r="H587" s="24"/>
      <c r="I587" s="24"/>
      <c r="J587" s="24"/>
      <c r="K587" s="24"/>
    </row>
    <row r="588" customFormat="false" ht="15" hidden="false" customHeight="false" outlineLevel="0" collapsed="false">
      <c r="A588" s="3" t="s">
        <v>499</v>
      </c>
      <c r="C588" s="25" t="n">
        <f aca="false">IF(C584&gt;0,MIN(C576,C584*$C$574),0)</f>
        <v>0</v>
      </c>
    </row>
    <row r="589" customFormat="false" ht="15" hidden="false" customHeight="false" outlineLevel="0" collapsed="false">
      <c r="A589" s="3" t="s">
        <v>500</v>
      </c>
      <c r="C589" s="25" t="n">
        <f aca="false">IF(C585&gt;0,MIN(C577,C585*$C$574),0)</f>
        <v>0</v>
      </c>
    </row>
    <row r="590" customFormat="false" ht="15" hidden="false" customHeight="false" outlineLevel="0" collapsed="false">
      <c r="A590" s="3" t="s">
        <v>501</v>
      </c>
      <c r="C590" s="25" t="n">
        <f aca="false">IF(C586&gt;0,MIN(C578,C586*$C$574),0)</f>
        <v>0</v>
      </c>
    </row>
    <row r="591" customFormat="false" ht="15" hidden="false" customHeight="false" outlineLevel="0" collapsed="false">
      <c r="A591" s="23" t="s">
        <v>505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</row>
    <row r="592" customFormat="false" ht="15" hidden="false" customHeight="false" outlineLevel="0" collapsed="false">
      <c r="A592" s="3" t="s">
        <v>499</v>
      </c>
      <c r="C592" s="25" t="n">
        <f aca="false">IF(C584&gt;0,C576-C588,0)</f>
        <v>0</v>
      </c>
    </row>
    <row r="593" customFormat="false" ht="15" hidden="false" customHeight="false" outlineLevel="0" collapsed="false">
      <c r="A593" s="3" t="s">
        <v>500</v>
      </c>
      <c r="C593" s="25" t="n">
        <f aca="false">IF(C585&gt;0,C577-C589,0)</f>
        <v>0</v>
      </c>
    </row>
    <row r="594" customFormat="false" ht="15" hidden="false" customHeight="false" outlineLevel="0" collapsed="false">
      <c r="A594" s="3" t="s">
        <v>501</v>
      </c>
      <c r="C594" s="25" t="n">
        <f aca="false">IF(C586&gt;0,C578-C590,0)</f>
        <v>0</v>
      </c>
    </row>
    <row r="595" customFormat="false" ht="15" hidden="false" customHeight="false" outlineLevel="0" collapsed="false">
      <c r="A595" s="23" t="s">
        <v>506</v>
      </c>
      <c r="B595" s="24"/>
      <c r="C595" s="24"/>
      <c r="D595" s="24"/>
      <c r="E595" s="24"/>
      <c r="F595" s="24"/>
      <c r="G595" s="24"/>
      <c r="H595" s="24"/>
      <c r="I595" s="24"/>
      <c r="J595" s="24"/>
      <c r="K595" s="24"/>
    </row>
    <row r="596" customFormat="false" ht="15" hidden="false" customHeight="false" outlineLevel="0" collapsed="false">
      <c r="A596" s="3" t="s">
        <v>499</v>
      </c>
      <c r="C596" s="25" t="n">
        <f aca="false">IF(C584&gt;0,C592,C576)</f>
        <v>1315.098</v>
      </c>
    </row>
    <row r="597" customFormat="false" ht="15" hidden="false" customHeight="false" outlineLevel="0" collapsed="false">
      <c r="A597" s="3" t="s">
        <v>500</v>
      </c>
      <c r="C597" s="25" t="n">
        <f aca="false">IF(C585&gt;0,C593,C577)</f>
        <v>0</v>
      </c>
    </row>
    <row r="598" customFormat="false" ht="15" hidden="false" customHeight="false" outlineLevel="0" collapsed="false">
      <c r="A598" s="3" t="s">
        <v>501</v>
      </c>
      <c r="C598" s="25" t="n">
        <f aca="false">IF(C586&gt;0,C594,C578)</f>
        <v>0</v>
      </c>
    </row>
    <row r="599" customFormat="false" ht="15" hidden="false" customHeight="false" outlineLevel="0" collapsed="false">
      <c r="A599" s="23" t="s">
        <v>507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</row>
    <row r="600" customFormat="false" ht="15" hidden="false" customHeight="false" outlineLevel="0" collapsed="false">
      <c r="A600" s="3" t="s">
        <v>499</v>
      </c>
      <c r="C600" s="20" t="n">
        <f aca="false">IF(C584&gt;0,Assumptions!$C$17,C580)</f>
        <v>1</v>
      </c>
    </row>
    <row r="601" customFormat="false" ht="15" hidden="false" customHeight="false" outlineLevel="0" collapsed="false">
      <c r="A601" s="3" t="s">
        <v>500</v>
      </c>
      <c r="C601" s="20" t="n">
        <f aca="false">IF(C585&gt;0,Assumptions!$C$17,C581)</f>
        <v>2</v>
      </c>
    </row>
    <row r="602" customFormat="false" ht="15" hidden="false" customHeight="false" outlineLevel="0" collapsed="false">
      <c r="A602" s="3" t="s">
        <v>501</v>
      </c>
      <c r="C602" s="20" t="n">
        <f aca="false">IF(C586&gt;0,Assumptions!$C$17,C582)</f>
        <v>2</v>
      </c>
    </row>
    <row r="603" customFormat="false" ht="15" hidden="false" customHeight="false" outlineLevel="0" collapsed="false">
      <c r="A603" s="23" t="s">
        <v>508</v>
      </c>
      <c r="B603" s="24"/>
      <c r="C603" s="24"/>
      <c r="D603" s="24"/>
      <c r="E603" s="24"/>
      <c r="F603" s="24"/>
      <c r="G603" s="24"/>
      <c r="H603" s="24"/>
      <c r="I603" s="24"/>
      <c r="J603" s="24"/>
      <c r="K603" s="24"/>
    </row>
    <row r="604" customFormat="false" ht="15" hidden="false" customHeight="false" outlineLevel="0" collapsed="false">
      <c r="A604" s="3" t="s">
        <v>499</v>
      </c>
      <c r="C604" s="25" t="n">
        <f aca="false">SUMPRODUCT(($C$600:$C$602&lt;C600)*$C$596:$C$598)</f>
        <v>0</v>
      </c>
    </row>
    <row r="605" customFormat="false" ht="15" hidden="false" customHeight="false" outlineLevel="0" collapsed="false">
      <c r="A605" s="3" t="s">
        <v>500</v>
      </c>
      <c r="C605" s="25" t="n">
        <f aca="false">SUMPRODUCT(($C$600:$C$602&lt;C601)*$C$596:$C$598)</f>
        <v>1315.098</v>
      </c>
    </row>
    <row r="606" customFormat="false" ht="15" hidden="false" customHeight="false" outlineLevel="0" collapsed="false">
      <c r="A606" s="3" t="s">
        <v>501</v>
      </c>
      <c r="C606" s="25" t="n">
        <f aca="false">SUMPRODUCT(($C$600:$C$602&lt;C602)*$C$596:$C$598)</f>
        <v>1315.098</v>
      </c>
    </row>
    <row r="607" customFormat="false" ht="15" hidden="false" customHeight="false" outlineLevel="0" collapsed="false">
      <c r="A607" s="23" t="s">
        <v>509</v>
      </c>
      <c r="B607" s="24"/>
      <c r="C607" s="24"/>
      <c r="D607" s="24"/>
      <c r="E607" s="24"/>
      <c r="F607" s="24"/>
      <c r="G607" s="24"/>
      <c r="H607" s="24"/>
      <c r="I607" s="24"/>
      <c r="J607" s="24"/>
      <c r="K607" s="24"/>
    </row>
    <row r="608" customFormat="false" ht="15" hidden="false" customHeight="false" outlineLevel="0" collapsed="false">
      <c r="A608" s="3" t="s">
        <v>499</v>
      </c>
      <c r="C608" s="25" t="n">
        <f aca="false">SUMPRODUCT(($C$600:$C$602=C600)*$C$596:$C$598)</f>
        <v>1315.098</v>
      </c>
    </row>
    <row r="609" customFormat="false" ht="15" hidden="false" customHeight="false" outlineLevel="0" collapsed="false">
      <c r="A609" s="3" t="s">
        <v>500</v>
      </c>
      <c r="C609" s="25" t="n">
        <f aca="false">SUMPRODUCT(($C$600:$C$602=C601)*$C$596:$C$598)</f>
        <v>0</v>
      </c>
    </row>
    <row r="610" customFormat="false" ht="15" hidden="false" customHeight="false" outlineLevel="0" collapsed="false">
      <c r="A610" s="3" t="s">
        <v>501</v>
      </c>
      <c r="C610" s="25" t="n">
        <f aca="false">SUMPRODUCT(($C$600:$C$602=C602)*$C$596:$C$598)</f>
        <v>0</v>
      </c>
    </row>
    <row r="611" customFormat="false" ht="15" hidden="false" customHeight="false" outlineLevel="0" collapsed="false">
      <c r="A611" s="23" t="s">
        <v>510</v>
      </c>
      <c r="B611" s="24"/>
      <c r="C611" s="24"/>
      <c r="D611" s="24"/>
      <c r="E611" s="24"/>
      <c r="F611" s="24"/>
      <c r="G611" s="24"/>
      <c r="H611" s="24"/>
      <c r="I611" s="24"/>
      <c r="J611" s="24"/>
      <c r="K611" s="24"/>
    </row>
    <row r="612" customFormat="false" ht="15" hidden="false" customHeight="false" outlineLevel="0" collapsed="false">
      <c r="A612" s="3" t="s">
        <v>499</v>
      </c>
      <c r="C612" s="25" t="n">
        <f aca="false">IF(C608=0,0,C596/C608*MAX(0,MIN(C608,$C$574-SUM($C$588:$C$590)-C604)))</f>
        <v>1068.84800987949</v>
      </c>
    </row>
    <row r="613" customFormat="false" ht="15" hidden="false" customHeight="false" outlineLevel="0" collapsed="false">
      <c r="A613" s="3" t="s">
        <v>500</v>
      </c>
      <c r="C613" s="25" t="n">
        <f aca="false">IF(C609=0,0,C597/C609*MAX(0,MIN(C609,$C$574-SUM($C$588:$C$590)-C605)))</f>
        <v>0</v>
      </c>
    </row>
    <row r="614" customFormat="false" ht="15" hidden="false" customHeight="false" outlineLevel="0" collapsed="false">
      <c r="A614" s="3" t="s">
        <v>501</v>
      </c>
      <c r="C614" s="25" t="n">
        <f aca="false">IF(C610=0,0,C598/C610*MAX(0,MIN(C610,$C$574-SUM($C$588:$C$590)-C606)))</f>
        <v>0</v>
      </c>
    </row>
    <row r="615" customFormat="false" ht="15" hidden="false" customHeight="false" outlineLevel="0" collapsed="false">
      <c r="A615" s="23" t="s">
        <v>511</v>
      </c>
      <c r="B615" s="24"/>
      <c r="C615" s="24"/>
      <c r="D615" s="24"/>
      <c r="E615" s="24"/>
      <c r="F615" s="24"/>
      <c r="G615" s="24"/>
      <c r="H615" s="24"/>
      <c r="I615" s="24"/>
      <c r="J615" s="24"/>
      <c r="K615" s="24"/>
    </row>
    <row r="616" customFormat="false" ht="15" hidden="false" customHeight="false" outlineLevel="0" collapsed="false">
      <c r="A616" s="2" t="s">
        <v>499</v>
      </c>
      <c r="C616" s="16" t="n">
        <f aca="false">C588+C612</f>
        <v>1068.84800987949</v>
      </c>
    </row>
    <row r="617" customFormat="false" ht="15" hidden="false" customHeight="false" outlineLevel="0" collapsed="false">
      <c r="A617" s="2" t="s">
        <v>500</v>
      </c>
      <c r="C617" s="16" t="n">
        <f aca="false">C589+C613</f>
        <v>0</v>
      </c>
    </row>
    <row r="618" customFormat="false" ht="15" hidden="false" customHeight="false" outlineLevel="0" collapsed="false">
      <c r="A618" s="2" t="s">
        <v>501</v>
      </c>
      <c r="C618" s="16" t="n">
        <f aca="false">C590+C614</f>
        <v>0</v>
      </c>
    </row>
    <row r="619" customFormat="false" ht="15" hidden="false" customHeight="false" outlineLevel="0" collapsed="false">
      <c r="A619" s="23" t="s">
        <v>512</v>
      </c>
      <c r="B619" s="24"/>
      <c r="C619" s="24"/>
      <c r="D619" s="24"/>
      <c r="E619" s="24"/>
      <c r="F619" s="24"/>
      <c r="G619" s="24"/>
      <c r="H619" s="24"/>
      <c r="I619" s="24"/>
      <c r="J619" s="24"/>
      <c r="K619" s="24"/>
    </row>
    <row r="620" customFormat="false" ht="15" hidden="false" customHeight="false" outlineLevel="0" collapsed="false">
      <c r="A620" s="3" t="s">
        <v>499</v>
      </c>
      <c r="C620" s="21" t="n">
        <f aca="false">IF(C576=0,1,C616/C576)</f>
        <v>0.812751604731729</v>
      </c>
    </row>
    <row r="621" customFormat="false" ht="15" hidden="false" customHeight="false" outlineLevel="0" collapsed="false">
      <c r="A621" s="3" t="s">
        <v>500</v>
      </c>
      <c r="C621" s="21" t="n">
        <f aca="false">IF(C577=0,1,C617/C577)</f>
        <v>1</v>
      </c>
    </row>
    <row r="622" customFormat="false" ht="15" hidden="false" customHeight="false" outlineLevel="0" collapsed="false">
      <c r="A622" s="3" t="s">
        <v>501</v>
      </c>
      <c r="C622" s="21" t="n">
        <f aca="false">IF(C578=0,1,C618/C578)</f>
        <v>1</v>
      </c>
    </row>
    <row r="623" customFormat="false" ht="15" hidden="false" customHeight="false" outlineLevel="0" collapsed="false">
      <c r="A623" s="23" t="s">
        <v>513</v>
      </c>
      <c r="B623" s="24"/>
      <c r="C623" s="24"/>
      <c r="D623" s="24"/>
      <c r="E623" s="24"/>
      <c r="F623" s="24"/>
      <c r="G623" s="24"/>
      <c r="H623" s="24"/>
      <c r="I623" s="24"/>
      <c r="J623" s="24"/>
      <c r="K623" s="24"/>
    </row>
    <row r="624" customFormat="false" ht="15" hidden="false" customHeight="false" outlineLevel="0" collapsed="false">
      <c r="A624" s="3" t="s">
        <v>499</v>
      </c>
      <c r="C624" s="25" t="n">
        <f aca="false">C576-C616</f>
        <v>246.249990120512</v>
      </c>
    </row>
    <row r="625" customFormat="false" ht="15" hidden="false" customHeight="false" outlineLevel="0" collapsed="false">
      <c r="A625" s="3" t="s">
        <v>500</v>
      </c>
      <c r="C625" s="25" t="n">
        <f aca="false">C577-C617</f>
        <v>0</v>
      </c>
    </row>
    <row r="626" customFormat="false" ht="15" hidden="false" customHeight="false" outlineLevel="0" collapsed="false">
      <c r="A626" s="3" t="s">
        <v>501</v>
      </c>
      <c r="C626" s="25" t="n">
        <f aca="false">C578-C618</f>
        <v>0</v>
      </c>
    </row>
    <row r="627" customFormat="false" ht="15" hidden="false" customHeight="false" outlineLevel="0" collapsed="false">
      <c r="A627" s="23" t="s">
        <v>514</v>
      </c>
      <c r="B627" s="24"/>
      <c r="C627" s="24"/>
      <c r="D627" s="24"/>
      <c r="E627" s="24"/>
      <c r="F627" s="24"/>
      <c r="G627" s="24"/>
      <c r="H627" s="24"/>
      <c r="I627" s="24"/>
      <c r="J627" s="24"/>
      <c r="K627" s="24"/>
    </row>
    <row r="628" customFormat="false" ht="15" hidden="false" customHeight="false" outlineLevel="0" collapsed="false">
      <c r="A628" s="3" t="s">
        <v>499</v>
      </c>
      <c r="C628" s="21" t="n">
        <f aca="false">IF(C576=0,0,C624/C576)</f>
        <v>0.187248395268271</v>
      </c>
    </row>
    <row r="629" customFormat="false" ht="15" hidden="false" customHeight="false" outlineLevel="0" collapsed="false">
      <c r="A629" s="3" t="s">
        <v>500</v>
      </c>
      <c r="C629" s="21" t="n">
        <f aca="false">IF(C577=0,0,C625/C577)</f>
        <v>0</v>
      </c>
    </row>
    <row r="630" customFormat="false" ht="15" hidden="false" customHeight="false" outlineLevel="0" collapsed="false">
      <c r="A630" s="3" t="s">
        <v>501</v>
      </c>
      <c r="C630" s="21" t="n">
        <f aca="false">IF(C578=0,0,C626/C578)</f>
        <v>0</v>
      </c>
    </row>
    <row r="631" customFormat="false" ht="15" hidden="false" customHeight="false" outlineLevel="0" collapsed="false">
      <c r="A631" s="2" t="s">
        <v>515</v>
      </c>
      <c r="C631" s="16" t="n">
        <f aca="false">MAX(0,$C$574-SUM($C$588:$C$590)-SUM($C$596:$C$598))</f>
        <v>0</v>
      </c>
    </row>
    <row r="632" customFormat="false" ht="15" hidden="false" customHeight="false" outlineLevel="0" collapsed="false">
      <c r="A632" s="3" t="s">
        <v>533</v>
      </c>
      <c r="C632" s="34" t="n">
        <f aca="false">MIN(C573,100*CHOOSE(C563,C620,C621,C622))</f>
        <v>81.2751604731729</v>
      </c>
    </row>
    <row r="633" customFormat="false" ht="15" hidden="false" customHeight="false" outlineLevel="0" collapsed="false">
      <c r="A633" s="3" t="s">
        <v>534</v>
      </c>
      <c r="C633" s="20" t="n">
        <f aca="false">IF(C493=1,C568+Assumptions!$C$39,C567)</f>
        <v>3</v>
      </c>
    </row>
    <row r="634" customFormat="false" ht="15" hidden="false" customHeight="false" outlineLevel="0" collapsed="false">
      <c r="A634" s="23" t="s">
        <v>535</v>
      </c>
      <c r="B634" s="24"/>
      <c r="C634" s="24"/>
      <c r="D634" s="24"/>
      <c r="E634" s="24"/>
      <c r="F634" s="24"/>
      <c r="G634" s="24"/>
      <c r="H634" s="24"/>
      <c r="I634" s="24"/>
      <c r="J634" s="24"/>
      <c r="K634" s="24"/>
    </row>
    <row r="635" customFormat="false" ht="15" hidden="false" customHeight="false" outlineLevel="0" collapsed="false">
      <c r="A635" s="3" t="s">
        <v>536</v>
      </c>
      <c r="C635" s="20" t="n">
        <f aca="false">COLUMN()-COLUMN($C$1)</f>
        <v>0</v>
      </c>
      <c r="D635" s="20" t="n">
        <f aca="false">COLUMN()-COLUMN($C$1)</f>
        <v>1</v>
      </c>
      <c r="E635" s="20" t="n">
        <f aca="false">COLUMN()-COLUMN($C$1)</f>
        <v>2</v>
      </c>
      <c r="F635" s="20" t="n">
        <f aca="false">COLUMN()-COLUMN($C$1)</f>
        <v>3</v>
      </c>
      <c r="G635" s="20" t="n">
        <f aca="false">COLUMN()-COLUMN($C$1)</f>
        <v>4</v>
      </c>
      <c r="H635" s="20" t="n">
        <f aca="false">COLUMN()-COLUMN($C$1)</f>
        <v>5</v>
      </c>
      <c r="I635" s="20" t="n">
        <f aca="false">COLUMN()-COLUMN($C$1)</f>
        <v>6</v>
      </c>
    </row>
    <row r="636" customFormat="false" ht="15" hidden="false" customHeight="false" outlineLevel="0" collapsed="false">
      <c r="A636" s="3" t="s">
        <v>537</v>
      </c>
      <c r="D636" s="31" t="n">
        <f aca="false">CHOOSE($C$563,G376,G389,G402)</f>
        <v>0.105</v>
      </c>
      <c r="E636" s="31" t="n">
        <f aca="false">CHOOSE($C$563,H376,H389,H402)</f>
        <v>0.105</v>
      </c>
      <c r="F636" s="31" t="n">
        <f aca="false">CHOOSE($C$563,I376,I389,I402)</f>
        <v>0.105</v>
      </c>
      <c r="G636" s="31" t="n">
        <f aca="false">CHOOSE($C$563,J376,J389,J402)</f>
        <v>0.105</v>
      </c>
      <c r="H636" s="31" t="n">
        <f aca="false">CHOOSE($C$563,K376,K389,K402)</f>
        <v>0.105</v>
      </c>
    </row>
    <row r="637" customFormat="false" ht="15" hidden="false" customHeight="false" outlineLevel="0" collapsed="false">
      <c r="A637" s="3" t="s">
        <v>538</v>
      </c>
      <c r="D637" s="25" t="n">
        <f aca="false">IF(D635&lt;=$C$572,$C$564*D636,0)</f>
        <v>10.5</v>
      </c>
      <c r="E637" s="25" t="n">
        <f aca="false">IF(E635&lt;=$C$572,$C$564*E636,0)</f>
        <v>10.5</v>
      </c>
      <c r="F637" s="25" t="n">
        <f aca="false">IF(F635&lt;=$C$572,$C$564*F636,0)</f>
        <v>10.5</v>
      </c>
      <c r="G637" s="25" t="n">
        <f aca="false">IF(G635&lt;=$C$572,$C$564*G636,0)</f>
        <v>0</v>
      </c>
      <c r="H637" s="25" t="n">
        <f aca="false">IF(H635&lt;=$C$572,$C$564*H636,0)</f>
        <v>0</v>
      </c>
    </row>
    <row r="638" customFormat="false" ht="15" hidden="false" customHeight="false" outlineLevel="0" collapsed="false">
      <c r="A638" s="3" t="s">
        <v>539</v>
      </c>
      <c r="D638" s="25" t="n">
        <f aca="false">IF(AND($C$493=0,D635=$C$567),$C$564*$C$632/100,0)+IF(AND($C$493=1,D635=$C$633),$C$570,0)</f>
        <v>0</v>
      </c>
      <c r="E638" s="25" t="n">
        <f aca="false">IF(AND($C$493=0,E635=$C$567),$C$564*$C$632/100,0)+IF(AND($C$493=1,E635=$C$633),$C$570,0)</f>
        <v>0</v>
      </c>
      <c r="F638" s="25" t="n">
        <f aca="false">IF(AND($C$493=0,F635=$C$567),$C$564*$C$632/100,0)+IF(AND($C$493=1,F635=$C$633),$C$570,0)</f>
        <v>81.2751604731729</v>
      </c>
      <c r="G638" s="25" t="n">
        <f aca="false">IF(AND($C$493=0,G635=$C$567),$C$564*$C$632/100,0)+IF(AND($C$493=1,G635=$C$633),$C$570,0)</f>
        <v>0</v>
      </c>
      <c r="H638" s="25" t="n">
        <f aca="false">IF(AND($C$493=0,H635=$C$567),$C$564*$C$632/100,0)+IF(AND($C$493=1,H635=$C$633),$C$570,0)</f>
        <v>0</v>
      </c>
      <c r="I638" s="25" t="n">
        <f aca="false">IF(AND($C$493=0,I635=$C$567),$C$564*$C$632/100,0)+IF(AND($C$493=1,I635=$C$633),$C$570,0)</f>
        <v>0</v>
      </c>
    </row>
    <row r="639" customFormat="false" ht="15" hidden="false" customHeight="false" outlineLevel="0" collapsed="false">
      <c r="A639" s="2" t="s">
        <v>540</v>
      </c>
      <c r="C639" s="16" t="n">
        <f aca="false">-$C$566</f>
        <v>-95</v>
      </c>
      <c r="D639" s="16" t="n">
        <f aca="false">D637+D638</f>
        <v>10.5</v>
      </c>
      <c r="E639" s="16" t="n">
        <f aca="false">E637+E638</f>
        <v>10.5</v>
      </c>
      <c r="F639" s="16" t="n">
        <f aca="false">F637+F638</f>
        <v>91.7751604731729</v>
      </c>
      <c r="G639" s="16" t="n">
        <f aca="false">G637+G638</f>
        <v>0</v>
      </c>
      <c r="H639" s="16" t="n">
        <f aca="false">H637+H638</f>
        <v>0</v>
      </c>
      <c r="I639" s="16" t="n">
        <f aca="false">I637+I638</f>
        <v>0</v>
      </c>
    </row>
    <row r="640" customFormat="false" ht="15" hidden="false" customHeight="false" outlineLevel="0" collapsed="false">
      <c r="A640" s="3" t="s">
        <v>541</v>
      </c>
      <c r="C640" s="25" t="n">
        <f aca="false">SUM($C$637:$I$637)</f>
        <v>31.5</v>
      </c>
    </row>
    <row r="641" customFormat="false" ht="15" hidden="false" customHeight="false" outlineLevel="0" collapsed="false">
      <c r="A641" s="3" t="s">
        <v>542</v>
      </c>
      <c r="C641" s="25" t="n">
        <f aca="false">SUM($C$638:$I$638)</f>
        <v>81.2751604731729</v>
      </c>
    </row>
    <row r="642" customFormat="false" ht="15" hidden="false" customHeight="false" outlineLevel="0" collapsed="false">
      <c r="A642" s="3" t="s">
        <v>543</v>
      </c>
      <c r="C642" s="25" t="n">
        <f aca="false">C640+C641</f>
        <v>112.775160473173</v>
      </c>
    </row>
    <row r="643" customFormat="false" ht="15" hidden="false" customHeight="false" outlineLevel="0" collapsed="false">
      <c r="A643" s="3" t="s">
        <v>544</v>
      </c>
      <c r="C643" s="25" t="n">
        <f aca="false">C641-C564*C565/100</f>
        <v>-13.7248395268271</v>
      </c>
    </row>
    <row r="644" customFormat="false" ht="15" hidden="false" customHeight="false" outlineLevel="0" collapsed="false">
      <c r="A644" s="3" t="s">
        <v>545</v>
      </c>
      <c r="C644" s="25" t="n">
        <f aca="false">C642-C566</f>
        <v>17.7751604731729</v>
      </c>
    </row>
    <row r="645" customFormat="false" ht="15" hidden="false" customHeight="false" outlineLevel="0" collapsed="false">
      <c r="A645" s="2" t="s">
        <v>427</v>
      </c>
      <c r="C645" s="44" t="n">
        <f aca="false">C642/C566</f>
        <v>1.18710695234919</v>
      </c>
    </row>
    <row r="646" customFormat="false" ht="15" hidden="false" customHeight="false" outlineLevel="0" collapsed="false">
      <c r="A646" s="2" t="s">
        <v>426</v>
      </c>
      <c r="C646" s="42" t="n">
        <f aca="false">IF(C642&lt;=0,-1,IFERROR(IRR($C$639:$I$639,MAX(-0.9,C645^(1/C633)-1)),IRR($C$639:$I$639,0.1)))</f>
        <v>0.0653848807562152</v>
      </c>
    </row>
    <row r="647" customFormat="false" ht="15" hidden="false" customHeight="false" outlineLevel="0" collapsed="false">
      <c r="A647" s="3" t="s">
        <v>546</v>
      </c>
      <c r="C647" s="32" t="n">
        <f aca="false">MAX($G$453:$K$453)</f>
        <v>7.33831226622703</v>
      </c>
    </row>
    <row r="648" customFormat="false" ht="15" hidden="false" customHeight="false" outlineLevel="0" collapsed="false">
      <c r="A648" s="3" t="s">
        <v>547</v>
      </c>
      <c r="C648" s="32" t="n">
        <f aca="false">MIN($G$454:$K$454)</f>
        <v>1.18070192905498</v>
      </c>
    </row>
    <row r="649" customFormat="false" ht="15" hidden="false" customHeight="false" outlineLevel="0" collapsed="false">
      <c r="A649" s="3" t="s">
        <v>548</v>
      </c>
      <c r="C649" s="25" t="n">
        <f aca="false">SUM($G$360:$K$360)</f>
        <v>75.1374128562126</v>
      </c>
    </row>
    <row r="653" customFormat="false" ht="15" hidden="false" customHeight="false" outlineLevel="0" collapsed="false">
      <c r="A653" s="9" t="s">
        <v>1016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customFormat="false" ht="15" hidden="false" customHeight="false" outlineLevel="0" collapsed="false">
      <c r="A654" s="3" t="s">
        <v>1010</v>
      </c>
      <c r="C654" s="11" t="n">
        <v>3</v>
      </c>
    </row>
    <row r="655" customFormat="false" ht="15" hidden="false" customHeight="false" outlineLevel="0" collapsed="false">
      <c r="A655" s="3" t="s">
        <v>1011</v>
      </c>
      <c r="C655" s="18" t="n">
        <v>0</v>
      </c>
    </row>
    <row r="656" customFormat="false" ht="15" hidden="false" customHeight="false" outlineLevel="0" collapsed="false">
      <c r="A656" s="3" t="s">
        <v>1012</v>
      </c>
      <c r="C656" s="18" t="n">
        <v>0</v>
      </c>
    </row>
    <row r="657" customFormat="false" ht="15" hidden="false" customHeight="false" outlineLevel="0" collapsed="false">
      <c r="A657" s="3" t="s">
        <v>1013</v>
      </c>
      <c r="C657" s="18" t="n">
        <v>0</v>
      </c>
    </row>
    <row r="658" customFormat="false" ht="15" hidden="false" customHeight="false" outlineLevel="0" collapsed="false">
      <c r="A658" s="3" t="s">
        <v>1014</v>
      </c>
      <c r="C658" s="15" t="n">
        <v>0</v>
      </c>
    </row>
    <row r="660" customFormat="false" ht="15" hidden="false" customHeight="false" outlineLevel="0" collapsed="false">
      <c r="A660" s="23" t="s">
        <v>281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</row>
    <row r="661" customFormat="false" ht="15" hidden="false" customHeight="false" outlineLevel="0" collapsed="false">
      <c r="A661" s="3" t="s">
        <v>282</v>
      </c>
      <c r="F661" s="27" t="n">
        <f aca="false">Assumptions!$C$6</f>
        <v>2026</v>
      </c>
      <c r="G661" s="20" t="n">
        <f aca="false">F661+1</f>
        <v>2027</v>
      </c>
      <c r="H661" s="20" t="n">
        <f aca="false">G661+1</f>
        <v>2028</v>
      </c>
      <c r="I661" s="20" t="n">
        <f aca="false">H661+1</f>
        <v>2029</v>
      </c>
      <c r="J661" s="20" t="n">
        <f aca="false">I661+1</f>
        <v>2030</v>
      </c>
      <c r="K661" s="20" t="n">
        <f aca="false">J661+1</f>
        <v>2031</v>
      </c>
    </row>
    <row r="662" customFormat="false" ht="15" hidden="false" customHeight="false" outlineLevel="0" collapsed="false">
      <c r="A662" s="3" t="s">
        <v>283</v>
      </c>
      <c r="G662" s="20" t="n">
        <f aca="false">G661-Assumptions!$C$6</f>
        <v>1</v>
      </c>
      <c r="H662" s="20" t="n">
        <f aca="false">H661-Assumptions!$C$6</f>
        <v>2</v>
      </c>
      <c r="I662" s="20" t="n">
        <f aca="false">I661-Assumptions!$C$6</f>
        <v>3</v>
      </c>
      <c r="J662" s="20" t="n">
        <f aca="false">J661-Assumptions!$C$6</f>
        <v>4</v>
      </c>
      <c r="K662" s="20" t="n">
        <f aca="false">K661-Assumptions!$C$6</f>
        <v>5</v>
      </c>
    </row>
    <row r="663" customFormat="false" ht="15" hidden="false" customHeight="false" outlineLevel="0" collapsed="false">
      <c r="A663" s="3" t="s">
        <v>165</v>
      </c>
      <c r="G663" s="21" t="n">
        <f aca="false">CHOOSE($C$654,Assumptions!$G$71,Assumptions!$G$90,Assumptions!$G$109)+$C$655</f>
        <v>-0.14</v>
      </c>
      <c r="H663" s="21" t="n">
        <f aca="false">CHOOSE($C$654,Assumptions!$H$71,Assumptions!$H$90,Assumptions!$H$109)+$C$655</f>
        <v>-0.12</v>
      </c>
      <c r="I663" s="21" t="n">
        <f aca="false">CHOOSE($C$654,Assumptions!$I$71,Assumptions!$I$90,Assumptions!$I$109)+$C$655</f>
        <v>-0.1</v>
      </c>
      <c r="J663" s="21" t="n">
        <f aca="false">CHOOSE($C$654,Assumptions!$J$71,Assumptions!$J$90,Assumptions!$J$109)+$C$655</f>
        <v>-0.08</v>
      </c>
      <c r="K663" s="21" t="n">
        <f aca="false">CHOOSE($C$654,Assumptions!$K$71,Assumptions!$K$90,Assumptions!$K$109)+$C$655</f>
        <v>-0.06</v>
      </c>
    </row>
    <row r="664" customFormat="false" ht="15" hidden="false" customHeight="false" outlineLevel="0" collapsed="false">
      <c r="A664" s="3" t="s">
        <v>166</v>
      </c>
      <c r="G664" s="21" t="n">
        <f aca="false">CHOOSE($C$654,Assumptions!$G$72,Assumptions!$G$91,Assumptions!$G$110)</f>
        <v>0.433246670103635</v>
      </c>
      <c r="H664" s="21" t="n">
        <f aca="false">CHOOSE($C$654,Assumptions!$H$72,Assumptions!$H$91,Assumptions!$H$110)</f>
        <v>0.418246670103635</v>
      </c>
      <c r="I664" s="21" t="n">
        <f aca="false">CHOOSE($C$654,Assumptions!$I$72,Assumptions!$I$91,Assumptions!$I$110)</f>
        <v>0.413246670103635</v>
      </c>
      <c r="J664" s="21" t="n">
        <f aca="false">CHOOSE($C$654,Assumptions!$J$72,Assumptions!$J$91,Assumptions!$J$110)</f>
        <v>0.413246670103635</v>
      </c>
      <c r="K664" s="21" t="n">
        <f aca="false">CHOOSE($C$654,Assumptions!$K$72,Assumptions!$K$91,Assumptions!$K$110)</f>
        <v>0.413246670103635</v>
      </c>
    </row>
    <row r="665" customFormat="false" ht="15" hidden="false" customHeight="false" outlineLevel="0" collapsed="false">
      <c r="A665" s="3" t="s">
        <v>167</v>
      </c>
      <c r="G665" s="21" t="n">
        <f aca="false">CHOOSE($C$654,Assumptions!$G$73,Assumptions!$G$92,Assumptions!$G$111)+$C$656</f>
        <v>0.09</v>
      </c>
      <c r="H665" s="21" t="n">
        <f aca="false">CHOOSE($C$654,Assumptions!$H$73,Assumptions!$H$92,Assumptions!$H$111)+$C$656</f>
        <v>0.075</v>
      </c>
      <c r="I665" s="21" t="n">
        <f aca="false">CHOOSE($C$654,Assumptions!$I$73,Assumptions!$I$92,Assumptions!$I$111)+$C$656</f>
        <v>0.07</v>
      </c>
      <c r="J665" s="21" t="n">
        <f aca="false">CHOOSE($C$654,Assumptions!$J$73,Assumptions!$J$92,Assumptions!$J$111)+$C$656</f>
        <v>0.07</v>
      </c>
      <c r="K665" s="21" t="n">
        <f aca="false">CHOOSE($C$654,Assumptions!$K$73,Assumptions!$K$92,Assumptions!$K$111)+$C$656</f>
        <v>0.07</v>
      </c>
    </row>
    <row r="666" customFormat="false" ht="15" hidden="false" customHeight="false" outlineLevel="0" collapsed="false">
      <c r="A666" s="23" t="s">
        <v>284</v>
      </c>
      <c r="B666" s="24"/>
      <c r="C666" s="24"/>
      <c r="D666" s="24"/>
      <c r="E666" s="24"/>
      <c r="F666" s="24"/>
      <c r="G666" s="24"/>
      <c r="H666" s="24"/>
      <c r="I666" s="24"/>
      <c r="J666" s="24"/>
      <c r="K666" s="24"/>
    </row>
    <row r="667" customFormat="false" ht="15" hidden="false" customHeight="false" outlineLevel="0" collapsed="false">
      <c r="A667" s="2" t="s">
        <v>256</v>
      </c>
      <c r="F667" s="28" t="n">
        <f aca="false">'Historical Financials'!G23</f>
        <v>2246.166</v>
      </c>
      <c r="G667" s="16" t="n">
        <f aca="false">F667*(1+G663)</f>
        <v>1931.70276</v>
      </c>
      <c r="H667" s="16" t="n">
        <f aca="false">G667*(1+H663)</f>
        <v>1699.8984288</v>
      </c>
      <c r="I667" s="16" t="n">
        <f aca="false">H667*(1+I663)</f>
        <v>1529.90858592</v>
      </c>
      <c r="J667" s="16" t="n">
        <f aca="false">I667*(1+J663)</f>
        <v>1407.5158990464</v>
      </c>
      <c r="K667" s="16" t="n">
        <f aca="false">J667*(1+K663)</f>
        <v>1323.06494510362</v>
      </c>
    </row>
    <row r="668" customFormat="false" ht="15" hidden="false" customHeight="false" outlineLevel="0" collapsed="false">
      <c r="A668" s="3" t="s">
        <v>257</v>
      </c>
      <c r="G668" s="25" t="n">
        <f aca="false">G667*(1-G664)</f>
        <v>1094.7989716</v>
      </c>
      <c r="H668" s="25" t="n">
        <f aca="false">H667*(1-H664)</f>
        <v>988.92157144</v>
      </c>
      <c r="I668" s="25" t="n">
        <f aca="false">I667*(1-I664)</f>
        <v>897.6789572256</v>
      </c>
      <c r="J668" s="25" t="n">
        <f aca="false">J667*(1-J664)</f>
        <v>825.864640647552</v>
      </c>
      <c r="K668" s="25" t="n">
        <f aca="false">K667*(1-K664)</f>
        <v>776.312762208699</v>
      </c>
    </row>
    <row r="669" customFormat="false" ht="15" hidden="false" customHeight="false" outlineLevel="0" collapsed="false">
      <c r="A669" s="2" t="s">
        <v>258</v>
      </c>
      <c r="G669" s="16" t="n">
        <f aca="false">G667-G668</f>
        <v>836.9037884</v>
      </c>
      <c r="H669" s="16" t="n">
        <f aca="false">H667-H668</f>
        <v>710.97685736</v>
      </c>
      <c r="I669" s="16" t="n">
        <f aca="false">I667-I668</f>
        <v>632.2296286944</v>
      </c>
      <c r="J669" s="16" t="n">
        <f aca="false">J667-J668</f>
        <v>581.651258398848</v>
      </c>
      <c r="K669" s="16" t="n">
        <f aca="false">K667-K668</f>
        <v>546.752182894917</v>
      </c>
    </row>
    <row r="670" customFormat="false" ht="15" hidden="false" customHeight="false" outlineLevel="0" collapsed="false">
      <c r="A670" s="3" t="s">
        <v>285</v>
      </c>
      <c r="G670" s="25" t="n">
        <f aca="false">G669-G671</f>
        <v>663.05054</v>
      </c>
      <c r="H670" s="25" t="n">
        <f aca="false">H669-H671</f>
        <v>583.4844752</v>
      </c>
      <c r="I670" s="25" t="n">
        <f aca="false">I669-I671</f>
        <v>525.13602768</v>
      </c>
      <c r="J670" s="25" t="n">
        <f aca="false">J669-J671</f>
        <v>483.1251454656</v>
      </c>
      <c r="K670" s="25" t="n">
        <f aca="false">K669-K671</f>
        <v>454.137636737664</v>
      </c>
    </row>
    <row r="671" customFormat="false" ht="15" hidden="false" customHeight="false" outlineLevel="0" collapsed="false">
      <c r="A671" s="2" t="s">
        <v>286</v>
      </c>
      <c r="G671" s="16" t="n">
        <f aca="false">G667*G665</f>
        <v>173.8532484</v>
      </c>
      <c r="H671" s="16" t="n">
        <f aca="false">H667*H665</f>
        <v>127.49238216</v>
      </c>
      <c r="I671" s="16" t="n">
        <f aca="false">I667*I665</f>
        <v>107.0936010144</v>
      </c>
      <c r="J671" s="16" t="n">
        <f aca="false">J667*J665</f>
        <v>98.526112933248</v>
      </c>
      <c r="K671" s="16" t="n">
        <f aca="false">K667*K665</f>
        <v>92.6145461572531</v>
      </c>
    </row>
    <row r="672" customFormat="false" ht="15" hidden="false" customHeight="false" outlineLevel="0" collapsed="false">
      <c r="A672" s="3" t="s">
        <v>287</v>
      </c>
      <c r="G672" s="25" t="n">
        <f aca="false">G667*'Historical Financials'!G28/'Historical Financials'!G23</f>
        <v>73.35456</v>
      </c>
      <c r="H672" s="25" t="n">
        <f aca="false">H667*'Historical Financials'!G28/'Historical Financials'!G23</f>
        <v>64.5520128</v>
      </c>
      <c r="I672" s="25" t="n">
        <f aca="false">I667*'Historical Financials'!G28/'Historical Financials'!G23</f>
        <v>58.09681152</v>
      </c>
      <c r="J672" s="25" t="n">
        <f aca="false">J667*'Historical Financials'!G28/'Historical Financials'!G23</f>
        <v>53.4490665984</v>
      </c>
      <c r="K672" s="25" t="n">
        <f aca="false">K667*'Historical Financials'!G28/'Historical Financials'!G23</f>
        <v>50.242122602496</v>
      </c>
    </row>
    <row r="673" customFormat="false" ht="15" hidden="false" customHeight="false" outlineLevel="0" collapsed="false">
      <c r="A673" s="3" t="s">
        <v>288</v>
      </c>
      <c r="G673" s="25" t="n">
        <f aca="false">G667*'Historical Financials'!G29/'Historical Financials'!G23</f>
        <v>20.94616</v>
      </c>
      <c r="H673" s="25" t="n">
        <f aca="false">H667*'Historical Financials'!G29/'Historical Financials'!G23</f>
        <v>18.4326208</v>
      </c>
      <c r="I673" s="25" t="n">
        <f aca="false">I667*'Historical Financials'!G29/'Historical Financials'!G23</f>
        <v>16.58935872</v>
      </c>
      <c r="J673" s="25" t="n">
        <f aca="false">J667*'Historical Financials'!G29/'Historical Financials'!G23</f>
        <v>15.2622100224</v>
      </c>
      <c r="K673" s="25" t="n">
        <f aca="false">K667*'Historical Financials'!G29/'Historical Financials'!G23</f>
        <v>14.346477421056</v>
      </c>
    </row>
    <row r="674" customFormat="false" ht="15" hidden="false" customHeight="false" outlineLevel="0" collapsed="false">
      <c r="A674" s="2" t="s">
        <v>289</v>
      </c>
      <c r="G674" s="16" t="n">
        <f aca="false">G671-G672-G673</f>
        <v>79.5525284</v>
      </c>
      <c r="H674" s="16" t="n">
        <f aca="false">H671-H672-H673</f>
        <v>44.50774856</v>
      </c>
      <c r="I674" s="16" t="n">
        <f aca="false">I671-I672-I673</f>
        <v>32.4074307744</v>
      </c>
      <c r="J674" s="16" t="n">
        <f aca="false">J671-J672-J673</f>
        <v>29.814836312448</v>
      </c>
      <c r="K674" s="16" t="n">
        <f aca="false">K671-K672-K673</f>
        <v>28.0259461337011</v>
      </c>
    </row>
    <row r="675" customFormat="false" ht="15" hidden="false" customHeight="false" outlineLevel="0" collapsed="false">
      <c r="A675" s="3" t="s">
        <v>290</v>
      </c>
      <c r="G675" s="25" t="n">
        <f aca="false">G701+G714+G727</f>
        <v>155.95467</v>
      </c>
      <c r="H675" s="25" t="n">
        <f aca="false">H701+H714+H727</f>
        <v>155.95467</v>
      </c>
      <c r="I675" s="25" t="n">
        <f aca="false">I701+I714+I727</f>
        <v>155.95467</v>
      </c>
      <c r="J675" s="25" t="n">
        <f aca="false">J701+J714+J727</f>
        <v>144.463861384154</v>
      </c>
      <c r="K675" s="25" t="n">
        <f aca="false">K701+K714+K727</f>
        <v>144.463861384154</v>
      </c>
    </row>
    <row r="676" customFormat="false" ht="15" hidden="false" customHeight="false" outlineLevel="0" collapsed="false">
      <c r="A676" s="3" t="s">
        <v>291</v>
      </c>
      <c r="G676" s="25" t="n">
        <f aca="false">G702+G715+G728</f>
        <v>0</v>
      </c>
      <c r="H676" s="25" t="n">
        <f aca="false">H702+H715+H728</f>
        <v>0</v>
      </c>
      <c r="I676" s="25" t="n">
        <f aca="false">I702+I715+I728</f>
        <v>0</v>
      </c>
      <c r="J676" s="25" t="n">
        <f aca="false">J702+J715+J728</f>
        <v>0</v>
      </c>
      <c r="K676" s="25" t="n">
        <f aca="false">K702+K715+K728</f>
        <v>0</v>
      </c>
    </row>
    <row r="677" customFormat="false" ht="15" hidden="false" customHeight="false" outlineLevel="0" collapsed="false">
      <c r="A677" s="3" t="s">
        <v>239</v>
      </c>
      <c r="G677" s="25" t="n">
        <f aca="false">G675+G676</f>
        <v>155.95467</v>
      </c>
      <c r="H677" s="25" t="n">
        <f aca="false">H675+H676</f>
        <v>155.95467</v>
      </c>
      <c r="I677" s="25" t="n">
        <f aca="false">I675+I676</f>
        <v>155.95467</v>
      </c>
      <c r="J677" s="25" t="n">
        <f aca="false">J675+J676</f>
        <v>144.463861384154</v>
      </c>
      <c r="K677" s="25" t="n">
        <f aca="false">K675+K676</f>
        <v>144.463861384154</v>
      </c>
    </row>
    <row r="678" customFormat="false" ht="15" hidden="false" customHeight="false" outlineLevel="0" collapsed="false">
      <c r="A678" s="2" t="s">
        <v>264</v>
      </c>
      <c r="G678" s="16" t="n">
        <f aca="false">G674-G677</f>
        <v>-76.4021416</v>
      </c>
      <c r="H678" s="16" t="n">
        <f aca="false">H674-H677</f>
        <v>-111.44692144</v>
      </c>
      <c r="I678" s="16" t="n">
        <f aca="false">I674-I677</f>
        <v>-123.5472392256</v>
      </c>
      <c r="J678" s="16" t="n">
        <f aca="false">J674-J677</f>
        <v>-114.649025071706</v>
      </c>
      <c r="K678" s="16" t="n">
        <f aca="false">K674-K677</f>
        <v>-116.437915250452</v>
      </c>
    </row>
    <row r="679" customFormat="false" ht="15" hidden="false" customHeight="false" outlineLevel="0" collapsed="false">
      <c r="A679" s="3" t="s">
        <v>292</v>
      </c>
      <c r="G679" s="25" t="n">
        <f aca="false">MAX(0,G678)*Assumptions!$C$9</f>
        <v>0</v>
      </c>
      <c r="H679" s="25" t="n">
        <f aca="false">MAX(0,H678)*Assumptions!$C$9</f>
        <v>0</v>
      </c>
      <c r="I679" s="25" t="n">
        <f aca="false">MAX(0,I678)*Assumptions!$C$9</f>
        <v>0</v>
      </c>
      <c r="J679" s="25" t="n">
        <f aca="false">MAX(0,J678)*Assumptions!$C$9</f>
        <v>0</v>
      </c>
      <c r="K679" s="25" t="n">
        <f aca="false">MAX(0,K678)*Assumptions!$C$9</f>
        <v>0</v>
      </c>
    </row>
    <row r="680" customFormat="false" ht="15" hidden="false" customHeight="false" outlineLevel="0" collapsed="false">
      <c r="A680" s="2" t="s">
        <v>293</v>
      </c>
      <c r="G680" s="16" t="n">
        <f aca="false">G678-G679</f>
        <v>-76.4021416</v>
      </c>
      <c r="H680" s="16" t="n">
        <f aca="false">H678-H679</f>
        <v>-111.44692144</v>
      </c>
      <c r="I680" s="16" t="n">
        <f aca="false">I678-I679</f>
        <v>-123.5472392256</v>
      </c>
      <c r="J680" s="16" t="n">
        <f aca="false">J678-J679</f>
        <v>-114.649025071706</v>
      </c>
      <c r="K680" s="16" t="n">
        <f aca="false">K678-K679</f>
        <v>-116.437915250452</v>
      </c>
    </row>
    <row r="681" customFormat="false" ht="15" hidden="false" customHeight="false" outlineLevel="0" collapsed="false">
      <c r="A681" s="23" t="s">
        <v>294</v>
      </c>
      <c r="B681" s="24"/>
      <c r="C681" s="24"/>
      <c r="D681" s="24"/>
      <c r="E681" s="24"/>
      <c r="F681" s="24"/>
      <c r="G681" s="24"/>
      <c r="H681" s="24"/>
      <c r="I681" s="24"/>
      <c r="J681" s="24"/>
      <c r="K681" s="24"/>
    </row>
    <row r="682" customFormat="false" ht="15" hidden="false" customHeight="false" outlineLevel="0" collapsed="false">
      <c r="A682" s="3" t="s">
        <v>169</v>
      </c>
      <c r="G682" s="25" t="n">
        <f aca="false">G667*CHOOSE($C$654,Assumptions!$C$75,Assumptions!$C$94,Assumptions!$C$113)</f>
        <v>21.24873036</v>
      </c>
      <c r="H682" s="25" t="n">
        <f aca="false">H667*CHOOSE($C$654,Assumptions!$C$75,Assumptions!$C$94,Assumptions!$C$113)</f>
        <v>18.6988827168</v>
      </c>
      <c r="I682" s="25" t="n">
        <f aca="false">I667*CHOOSE($C$654,Assumptions!$C$75,Assumptions!$C$94,Assumptions!$C$113)</f>
        <v>16.82899444512</v>
      </c>
      <c r="J682" s="25" t="n">
        <f aca="false">J667*CHOOSE($C$654,Assumptions!$C$75,Assumptions!$C$94,Assumptions!$C$113)</f>
        <v>15.4826748895104</v>
      </c>
      <c r="K682" s="25" t="n">
        <f aca="false">K667*CHOOSE($C$654,Assumptions!$C$75,Assumptions!$C$94,Assumptions!$C$113)</f>
        <v>14.5537143961398</v>
      </c>
    </row>
    <row r="683" customFormat="false" ht="15" hidden="false" customHeight="false" outlineLevel="0" collapsed="false">
      <c r="A683" s="3" t="s">
        <v>295</v>
      </c>
      <c r="G683" s="25" t="n">
        <f aca="false">CHOOSE($C$654,Assumptions!$C$76,Assumptions!$C$95,Assumptions!$C$114)*(G667-F667)+CHOOSE($C$654,Assumptions!$C$77,Assumptions!$C$96,Assumptions!$C$115)*G667</f>
        <v>28.9755414</v>
      </c>
      <c r="H683" s="25" t="n">
        <f aca="false">CHOOSE($C$654,Assumptions!$C$76,Assumptions!$C$95,Assumptions!$C$114)*(H667-G667)+CHOOSE($C$654,Assumptions!$C$77,Assumptions!$C$96,Assumptions!$C$115)*H667</f>
        <v>25.498476432</v>
      </c>
      <c r="I683" s="25" t="n">
        <f aca="false">CHOOSE($C$654,Assumptions!$C$76,Assumptions!$C$95,Assumptions!$C$114)*(I667-H667)+CHOOSE($C$654,Assumptions!$C$77,Assumptions!$C$96,Assumptions!$C$115)*I667</f>
        <v>22.9486287888</v>
      </c>
      <c r="J683" s="25" t="n">
        <f aca="false">CHOOSE($C$654,Assumptions!$C$76,Assumptions!$C$95,Assumptions!$C$114)*(J667-I667)+CHOOSE($C$654,Assumptions!$C$77,Assumptions!$C$96,Assumptions!$C$115)*J667</f>
        <v>21.112738485696</v>
      </c>
      <c r="K683" s="25" t="n">
        <f aca="false">CHOOSE($C$654,Assumptions!$C$76,Assumptions!$C$95,Assumptions!$C$114)*(K667-J667)+CHOOSE($C$654,Assumptions!$C$77,Assumptions!$C$96,Assumptions!$C$115)*K667</f>
        <v>19.8459741765542</v>
      </c>
    </row>
    <row r="684" customFormat="false" ht="15" hidden="false" customHeight="false" outlineLevel="0" collapsed="false">
      <c r="A684" s="2" t="s">
        <v>296</v>
      </c>
      <c r="G684" s="16" t="n">
        <f aca="false">G680+G672+G673+G676-G682-G683</f>
        <v>-32.32569336</v>
      </c>
      <c r="H684" s="16" t="n">
        <f aca="false">H680+H672+H673+H676-H682-H683</f>
        <v>-72.6596469888</v>
      </c>
      <c r="I684" s="16" t="n">
        <f aca="false">I680+I672+I673+I676-I682-I683</f>
        <v>-88.63869221952</v>
      </c>
      <c r="J684" s="16" t="n">
        <f aca="false">J680+J672+J673+J676-J682-J683</f>
        <v>-82.533161826112</v>
      </c>
      <c r="K684" s="16" t="n">
        <f aca="false">K680+K672+K673+K676-K682-K683</f>
        <v>-86.2490037995945</v>
      </c>
    </row>
    <row r="686" customFormat="false" ht="15" hidden="false" customHeight="false" outlineLevel="0" collapsed="false">
      <c r="A686" s="23" t="s">
        <v>298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</row>
    <row r="687" customFormat="false" ht="15" hidden="false" customHeight="false" outlineLevel="0" collapsed="false">
      <c r="A687" s="3" t="s">
        <v>299</v>
      </c>
      <c r="G687" s="30" t="n">
        <f aca="false">Assumptions!$G$52</f>
        <v>0.039</v>
      </c>
      <c r="H687" s="30" t="n">
        <f aca="false">Assumptions!$H$52</f>
        <v>0.0375</v>
      </c>
      <c r="I687" s="30" t="n">
        <f aca="false">Assumptions!$I$52</f>
        <v>0.035</v>
      </c>
      <c r="J687" s="30" t="n">
        <f aca="false">Assumptions!$J$52</f>
        <v>0.035</v>
      </c>
      <c r="K687" s="30" t="n">
        <f aca="false">Assumptions!$K$52</f>
        <v>0.035</v>
      </c>
    </row>
    <row r="688" customFormat="false" ht="15" hidden="false" customHeight="false" outlineLevel="0" collapsed="false">
      <c r="A688" s="3" t="s">
        <v>300</v>
      </c>
      <c r="C688" s="31" t="n">
        <f aca="false">CHOOSE($C$654,Assumptions!$C$78,Assumptions!$C$97,Assumptions!$C$116)+$C$657</f>
        <v>0.03</v>
      </c>
    </row>
    <row r="689" customFormat="false" ht="15" hidden="false" customHeight="false" outlineLevel="0" collapsed="false">
      <c r="A689" s="3" t="s">
        <v>301</v>
      </c>
      <c r="C689" s="31" t="n">
        <f aca="false">CHOOSE($C$654,Assumptions!$C$79,Assumptions!$C$98,Assumptions!$C$117)</f>
        <v>0.15</v>
      </c>
    </row>
    <row r="690" customFormat="false" ht="15" hidden="false" customHeight="false" outlineLevel="0" collapsed="false">
      <c r="A690" s="3" t="s">
        <v>302</v>
      </c>
      <c r="C690" s="32" t="n">
        <f aca="false">CHOOSE($C$654,Assumptions!$C$80,Assumptions!$C$99,Assumptions!$C$118)</f>
        <v>5</v>
      </c>
    </row>
    <row r="691" customFormat="false" ht="15" hidden="false" customHeight="false" outlineLevel="0" collapsed="false">
      <c r="A691" s="3" t="s">
        <v>303</v>
      </c>
      <c r="C691" s="32" t="n">
        <f aca="false">CHOOSE($C$654,Assumptions!$C$81,Assumptions!$C$100,Assumptions!$C$119)</f>
        <v>1.75</v>
      </c>
    </row>
    <row r="692" customFormat="false" ht="15" hidden="false" customHeight="false" outlineLevel="0" collapsed="false">
      <c r="A692" s="3" t="s">
        <v>304</v>
      </c>
      <c r="G692" s="25" t="n">
        <f aca="false">G697+G710+G723</f>
        <v>1735.554</v>
      </c>
      <c r="H692" s="25" t="n">
        <f aca="false">H697+H710+H723</f>
        <v>1735.554</v>
      </c>
      <c r="I692" s="25" t="n">
        <f aca="false">I697+I710+I723</f>
        <v>1735.554</v>
      </c>
      <c r="J692" s="25" t="n">
        <f aca="false">J697+J710+J723</f>
        <v>1465.18203256832</v>
      </c>
      <c r="K692" s="25" t="n">
        <f aca="false">K697+K710+K723</f>
        <v>1465.18203256832</v>
      </c>
    </row>
    <row r="693" customFormat="false" ht="15" hidden="false" customHeight="false" outlineLevel="0" collapsed="false">
      <c r="A693" s="3" t="s">
        <v>305</v>
      </c>
      <c r="G693" s="25" t="n">
        <f aca="false">F766</f>
        <v>463.996</v>
      </c>
      <c r="H693" s="25" t="n">
        <f aca="false">G766</f>
        <v>431.67030664</v>
      </c>
      <c r="I693" s="25" t="n">
        <f aca="false">H766</f>
        <v>359.0106596512</v>
      </c>
      <c r="J693" s="25" t="n">
        <f aca="false">I766</f>
        <v>0</v>
      </c>
      <c r="K693" s="25" t="n">
        <f aca="false">J766</f>
        <v>-82.533161826112</v>
      </c>
    </row>
    <row r="694" customFormat="false" ht="15" hidden="false" customHeight="false" outlineLevel="0" collapsed="false">
      <c r="A694" s="3" t="s">
        <v>306</v>
      </c>
      <c r="G694" s="25" t="n">
        <f aca="false">G697*IF(G698=1,$C$689,IF(Assumptions!$I$56=1,MAX(G687,Assumptions!$G$56)+Assumptions!$F$56+$C$688,Assumptions!$E$56))+G710*IF(G711=1,$C$689,IF(Assumptions!$I$57=1,MAX(G687,Assumptions!$G$57)+Assumptions!$F$57+$C$688,Assumptions!$E$57))+G723*IF(G724=1,$C$689,IF(Assumptions!$I$58=1,MAX(G687,Assumptions!$G$58)+Assumptions!$F$58+$C$688,Assumptions!$E$58))</f>
        <v>155.95467</v>
      </c>
      <c r="H694" s="25" t="n">
        <f aca="false">H697*IF(OR(H698=1,G844=1),$C$689,IF(Assumptions!$I$56=1,MAX(H687,Assumptions!$G$56)+Assumptions!$F$56+$C$688,Assumptions!$E$56))+H710*IF(OR(H711=1,G845=1),$C$689,IF(Assumptions!$I$57=1,MAX(H687,Assumptions!$G$57)+Assumptions!$F$57+$C$688,Assumptions!$E$57))+H723*IF(OR(H724=1,G846=1),$C$689,IF(Assumptions!$I$58=1,MAX(H687,Assumptions!$G$58)+Assumptions!$F$58+$C$688,Assumptions!$E$58))</f>
        <v>155.95467</v>
      </c>
      <c r="I694" s="25" t="n">
        <f aca="false">I697*IF(OR(I698=1,H844=1),$C$689,IF(Assumptions!$I$56=1,MAX(I687,Assumptions!$G$56)+Assumptions!$F$56+$C$688,Assumptions!$E$56))+I710*IF(OR(I711=1,H845=1),$C$689,IF(Assumptions!$I$57=1,MAX(I687,Assumptions!$G$57)+Assumptions!$F$57+$C$688,Assumptions!$E$57))+I723*IF(OR(I724=1,H846=1),$C$689,IF(Assumptions!$I$58=1,MAX(I687,Assumptions!$G$58)+Assumptions!$F$58+$C$688,Assumptions!$E$58))</f>
        <v>201.15369</v>
      </c>
      <c r="J694" s="25" t="n">
        <f aca="false">J697*IF(OR(J698=1,I844=1),$C$689,IF(Assumptions!$I$56=1,MAX(J687,Assumptions!$G$56)+Assumptions!$F$56+$C$688,Assumptions!$E$56))+J710*IF(OR(J711=1,I845=1),$C$689,IF(Assumptions!$I$57=1,MAX(J687,Assumptions!$G$57)+Assumptions!$F$57+$C$688,Assumptions!$E$57))+J723*IF(OR(J724=1,I846=1),$C$689,IF(Assumptions!$I$58=1,MAX(J687,Assumptions!$G$58)+Assumptions!$F$58+$C$688,Assumptions!$E$58))</f>
        <v>144.463861384154</v>
      </c>
      <c r="K694" s="25" t="n">
        <f aca="false">K697*IF(OR(K698=1,J844=1),$C$689,IF(Assumptions!$I$56=1,MAX(K687,Assumptions!$G$56)+Assumptions!$F$56+$C$688,Assumptions!$E$56))+K710*IF(OR(K711=1,J845=1),$C$689,IF(Assumptions!$I$57=1,MAX(K687,Assumptions!$G$57)+Assumptions!$F$57+$C$688,Assumptions!$E$57))+K723*IF(OR(K724=1,J846=1),$C$689,IF(Assumptions!$I$58=1,MAX(K687,Assumptions!$G$58)+Assumptions!$F$58+$C$688,Assumptions!$E$58))</f>
        <v>144.463861384154</v>
      </c>
    </row>
    <row r="695" customFormat="false" ht="15" hidden="false" customHeight="false" outlineLevel="0" collapsed="false">
      <c r="A695" s="3" t="s">
        <v>307</v>
      </c>
      <c r="G695" s="20" t="n">
        <f aca="false">IF(G671&lt;=0,0,IF(AND((G692-G693)/G671&lt;=$C$690,G671/G694&gt;=$C$691),1,0))</f>
        <v>0</v>
      </c>
      <c r="H695" s="20" t="n">
        <f aca="false">IF(H671&lt;=0,0,IF(AND((H692-H693)/H671&lt;=$C$690,H671/H694&gt;=$C$691),1,0))</f>
        <v>0</v>
      </c>
      <c r="I695" s="20" t="n">
        <f aca="false">IF(I671&lt;=0,0,IF(AND((I692-I693)/I671&lt;=$C$690,I671/I694&gt;=$C$691),1,0))</f>
        <v>0</v>
      </c>
      <c r="J695" s="20" t="n">
        <f aca="false">IF(J671&lt;=0,0,IF(AND((J692-J693)/J671&lt;=$C$690,J671/J694&gt;=$C$691),1,0))</f>
        <v>0</v>
      </c>
      <c r="K695" s="20" t="n">
        <f aca="false">IF(K671&lt;=0,0,IF(AND((K692-K693)/K671&lt;=$C$690,K671/K694&gt;=$C$691),1,0))</f>
        <v>0</v>
      </c>
    </row>
    <row r="696" customFormat="false" ht="15" hidden="false" customHeight="false" outlineLevel="0" collapsed="false">
      <c r="A696" s="23" t="s">
        <v>308</v>
      </c>
      <c r="B696" s="24"/>
      <c r="C696" s="24"/>
      <c r="D696" s="24"/>
      <c r="E696" s="24"/>
      <c r="F696" s="24"/>
      <c r="G696" s="24"/>
      <c r="H696" s="24"/>
      <c r="I696" s="24"/>
      <c r="J696" s="24"/>
      <c r="K696" s="24"/>
    </row>
    <row r="697" customFormat="false" ht="15" hidden="false" customHeight="false" outlineLevel="0" collapsed="false">
      <c r="A697" s="3" t="s">
        <v>309</v>
      </c>
      <c r="G697" s="25" t="n">
        <f aca="false">F708</f>
        <v>1315.098</v>
      </c>
      <c r="H697" s="25" t="n">
        <f aca="false">G708</f>
        <v>1315.098</v>
      </c>
      <c r="I697" s="25" t="n">
        <f aca="false">H708</f>
        <v>1315.098</v>
      </c>
      <c r="J697" s="25" t="n">
        <f aca="false">I708</f>
        <v>1315.098</v>
      </c>
      <c r="K697" s="25" t="n">
        <f aca="false">J708</f>
        <v>1315.098</v>
      </c>
    </row>
    <row r="698" customFormat="false" ht="15" hidden="false" customHeight="false" outlineLevel="0" collapsed="false">
      <c r="A698" s="3" t="s">
        <v>310</v>
      </c>
      <c r="G698" s="20" t="n">
        <f aca="false">IF(G661=Assumptions!$K$56,1,0)</f>
        <v>0</v>
      </c>
      <c r="H698" s="20" t="n">
        <f aca="false">IF(H661=Assumptions!$K$56,1,0)</f>
        <v>0</v>
      </c>
      <c r="I698" s="20" t="n">
        <f aca="false">IF(I661=Assumptions!$K$56,1,0)</f>
        <v>0</v>
      </c>
      <c r="J698" s="20" t="n">
        <f aca="false">IF(J661=Assumptions!$K$56,1,0)</f>
        <v>0</v>
      </c>
      <c r="K698" s="20" t="n">
        <f aca="false">IF(K661=Assumptions!$K$56,1,0)</f>
        <v>0</v>
      </c>
    </row>
    <row r="700" customFormat="false" ht="15" hidden="false" customHeight="false" outlineLevel="0" collapsed="false">
      <c r="A700" s="3" t="s">
        <v>311</v>
      </c>
      <c r="G700" s="31" t="n">
        <f aca="false">IF(Assumptions!$I$56=1,MAX(G687,Assumptions!$G$56)+Assumptions!$F$56+$C$688,Assumptions!$E$56)</f>
        <v>0.105</v>
      </c>
      <c r="H700" s="31" t="n">
        <f aca="false">IF(G844=1,$C$689,IF(Assumptions!$I$56=1,MAX(H687,Assumptions!$G$56)+Assumptions!$F$56+$C$688,Assumptions!$E$56))</f>
        <v>0.105</v>
      </c>
      <c r="I700" s="31" t="n">
        <f aca="false">IF(H844=1,$C$689,IF(Assumptions!$I$56=1,MAX(I687,Assumptions!$G$56)+Assumptions!$F$56+$C$688,Assumptions!$E$56))</f>
        <v>0.105</v>
      </c>
      <c r="J700" s="31" t="n">
        <f aca="false">IF(I844=1,$C$689,IF(Assumptions!$I$56=1,MAX(J687,Assumptions!$G$56)+Assumptions!$F$56+$C$688,Assumptions!$E$56))</f>
        <v>0.105</v>
      </c>
      <c r="K700" s="31" t="n">
        <f aca="false">IF(J844=1,$C$689,IF(Assumptions!$I$56=1,MAX(K687,Assumptions!$G$56)+Assumptions!$F$56+$C$688,Assumptions!$E$56))</f>
        <v>0.105</v>
      </c>
    </row>
    <row r="701" customFormat="false" ht="15" hidden="false" customHeight="false" outlineLevel="0" collapsed="false">
      <c r="A701" s="3" t="s">
        <v>312</v>
      </c>
      <c r="G701" s="25" t="n">
        <f aca="false">G697*G700</f>
        <v>138.08529</v>
      </c>
      <c r="H701" s="25" t="n">
        <f aca="false">H697*H700</f>
        <v>138.08529</v>
      </c>
      <c r="I701" s="25" t="n">
        <f aca="false">I697*I700</f>
        <v>138.08529</v>
      </c>
      <c r="J701" s="25" t="n">
        <f aca="false">J697*J700</f>
        <v>138.08529</v>
      </c>
      <c r="K701" s="25" t="n">
        <f aca="false">K697*K700</f>
        <v>138.08529</v>
      </c>
    </row>
    <row r="702" customFormat="false" ht="15" hidden="false" customHeight="false" outlineLevel="0" collapsed="false">
      <c r="A702" s="3" t="s">
        <v>313</v>
      </c>
      <c r="G702" s="25" t="n">
        <f aca="false">G697*Assumptions!$H$56</f>
        <v>0</v>
      </c>
      <c r="H702" s="25" t="n">
        <f aca="false">H697*Assumptions!$H$56</f>
        <v>0</v>
      </c>
      <c r="I702" s="25" t="n">
        <f aca="false">I697*Assumptions!$H$56</f>
        <v>0</v>
      </c>
      <c r="J702" s="25" t="n">
        <f aca="false">J697*Assumptions!$H$56</f>
        <v>0</v>
      </c>
      <c r="K702" s="25" t="n">
        <f aca="false">K697*Assumptions!$H$56</f>
        <v>0</v>
      </c>
    </row>
    <row r="703" customFormat="false" ht="15" hidden="false" customHeight="false" outlineLevel="0" collapsed="false">
      <c r="A703" s="3" t="s">
        <v>314</v>
      </c>
      <c r="G703" s="25" t="n">
        <f aca="false">MIN(G697,Assumptions!$L$56*Assumptions!$C$56)</f>
        <v>0</v>
      </c>
      <c r="H703" s="25" t="n">
        <f aca="false">MIN(H697,Assumptions!$L$56*Assumptions!$C$56)</f>
        <v>0</v>
      </c>
      <c r="I703" s="25" t="n">
        <f aca="false">MIN(I697,Assumptions!$L$56*Assumptions!$C$56)</f>
        <v>0</v>
      </c>
      <c r="J703" s="25" t="n">
        <f aca="false">MIN(J697,Assumptions!$L$56*Assumptions!$C$56)</f>
        <v>0</v>
      </c>
      <c r="K703" s="25" t="n">
        <f aca="false">MIN(K697,Assumptions!$L$56*Assumptions!$C$56)</f>
        <v>0</v>
      </c>
    </row>
    <row r="704" customFormat="false" ht="15" hidden="false" customHeight="false" outlineLevel="0" collapsed="false">
      <c r="A704" s="3" t="s">
        <v>315</v>
      </c>
      <c r="G704" s="25" t="n">
        <f aca="false">IF(AND(Assumptions!$P$56=1,G661&lt;Assumptions!$K$56),MIN(MAX(0,-G758),MAX(0,Assumptions!$D$56-G697)),0)</f>
        <v>0</v>
      </c>
      <c r="H704" s="25" t="n">
        <f aca="false">IF(AND(Assumptions!$P$56=1,OR(H661&lt;Assumptions!$K$56,G844=1)),MIN(MAX(0,-H758),MAX(0,Assumptions!$D$56-H697)),0)</f>
        <v>0</v>
      </c>
      <c r="I704" s="25" t="n">
        <f aca="false">IF(AND(Assumptions!$P$56=1,OR(I661&lt;Assumptions!$K$56,H844=1)),MIN(MAX(0,-I758),MAX(0,Assumptions!$D$56-I697)),0)</f>
        <v>0</v>
      </c>
      <c r="J704" s="25" t="n">
        <f aca="false">IF(AND(Assumptions!$P$56=1,OR(J661&lt;Assumptions!$K$56,I844=1)),MIN(MAX(0,-J758),MAX(0,Assumptions!$D$56-J697)),0)</f>
        <v>0</v>
      </c>
      <c r="K704" s="25" t="n">
        <f aca="false">IF(AND(Assumptions!$P$56=1,OR(K661&lt;Assumptions!$K$56,J844=1)),MIN(MAX(0,-K758),MAX(0,Assumptions!$D$56-K697)),0)</f>
        <v>0</v>
      </c>
    </row>
    <row r="705" customFormat="false" ht="15" hidden="false" customHeight="false" outlineLevel="0" collapsed="false">
      <c r="A705" s="3" t="s">
        <v>316</v>
      </c>
      <c r="G705" s="25" t="n">
        <f aca="false">G698*MIN(G697-G703+G702,MAX(0,G760-Assumptions!$C$12*G695))</f>
        <v>0</v>
      </c>
      <c r="H705" s="25" t="n">
        <f aca="false">H698*MIN(H697-H703+H702,MAX(0,H760-Assumptions!$C$12*H695))</f>
        <v>0</v>
      </c>
      <c r="I705" s="25" t="n">
        <f aca="false">I698*MIN(I697-I703+I702,MAX(0,I760-Assumptions!$C$12*I695))</f>
        <v>0</v>
      </c>
      <c r="J705" s="25" t="n">
        <f aca="false">J698*MIN(J697-J703+J702,MAX(0,J760-Assumptions!$C$12*J695))</f>
        <v>0</v>
      </c>
      <c r="K705" s="25" t="n">
        <f aca="false">K698*MIN(K697-K703+K702,MAX(0,K760-Assumptions!$C$12*K695))</f>
        <v>0</v>
      </c>
    </row>
    <row r="706" customFormat="false" ht="15" hidden="false" customHeight="false" outlineLevel="0" collapsed="false">
      <c r="A706" s="3" t="s">
        <v>317</v>
      </c>
      <c r="G706" s="25" t="n">
        <f aca="false">Assumptions!$N$56*MIN(G697+G704+G702-G703-G705,MAX(0,G764))</f>
        <v>0</v>
      </c>
      <c r="H706" s="25" t="n">
        <f aca="false">Assumptions!$N$56*MIN(H697+H704+H702-H703-H705,MAX(0,H764))</f>
        <v>0</v>
      </c>
      <c r="I706" s="25" t="n">
        <f aca="false">Assumptions!$N$56*MIN(I697+I704+I702-I703-I705,MAX(0,I764))</f>
        <v>0</v>
      </c>
      <c r="J706" s="25" t="n">
        <f aca="false">Assumptions!$N$56*MIN(J697+J704+J702-J703-J705,MAX(0,J764))</f>
        <v>0</v>
      </c>
      <c r="K706" s="25" t="n">
        <f aca="false">Assumptions!$N$56*MIN(K697+K704+K702-K703-K705,MAX(0,K764))</f>
        <v>0</v>
      </c>
    </row>
    <row r="707" customFormat="false" ht="15" hidden="false" customHeight="false" outlineLevel="0" collapsed="false">
      <c r="A707" s="3" t="s">
        <v>318</v>
      </c>
      <c r="G707" s="25" t="n">
        <f aca="false">G698*(1-G695)*(G697-G703+G702-G705)</f>
        <v>0</v>
      </c>
      <c r="H707" s="25" t="n">
        <f aca="false">H698*(1-H695)*(H697-H703+H702-H705)</f>
        <v>0</v>
      </c>
      <c r="I707" s="25" t="n">
        <f aca="false">I698*(1-I695)*(I697-I703+I702-I705)</f>
        <v>0</v>
      </c>
      <c r="J707" s="25" t="n">
        <f aca="false">J698*(1-J695)*(J697-J703+J702-J705)</f>
        <v>0</v>
      </c>
      <c r="K707" s="25" t="n">
        <f aca="false">K698*(1-K695)*(K697-K703+K702-K705)</f>
        <v>0</v>
      </c>
    </row>
    <row r="708" customFormat="false" ht="15" hidden="false" customHeight="false" outlineLevel="0" collapsed="false">
      <c r="A708" s="2" t="s">
        <v>319</v>
      </c>
      <c r="F708" s="28" t="n">
        <f aca="false">Assumptions!$C$56</f>
        <v>1315.098</v>
      </c>
      <c r="G708" s="16" t="n">
        <f aca="false">G697+G704+G702-G703-G705-G706</f>
        <v>1315.098</v>
      </c>
      <c r="H708" s="16" t="n">
        <f aca="false">H697+H704+H702-H703-H705-H706</f>
        <v>1315.098</v>
      </c>
      <c r="I708" s="16" t="n">
        <f aca="false">I697+I704+I702-I703-I705-I706</f>
        <v>1315.098</v>
      </c>
      <c r="J708" s="16" t="n">
        <f aca="false">J697+J704+J702-J703-J705-J706</f>
        <v>1315.098</v>
      </c>
      <c r="K708" s="16" t="n">
        <f aca="false">K697+K704+K702-K703-K705-K706</f>
        <v>1315.098</v>
      </c>
    </row>
    <row r="709" customFormat="false" ht="15" hidden="false" customHeight="false" outlineLevel="0" collapsed="false">
      <c r="A709" s="23" t="s">
        <v>320</v>
      </c>
      <c r="B709" s="24"/>
      <c r="C709" s="24"/>
      <c r="D709" s="24"/>
      <c r="E709" s="24"/>
      <c r="F709" s="24"/>
      <c r="G709" s="24"/>
      <c r="H709" s="24"/>
      <c r="I709" s="24"/>
      <c r="J709" s="24"/>
      <c r="K709" s="24"/>
    </row>
    <row r="710" customFormat="false" ht="15" hidden="false" customHeight="false" outlineLevel="0" collapsed="false">
      <c r="A710" s="3" t="s">
        <v>309</v>
      </c>
      <c r="G710" s="25" t="n">
        <f aca="false">F721</f>
        <v>276.706</v>
      </c>
      <c r="H710" s="25" t="n">
        <f aca="false">G721</f>
        <v>276.706</v>
      </c>
      <c r="I710" s="25" t="n">
        <f aca="false">H721</f>
        <v>276.706</v>
      </c>
      <c r="J710" s="25" t="n">
        <f aca="false">I721</f>
        <v>6.33403256832008</v>
      </c>
      <c r="K710" s="25" t="n">
        <f aca="false">J721</f>
        <v>6.33403256832008</v>
      </c>
    </row>
    <row r="711" customFormat="false" ht="15" hidden="false" customHeight="false" outlineLevel="0" collapsed="false">
      <c r="A711" s="3" t="s">
        <v>310</v>
      </c>
      <c r="G711" s="20" t="n">
        <f aca="false">IF(G661=Assumptions!$K$57,1,0)</f>
        <v>0</v>
      </c>
      <c r="H711" s="20" t="n">
        <f aca="false">IF(H661=Assumptions!$K$57,1,0)</f>
        <v>0</v>
      </c>
      <c r="I711" s="20" t="n">
        <f aca="false">IF(I661=Assumptions!$K$57,1,0)</f>
        <v>1</v>
      </c>
      <c r="J711" s="20" t="n">
        <f aca="false">IF(J661=Assumptions!$K$57,1,0)</f>
        <v>0</v>
      </c>
      <c r="K711" s="20" t="n">
        <f aca="false">IF(K661=Assumptions!$K$57,1,0)</f>
        <v>0</v>
      </c>
    </row>
    <row r="713" customFormat="false" ht="15" hidden="false" customHeight="false" outlineLevel="0" collapsed="false">
      <c r="A713" s="3" t="s">
        <v>311</v>
      </c>
      <c r="G713" s="31" t="n">
        <f aca="false">IF(Assumptions!$I$57=1,MAX(G687,Assumptions!$G$57)+Assumptions!$F$57+$C$688,Assumptions!$E$57)</f>
        <v>0.0425</v>
      </c>
      <c r="H713" s="31" t="n">
        <f aca="false">IF(G845=1,$C$689,IF(Assumptions!$I$57=1,MAX(H687,Assumptions!$G$57)+Assumptions!$F$57+$C$688,Assumptions!$E$57))</f>
        <v>0.0425</v>
      </c>
      <c r="I713" s="31" t="n">
        <f aca="false">IF(H845=1,$C$689,IF(Assumptions!$I$57=1,MAX(I687,Assumptions!$G$57)+Assumptions!$F$57+$C$688,Assumptions!$E$57))</f>
        <v>0.0425</v>
      </c>
      <c r="J713" s="31" t="n">
        <f aca="false">IF(I845=1,$C$689,IF(Assumptions!$I$57=1,MAX(J687,Assumptions!$G$57)+Assumptions!$F$57+$C$688,Assumptions!$E$57))</f>
        <v>0.0425</v>
      </c>
      <c r="K713" s="31" t="n">
        <f aca="false">IF(J845=1,$C$689,IF(Assumptions!$I$57=1,MAX(K687,Assumptions!$G$57)+Assumptions!$F$57+$C$688,Assumptions!$E$57))</f>
        <v>0.0425</v>
      </c>
    </row>
    <row r="714" customFormat="false" ht="15" hidden="false" customHeight="false" outlineLevel="0" collapsed="false">
      <c r="A714" s="3" t="s">
        <v>312</v>
      </c>
      <c r="G714" s="25" t="n">
        <f aca="false">G710*G713</f>
        <v>11.760005</v>
      </c>
      <c r="H714" s="25" t="n">
        <f aca="false">H710*H713</f>
        <v>11.760005</v>
      </c>
      <c r="I714" s="25" t="n">
        <f aca="false">I710*I713</f>
        <v>11.760005</v>
      </c>
      <c r="J714" s="25" t="n">
        <f aca="false">J710*J713</f>
        <v>0.269196384153604</v>
      </c>
      <c r="K714" s="25" t="n">
        <f aca="false">K710*K713</f>
        <v>0.269196384153604</v>
      </c>
    </row>
    <row r="715" customFormat="false" ht="15" hidden="false" customHeight="false" outlineLevel="0" collapsed="false">
      <c r="A715" s="3" t="s">
        <v>313</v>
      </c>
      <c r="G715" s="25" t="n">
        <f aca="false">G710*Assumptions!$H$57</f>
        <v>0</v>
      </c>
      <c r="H715" s="25" t="n">
        <f aca="false">H710*Assumptions!$H$57</f>
        <v>0</v>
      </c>
      <c r="I715" s="25" t="n">
        <f aca="false">I710*Assumptions!$H$57</f>
        <v>0</v>
      </c>
      <c r="J715" s="25" t="n">
        <f aca="false">J710*Assumptions!$H$57</f>
        <v>0</v>
      </c>
      <c r="K715" s="25" t="n">
        <f aca="false">K710*Assumptions!$H$57</f>
        <v>0</v>
      </c>
    </row>
    <row r="716" customFormat="false" ht="15" hidden="false" customHeight="false" outlineLevel="0" collapsed="false">
      <c r="A716" s="3" t="s">
        <v>314</v>
      </c>
      <c r="G716" s="25" t="n">
        <f aca="false">MIN(G710,Assumptions!$L$57*Assumptions!$C$57)</f>
        <v>0</v>
      </c>
      <c r="H716" s="25" t="n">
        <f aca="false">MIN(H710,Assumptions!$L$57*Assumptions!$C$57)</f>
        <v>0</v>
      </c>
      <c r="I716" s="25" t="n">
        <f aca="false">MIN(I710,Assumptions!$L$57*Assumptions!$C$57)</f>
        <v>0</v>
      </c>
      <c r="J716" s="25" t="n">
        <f aca="false">MIN(J710,Assumptions!$L$57*Assumptions!$C$57)</f>
        <v>0</v>
      </c>
      <c r="K716" s="25" t="n">
        <f aca="false">MIN(K710,Assumptions!$L$57*Assumptions!$C$57)</f>
        <v>0</v>
      </c>
    </row>
    <row r="717" customFormat="false" ht="15" hidden="false" customHeight="false" outlineLevel="0" collapsed="false">
      <c r="A717" s="3" t="s">
        <v>315</v>
      </c>
      <c r="G717" s="25" t="n">
        <f aca="false">IF(AND(Assumptions!$P$57=1,G661&lt;Assumptions!$K$57),MIN(MAX(0,-G758),MAX(0,Assumptions!$D$57-G710)),0)</f>
        <v>0</v>
      </c>
      <c r="H717" s="25" t="n">
        <f aca="false">IF(AND(Assumptions!$P$57=1,OR(H661&lt;Assumptions!$K$57,G845=1)),MIN(MAX(0,-H758),MAX(0,Assumptions!$D$57-H710)),0)</f>
        <v>0</v>
      </c>
      <c r="I717" s="25" t="n">
        <f aca="false">IF(AND(Assumptions!$P$57=1,OR(I661&lt;Assumptions!$K$57,H845=1)),MIN(MAX(0,-I758),MAX(0,Assumptions!$D$57-I710)),0)</f>
        <v>0</v>
      </c>
      <c r="J717" s="25" t="n">
        <f aca="false">IF(AND(Assumptions!$P$57=1,OR(J661&lt;Assumptions!$K$57,I845=1)),MIN(MAX(0,-J758),MAX(0,Assumptions!$D$57-J710)),0)</f>
        <v>0</v>
      </c>
      <c r="K717" s="25" t="n">
        <f aca="false">IF(AND(Assumptions!$P$57=1,OR(K661&lt;Assumptions!$K$57,J845=1)),MIN(MAX(0,-K758),MAX(0,Assumptions!$D$57-K710)),0)</f>
        <v>0</v>
      </c>
    </row>
    <row r="718" customFormat="false" ht="15" hidden="false" customHeight="false" outlineLevel="0" collapsed="false">
      <c r="A718" s="3" t="s">
        <v>316</v>
      </c>
      <c r="G718" s="25" t="n">
        <f aca="false">G711*MIN(G710-G716+G715,MAX(0,G760-Assumptions!$C$12*G695-G705))</f>
        <v>0</v>
      </c>
      <c r="H718" s="25" t="n">
        <f aca="false">H711*MIN(H710-H716+H715,MAX(0,H760-Assumptions!$C$12*H695-H705))</f>
        <v>0</v>
      </c>
      <c r="I718" s="25" t="n">
        <f aca="false">I711*MIN(I710-I716+I715,MAX(0,I760-Assumptions!$C$12*I695-I705))</f>
        <v>270.37196743168</v>
      </c>
      <c r="J718" s="25" t="n">
        <f aca="false">J711*MIN(J710-J716+J715,MAX(0,J760-Assumptions!$C$12*J695-J705))</f>
        <v>0</v>
      </c>
      <c r="K718" s="25" t="n">
        <f aca="false">K711*MIN(K710-K716+K715,MAX(0,K760-Assumptions!$C$12*K695-K705))</f>
        <v>0</v>
      </c>
    </row>
    <row r="719" customFormat="false" ht="15" hidden="false" customHeight="false" outlineLevel="0" collapsed="false">
      <c r="A719" s="3" t="s">
        <v>317</v>
      </c>
      <c r="G719" s="25" t="n">
        <f aca="false">Assumptions!$N$57*MIN(G710+G717+G715-G716-G718,MAX(0,G764-G706))</f>
        <v>0</v>
      </c>
      <c r="H719" s="25" t="n">
        <f aca="false">Assumptions!$N$57*MIN(H710+H717+H715-H716-H718,MAX(0,H764-H706))</f>
        <v>0</v>
      </c>
      <c r="I719" s="25" t="n">
        <f aca="false">Assumptions!$N$57*MIN(I710+I717+I715-I716-I718,MAX(0,I764-I706))</f>
        <v>0</v>
      </c>
      <c r="J719" s="25" t="n">
        <f aca="false">Assumptions!$N$57*MIN(J710+J717+J715-J716-J718,MAX(0,J764-J706))</f>
        <v>0</v>
      </c>
      <c r="K719" s="25" t="n">
        <f aca="false">Assumptions!$N$57*MIN(K710+K717+K715-K716-K718,MAX(0,K764-K706))</f>
        <v>0</v>
      </c>
    </row>
    <row r="720" customFormat="false" ht="15" hidden="false" customHeight="false" outlineLevel="0" collapsed="false">
      <c r="A720" s="3" t="s">
        <v>318</v>
      </c>
      <c r="G720" s="25" t="n">
        <f aca="false">G711*(1-G695)*(G710-G716+G715-G718)</f>
        <v>0</v>
      </c>
      <c r="H720" s="25" t="n">
        <f aca="false">H711*(1-H695)*(H710-H716+H715-H718)</f>
        <v>0</v>
      </c>
      <c r="I720" s="25" t="n">
        <f aca="false">I711*(1-I695)*(I710-I716+I715-I718)</f>
        <v>6.33403256832008</v>
      </c>
      <c r="J720" s="25" t="n">
        <f aca="false">J711*(1-J695)*(J710-J716+J715-J718)</f>
        <v>0</v>
      </c>
      <c r="K720" s="25" t="n">
        <f aca="false">K711*(1-K695)*(K710-K716+K715-K718)</f>
        <v>0</v>
      </c>
    </row>
    <row r="721" customFormat="false" ht="15" hidden="false" customHeight="false" outlineLevel="0" collapsed="false">
      <c r="A721" s="2" t="s">
        <v>319</v>
      </c>
      <c r="F721" s="28" t="n">
        <f aca="false">Assumptions!$C$57</f>
        <v>276.706</v>
      </c>
      <c r="G721" s="16" t="n">
        <f aca="false">G710+G717+G715-G716-G718-G719</f>
        <v>276.706</v>
      </c>
      <c r="H721" s="16" t="n">
        <f aca="false">H710+H717+H715-H716-H718-H719</f>
        <v>276.706</v>
      </c>
      <c r="I721" s="16" t="n">
        <f aca="false">I710+I717+I715-I716-I718-I719</f>
        <v>6.33403256832008</v>
      </c>
      <c r="J721" s="16" t="n">
        <f aca="false">J710+J717+J715-J716-J718-J719</f>
        <v>6.33403256832008</v>
      </c>
      <c r="K721" s="16" t="n">
        <f aca="false">K710+K717+K715-K716-K718-K719</f>
        <v>6.33403256832008</v>
      </c>
    </row>
    <row r="722" customFormat="false" ht="15" hidden="false" customHeight="false" outlineLevel="0" collapsed="false">
      <c r="A722" s="23" t="s">
        <v>321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</row>
    <row r="723" customFormat="false" ht="15" hidden="false" customHeight="false" outlineLevel="0" collapsed="false">
      <c r="A723" s="3" t="s">
        <v>309</v>
      </c>
      <c r="G723" s="25" t="n">
        <f aca="false">F734</f>
        <v>143.75</v>
      </c>
      <c r="H723" s="25" t="n">
        <f aca="false">G734</f>
        <v>143.75</v>
      </c>
      <c r="I723" s="25" t="n">
        <f aca="false">H734</f>
        <v>143.75</v>
      </c>
      <c r="J723" s="25" t="n">
        <f aca="false">I734</f>
        <v>143.75</v>
      </c>
      <c r="K723" s="25" t="n">
        <f aca="false">J734</f>
        <v>143.75</v>
      </c>
    </row>
    <row r="724" customFormat="false" ht="15" hidden="false" customHeight="false" outlineLevel="0" collapsed="false">
      <c r="A724" s="3" t="s">
        <v>310</v>
      </c>
      <c r="G724" s="20" t="n">
        <f aca="false">IF(G661=Assumptions!$K$58,1,0)</f>
        <v>0</v>
      </c>
      <c r="H724" s="20" t="n">
        <f aca="false">IF(H661=Assumptions!$K$58,1,0)</f>
        <v>0</v>
      </c>
      <c r="I724" s="20" t="n">
        <f aca="false">IF(I661=Assumptions!$K$58,1,0)</f>
        <v>1</v>
      </c>
      <c r="J724" s="20" t="n">
        <f aca="false">IF(J661=Assumptions!$K$58,1,0)</f>
        <v>0</v>
      </c>
      <c r="K724" s="20" t="n">
        <f aca="false">IF(K661=Assumptions!$K$58,1,0)</f>
        <v>0</v>
      </c>
    </row>
    <row r="726" customFormat="false" ht="15" hidden="false" customHeight="false" outlineLevel="0" collapsed="false">
      <c r="A726" s="3" t="s">
        <v>311</v>
      </c>
      <c r="G726" s="31" t="n">
        <f aca="false">IF(Assumptions!$I$58=1,MAX(G687,Assumptions!$G$58)+Assumptions!$F$58+$C$688,Assumptions!$E$58)</f>
        <v>0.0425</v>
      </c>
      <c r="H726" s="31" t="n">
        <f aca="false">IF(G846=1,$C$689,IF(Assumptions!$I$58=1,MAX(H687,Assumptions!$G$58)+Assumptions!$F$58+$C$688,Assumptions!$E$58))</f>
        <v>0.0425</v>
      </c>
      <c r="I726" s="31" t="n">
        <f aca="false">IF(H846=1,$C$689,IF(Assumptions!$I$58=1,MAX(I687,Assumptions!$G$58)+Assumptions!$F$58+$C$688,Assumptions!$E$58))</f>
        <v>0.0425</v>
      </c>
      <c r="J726" s="31" t="n">
        <f aca="false">IF(I846=1,$C$689,IF(Assumptions!$I$58=1,MAX(J687,Assumptions!$G$58)+Assumptions!$F$58+$C$688,Assumptions!$E$58))</f>
        <v>0.0425</v>
      </c>
      <c r="K726" s="31" t="n">
        <f aca="false">IF(J846=1,$C$689,IF(Assumptions!$I$58=1,MAX(K687,Assumptions!$G$58)+Assumptions!$F$58+$C$688,Assumptions!$E$58))</f>
        <v>0.0425</v>
      </c>
    </row>
    <row r="727" customFormat="false" ht="15" hidden="false" customHeight="false" outlineLevel="0" collapsed="false">
      <c r="A727" s="3" t="s">
        <v>312</v>
      </c>
      <c r="G727" s="25" t="n">
        <f aca="false">G723*G726</f>
        <v>6.109375</v>
      </c>
      <c r="H727" s="25" t="n">
        <f aca="false">H723*H726</f>
        <v>6.109375</v>
      </c>
      <c r="I727" s="25" t="n">
        <f aca="false">I723*I726</f>
        <v>6.109375</v>
      </c>
      <c r="J727" s="25" t="n">
        <f aca="false">J723*J726</f>
        <v>6.109375</v>
      </c>
      <c r="K727" s="25" t="n">
        <f aca="false">K723*K726</f>
        <v>6.109375</v>
      </c>
    </row>
    <row r="728" customFormat="false" ht="15" hidden="false" customHeight="false" outlineLevel="0" collapsed="false">
      <c r="A728" s="3" t="s">
        <v>313</v>
      </c>
      <c r="G728" s="25" t="n">
        <f aca="false">G723*Assumptions!$H$58</f>
        <v>0</v>
      </c>
      <c r="H728" s="25" t="n">
        <f aca="false">H723*Assumptions!$H$58</f>
        <v>0</v>
      </c>
      <c r="I728" s="25" t="n">
        <f aca="false">I723*Assumptions!$H$58</f>
        <v>0</v>
      </c>
      <c r="J728" s="25" t="n">
        <f aca="false">J723*Assumptions!$H$58</f>
        <v>0</v>
      </c>
      <c r="K728" s="25" t="n">
        <f aca="false">K723*Assumptions!$H$58</f>
        <v>0</v>
      </c>
    </row>
    <row r="729" customFormat="false" ht="15" hidden="false" customHeight="false" outlineLevel="0" collapsed="false">
      <c r="A729" s="3" t="s">
        <v>314</v>
      </c>
      <c r="G729" s="25" t="n">
        <f aca="false">MIN(G723,Assumptions!$L$58*Assumptions!$C$58)</f>
        <v>0</v>
      </c>
      <c r="H729" s="25" t="n">
        <f aca="false">MIN(H723,Assumptions!$L$58*Assumptions!$C$58)</f>
        <v>0</v>
      </c>
      <c r="I729" s="25" t="n">
        <f aca="false">MIN(I723,Assumptions!$L$58*Assumptions!$C$58)</f>
        <v>0</v>
      </c>
      <c r="J729" s="25" t="n">
        <f aca="false">MIN(J723,Assumptions!$L$58*Assumptions!$C$58)</f>
        <v>0</v>
      </c>
      <c r="K729" s="25" t="n">
        <f aca="false">MIN(K723,Assumptions!$L$58*Assumptions!$C$58)</f>
        <v>0</v>
      </c>
    </row>
    <row r="730" customFormat="false" ht="15" hidden="false" customHeight="false" outlineLevel="0" collapsed="false">
      <c r="A730" s="3" t="s">
        <v>315</v>
      </c>
      <c r="G730" s="25" t="n">
        <f aca="false">IF(AND(Assumptions!$P$58=1,G661&lt;Assumptions!$K$58),MIN(MAX(0,-G758),MAX(0,Assumptions!$D$58-G723)),0)</f>
        <v>0</v>
      </c>
      <c r="H730" s="25" t="n">
        <f aca="false">IF(AND(Assumptions!$P$58=1,OR(H661&lt;Assumptions!$K$58,G846=1)),MIN(MAX(0,-H758),MAX(0,Assumptions!$D$58-H723)),0)</f>
        <v>0</v>
      </c>
      <c r="I730" s="25" t="n">
        <f aca="false">IF(AND(Assumptions!$P$58=1,OR(I661&lt;Assumptions!$K$58,H846=1)),MIN(MAX(0,-I758),MAX(0,Assumptions!$D$58-I723)),0)</f>
        <v>0</v>
      </c>
      <c r="J730" s="25" t="n">
        <f aca="false">IF(AND(Assumptions!$P$58=1,OR(J661&lt;Assumptions!$K$58,I846=1)),MIN(MAX(0,-J758),MAX(0,Assumptions!$D$58-J723)),0)</f>
        <v>0</v>
      </c>
      <c r="K730" s="25" t="n">
        <f aca="false">IF(AND(Assumptions!$P$58=1,OR(K661&lt;Assumptions!$K$58,J846=1)),MIN(MAX(0,-K758),MAX(0,Assumptions!$D$58-K723)),0)</f>
        <v>0</v>
      </c>
    </row>
    <row r="731" customFormat="false" ht="15" hidden="false" customHeight="false" outlineLevel="0" collapsed="false">
      <c r="A731" s="3" t="s">
        <v>316</v>
      </c>
      <c r="G731" s="25" t="n">
        <f aca="false">G724*MIN(G723-G729+G728,MAX(0,G760-Assumptions!$C$12*G695-G705-G718))</f>
        <v>0</v>
      </c>
      <c r="H731" s="25" t="n">
        <f aca="false">H724*MIN(H723-H729+H728,MAX(0,H760-Assumptions!$C$12*H695-H705-H718))</f>
        <v>0</v>
      </c>
      <c r="I731" s="25" t="n">
        <f aca="false">I724*MIN(I723-I729+I728,MAX(0,I760-Assumptions!$C$12*I695-I705-I718))</f>
        <v>0</v>
      </c>
      <c r="J731" s="25" t="n">
        <f aca="false">J724*MIN(J723-J729+J728,MAX(0,J760-Assumptions!$C$12*J695-J705-J718))</f>
        <v>0</v>
      </c>
      <c r="K731" s="25" t="n">
        <f aca="false">K724*MIN(K723-K729+K728,MAX(0,K760-Assumptions!$C$12*K695-K705-K718))</f>
        <v>0</v>
      </c>
    </row>
    <row r="732" customFormat="false" ht="15" hidden="false" customHeight="false" outlineLevel="0" collapsed="false">
      <c r="A732" s="3" t="s">
        <v>317</v>
      </c>
      <c r="G732" s="25" t="n">
        <f aca="false">Assumptions!$N$58*MIN(G723+G730+G728-G729-G731,MAX(0,G764-G706-G719))</f>
        <v>0</v>
      </c>
      <c r="H732" s="25" t="n">
        <f aca="false">Assumptions!$N$58*MIN(H723+H730+H728-H729-H731,MAX(0,H764-H706-H719))</f>
        <v>0</v>
      </c>
      <c r="I732" s="25" t="n">
        <f aca="false">Assumptions!$N$58*MIN(I723+I730+I728-I729-I731,MAX(0,I764-I706-I719))</f>
        <v>0</v>
      </c>
      <c r="J732" s="25" t="n">
        <f aca="false">Assumptions!$N$58*MIN(J723+J730+J728-J729-J731,MAX(0,J764-J706-J719))</f>
        <v>0</v>
      </c>
      <c r="K732" s="25" t="n">
        <f aca="false">Assumptions!$N$58*MIN(K723+K730+K728-K729-K731,MAX(0,K764-K706-K719))</f>
        <v>0</v>
      </c>
    </row>
    <row r="733" customFormat="false" ht="15" hidden="false" customHeight="false" outlineLevel="0" collapsed="false">
      <c r="A733" s="3" t="s">
        <v>318</v>
      </c>
      <c r="G733" s="25" t="n">
        <f aca="false">G724*(1-G695)*(G723-G729+G728-G731)</f>
        <v>0</v>
      </c>
      <c r="H733" s="25" t="n">
        <f aca="false">H724*(1-H695)*(H723-H729+H728-H731)</f>
        <v>0</v>
      </c>
      <c r="I733" s="25" t="n">
        <f aca="false">I724*(1-I695)*(I723-I729+I728-I731)</f>
        <v>143.75</v>
      </c>
      <c r="J733" s="25" t="n">
        <f aca="false">J724*(1-J695)*(J723-J729+J728-J731)</f>
        <v>0</v>
      </c>
      <c r="K733" s="25" t="n">
        <f aca="false">K724*(1-K695)*(K723-K729+K728-K731)</f>
        <v>0</v>
      </c>
    </row>
    <row r="734" customFormat="false" ht="15" hidden="false" customHeight="false" outlineLevel="0" collapsed="false">
      <c r="A734" s="2" t="s">
        <v>319</v>
      </c>
      <c r="F734" s="28" t="n">
        <f aca="false">Assumptions!$C$58</f>
        <v>143.75</v>
      </c>
      <c r="G734" s="16" t="n">
        <f aca="false">G723+G730+G728-G729-G731-G732</f>
        <v>143.75</v>
      </c>
      <c r="H734" s="16" t="n">
        <f aca="false">H723+H730+H728-H729-H731-H732</f>
        <v>143.75</v>
      </c>
      <c r="I734" s="16" t="n">
        <f aca="false">I723+I730+I728-I729-I731-I732</f>
        <v>143.75</v>
      </c>
      <c r="J734" s="16" t="n">
        <f aca="false">J723+J730+J728-J729-J731-J732</f>
        <v>143.75</v>
      </c>
      <c r="K734" s="16" t="n">
        <f aca="false">K723+K730+K728-K729-K731-K732</f>
        <v>143.75</v>
      </c>
    </row>
    <row r="735" customFormat="false" ht="15" hidden="false" customHeight="false" outlineLevel="0" collapsed="false">
      <c r="A735" s="23" t="s">
        <v>322</v>
      </c>
      <c r="B735" s="24"/>
      <c r="C735" s="24"/>
      <c r="D735" s="24"/>
      <c r="E735" s="24"/>
      <c r="F735" s="24"/>
      <c r="G735" s="24"/>
      <c r="H735" s="24"/>
      <c r="I735" s="24"/>
      <c r="J735" s="24"/>
      <c r="K735" s="24"/>
    </row>
    <row r="736" customFormat="false" ht="15" hidden="false" customHeight="false" outlineLevel="0" collapsed="false">
      <c r="A736" s="2" t="s">
        <v>323</v>
      </c>
      <c r="F736" s="16" t="n">
        <f aca="false">F708+F721+F734</f>
        <v>1735.554</v>
      </c>
      <c r="G736" s="16" t="n">
        <f aca="false">G708+G721+G734</f>
        <v>1735.554</v>
      </c>
      <c r="H736" s="16" t="n">
        <f aca="false">H708+H721+H734</f>
        <v>1735.554</v>
      </c>
      <c r="I736" s="16" t="n">
        <f aca="false">I708+I721+I734</f>
        <v>1465.18203256832</v>
      </c>
      <c r="J736" s="16" t="n">
        <f aca="false">J708+J721+J734</f>
        <v>1465.18203256832</v>
      </c>
      <c r="K736" s="16" t="n">
        <f aca="false">K708+K721+K734</f>
        <v>1465.18203256832</v>
      </c>
    </row>
    <row r="737" customFormat="false" ht="15" hidden="false" customHeight="false" outlineLevel="0" collapsed="false">
      <c r="A737" s="3" t="s">
        <v>324</v>
      </c>
      <c r="G737" s="25" t="n">
        <f aca="false">G698*Assumptions!$C$56+G711*Assumptions!$C$57+G724*Assumptions!$C$58</f>
        <v>0</v>
      </c>
      <c r="H737" s="25" t="n">
        <f aca="false">H698*Assumptions!$C$56+H711*Assumptions!$C$57+H724*Assumptions!$C$58</f>
        <v>0</v>
      </c>
      <c r="I737" s="25" t="n">
        <f aca="false">I698*Assumptions!$C$56+I711*Assumptions!$C$57+I724*Assumptions!$C$58</f>
        <v>420.456</v>
      </c>
      <c r="J737" s="25" t="n">
        <f aca="false">J698*Assumptions!$C$56+J711*Assumptions!$C$57+J724*Assumptions!$C$58</f>
        <v>0</v>
      </c>
      <c r="K737" s="25" t="n">
        <f aca="false">K698*Assumptions!$C$56+K711*Assumptions!$C$57+K724*Assumptions!$C$58</f>
        <v>0</v>
      </c>
    </row>
    <row r="738" customFormat="false" ht="15" hidden="false" customHeight="false" outlineLevel="0" collapsed="false">
      <c r="A738" s="23" t="s">
        <v>325</v>
      </c>
      <c r="B738" s="24"/>
      <c r="C738" s="24"/>
      <c r="D738" s="24"/>
      <c r="E738" s="24"/>
      <c r="F738" s="24"/>
      <c r="G738" s="24"/>
      <c r="H738" s="24"/>
      <c r="I738" s="24"/>
      <c r="J738" s="24"/>
      <c r="K738" s="24"/>
    </row>
    <row r="739" customFormat="false" ht="15" hidden="false" customHeight="false" outlineLevel="0" collapsed="false">
      <c r="A739" s="3" t="s">
        <v>326</v>
      </c>
      <c r="C739" s="25" t="n">
        <f aca="false">SUMPRODUCT($G$698:$K$698,$G$697:$K$697-$G$703:$K$703+$G$702:$K$702)</f>
        <v>0</v>
      </c>
    </row>
    <row r="740" customFormat="false" ht="15" hidden="false" customHeight="false" outlineLevel="0" collapsed="false">
      <c r="A740" s="3" t="s">
        <v>327</v>
      </c>
      <c r="C740" s="25" t="n">
        <f aca="false">SUMPRODUCT($G$698:$K$698,$G$705:$K$705)</f>
        <v>0</v>
      </c>
    </row>
    <row r="741" customFormat="false" ht="15" hidden="false" customHeight="false" outlineLevel="0" collapsed="false">
      <c r="A741" s="3" t="s">
        <v>328</v>
      </c>
      <c r="C741" s="3" t="str">
        <f aca="false">IF(SUM($G$698:$K$698)=0,"n/a (beyond horizon)",IF(SUMPRODUCT($G$698:$K$698,$G$695:$K$695)&gt;0,"REFINANCING PASS","REFINANCING FAILURE"))</f>
        <v>n/a (beyond horizon)</v>
      </c>
    </row>
    <row r="742" customFormat="false" ht="15" hidden="false" customHeight="false" outlineLevel="0" collapsed="false">
      <c r="A742" s="3" t="s">
        <v>329</v>
      </c>
      <c r="C742" s="3" t="str">
        <f aca="false">IF(SUM($G$698:$K$698)=0,"n/a",IF(C740&gt;=C739-0.001,"Repaid from cash",IF(SUMPRODUCT($G$698:$K$698,$G$695:$K$695)&gt;0,IF(C740&gt;0,"Partly repaid; remainder refinanced","Refinanced"),IF(SUM($G$707:$K$707)&gt;0.001,IF(C740&gt;0,"Partial repayment; PAYMENT DEFAULT","PAYMENT DEFAULT"),"Repaid from cash"))))</f>
        <v>n/a</v>
      </c>
    </row>
    <row r="743" customFormat="false" ht="15" hidden="false" customHeight="false" outlineLevel="0" collapsed="false">
      <c r="A743" s="3" t="s">
        <v>330</v>
      </c>
      <c r="C743" s="25" t="n">
        <f aca="false">SUMPRODUCT($G$711:$K$711,$G$710:$K$710-$G$716:$K$716+$G$715:$K$715)</f>
        <v>276.706</v>
      </c>
    </row>
    <row r="744" customFormat="false" ht="15" hidden="false" customHeight="false" outlineLevel="0" collapsed="false">
      <c r="A744" s="3" t="s">
        <v>331</v>
      </c>
      <c r="C744" s="25" t="n">
        <f aca="false">SUMPRODUCT($G$711:$K$711,$G$718:$K$718)</f>
        <v>270.37196743168</v>
      </c>
    </row>
    <row r="745" customFormat="false" ht="15" hidden="false" customHeight="false" outlineLevel="0" collapsed="false">
      <c r="A745" s="3" t="s">
        <v>332</v>
      </c>
      <c r="C745" s="3" t="str">
        <f aca="false">IF(SUM($G$711:$K$711)=0,"n/a (beyond horizon)",IF(SUMPRODUCT($G$711:$K$711,$G$695:$K$695)&gt;0,"REFINANCING PASS","REFINANCING FAILURE"))</f>
        <v>REFINANCING FAILURE</v>
      </c>
    </row>
    <row r="746" customFormat="false" ht="15" hidden="false" customHeight="false" outlineLevel="0" collapsed="false">
      <c r="A746" s="3" t="s">
        <v>333</v>
      </c>
      <c r="C746" s="3" t="str">
        <f aca="false">IF(SUM($G$711:$K$711)=0,"n/a",IF(C744&gt;=C743-0.001,"Repaid from cash",IF(SUMPRODUCT($G$711:$K$711,$G$695:$K$695)&gt;0,IF(C744&gt;0,"Partly repaid; remainder refinanced","Refinanced"),IF(SUM($G$720:$K$720)&gt;0.001,IF(C744&gt;0,"Partial repayment; PAYMENT DEFAULT","PAYMENT DEFAULT"),"Repaid from cash"))))</f>
        <v>Partial repayment; PAYMENT DEFAULT</v>
      </c>
    </row>
    <row r="747" customFormat="false" ht="15" hidden="false" customHeight="false" outlineLevel="0" collapsed="false">
      <c r="A747" s="3" t="s">
        <v>334</v>
      </c>
      <c r="C747" s="25" t="n">
        <f aca="false">SUMPRODUCT($G$724:$K$724,$G$723:$K$723-$G$729:$K$729+$G$728:$K$728)</f>
        <v>143.75</v>
      </c>
    </row>
    <row r="748" customFormat="false" ht="15" hidden="false" customHeight="false" outlineLevel="0" collapsed="false">
      <c r="A748" s="3" t="s">
        <v>335</v>
      </c>
      <c r="C748" s="25" t="n">
        <f aca="false">SUMPRODUCT($G$724:$K$724,$G$731:$K$731)</f>
        <v>0</v>
      </c>
    </row>
    <row r="749" customFormat="false" ht="15" hidden="false" customHeight="false" outlineLevel="0" collapsed="false">
      <c r="A749" s="3" t="s">
        <v>336</v>
      </c>
      <c r="C749" s="3" t="str">
        <f aca="false">IF(SUM($G$724:$K$724)=0,"n/a (beyond horizon)",IF(SUMPRODUCT($G$724:$K$724,$G$695:$K$695)&gt;0,"REFINANCING PASS","REFINANCING FAILURE"))</f>
        <v>REFINANCING FAILURE</v>
      </c>
    </row>
    <row r="750" customFormat="false" ht="15" hidden="false" customHeight="false" outlineLevel="0" collapsed="false">
      <c r="A750" s="3" t="s">
        <v>337</v>
      </c>
      <c r="C750" s="3" t="str">
        <f aca="false">IF(SUM($G$724:$K$724)=0,"n/a",IF(C748&gt;=C747-0.001,"Repaid from cash",IF(SUMPRODUCT($G$724:$K$724,$G$695:$K$695)&gt;0,IF(C748&gt;0,"Partly repaid; remainder refinanced","Refinanced"),IF(SUM($G$733:$K$733)&gt;0.001,IF(C748&gt;0,"Partial repayment; PAYMENT DEFAULT","PAYMENT DEFAULT"),"Repaid from cash"))))</f>
        <v>PAYMENT DEFAULT</v>
      </c>
    </row>
    <row r="751" customFormat="false" ht="15" hidden="false" customHeight="false" outlineLevel="0" collapsed="false">
      <c r="A751" s="3" t="s">
        <v>338</v>
      </c>
      <c r="C751" s="20" t="n">
        <f aca="false">IF(C741="REFINANCING FAILURE",1,0)+IF(C745="REFINANCING FAILURE",1,0)+IF(C749="REFINANCING FAILURE",1,0)</f>
        <v>2</v>
      </c>
    </row>
    <row r="753" customFormat="false" ht="15" hidden="false" customHeight="false" outlineLevel="0" collapsed="false">
      <c r="A753" s="23" t="s">
        <v>340</v>
      </c>
      <c r="B753" s="24"/>
      <c r="C753" s="24"/>
      <c r="D753" s="24"/>
      <c r="E753" s="24"/>
      <c r="F753" s="24"/>
      <c r="G753" s="24"/>
      <c r="H753" s="24"/>
      <c r="I753" s="24"/>
      <c r="J753" s="24"/>
      <c r="K753" s="24"/>
    </row>
    <row r="754" customFormat="false" ht="15" hidden="false" customHeight="false" outlineLevel="0" collapsed="false">
      <c r="A754" s="3" t="s">
        <v>305</v>
      </c>
      <c r="G754" s="25" t="n">
        <f aca="false">F766</f>
        <v>463.996</v>
      </c>
      <c r="H754" s="25" t="n">
        <f aca="false">G766</f>
        <v>431.67030664</v>
      </c>
      <c r="I754" s="25" t="n">
        <f aca="false">H766</f>
        <v>359.0106596512</v>
      </c>
      <c r="J754" s="25" t="n">
        <f aca="false">I766</f>
        <v>0</v>
      </c>
      <c r="K754" s="25" t="n">
        <f aca="false">J766</f>
        <v>-82.533161826112</v>
      </c>
    </row>
    <row r="755" customFormat="false" ht="15" hidden="false" customHeight="false" outlineLevel="0" collapsed="false">
      <c r="A755" s="3" t="s">
        <v>341</v>
      </c>
      <c r="G755" s="25" t="n">
        <f aca="false">G684</f>
        <v>-32.32569336</v>
      </c>
      <c r="H755" s="25" t="n">
        <f aca="false">H684</f>
        <v>-72.6596469888</v>
      </c>
      <c r="I755" s="25" t="n">
        <f aca="false">I684</f>
        <v>-88.63869221952</v>
      </c>
      <c r="J755" s="25" t="n">
        <f aca="false">J684</f>
        <v>-82.533161826112</v>
      </c>
      <c r="K755" s="25" t="n">
        <f aca="false">K684</f>
        <v>-86.2490037995945</v>
      </c>
    </row>
    <row r="756" customFormat="false" ht="15" hidden="false" customHeight="false" outlineLevel="0" collapsed="false">
      <c r="A756" s="3" t="s">
        <v>342</v>
      </c>
      <c r="G756" s="25" t="n">
        <f aca="false">CHOOSE($C$654,Assumptions!$G$74,Assumptions!$G$93,Assumptions!$G$112)</f>
        <v>0</v>
      </c>
      <c r="H756" s="25" t="n">
        <f aca="false">CHOOSE($C$654,Assumptions!$H$74,Assumptions!$H$93,Assumptions!$H$112)</f>
        <v>0</v>
      </c>
      <c r="I756" s="25" t="n">
        <f aca="false">CHOOSE($C$654,Assumptions!$I$74,Assumptions!$I$93,Assumptions!$I$112)</f>
        <v>0</v>
      </c>
      <c r="J756" s="25" t="n">
        <f aca="false">CHOOSE($C$654,Assumptions!$J$74,Assumptions!$J$93,Assumptions!$J$112)</f>
        <v>0</v>
      </c>
      <c r="K756" s="25" t="n">
        <f aca="false">CHOOSE($C$654,Assumptions!$K$74,Assumptions!$K$93,Assumptions!$K$112)</f>
        <v>0</v>
      </c>
    </row>
    <row r="757" customFormat="false" ht="15" hidden="false" customHeight="false" outlineLevel="0" collapsed="false">
      <c r="A757" s="3" t="s">
        <v>343</v>
      </c>
      <c r="G757" s="25" t="n">
        <f aca="false">G703+G716+G729</f>
        <v>0</v>
      </c>
      <c r="H757" s="25" t="n">
        <f aca="false">H703+H716+H729</f>
        <v>0</v>
      </c>
      <c r="I757" s="25" t="n">
        <f aca="false">I703+I716+I729</f>
        <v>0</v>
      </c>
      <c r="J757" s="25" t="n">
        <f aca="false">J703+J716+J729</f>
        <v>0</v>
      </c>
      <c r="K757" s="25" t="n">
        <f aca="false">K703+K716+K729</f>
        <v>0</v>
      </c>
    </row>
    <row r="758" customFormat="false" ht="15" hidden="false" customHeight="false" outlineLevel="0" collapsed="false">
      <c r="A758" s="2" t="s">
        <v>344</v>
      </c>
      <c r="G758" s="16" t="n">
        <f aca="false">G754+G755+G756-G757</f>
        <v>431.67030664</v>
      </c>
      <c r="H758" s="16" t="n">
        <f aca="false">H754+H755+H756-H757</f>
        <v>359.0106596512</v>
      </c>
      <c r="I758" s="16" t="n">
        <f aca="false">I754+I755+I756-I757</f>
        <v>270.37196743168</v>
      </c>
      <c r="J758" s="16" t="n">
        <f aca="false">J754+J755+J756-J757</f>
        <v>-82.533161826112</v>
      </c>
      <c r="K758" s="16" t="n">
        <f aca="false">K754+K755+K756-K757</f>
        <v>-168.782165625707</v>
      </c>
    </row>
    <row r="759" customFormat="false" ht="15" hidden="false" customHeight="false" outlineLevel="0" collapsed="false">
      <c r="A759" s="3" t="s">
        <v>345</v>
      </c>
      <c r="G759" s="25" t="n">
        <f aca="false">G704+G717+G730</f>
        <v>0</v>
      </c>
      <c r="H759" s="25" t="n">
        <f aca="false">H704+H717+H730</f>
        <v>0</v>
      </c>
      <c r="I759" s="25" t="n">
        <f aca="false">I704+I717+I730</f>
        <v>0</v>
      </c>
      <c r="J759" s="25" t="n">
        <f aca="false">J704+J717+J730</f>
        <v>0</v>
      </c>
      <c r="K759" s="25" t="n">
        <f aca="false">K704+K717+K730</f>
        <v>0</v>
      </c>
    </row>
    <row r="760" customFormat="false" ht="15" hidden="false" customHeight="false" outlineLevel="0" collapsed="false">
      <c r="A760" s="2" t="s">
        <v>346</v>
      </c>
      <c r="G760" s="16" t="n">
        <f aca="false">G758+G759</f>
        <v>431.67030664</v>
      </c>
      <c r="H760" s="16" t="n">
        <f aca="false">H758+H759</f>
        <v>359.0106596512</v>
      </c>
      <c r="I760" s="16" t="n">
        <f aca="false">I758+I759</f>
        <v>270.37196743168</v>
      </c>
      <c r="J760" s="16" t="n">
        <f aca="false">J758+J759</f>
        <v>-82.533161826112</v>
      </c>
      <c r="K760" s="16" t="n">
        <f aca="false">K758+K759</f>
        <v>-168.782165625707</v>
      </c>
    </row>
    <row r="761" customFormat="false" ht="15" hidden="false" customHeight="false" outlineLevel="0" collapsed="false">
      <c r="A761" s="3" t="s">
        <v>347</v>
      </c>
      <c r="G761" s="25" t="n">
        <f aca="false">G705+G718+G731</f>
        <v>0</v>
      </c>
      <c r="H761" s="25" t="n">
        <f aca="false">H705+H718+H731</f>
        <v>0</v>
      </c>
      <c r="I761" s="25" t="n">
        <f aca="false">I705+I718+I731</f>
        <v>270.37196743168</v>
      </c>
      <c r="J761" s="25" t="n">
        <f aca="false">J705+J718+J731</f>
        <v>0</v>
      </c>
      <c r="K761" s="25" t="n">
        <f aca="false">K705+K718+K731</f>
        <v>0</v>
      </c>
    </row>
    <row r="762" customFormat="false" ht="15" hidden="false" customHeight="false" outlineLevel="0" collapsed="false">
      <c r="A762" s="2" t="s">
        <v>348</v>
      </c>
      <c r="G762" s="16" t="n">
        <f aca="false">G760-G761</f>
        <v>431.67030664</v>
      </c>
      <c r="H762" s="16" t="n">
        <f aca="false">H760-H761</f>
        <v>359.0106596512</v>
      </c>
      <c r="I762" s="16" t="n">
        <f aca="false">I760-I761</f>
        <v>0</v>
      </c>
      <c r="J762" s="16" t="n">
        <f aca="false">J760-J761</f>
        <v>-82.533161826112</v>
      </c>
      <c r="K762" s="16" t="n">
        <f aca="false">K760-K761</f>
        <v>-168.782165625707</v>
      </c>
    </row>
    <row r="763" customFormat="false" ht="15" hidden="false" customHeight="false" outlineLevel="0" collapsed="false">
      <c r="A763" s="3" t="s">
        <v>349</v>
      </c>
      <c r="G763" s="25" t="n">
        <f aca="false">MAX(0,-G762)</f>
        <v>0</v>
      </c>
      <c r="H763" s="25" t="n">
        <f aca="false">MAX(0,-H762)</f>
        <v>0</v>
      </c>
      <c r="I763" s="25" t="n">
        <f aca="false">MAX(0,-I762)</f>
        <v>-0</v>
      </c>
      <c r="J763" s="25" t="n">
        <f aca="false">MAX(0,-J762)</f>
        <v>82.533161826112</v>
      </c>
      <c r="K763" s="25" t="n">
        <f aca="false">MAX(0,-K762)</f>
        <v>168.782165625707</v>
      </c>
    </row>
    <row r="764" customFormat="false" ht="15" hidden="false" customHeight="false" outlineLevel="0" collapsed="false">
      <c r="A764" s="3" t="s">
        <v>350</v>
      </c>
      <c r="G764" s="25" t="n">
        <f aca="false">MAX(0,G762-Assumptions!$C$12)*Assumptions!$C$13</f>
        <v>0</v>
      </c>
      <c r="H764" s="25" t="n">
        <f aca="false">MAX(0,H762-Assumptions!$C$12)*Assumptions!$C$13</f>
        <v>0</v>
      </c>
      <c r="I764" s="25" t="n">
        <f aca="false">MAX(0,I762-Assumptions!$C$12)*Assumptions!$C$13</f>
        <v>0</v>
      </c>
      <c r="J764" s="25" t="n">
        <f aca="false">MAX(0,J762-Assumptions!$C$12)*Assumptions!$C$13</f>
        <v>0</v>
      </c>
      <c r="K764" s="25" t="n">
        <f aca="false">MAX(0,K762-Assumptions!$C$12)*Assumptions!$C$13</f>
        <v>0</v>
      </c>
    </row>
    <row r="765" customFormat="false" ht="15" hidden="false" customHeight="false" outlineLevel="0" collapsed="false">
      <c r="A765" s="3" t="s">
        <v>351</v>
      </c>
      <c r="G765" s="25" t="n">
        <f aca="false">G706+G719+G732</f>
        <v>0</v>
      </c>
      <c r="H765" s="25" t="n">
        <f aca="false">H706+H719+H732</f>
        <v>0</v>
      </c>
      <c r="I765" s="25" t="n">
        <f aca="false">I706+I719+I732</f>
        <v>0</v>
      </c>
      <c r="J765" s="25" t="n">
        <f aca="false">J706+J719+J732</f>
        <v>0</v>
      </c>
      <c r="K765" s="25" t="n">
        <f aca="false">K706+K719+K732</f>
        <v>0</v>
      </c>
    </row>
    <row r="766" customFormat="false" ht="15" hidden="false" customHeight="false" outlineLevel="0" collapsed="false">
      <c r="A766" s="2" t="s">
        <v>352</v>
      </c>
      <c r="F766" s="28" t="n">
        <f aca="false">Assumptions!$C$11</f>
        <v>463.996</v>
      </c>
      <c r="G766" s="16" t="n">
        <f aca="false">G762-G765</f>
        <v>431.67030664</v>
      </c>
      <c r="H766" s="16" t="n">
        <f aca="false">H762-H765</f>
        <v>359.0106596512</v>
      </c>
      <c r="I766" s="16" t="n">
        <f aca="false">I762-I765</f>
        <v>0</v>
      </c>
      <c r="J766" s="16" t="n">
        <f aca="false">J762-J765</f>
        <v>-82.533161826112</v>
      </c>
      <c r="K766" s="16" t="n">
        <f aca="false">K762-K765</f>
        <v>-168.782165625707</v>
      </c>
    </row>
    <row r="767" customFormat="false" ht="15" hidden="false" customHeight="false" outlineLevel="0" collapsed="false">
      <c r="A767" s="3" t="s">
        <v>353</v>
      </c>
      <c r="G767" s="25" t="n">
        <f aca="false">G707+G720+G733</f>
        <v>0</v>
      </c>
      <c r="H767" s="25" t="n">
        <f aca="false">H707+H720+H733</f>
        <v>0</v>
      </c>
      <c r="I767" s="25" t="n">
        <f aca="false">I707+I720+I733</f>
        <v>150.08403256832</v>
      </c>
      <c r="J767" s="25" t="n">
        <f aca="false">J707+J720+J733</f>
        <v>0</v>
      </c>
      <c r="K767" s="25" t="n">
        <f aca="false">K707+K720+K733</f>
        <v>0</v>
      </c>
    </row>
    <row r="768" customFormat="false" ht="15" hidden="false" customHeight="false" outlineLevel="0" collapsed="false">
      <c r="A768" s="3" t="s">
        <v>354</v>
      </c>
      <c r="G768" s="20" t="n">
        <f aca="false">IF(OR(G763&gt;0.001,G767&gt;0.001),1,0)</f>
        <v>0</v>
      </c>
      <c r="H768" s="20" t="n">
        <f aca="false">IF(OR(H763&gt;0.001,H767&gt;0.001),1,0)</f>
        <v>0</v>
      </c>
      <c r="I768" s="20" t="n">
        <f aca="false">IF(OR(I763&gt;0.001,I767&gt;0.001),1,0)</f>
        <v>1</v>
      </c>
      <c r="J768" s="20" t="n">
        <f aca="false">IF(OR(J763&gt;0.001,J767&gt;0.001),1,0)</f>
        <v>1</v>
      </c>
      <c r="K768" s="20" t="n">
        <f aca="false">IF(OR(K763&gt;0.001,K767&gt;0.001),1,0)</f>
        <v>1</v>
      </c>
    </row>
    <row r="769" customFormat="false" ht="15" hidden="false" customHeight="false" outlineLevel="0" collapsed="false">
      <c r="A769" s="3" t="s">
        <v>355</v>
      </c>
      <c r="G769" s="20" t="n">
        <f aca="false">IF(G768=1,1,0)</f>
        <v>0</v>
      </c>
      <c r="H769" s="20" t="n">
        <f aca="false">IF(AND(H768=1,SUM($G$768:G768)=0),1,0)</f>
        <v>0</v>
      </c>
      <c r="I769" s="20" t="n">
        <f aca="false">IF(AND(I768=1,SUM($G$768:H768)=0),1,0)</f>
        <v>1</v>
      </c>
      <c r="J769" s="20" t="n">
        <f aca="false">IF(AND(J768=1,SUM($G$768:I768)=0),1,0)</f>
        <v>0</v>
      </c>
      <c r="K769" s="20" t="n">
        <f aca="false">IF(AND(K768=1,SUM($G$768:J768)=0),1,0)</f>
        <v>0</v>
      </c>
    </row>
    <row r="770" customFormat="false" ht="15" hidden="false" customHeight="false" outlineLevel="0" collapsed="false">
      <c r="A770" s="3" t="s">
        <v>356</v>
      </c>
      <c r="G770" s="25" t="n">
        <f aca="false">(G736-F736)-(G759+G676-G757-G761-G765)</f>
        <v>0</v>
      </c>
      <c r="H770" s="25" t="n">
        <f aca="false">(H736-G736)-(H759+H676-H757-H761-H765)</f>
        <v>0</v>
      </c>
      <c r="I770" s="25" t="n">
        <f aca="false">(I736-H736)-(I759+I676-I757-I761-I765)</f>
        <v>0</v>
      </c>
      <c r="J770" s="25" t="n">
        <f aca="false">(J736-I736)-(J759+J676-J757-J761-J765)</f>
        <v>0</v>
      </c>
      <c r="K770" s="25" t="n">
        <f aca="false">(K736-J736)-(K759+K676-K757-K761-K765)</f>
        <v>0</v>
      </c>
    </row>
    <row r="772" customFormat="false" ht="15" hidden="false" customHeight="false" outlineLevel="0" collapsed="false">
      <c r="A772" s="23" t="s">
        <v>358</v>
      </c>
      <c r="B772" s="24"/>
      <c r="C772" s="24"/>
      <c r="D772" s="24"/>
      <c r="E772" s="24"/>
      <c r="F772" s="24"/>
      <c r="G772" s="24"/>
      <c r="H772" s="24"/>
      <c r="I772" s="24"/>
      <c r="J772" s="24"/>
      <c r="K772" s="24"/>
    </row>
    <row r="773" customFormat="false" ht="15" hidden="false" customHeight="false" outlineLevel="0" collapsed="false">
      <c r="A773" s="3" t="s">
        <v>359</v>
      </c>
      <c r="G773" s="25" t="n">
        <f aca="false">G736</f>
        <v>1735.554</v>
      </c>
      <c r="H773" s="25" t="n">
        <f aca="false">H736</f>
        <v>1735.554</v>
      </c>
      <c r="I773" s="25" t="n">
        <f aca="false">I736</f>
        <v>1465.18203256832</v>
      </c>
      <c r="J773" s="25" t="n">
        <f aca="false">J736</f>
        <v>1465.18203256832</v>
      </c>
      <c r="K773" s="25" t="n">
        <f aca="false">K736</f>
        <v>1465.18203256832</v>
      </c>
    </row>
    <row r="774" customFormat="false" ht="15" hidden="false" customHeight="false" outlineLevel="0" collapsed="false">
      <c r="A774" s="3" t="s">
        <v>360</v>
      </c>
      <c r="G774" s="25" t="n">
        <f aca="false">Assumptions!$O$56*G708+Assumptions!$O$57*G721+Assumptions!$O$58*G734</f>
        <v>1315.098</v>
      </c>
      <c r="H774" s="25" t="n">
        <f aca="false">Assumptions!$O$56*H708+Assumptions!$O$57*H721+Assumptions!$O$58*H734</f>
        <v>1315.098</v>
      </c>
      <c r="I774" s="25" t="n">
        <f aca="false">Assumptions!$O$56*I708+Assumptions!$O$57*I721+Assumptions!$O$58*I734</f>
        <v>1315.098</v>
      </c>
      <c r="J774" s="25" t="n">
        <f aca="false">Assumptions!$O$56*J708+Assumptions!$O$57*J721+Assumptions!$O$58*J734</f>
        <v>1315.098</v>
      </c>
      <c r="K774" s="25" t="n">
        <f aca="false">Assumptions!$O$56*K708+Assumptions!$O$57*K721+Assumptions!$O$58*K734</f>
        <v>1315.098</v>
      </c>
    </row>
    <row r="775" customFormat="false" ht="15" hidden="false" customHeight="false" outlineLevel="0" collapsed="false">
      <c r="A775" s="3" t="s">
        <v>361</v>
      </c>
      <c r="G775" s="25" t="n">
        <f aca="false">G773-G766</f>
        <v>1303.88369336</v>
      </c>
      <c r="H775" s="25" t="n">
        <f aca="false">H773-H766</f>
        <v>1376.5433403488</v>
      </c>
      <c r="I775" s="25" t="n">
        <f aca="false">I773-I766</f>
        <v>1465.18203256832</v>
      </c>
      <c r="J775" s="25" t="n">
        <f aca="false">J773-J766</f>
        <v>1547.71519439443</v>
      </c>
      <c r="K775" s="25" t="n">
        <f aca="false">K773-K766</f>
        <v>1633.96419819403</v>
      </c>
    </row>
    <row r="776" customFormat="false" ht="15" hidden="false" customHeight="false" outlineLevel="0" collapsed="false">
      <c r="A776" s="3" t="s">
        <v>362</v>
      </c>
      <c r="G776" s="32" t="n">
        <f aca="false">IF(G671&gt;0,G773/G671,0)</f>
        <v>9.98286782658702</v>
      </c>
      <c r="H776" s="32" t="n">
        <f aca="false">IF(H671&gt;0,H773/H671,0)</f>
        <v>13.6130015817096</v>
      </c>
      <c r="I776" s="32" t="n">
        <f aca="false">IF(I671&gt;0,I773/I671,0)</f>
        <v>13.6813219341771</v>
      </c>
      <c r="J776" s="32" t="n">
        <f aca="false">IF(J671&gt;0,J773/J671,0)</f>
        <v>14.8710021023664</v>
      </c>
      <c r="K776" s="32" t="n">
        <f aca="false">IF(K671&gt;0,K773/K671,0)</f>
        <v>15.8202150025174</v>
      </c>
    </row>
    <row r="777" customFormat="false" ht="15" hidden="false" customHeight="false" outlineLevel="0" collapsed="false">
      <c r="A777" s="3" t="s">
        <v>363</v>
      </c>
      <c r="G777" s="32" t="n">
        <f aca="false">IF(G671&gt;0,G775/G671,0)</f>
        <v>7.49990986858087</v>
      </c>
      <c r="H777" s="32" t="n">
        <f aca="false">IF(H671&gt;0,H775/H671,0)</f>
        <v>10.7970634560838</v>
      </c>
      <c r="I777" s="32" t="n">
        <f aca="false">IF(I671&gt;0,I775/I671,0)</f>
        <v>13.6813219341771</v>
      </c>
      <c r="J777" s="32" t="n">
        <f aca="false">IF(J671&gt;0,J775/J671,0)</f>
        <v>15.7086801490181</v>
      </c>
      <c r="K777" s="32" t="n">
        <f aca="false">IF(K671&gt;0,K775/K671,0)</f>
        <v>17.6426302993449</v>
      </c>
    </row>
    <row r="778" customFormat="false" ht="15" hidden="false" customHeight="false" outlineLevel="0" collapsed="false">
      <c r="A778" s="3" t="s">
        <v>364</v>
      </c>
      <c r="G778" s="32" t="n">
        <f aca="false">IF(G675&gt;0,G671/G675,0)</f>
        <v>1.11476782580477</v>
      </c>
      <c r="H778" s="32" t="n">
        <f aca="false">IF(H675&gt;0,H671/H675,0)</f>
        <v>0.817496405590163</v>
      </c>
      <c r="I778" s="32" t="n">
        <f aca="false">IF(I675&gt;0,I671/I675,0)</f>
        <v>0.686696980695737</v>
      </c>
      <c r="J778" s="32" t="n">
        <f aca="false">IF(J675&gt;0,J671/J675,0)</f>
        <v>0.682012179303795</v>
      </c>
      <c r="K778" s="32" t="n">
        <f aca="false">IF(K675&gt;0,K671/K675,0)</f>
        <v>0.641091448545568</v>
      </c>
    </row>
    <row r="779" customFormat="false" ht="15" hidden="false" customHeight="false" outlineLevel="0" collapsed="false">
      <c r="A779" s="3" t="s">
        <v>365</v>
      </c>
      <c r="G779" s="32" t="n">
        <f aca="false">IF(G675&gt;0,G674/G675,0)</f>
        <v>0.510100328512125</v>
      </c>
      <c r="H779" s="32" t="n">
        <f aca="false">IF(H675&gt;0,H674/H675,0)</f>
        <v>0.285389007972637</v>
      </c>
      <c r="I779" s="32" t="n">
        <f aca="false">IF(I675&gt;0,I674/I675,0)</f>
        <v>0.207800322839964</v>
      </c>
      <c r="J779" s="32" t="n">
        <f aca="false">IF(J675&gt;0,J674/J675,0)</f>
        <v>0.206382662257416</v>
      </c>
      <c r="K779" s="32" t="n">
        <f aca="false">IF(K675&gt;0,K674/K675,0)</f>
        <v>0.193999702521971</v>
      </c>
    </row>
    <row r="780" customFormat="false" ht="15" hidden="false" customHeight="false" outlineLevel="0" collapsed="false">
      <c r="A780" s="3" t="s">
        <v>198</v>
      </c>
      <c r="G780" s="21" t="n">
        <f aca="false">IF(G773&gt;0,G684/G773,0)</f>
        <v>-0.0186255762482758</v>
      </c>
      <c r="H780" s="21" t="n">
        <f aca="false">IF(H773&gt;0,H684/H773,0)</f>
        <v>-0.0418653911020919</v>
      </c>
      <c r="I780" s="21" t="n">
        <f aca="false">IF(I773&gt;0,I684/I773,0)</f>
        <v>-0.0604967097938985</v>
      </c>
      <c r="J780" s="21" t="n">
        <f aca="false">IF(J773&gt;0,J684/J773,0)</f>
        <v>-0.0563296300333683</v>
      </c>
      <c r="K780" s="21" t="n">
        <f aca="false">IF(K773&gt;0,K684/K773,0)</f>
        <v>-0.0588657258159305</v>
      </c>
    </row>
    <row r="781" customFormat="false" ht="15" hidden="false" customHeight="false" outlineLevel="0" collapsed="false">
      <c r="A781" s="3" t="s">
        <v>366</v>
      </c>
      <c r="G781" s="32" t="n">
        <f aca="false">IF(G675+G757&gt;0,(G671-G682-G679)/(G675+G757),0)</f>
        <v>0.978518424873074</v>
      </c>
      <c r="H781" s="32" t="n">
        <f aca="false">IF(H675+H757&gt;0,(H671-H682-H679)/(H675+H757),0)</f>
        <v>0.697596932770272</v>
      </c>
      <c r="I781" s="32" t="n">
        <f aca="false">IF(I675+I757&gt;0,(I671-I682-I679)/(I675+I757),0)</f>
        <v>0.578787455157835</v>
      </c>
      <c r="J781" s="32" t="n">
        <f aca="false">IF(J675+J757&gt;0,(J671-J682-J679)/(J675+J757),0)</f>
        <v>0.57483883684177</v>
      </c>
      <c r="K781" s="32" t="n">
        <f aca="false">IF(K675+K757&gt;0,(K671-K682-K679)/(K675+K757),0)</f>
        <v>0.540348506631264</v>
      </c>
    </row>
    <row r="782" customFormat="false" ht="15" hidden="false" customHeight="false" outlineLevel="0" collapsed="false">
      <c r="A782" s="3" t="s">
        <v>367</v>
      </c>
      <c r="G782" s="25" t="n">
        <f aca="false">MAX(0,G766)+Assumptions!$P$56*MAX(0,Assumptions!$D$56-G708)+Assumptions!$P$57*MAX(0,Assumptions!$D$57-G721)+Assumptions!$P$58*MAX(0,Assumptions!$D$58-G734)</f>
        <v>431.67030664</v>
      </c>
      <c r="H782" s="25" t="n">
        <f aca="false">MAX(0,H766)+Assumptions!$P$56*MAX(0,Assumptions!$D$56-H708)+Assumptions!$P$57*MAX(0,Assumptions!$D$57-H721)+Assumptions!$P$58*MAX(0,Assumptions!$D$58-H734)</f>
        <v>359.0106596512</v>
      </c>
      <c r="I782" s="25" t="n">
        <f aca="false">MAX(0,I766)+Assumptions!$P$56*MAX(0,Assumptions!$D$56-I708)+Assumptions!$P$57*MAX(0,Assumptions!$D$57-I721)+Assumptions!$P$58*MAX(0,Assumptions!$D$58-I734)</f>
        <v>0</v>
      </c>
      <c r="J782" s="25" t="n">
        <f aca="false">MAX(0,J766)+Assumptions!$P$56*MAX(0,Assumptions!$D$56-J708)+Assumptions!$P$57*MAX(0,Assumptions!$D$57-J721)+Assumptions!$P$58*MAX(0,Assumptions!$D$58-J734)</f>
        <v>0</v>
      </c>
      <c r="K782" s="25" t="n">
        <f aca="false">MAX(0,K766)+Assumptions!$P$56*MAX(0,Assumptions!$D$56-K708)+Assumptions!$P$57*MAX(0,Assumptions!$D$57-K721)+Assumptions!$P$58*MAX(0,Assumptions!$D$58-K734)</f>
        <v>0</v>
      </c>
    </row>
    <row r="783" customFormat="false" ht="15" hidden="false" customHeight="false" outlineLevel="0" collapsed="false">
      <c r="A783" s="3" t="s">
        <v>368</v>
      </c>
      <c r="G783" s="21" t="n">
        <f aca="false">IF(G773&gt;0,G773/(G773+MAX(0,G671*CHOOSE($C$654,Assumptions!$C$82,Assumptions!$C$101,Assumptions!$C$120)-G775)),0)</f>
        <v>1</v>
      </c>
      <c r="H783" s="21" t="n">
        <f aca="false">IF(H773&gt;0,H773/(H773+MAX(0,H671*CHOOSE($C$654,Assumptions!$C$82,Assumptions!$C$101,Assumptions!$C$120)-H775)),0)</f>
        <v>1</v>
      </c>
      <c r="I783" s="21" t="n">
        <f aca="false">IF(I773&gt;0,I773/(I773+MAX(0,I671*CHOOSE($C$654,Assumptions!$C$82,Assumptions!$C$101,Assumptions!$C$120)-I775)),0)</f>
        <v>1</v>
      </c>
      <c r="J783" s="21" t="n">
        <f aca="false">IF(J773&gt;0,J773/(J773+MAX(0,J671*CHOOSE($C$654,Assumptions!$C$82,Assumptions!$C$101,Assumptions!$C$120)-J775)),0)</f>
        <v>1</v>
      </c>
      <c r="K783" s="21" t="n">
        <f aca="false">IF(K773&gt;0,K773/(K773+MAX(0,K671*CHOOSE($C$654,Assumptions!$C$82,Assumptions!$C$101,Assumptions!$C$120)-K775)),0)</f>
        <v>1</v>
      </c>
    </row>
    <row r="784" customFormat="false" ht="15" hidden="false" customHeight="false" outlineLevel="0" collapsed="false">
      <c r="A784" s="3" t="s">
        <v>369</v>
      </c>
      <c r="G784" s="21" t="n">
        <f aca="false">IF(G773&gt;0,MAX(0,G766)/G773,0)</f>
        <v>0.248721910490829</v>
      </c>
      <c r="H784" s="21" t="n">
        <f aca="false">IF(H773&gt;0,MAX(0,H766)/H773,0)</f>
        <v>0.206856519388737</v>
      </c>
      <c r="I784" s="21" t="n">
        <f aca="false">IF(I773&gt;0,MAX(0,I766)/I773,0)</f>
        <v>0</v>
      </c>
      <c r="J784" s="21" t="n">
        <f aca="false">IF(J773&gt;0,MAX(0,J766)/J773,0)</f>
        <v>0</v>
      </c>
      <c r="K784" s="21" t="n">
        <f aca="false">IF(K773&gt;0,MAX(0,K766)/K773,0)</f>
        <v>0</v>
      </c>
    </row>
    <row r="785" customFormat="false" ht="15" hidden="false" customHeight="false" outlineLevel="0" collapsed="false">
      <c r="A785" s="3" t="s">
        <v>370</v>
      </c>
      <c r="G785" s="25" t="n">
        <f aca="false">Assumptions!$C$30*(1-CHOOSE($C$654,Assumptions!$C$85,Assumptions!$C$104,Assumptions!$C$123))</f>
        <v>1595.73115</v>
      </c>
      <c r="H785" s="25" t="n">
        <f aca="false">Assumptions!$C$30*(1-CHOOSE($C$654,Assumptions!$C$85,Assumptions!$C$104,Assumptions!$C$123))</f>
        <v>1595.73115</v>
      </c>
      <c r="I785" s="25" t="n">
        <f aca="false">Assumptions!$C$30*(1-CHOOSE($C$654,Assumptions!$C$85,Assumptions!$C$104,Assumptions!$C$123))</f>
        <v>1595.73115</v>
      </c>
      <c r="J785" s="25" t="n">
        <f aca="false">Assumptions!$C$30*(1-CHOOSE($C$654,Assumptions!$C$85,Assumptions!$C$104,Assumptions!$C$123))</f>
        <v>1595.73115</v>
      </c>
      <c r="K785" s="25" t="n">
        <f aca="false">Assumptions!$C$30*(1-CHOOSE($C$654,Assumptions!$C$85,Assumptions!$C$104,Assumptions!$C$123))</f>
        <v>1595.73115</v>
      </c>
    </row>
    <row r="786" customFormat="false" ht="15" hidden="false" customHeight="false" outlineLevel="0" collapsed="false">
      <c r="A786" s="23" t="s">
        <v>371</v>
      </c>
      <c r="B786" s="24"/>
      <c r="C786" s="24"/>
      <c r="D786" s="24"/>
      <c r="E786" s="24"/>
      <c r="F786" s="24"/>
      <c r="G786" s="24"/>
      <c r="H786" s="24"/>
      <c r="I786" s="24"/>
      <c r="J786" s="24"/>
      <c r="K786" s="24"/>
    </row>
    <row r="787" customFormat="false" ht="15" hidden="false" customHeight="false" outlineLevel="0" collapsed="false">
      <c r="A787" s="23" t="s">
        <v>372</v>
      </c>
      <c r="B787" s="24"/>
      <c r="C787" s="24"/>
      <c r="D787" s="24"/>
      <c r="E787" s="24"/>
      <c r="F787" s="24"/>
      <c r="G787" s="24"/>
      <c r="H787" s="24"/>
      <c r="I787" s="24"/>
      <c r="J787" s="24"/>
      <c r="K787" s="24"/>
    </row>
    <row r="788" customFormat="false" ht="15" hidden="false" customHeight="false" outlineLevel="0" collapsed="false">
      <c r="A788" s="3" t="s">
        <v>373</v>
      </c>
      <c r="G788" s="32" t="n">
        <f aca="false">IF(G671&gt;0,G775/G671,99)</f>
        <v>7.49990986858087</v>
      </c>
      <c r="H788" s="32" t="n">
        <f aca="false">IF(H671&gt;0,H775/H671,99)</f>
        <v>10.7970634560838</v>
      </c>
      <c r="I788" s="32" t="n">
        <f aca="false">IF(I671&gt;0,I775/I671,99)</f>
        <v>13.6813219341771</v>
      </c>
      <c r="J788" s="32" t="n">
        <f aca="false">IF(J671&gt;0,J775/J671,99)</f>
        <v>15.7086801490181</v>
      </c>
      <c r="K788" s="32" t="n">
        <f aca="false">IF(K671&gt;0,K775/K671,99)</f>
        <v>17.6426302993449</v>
      </c>
    </row>
    <row r="789" customFormat="false" ht="15" hidden="false" customHeight="false" outlineLevel="0" collapsed="false">
      <c r="A789" s="3" t="s">
        <v>374</v>
      </c>
      <c r="G789" s="33" t="n">
        <f aca="false">Assumptions!$G$65</f>
        <v>5.25</v>
      </c>
      <c r="H789" s="33" t="n">
        <f aca="false">Assumptions!$H$65</f>
        <v>5.25</v>
      </c>
      <c r="I789" s="33" t="n">
        <f aca="false">Assumptions!$I$65</f>
        <v>5</v>
      </c>
      <c r="J789" s="33" t="n">
        <f aca="false">Assumptions!$J$65</f>
        <v>5</v>
      </c>
      <c r="K789" s="33" t="n">
        <f aca="false">Assumptions!$K$65</f>
        <v>5</v>
      </c>
    </row>
    <row r="790" customFormat="false" ht="15" hidden="false" customHeight="false" outlineLevel="0" collapsed="false">
      <c r="A790" s="3" t="s">
        <v>375</v>
      </c>
      <c r="G790" s="32" t="n">
        <f aca="false">G789-G788</f>
        <v>-2.24990986858086</v>
      </c>
      <c r="H790" s="32" t="n">
        <f aca="false">H789-H788</f>
        <v>-5.54706345608375</v>
      </c>
      <c r="I790" s="32" t="n">
        <f aca="false">I789-I788</f>
        <v>-8.68132193417709</v>
      </c>
      <c r="J790" s="32" t="n">
        <f aca="false">J789-J788</f>
        <v>-10.7086801490181</v>
      </c>
      <c r="K790" s="32" t="n">
        <f aca="false">K789-K788</f>
        <v>-12.6426302993449</v>
      </c>
    </row>
    <row r="791" customFormat="false" ht="15" hidden="false" customHeight="false" outlineLevel="0" collapsed="false">
      <c r="A791" s="3" t="s">
        <v>376</v>
      </c>
      <c r="G791" s="21" t="n">
        <f aca="false">IF(G789=0,0,G790/ABS(G789))</f>
        <v>-0.42855426068207</v>
      </c>
      <c r="H791" s="21" t="n">
        <f aca="false">IF(H789=0,0,H790/ABS(H789))</f>
        <v>-1.05658351544452</v>
      </c>
      <c r="I791" s="21" t="n">
        <f aca="false">IF(I789=0,0,I790/ABS(I789))</f>
        <v>-1.73626438683542</v>
      </c>
      <c r="J791" s="21" t="n">
        <f aca="false">IF(J789=0,0,J790/ABS(J789))</f>
        <v>-2.14173602980363</v>
      </c>
      <c r="K791" s="21" t="n">
        <f aca="false">IF(K789=0,0,K790/ABS(K789))</f>
        <v>-2.52852605986897</v>
      </c>
    </row>
    <row r="792" customFormat="false" ht="15" hidden="false" customHeight="false" outlineLevel="0" collapsed="false">
      <c r="A792" s="3" t="s">
        <v>377</v>
      </c>
      <c r="G792" s="20" t="n">
        <f aca="false">IF(G790&lt;0,1,0)</f>
        <v>1</v>
      </c>
      <c r="H792" s="20" t="n">
        <f aca="false">IF(H790&lt;0,1,0)</f>
        <v>1</v>
      </c>
      <c r="I792" s="20" t="n">
        <f aca="false">IF(I790&lt;0,1,0)</f>
        <v>1</v>
      </c>
      <c r="J792" s="20" t="n">
        <f aca="false">IF(J790&lt;0,1,0)</f>
        <v>1</v>
      </c>
      <c r="K792" s="20" t="n">
        <f aca="false">IF(K790&lt;0,1,0)</f>
        <v>1</v>
      </c>
    </row>
    <row r="793" customFormat="false" ht="15" hidden="false" customHeight="false" outlineLevel="0" collapsed="false">
      <c r="A793" s="3" t="s">
        <v>378</v>
      </c>
      <c r="C793" s="20" t="n">
        <f aca="false">IFERROR(INDEX($G$661:$K$661,MATCH(1,$G$792:$K$792,0)),0)</f>
        <v>2027</v>
      </c>
    </row>
    <row r="794" customFormat="false" ht="15" hidden="false" customHeight="false" outlineLevel="0" collapsed="false">
      <c r="A794" s="3" t="s">
        <v>379</v>
      </c>
      <c r="C794" s="21" t="n">
        <f aca="false">MIN($G$791:$K$791)</f>
        <v>-2.52852605986897</v>
      </c>
    </row>
    <row r="795" customFormat="false" ht="15" hidden="false" customHeight="false" outlineLevel="0" collapsed="false">
      <c r="A795" s="23" t="s">
        <v>380</v>
      </c>
      <c r="B795" s="24"/>
      <c r="C795" s="24"/>
      <c r="D795" s="24"/>
      <c r="E795" s="24"/>
      <c r="F795" s="24"/>
      <c r="G795" s="24"/>
      <c r="H795" s="24"/>
      <c r="I795" s="24"/>
      <c r="J795" s="24"/>
      <c r="K795" s="24"/>
    </row>
    <row r="796" customFormat="false" ht="15" hidden="false" customHeight="false" outlineLevel="0" collapsed="false">
      <c r="A796" s="3" t="s">
        <v>373</v>
      </c>
      <c r="G796" s="32" t="n">
        <f aca="false">IF(G675&gt;0,G671/G675,99)</f>
        <v>1.11476782580477</v>
      </c>
      <c r="H796" s="32" t="n">
        <f aca="false">IF(H675&gt;0,H671/H675,99)</f>
        <v>0.817496405590163</v>
      </c>
      <c r="I796" s="32" t="n">
        <f aca="false">IF(I675&gt;0,I671/I675,99)</f>
        <v>0.686696980695737</v>
      </c>
      <c r="J796" s="32" t="n">
        <f aca="false">IF(J675&gt;0,J671/J675,99)</f>
        <v>0.682012179303795</v>
      </c>
      <c r="K796" s="32" t="n">
        <f aca="false">IF(K675&gt;0,K671/K675,99)</f>
        <v>0.641091448545568</v>
      </c>
    </row>
    <row r="797" customFormat="false" ht="15" hidden="false" customHeight="false" outlineLevel="0" collapsed="false">
      <c r="A797" s="3" t="s">
        <v>374</v>
      </c>
      <c r="G797" s="33" t="n">
        <f aca="false">Assumptions!$G$66</f>
        <v>1.4</v>
      </c>
      <c r="H797" s="33" t="n">
        <f aca="false">Assumptions!$H$66</f>
        <v>1.4</v>
      </c>
      <c r="I797" s="33" t="n">
        <f aca="false">Assumptions!$I$66</f>
        <v>1.4</v>
      </c>
      <c r="J797" s="33" t="n">
        <f aca="false">Assumptions!$J$66</f>
        <v>1.5</v>
      </c>
      <c r="K797" s="33" t="n">
        <f aca="false">Assumptions!$K$66</f>
        <v>1.5</v>
      </c>
    </row>
    <row r="798" customFormat="false" ht="15" hidden="false" customHeight="false" outlineLevel="0" collapsed="false">
      <c r="A798" s="3" t="s">
        <v>375</v>
      </c>
      <c r="G798" s="32" t="n">
        <f aca="false">G796-G797</f>
        <v>-0.285232174195233</v>
      </c>
      <c r="H798" s="32" t="n">
        <f aca="false">H796-H797</f>
        <v>-0.582503594409837</v>
      </c>
      <c r="I798" s="32" t="n">
        <f aca="false">I796-I797</f>
        <v>-0.713303019304263</v>
      </c>
      <c r="J798" s="32" t="n">
        <f aca="false">J796-J797</f>
        <v>-0.817987820696205</v>
      </c>
      <c r="K798" s="32" t="n">
        <f aca="false">K796-K797</f>
        <v>-0.858908551454433</v>
      </c>
    </row>
    <row r="799" customFormat="false" ht="15" hidden="false" customHeight="false" outlineLevel="0" collapsed="false">
      <c r="A799" s="3" t="s">
        <v>376</v>
      </c>
      <c r="G799" s="21" t="n">
        <f aca="false">IF(G797=0,0,G798/ABS(G797))</f>
        <v>-0.203737267282309</v>
      </c>
      <c r="H799" s="21" t="n">
        <f aca="false">IF(H797=0,0,H798/ABS(H797))</f>
        <v>-0.416073996007027</v>
      </c>
      <c r="I799" s="21" t="n">
        <f aca="false">IF(I797=0,0,I798/ABS(I797))</f>
        <v>-0.509502156645902</v>
      </c>
      <c r="J799" s="21" t="n">
        <f aca="false">IF(J797=0,0,J798/ABS(J797))</f>
        <v>-0.54532521379747</v>
      </c>
      <c r="K799" s="21" t="n">
        <f aca="false">IF(K797=0,0,K798/ABS(K797))</f>
        <v>-0.572605700969622</v>
      </c>
    </row>
    <row r="800" customFormat="false" ht="15" hidden="false" customHeight="false" outlineLevel="0" collapsed="false">
      <c r="A800" s="3" t="s">
        <v>377</v>
      </c>
      <c r="G800" s="20" t="n">
        <f aca="false">IF(G798&lt;0,1,0)</f>
        <v>1</v>
      </c>
      <c r="H800" s="20" t="n">
        <f aca="false">IF(H798&lt;0,1,0)</f>
        <v>1</v>
      </c>
      <c r="I800" s="20" t="n">
        <f aca="false">IF(I798&lt;0,1,0)</f>
        <v>1</v>
      </c>
      <c r="J800" s="20" t="n">
        <f aca="false">IF(J798&lt;0,1,0)</f>
        <v>1</v>
      </c>
      <c r="K800" s="20" t="n">
        <f aca="false">IF(K798&lt;0,1,0)</f>
        <v>1</v>
      </c>
    </row>
    <row r="801" customFormat="false" ht="15" hidden="false" customHeight="false" outlineLevel="0" collapsed="false">
      <c r="A801" s="3" t="s">
        <v>378</v>
      </c>
      <c r="C801" s="20" t="n">
        <f aca="false">IFERROR(INDEX($G$661:$K$661,MATCH(1,$G$800:$K$800,0)),0)</f>
        <v>2027</v>
      </c>
    </row>
    <row r="802" customFormat="false" ht="15" hidden="false" customHeight="false" outlineLevel="0" collapsed="false">
      <c r="A802" s="3" t="s">
        <v>379</v>
      </c>
      <c r="C802" s="21" t="n">
        <f aca="false">MIN($G$799:$K$799)</f>
        <v>-0.572605700969622</v>
      </c>
    </row>
    <row r="803" customFormat="false" ht="15" hidden="false" customHeight="false" outlineLevel="0" collapsed="false">
      <c r="A803" s="23" t="s">
        <v>381</v>
      </c>
      <c r="B803" s="24"/>
      <c r="C803" s="24"/>
      <c r="D803" s="24"/>
      <c r="E803" s="24"/>
      <c r="F803" s="24"/>
      <c r="G803" s="24"/>
      <c r="H803" s="24"/>
      <c r="I803" s="24"/>
      <c r="J803" s="24"/>
      <c r="K803" s="24"/>
    </row>
    <row r="804" customFormat="false" ht="15" hidden="false" customHeight="false" outlineLevel="0" collapsed="false">
      <c r="A804" s="3" t="s">
        <v>373</v>
      </c>
      <c r="G804" s="25" t="n">
        <f aca="false">G782</f>
        <v>431.67030664</v>
      </c>
      <c r="H804" s="25" t="n">
        <f aca="false">H782</f>
        <v>359.0106596512</v>
      </c>
      <c r="I804" s="25" t="n">
        <f aca="false">I782</f>
        <v>0</v>
      </c>
      <c r="J804" s="25" t="n">
        <f aca="false">J782</f>
        <v>0</v>
      </c>
      <c r="K804" s="25" t="n">
        <f aca="false">K782</f>
        <v>0</v>
      </c>
    </row>
    <row r="805" customFormat="false" ht="15" hidden="false" customHeight="false" outlineLevel="0" collapsed="false">
      <c r="A805" s="3" t="s">
        <v>374</v>
      </c>
      <c r="G805" s="29" t="n">
        <f aca="false">Assumptions!$G$67</f>
        <v>200</v>
      </c>
      <c r="H805" s="29" t="n">
        <f aca="false">Assumptions!$H$67</f>
        <v>200</v>
      </c>
      <c r="I805" s="29" t="n">
        <f aca="false">Assumptions!$I$67</f>
        <v>200</v>
      </c>
      <c r="J805" s="29" t="n">
        <f aca="false">Assumptions!$J$67</f>
        <v>200</v>
      </c>
      <c r="K805" s="29" t="n">
        <f aca="false">Assumptions!$K$67</f>
        <v>200</v>
      </c>
    </row>
    <row r="806" customFormat="false" ht="15" hidden="false" customHeight="false" outlineLevel="0" collapsed="false">
      <c r="A806" s="3" t="s">
        <v>375</v>
      </c>
      <c r="G806" s="25" t="n">
        <f aca="false">G804-G805</f>
        <v>231.67030664</v>
      </c>
      <c r="H806" s="25" t="n">
        <f aca="false">H804-H805</f>
        <v>159.0106596512</v>
      </c>
      <c r="I806" s="25" t="n">
        <f aca="false">I804-I805</f>
        <v>-200</v>
      </c>
      <c r="J806" s="25" t="n">
        <f aca="false">J804-J805</f>
        <v>-200</v>
      </c>
      <c r="K806" s="25" t="n">
        <f aca="false">K804-K805</f>
        <v>-200</v>
      </c>
    </row>
    <row r="807" customFormat="false" ht="15" hidden="false" customHeight="false" outlineLevel="0" collapsed="false">
      <c r="A807" s="3" t="s">
        <v>376</v>
      </c>
      <c r="G807" s="21" t="n">
        <f aca="false">IF(G805=0,0,G806/ABS(G805))</f>
        <v>1.1583515332</v>
      </c>
      <c r="H807" s="21" t="n">
        <f aca="false">IF(H805=0,0,H806/ABS(H805))</f>
        <v>0.795053298256</v>
      </c>
      <c r="I807" s="21" t="n">
        <f aca="false">IF(I805=0,0,I806/ABS(I805))</f>
        <v>-1</v>
      </c>
      <c r="J807" s="21" t="n">
        <f aca="false">IF(J805=0,0,J806/ABS(J805))</f>
        <v>-1</v>
      </c>
      <c r="K807" s="21" t="n">
        <f aca="false">IF(K805=0,0,K806/ABS(K805))</f>
        <v>-1</v>
      </c>
    </row>
    <row r="808" customFormat="false" ht="15" hidden="false" customHeight="false" outlineLevel="0" collapsed="false">
      <c r="A808" s="3" t="s">
        <v>377</v>
      </c>
      <c r="G808" s="20" t="n">
        <f aca="false">IF(G806&lt;0,1,0)</f>
        <v>0</v>
      </c>
      <c r="H808" s="20" t="n">
        <f aca="false">IF(H806&lt;0,1,0)</f>
        <v>0</v>
      </c>
      <c r="I808" s="20" t="n">
        <f aca="false">IF(I806&lt;0,1,0)</f>
        <v>1</v>
      </c>
      <c r="J808" s="20" t="n">
        <f aca="false">IF(J806&lt;0,1,0)</f>
        <v>1</v>
      </c>
      <c r="K808" s="20" t="n">
        <f aca="false">IF(K806&lt;0,1,0)</f>
        <v>1</v>
      </c>
    </row>
    <row r="809" customFormat="false" ht="15" hidden="false" customHeight="false" outlineLevel="0" collapsed="false">
      <c r="A809" s="3" t="s">
        <v>378</v>
      </c>
      <c r="C809" s="20" t="n">
        <f aca="false">IFERROR(INDEX($G$661:$K$661,MATCH(1,$G$808:$K$808,0)),0)</f>
        <v>2029</v>
      </c>
    </row>
    <row r="810" customFormat="false" ht="15" hidden="false" customHeight="false" outlineLevel="0" collapsed="false">
      <c r="A810" s="3" t="s">
        <v>379</v>
      </c>
      <c r="C810" s="21" t="n">
        <f aca="false">MIN($G$807:$K$807)</f>
        <v>-1</v>
      </c>
    </row>
    <row r="811" customFormat="false" ht="15" hidden="false" customHeight="false" outlineLevel="0" collapsed="false">
      <c r="A811" s="3" t="s">
        <v>382</v>
      </c>
      <c r="G811" s="20" t="n">
        <f aca="false">G792+G800+G808</f>
        <v>2</v>
      </c>
      <c r="H811" s="20" t="n">
        <f aca="false">H792+H800+H808</f>
        <v>2</v>
      </c>
      <c r="I811" s="20" t="n">
        <f aca="false">I792+I800+I808</f>
        <v>3</v>
      </c>
      <c r="J811" s="20" t="n">
        <f aca="false">J792+J800+J808</f>
        <v>3</v>
      </c>
      <c r="K811" s="20" t="n">
        <f aca="false">K792+K800+K808</f>
        <v>3</v>
      </c>
    </row>
    <row r="812" customFormat="false" ht="15" hidden="false" customHeight="false" outlineLevel="0" collapsed="false">
      <c r="A812" s="3" t="s">
        <v>383</v>
      </c>
      <c r="C812" s="20" t="n">
        <f aca="false">SUM($G$811:$K$811)</f>
        <v>13</v>
      </c>
    </row>
    <row r="813" customFormat="false" ht="15" hidden="false" customHeight="false" outlineLevel="0" collapsed="false">
      <c r="A813" s="3" t="s">
        <v>384</v>
      </c>
      <c r="C813" s="21" t="n">
        <f aca="false">MIN(C794,C802,C810)</f>
        <v>-2.52852605986897</v>
      </c>
    </row>
    <row r="815" customFormat="false" ht="15" hidden="false" customHeight="false" outlineLevel="0" collapsed="false">
      <c r="A815" s="23" t="s">
        <v>486</v>
      </c>
      <c r="B815" s="24"/>
      <c r="C815" s="24"/>
      <c r="D815" s="24"/>
      <c r="E815" s="24"/>
      <c r="F815" s="24"/>
      <c r="G815" s="24"/>
      <c r="H815" s="24"/>
      <c r="I815" s="24"/>
      <c r="J815" s="24"/>
      <c r="K815" s="24"/>
    </row>
    <row r="816" customFormat="false" ht="15" hidden="false" customHeight="false" outlineLevel="0" collapsed="false">
      <c r="A816" s="3" t="s">
        <v>487</v>
      </c>
      <c r="G816" s="20" t="n">
        <f aca="false">IF($C$817=1,G769,IF(G671=MIN($G$671:$K$671),1,0))</f>
        <v>0</v>
      </c>
      <c r="H816" s="20" t="n">
        <f aca="false">IF($C$817=1,H769,IF(AND(H671=MIN($G$671:$K$671),SUM($G$816:G816)=0),1,0))</f>
        <v>0</v>
      </c>
      <c r="I816" s="20" t="n">
        <f aca="false">IF($C$817=1,I769,IF(AND(I671=MIN($G$671:$K$671),SUM($G$816:H816)=0),1,0))</f>
        <v>1</v>
      </c>
      <c r="J816" s="20" t="n">
        <f aca="false">IF($C$817=1,J769,IF(AND(J671=MIN($G$671:$K$671),SUM($G$816:I816)=0),1,0))</f>
        <v>0</v>
      </c>
      <c r="K816" s="20" t="n">
        <f aca="false">IF($C$817=1,K769,IF(AND(K671=MIN($G$671:$K$671),SUM($G$816:J816)=0),1,0))</f>
        <v>0</v>
      </c>
    </row>
    <row r="817" customFormat="false" ht="15" hidden="false" customHeight="false" outlineLevel="0" collapsed="false">
      <c r="A817" s="3" t="s">
        <v>488</v>
      </c>
      <c r="C817" s="20" t="n">
        <f aca="false">IF(SUM($G$769:$K$769)&gt;0,1,0)</f>
        <v>1</v>
      </c>
    </row>
    <row r="818" customFormat="false" ht="15" hidden="false" customHeight="false" outlineLevel="0" collapsed="false">
      <c r="A818" s="3" t="s">
        <v>489</v>
      </c>
      <c r="C818" s="20" t="n">
        <f aca="false">SUMPRODUCT($G$816:$K$816,$G$661:$K$661)</f>
        <v>2029</v>
      </c>
    </row>
    <row r="819" customFormat="false" ht="15" hidden="false" customHeight="false" outlineLevel="0" collapsed="false">
      <c r="A819" s="3" t="s">
        <v>490</v>
      </c>
      <c r="C819" s="25" t="n">
        <f aca="false">SUMPRODUCT($G$816:$K$816,$G$671:$K$671)</f>
        <v>107.0936010144</v>
      </c>
    </row>
    <row r="820" customFormat="false" ht="15" hidden="false" customHeight="false" outlineLevel="0" collapsed="false">
      <c r="A820" s="3" t="s">
        <v>491</v>
      </c>
      <c r="C820" s="25" t="n">
        <f aca="false">MAX(0,SUMPRODUCT($G$816:$K$816,$G$766:$K$766))</f>
        <v>0</v>
      </c>
    </row>
    <row r="821" customFormat="false" ht="15" hidden="false" customHeight="false" outlineLevel="0" collapsed="false">
      <c r="A821" s="3" t="s">
        <v>492</v>
      </c>
      <c r="C821" s="25" t="n">
        <f aca="false">(CHOOSE($C$654,Assumptions!$C$84,Assumptions!$C$103,Assumptions!$C$122)+$C$658)*C819</f>
        <v>428.3744040576</v>
      </c>
    </row>
    <row r="822" customFormat="false" ht="15" hidden="false" customHeight="false" outlineLevel="0" collapsed="false">
      <c r="A822" s="3" t="s">
        <v>493</v>
      </c>
      <c r="C822" s="25" t="n">
        <f aca="false">Assumptions!$C$30*(1-CHOOSE($C$654,Assumptions!$C$85,Assumptions!$C$104,Assumptions!$C$123))*CHOOSE($C$654,Assumptions!$C$86,Assumptions!$C$105,Assumptions!$C$124)</f>
        <v>478.719345</v>
      </c>
    </row>
    <row r="823" customFormat="false" ht="15" hidden="false" customHeight="false" outlineLevel="0" collapsed="false">
      <c r="A823" s="3" t="s">
        <v>494</v>
      </c>
      <c r="C823" s="25" t="n">
        <f aca="false">MAX(C821,C822)+C820</f>
        <v>478.719345</v>
      </c>
    </row>
    <row r="824" customFormat="false" ht="15" hidden="false" customHeight="false" outlineLevel="0" collapsed="false">
      <c r="A824" s="2" t="s">
        <v>495</v>
      </c>
      <c r="C824" s="16" t="n">
        <f aca="false">IF(ISNUMBER(Assumptions!$C$14),Assumptions!$C$14,C823)</f>
        <v>478.719345</v>
      </c>
    </row>
    <row r="825" customFormat="false" ht="15" hidden="false" customHeight="false" outlineLevel="0" collapsed="false">
      <c r="A825" s="3" t="s">
        <v>496</v>
      </c>
      <c r="C825" s="25" t="n">
        <f aca="false">C824*Assumptions!$C$15</f>
        <v>19.1487738</v>
      </c>
    </row>
    <row r="826" customFormat="false" ht="15" hidden="false" customHeight="false" outlineLevel="0" collapsed="false">
      <c r="A826" s="2" t="s">
        <v>497</v>
      </c>
      <c r="C826" s="16" t="n">
        <f aca="false">C824-C825</f>
        <v>459.5705712</v>
      </c>
    </row>
    <row r="827" customFormat="false" ht="15" hidden="false" customHeight="false" outlineLevel="0" collapsed="false">
      <c r="A827" s="23" t="s">
        <v>498</v>
      </c>
      <c r="B827" s="24"/>
      <c r="C827" s="24"/>
      <c r="D827" s="24"/>
      <c r="E827" s="24"/>
      <c r="F827" s="24"/>
      <c r="G827" s="24"/>
      <c r="H827" s="24"/>
      <c r="I827" s="24"/>
      <c r="J827" s="24"/>
      <c r="K827" s="24"/>
    </row>
    <row r="828" customFormat="false" ht="15" hidden="false" customHeight="false" outlineLevel="0" collapsed="false">
      <c r="A828" s="3" t="s">
        <v>499</v>
      </c>
      <c r="C828" s="25" t="n">
        <f aca="false">SUMPRODUCT($G$816:$K$816,$G$708:$K$708)*(1+SUMPRODUCT($G$816:$K$816,$G$700:$K$700)*Assumptions!$C$16/12)</f>
        <v>1349.6193225</v>
      </c>
    </row>
    <row r="829" customFormat="false" ht="15" hidden="false" customHeight="false" outlineLevel="0" collapsed="false">
      <c r="A829" s="3" t="s">
        <v>500</v>
      </c>
      <c r="C829" s="25" t="n">
        <f aca="false">SUMPRODUCT($G$816:$K$816,$G$721:$K$721)*(1+SUMPRODUCT($G$816:$K$816,$G$713:$K$713)*Assumptions!$C$16/12)</f>
        <v>6.40133166435848</v>
      </c>
    </row>
    <row r="830" customFormat="false" ht="15" hidden="false" customHeight="false" outlineLevel="0" collapsed="false">
      <c r="A830" s="3" t="s">
        <v>501</v>
      </c>
      <c r="C830" s="25" t="n">
        <f aca="false">SUMPRODUCT($G$816:$K$816,$G$734:$K$734)*(1+SUMPRODUCT($G$816:$K$816,$G$726:$K$726)*Assumptions!$C$16/12)</f>
        <v>145.27734375</v>
      </c>
    </row>
    <row r="831" customFormat="false" ht="15" hidden="false" customHeight="false" outlineLevel="0" collapsed="false">
      <c r="A831" s="23" t="s">
        <v>502</v>
      </c>
      <c r="B831" s="24"/>
      <c r="C831" s="24"/>
      <c r="D831" s="24"/>
      <c r="E831" s="24"/>
      <c r="F831" s="24"/>
      <c r="G831" s="24"/>
      <c r="H831" s="24"/>
      <c r="I831" s="24"/>
      <c r="J831" s="24"/>
      <c r="K831" s="24"/>
    </row>
    <row r="832" customFormat="false" ht="15" hidden="false" customHeight="false" outlineLevel="0" collapsed="false">
      <c r="A832" s="3" t="s">
        <v>499</v>
      </c>
      <c r="C832" s="27" t="n">
        <f aca="false">Assumptions!$M$56</f>
        <v>1</v>
      </c>
    </row>
    <row r="833" customFormat="false" ht="15" hidden="false" customHeight="false" outlineLevel="0" collapsed="false">
      <c r="A833" s="3" t="s">
        <v>500</v>
      </c>
      <c r="C833" s="27" t="n">
        <f aca="false">Assumptions!$M$57</f>
        <v>2</v>
      </c>
    </row>
    <row r="834" customFormat="false" ht="15" hidden="false" customHeight="false" outlineLevel="0" collapsed="false">
      <c r="A834" s="3" t="s">
        <v>501</v>
      </c>
      <c r="C834" s="27" t="n">
        <f aca="false">Assumptions!$M$58</f>
        <v>2</v>
      </c>
    </row>
    <row r="835" customFormat="false" ht="15" hidden="false" customHeight="false" outlineLevel="0" collapsed="false">
      <c r="A835" s="23" t="s">
        <v>503</v>
      </c>
      <c r="B835" s="24"/>
      <c r="C835" s="24"/>
      <c r="D835" s="24"/>
      <c r="E835" s="24"/>
      <c r="F835" s="24"/>
      <c r="G835" s="24"/>
      <c r="H835" s="24"/>
      <c r="I835" s="24"/>
      <c r="J835" s="24"/>
      <c r="K835" s="24"/>
    </row>
    <row r="836" customFormat="false" ht="15" hidden="false" customHeight="false" outlineLevel="0" collapsed="false">
      <c r="A836" s="3" t="s">
        <v>499</v>
      </c>
      <c r="C836" s="35" t="n">
        <f aca="false">Assumptions!$Q$56</f>
        <v>0</v>
      </c>
    </row>
    <row r="837" customFormat="false" ht="15" hidden="false" customHeight="false" outlineLevel="0" collapsed="false">
      <c r="A837" s="3" t="s">
        <v>500</v>
      </c>
      <c r="C837" s="35" t="n">
        <f aca="false">Assumptions!$Q$57</f>
        <v>0</v>
      </c>
    </row>
    <row r="838" customFormat="false" ht="15" hidden="false" customHeight="false" outlineLevel="0" collapsed="false">
      <c r="A838" s="3" t="s">
        <v>501</v>
      </c>
      <c r="C838" s="35" t="n">
        <f aca="false">Assumptions!$Q$58</f>
        <v>0</v>
      </c>
    </row>
    <row r="839" customFormat="false" ht="15" hidden="false" customHeight="false" outlineLevel="0" collapsed="false">
      <c r="A839" s="23" t="s">
        <v>504</v>
      </c>
      <c r="B839" s="24"/>
      <c r="C839" s="24"/>
      <c r="D839" s="24"/>
      <c r="E839" s="24"/>
      <c r="F839" s="24"/>
      <c r="G839" s="24"/>
      <c r="H839" s="24"/>
      <c r="I839" s="24"/>
      <c r="J839" s="24"/>
      <c r="K839" s="24"/>
    </row>
    <row r="840" customFormat="false" ht="15" hidden="false" customHeight="false" outlineLevel="0" collapsed="false">
      <c r="A840" s="3" t="s">
        <v>499</v>
      </c>
      <c r="C840" s="25" t="n">
        <f aca="false">IF(C836&gt;0,MIN(C828,C836*$C$826),0)</f>
        <v>0</v>
      </c>
    </row>
    <row r="841" customFormat="false" ht="15" hidden="false" customHeight="false" outlineLevel="0" collapsed="false">
      <c r="A841" s="3" t="s">
        <v>500</v>
      </c>
      <c r="C841" s="25" t="n">
        <f aca="false">IF(C837&gt;0,MIN(C829,C837*$C$826),0)</f>
        <v>0</v>
      </c>
    </row>
    <row r="842" customFormat="false" ht="15" hidden="false" customHeight="false" outlineLevel="0" collapsed="false">
      <c r="A842" s="3" t="s">
        <v>501</v>
      </c>
      <c r="C842" s="25" t="n">
        <f aca="false">IF(C838&gt;0,MIN(C830,C838*$C$826),0)</f>
        <v>0</v>
      </c>
    </row>
    <row r="843" customFormat="false" ht="15" hidden="false" customHeight="false" outlineLevel="0" collapsed="false">
      <c r="A843" s="23" t="s">
        <v>505</v>
      </c>
      <c r="B843" s="24"/>
      <c r="C843" s="24"/>
      <c r="D843" s="24"/>
      <c r="E843" s="24"/>
      <c r="F843" s="24"/>
      <c r="G843" s="24"/>
      <c r="H843" s="24"/>
      <c r="I843" s="24"/>
      <c r="J843" s="24"/>
      <c r="K843" s="24"/>
    </row>
    <row r="844" customFormat="false" ht="15" hidden="false" customHeight="false" outlineLevel="0" collapsed="false">
      <c r="A844" s="3" t="s">
        <v>499</v>
      </c>
      <c r="C844" s="25" t="n">
        <f aca="false">IF(C836&gt;0,C828-C840,0)</f>
        <v>0</v>
      </c>
      <c r="G844" s="20" t="n">
        <f aca="false">IF(AND(G698=1,G695=1),1,0)</f>
        <v>0</v>
      </c>
      <c r="H844" s="20" t="n">
        <f aca="false">IF(G844=1,1,IF(AND(H698=1,H695=1),1,0))</f>
        <v>0</v>
      </c>
      <c r="I844" s="20" t="n">
        <f aca="false">IF(H844=1,1,IF(AND(I698=1,I695=1),1,0))</f>
        <v>0</v>
      </c>
      <c r="J844" s="20" t="n">
        <f aca="false">IF(I844=1,1,IF(AND(J698=1,J695=1),1,0))</f>
        <v>0</v>
      </c>
      <c r="K844" s="20" t="n">
        <f aca="false">IF(J844=1,1,IF(AND(K698=1,K695=1),1,0))</f>
        <v>0</v>
      </c>
    </row>
    <row r="845" customFormat="false" ht="15" hidden="false" customHeight="false" outlineLevel="0" collapsed="false">
      <c r="A845" s="3" t="s">
        <v>500</v>
      </c>
      <c r="C845" s="25" t="n">
        <f aca="false">IF(C837&gt;0,C829-C841,0)</f>
        <v>0</v>
      </c>
      <c r="G845" s="20" t="n">
        <f aca="false">IF(AND(G711=1,G695=1),1,0)</f>
        <v>0</v>
      </c>
      <c r="H845" s="20" t="n">
        <f aca="false">IF(G845=1,1,IF(AND(H711=1,H695=1),1,0))</f>
        <v>0</v>
      </c>
      <c r="I845" s="20" t="n">
        <f aca="false">IF(H845=1,1,IF(AND(I711=1,I695=1),1,0))</f>
        <v>0</v>
      </c>
      <c r="J845" s="20" t="n">
        <f aca="false">IF(I845=1,1,IF(AND(J711=1,J695=1),1,0))</f>
        <v>0</v>
      </c>
      <c r="K845" s="20" t="n">
        <f aca="false">IF(J845=1,1,IF(AND(K711=1,K695=1),1,0))</f>
        <v>0</v>
      </c>
    </row>
    <row r="846" customFormat="false" ht="15" hidden="false" customHeight="false" outlineLevel="0" collapsed="false">
      <c r="A846" s="3" t="s">
        <v>501</v>
      </c>
      <c r="C846" s="25" t="n">
        <f aca="false">IF(C838&gt;0,C830-C842,0)</f>
        <v>0</v>
      </c>
      <c r="G846" s="20" t="n">
        <f aca="false">IF(AND(G724=1,G695=1),1,0)</f>
        <v>0</v>
      </c>
      <c r="H846" s="20" t="n">
        <f aca="false">IF(G846=1,1,IF(AND(H724=1,H695=1),1,0))</f>
        <v>0</v>
      </c>
      <c r="I846" s="20" t="n">
        <f aca="false">IF(H846=1,1,IF(AND(I724=1,I695=1),1,0))</f>
        <v>0</v>
      </c>
      <c r="J846" s="20" t="n">
        <f aca="false">IF(I846=1,1,IF(AND(J724=1,J695=1),1,0))</f>
        <v>0</v>
      </c>
      <c r="K846" s="20" t="n">
        <f aca="false">IF(J846=1,1,IF(AND(K724=1,K695=1),1,0))</f>
        <v>0</v>
      </c>
    </row>
    <row r="847" customFormat="false" ht="15" hidden="false" customHeight="false" outlineLevel="0" collapsed="false">
      <c r="A847" s="23" t="s">
        <v>506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</row>
    <row r="848" customFormat="false" ht="15" hidden="false" customHeight="false" outlineLevel="0" collapsed="false">
      <c r="A848" s="3" t="s">
        <v>499</v>
      </c>
      <c r="C848" s="25" t="n">
        <f aca="false">IF(C836&gt;0,C844,C828)</f>
        <v>1349.6193225</v>
      </c>
    </row>
    <row r="849" customFormat="false" ht="15" hidden="false" customHeight="false" outlineLevel="0" collapsed="false">
      <c r="A849" s="3" t="s">
        <v>500</v>
      </c>
      <c r="C849" s="25" t="n">
        <f aca="false">IF(C837&gt;0,C845,C829)</f>
        <v>6.40133166435848</v>
      </c>
    </row>
    <row r="850" customFormat="false" ht="15" hidden="false" customHeight="false" outlineLevel="0" collapsed="false">
      <c r="A850" s="3" t="s">
        <v>501</v>
      </c>
      <c r="C850" s="25" t="n">
        <f aca="false">IF(C838&gt;0,C846,C830)</f>
        <v>145.27734375</v>
      </c>
    </row>
    <row r="851" customFormat="false" ht="15" hidden="false" customHeight="false" outlineLevel="0" collapsed="false">
      <c r="A851" s="23" t="s">
        <v>507</v>
      </c>
      <c r="B851" s="24"/>
      <c r="C851" s="24"/>
      <c r="D851" s="24"/>
      <c r="E851" s="24"/>
      <c r="F851" s="24"/>
      <c r="G851" s="24"/>
      <c r="H851" s="24"/>
      <c r="I851" s="24"/>
      <c r="J851" s="24"/>
      <c r="K851" s="24"/>
    </row>
    <row r="852" customFormat="false" ht="15" hidden="false" customHeight="false" outlineLevel="0" collapsed="false">
      <c r="A852" s="3" t="s">
        <v>499</v>
      </c>
      <c r="C852" s="20" t="n">
        <f aca="false">IF(C836&gt;0,Assumptions!$C$17,C832)</f>
        <v>1</v>
      </c>
    </row>
    <row r="853" customFormat="false" ht="15" hidden="false" customHeight="false" outlineLevel="0" collapsed="false">
      <c r="A853" s="3" t="s">
        <v>500</v>
      </c>
      <c r="C853" s="20" t="n">
        <f aca="false">IF(C837&gt;0,Assumptions!$C$17,C833)</f>
        <v>2</v>
      </c>
    </row>
    <row r="854" customFormat="false" ht="15" hidden="false" customHeight="false" outlineLevel="0" collapsed="false">
      <c r="A854" s="3" t="s">
        <v>501</v>
      </c>
      <c r="C854" s="20" t="n">
        <f aca="false">IF(C838&gt;0,Assumptions!$C$17,C834)</f>
        <v>2</v>
      </c>
    </row>
    <row r="855" customFormat="false" ht="15" hidden="false" customHeight="false" outlineLevel="0" collapsed="false">
      <c r="A855" s="23" t="s">
        <v>508</v>
      </c>
      <c r="B855" s="24"/>
      <c r="C855" s="24"/>
      <c r="D855" s="24"/>
      <c r="E855" s="24"/>
      <c r="F855" s="24"/>
      <c r="G855" s="24"/>
      <c r="H855" s="24"/>
      <c r="I855" s="24"/>
      <c r="J855" s="24"/>
      <c r="K855" s="24"/>
    </row>
    <row r="856" customFormat="false" ht="15" hidden="false" customHeight="false" outlineLevel="0" collapsed="false">
      <c r="A856" s="3" t="s">
        <v>499</v>
      </c>
      <c r="C856" s="25" t="n">
        <f aca="false">SUMPRODUCT(($C$852:$C$854&lt;C852)*$C$848:$C$850)</f>
        <v>0</v>
      </c>
    </row>
    <row r="857" customFormat="false" ht="15" hidden="false" customHeight="false" outlineLevel="0" collapsed="false">
      <c r="A857" s="3" t="s">
        <v>500</v>
      </c>
      <c r="C857" s="25" t="n">
        <f aca="false">SUMPRODUCT(($C$852:$C$854&lt;C853)*$C$848:$C$850)</f>
        <v>1349.6193225</v>
      </c>
    </row>
    <row r="858" customFormat="false" ht="15" hidden="false" customHeight="false" outlineLevel="0" collapsed="false">
      <c r="A858" s="3" t="s">
        <v>501</v>
      </c>
      <c r="C858" s="25" t="n">
        <f aca="false">SUMPRODUCT(($C$852:$C$854&lt;C854)*$C$848:$C$850)</f>
        <v>1349.6193225</v>
      </c>
    </row>
    <row r="859" customFormat="false" ht="15" hidden="false" customHeight="false" outlineLevel="0" collapsed="false">
      <c r="A859" s="23" t="s">
        <v>509</v>
      </c>
      <c r="B859" s="24"/>
      <c r="C859" s="24"/>
      <c r="D859" s="24"/>
      <c r="E859" s="24"/>
      <c r="F859" s="24"/>
      <c r="G859" s="24"/>
      <c r="H859" s="24"/>
      <c r="I859" s="24"/>
      <c r="J859" s="24"/>
      <c r="K859" s="24"/>
    </row>
    <row r="860" customFormat="false" ht="15" hidden="false" customHeight="false" outlineLevel="0" collapsed="false">
      <c r="A860" s="3" t="s">
        <v>499</v>
      </c>
      <c r="C860" s="25" t="n">
        <f aca="false">SUMPRODUCT(($C$852:$C$854=C852)*$C$848:$C$850)</f>
        <v>1349.6193225</v>
      </c>
    </row>
    <row r="861" customFormat="false" ht="15" hidden="false" customHeight="false" outlineLevel="0" collapsed="false">
      <c r="A861" s="3" t="s">
        <v>500</v>
      </c>
      <c r="C861" s="25" t="n">
        <f aca="false">SUMPRODUCT(($C$852:$C$854=C853)*$C$848:$C$850)</f>
        <v>151.678675414359</v>
      </c>
    </row>
    <row r="862" customFormat="false" ht="15" hidden="false" customHeight="false" outlineLevel="0" collapsed="false">
      <c r="A862" s="3" t="s">
        <v>501</v>
      </c>
      <c r="C862" s="25" t="n">
        <f aca="false">SUMPRODUCT(($C$852:$C$854=C854)*$C$848:$C$850)</f>
        <v>151.678675414359</v>
      </c>
    </row>
    <row r="863" customFormat="false" ht="15" hidden="false" customHeight="false" outlineLevel="0" collapsed="false">
      <c r="A863" s="23" t="s">
        <v>510</v>
      </c>
      <c r="B863" s="24"/>
      <c r="C863" s="24"/>
      <c r="D863" s="24"/>
      <c r="E863" s="24"/>
      <c r="F863" s="24"/>
      <c r="G863" s="24"/>
      <c r="H863" s="24"/>
      <c r="I863" s="24"/>
      <c r="J863" s="24"/>
      <c r="K863" s="24"/>
    </row>
    <row r="864" customFormat="false" ht="15" hidden="false" customHeight="false" outlineLevel="0" collapsed="false">
      <c r="A864" s="3" t="s">
        <v>499</v>
      </c>
      <c r="C864" s="25" t="n">
        <f aca="false">IF(C860=0,0,C848/C860*MAX(0,MIN(C860,$C$826-SUM($C$840:$C$842)-C856)))</f>
        <v>459.5705712</v>
      </c>
    </row>
    <row r="865" customFormat="false" ht="15" hidden="false" customHeight="false" outlineLevel="0" collapsed="false">
      <c r="A865" s="3" t="s">
        <v>500</v>
      </c>
      <c r="C865" s="25" t="n">
        <f aca="false">IF(C861=0,0,C849/C861*MAX(0,MIN(C861,$C$826-SUM($C$840:$C$842)-C857)))</f>
        <v>0</v>
      </c>
    </row>
    <row r="866" customFormat="false" ht="15" hidden="false" customHeight="false" outlineLevel="0" collapsed="false">
      <c r="A866" s="3" t="s">
        <v>501</v>
      </c>
      <c r="C866" s="25" t="n">
        <f aca="false">IF(C862=0,0,C850/C862*MAX(0,MIN(C862,$C$826-SUM($C$840:$C$842)-C858)))</f>
        <v>0</v>
      </c>
    </row>
    <row r="867" customFormat="false" ht="15" hidden="false" customHeight="false" outlineLevel="0" collapsed="false">
      <c r="A867" s="23" t="s">
        <v>511</v>
      </c>
      <c r="B867" s="24"/>
      <c r="C867" s="24"/>
      <c r="D867" s="24"/>
      <c r="E867" s="24"/>
      <c r="F867" s="24"/>
      <c r="G867" s="24"/>
      <c r="H867" s="24"/>
      <c r="I867" s="24"/>
      <c r="J867" s="24"/>
      <c r="K867" s="24"/>
    </row>
    <row r="868" customFormat="false" ht="15" hidden="false" customHeight="false" outlineLevel="0" collapsed="false">
      <c r="A868" s="2" t="s">
        <v>499</v>
      </c>
      <c r="C868" s="16" t="n">
        <f aca="false">C840+C864</f>
        <v>459.5705712</v>
      </c>
    </row>
    <row r="869" customFormat="false" ht="15" hidden="false" customHeight="false" outlineLevel="0" collapsed="false">
      <c r="A869" s="2" t="s">
        <v>500</v>
      </c>
      <c r="C869" s="16" t="n">
        <f aca="false">C841+C865</f>
        <v>0</v>
      </c>
    </row>
    <row r="870" customFormat="false" ht="15" hidden="false" customHeight="false" outlineLevel="0" collapsed="false">
      <c r="A870" s="2" t="s">
        <v>501</v>
      </c>
      <c r="C870" s="16" t="n">
        <f aca="false">C842+C866</f>
        <v>0</v>
      </c>
    </row>
    <row r="871" customFormat="false" ht="15" hidden="false" customHeight="false" outlineLevel="0" collapsed="false">
      <c r="A871" s="23" t="s">
        <v>512</v>
      </c>
      <c r="B871" s="24"/>
      <c r="C871" s="24"/>
      <c r="D871" s="24"/>
      <c r="E871" s="24"/>
      <c r="F871" s="24"/>
      <c r="G871" s="24"/>
      <c r="H871" s="24"/>
      <c r="I871" s="24"/>
      <c r="J871" s="24"/>
      <c r="K871" s="24"/>
    </row>
    <row r="872" customFormat="false" ht="15" hidden="false" customHeight="false" outlineLevel="0" collapsed="false">
      <c r="A872" s="3" t="s">
        <v>499</v>
      </c>
      <c r="C872" s="21" t="n">
        <f aca="false">IF(C828=0,1,C868/C828)</f>
        <v>0.340518665921812</v>
      </c>
    </row>
    <row r="873" customFormat="false" ht="15" hidden="false" customHeight="false" outlineLevel="0" collapsed="false">
      <c r="A873" s="3" t="s">
        <v>500</v>
      </c>
      <c r="C873" s="21" t="n">
        <f aca="false">IF(C829=0,1,C869/C829)</f>
        <v>0</v>
      </c>
    </row>
    <row r="874" customFormat="false" ht="15" hidden="false" customHeight="false" outlineLevel="0" collapsed="false">
      <c r="A874" s="3" t="s">
        <v>501</v>
      </c>
      <c r="C874" s="21" t="n">
        <f aca="false">IF(C830=0,1,C870/C830)</f>
        <v>0</v>
      </c>
    </row>
    <row r="875" customFormat="false" ht="15" hidden="false" customHeight="false" outlineLevel="0" collapsed="false">
      <c r="A875" s="23" t="s">
        <v>513</v>
      </c>
      <c r="B875" s="24"/>
      <c r="C875" s="24"/>
      <c r="D875" s="24"/>
      <c r="E875" s="24"/>
      <c r="F875" s="24"/>
      <c r="G875" s="24"/>
      <c r="H875" s="24"/>
      <c r="I875" s="24"/>
      <c r="J875" s="24"/>
      <c r="K875" s="24"/>
    </row>
    <row r="876" customFormat="false" ht="15" hidden="false" customHeight="false" outlineLevel="0" collapsed="false">
      <c r="A876" s="3" t="s">
        <v>499</v>
      </c>
      <c r="C876" s="25" t="n">
        <f aca="false">C828-C868</f>
        <v>890.0487513</v>
      </c>
    </row>
    <row r="877" customFormat="false" ht="15" hidden="false" customHeight="false" outlineLevel="0" collapsed="false">
      <c r="A877" s="3" t="s">
        <v>500</v>
      </c>
      <c r="C877" s="25" t="n">
        <f aca="false">C829-C869</f>
        <v>6.40133166435848</v>
      </c>
    </row>
    <row r="878" customFormat="false" ht="15" hidden="false" customHeight="false" outlineLevel="0" collapsed="false">
      <c r="A878" s="3" t="s">
        <v>501</v>
      </c>
      <c r="C878" s="25" t="n">
        <f aca="false">C830-C870</f>
        <v>145.27734375</v>
      </c>
    </row>
    <row r="879" customFormat="false" ht="15" hidden="false" customHeight="false" outlineLevel="0" collapsed="false">
      <c r="A879" s="23" t="s">
        <v>514</v>
      </c>
      <c r="B879" s="24"/>
      <c r="C879" s="24"/>
      <c r="D879" s="24"/>
      <c r="E879" s="24"/>
      <c r="F879" s="24"/>
      <c r="G879" s="24"/>
      <c r="H879" s="24"/>
      <c r="I879" s="24"/>
      <c r="J879" s="24"/>
      <c r="K879" s="24"/>
    </row>
    <row r="880" customFormat="false" ht="15" hidden="false" customHeight="false" outlineLevel="0" collapsed="false">
      <c r="A880" s="3" t="s">
        <v>499</v>
      </c>
      <c r="C880" s="21" t="n">
        <f aca="false">IF(C828=0,0,C876/C828)</f>
        <v>0.659481334078188</v>
      </c>
    </row>
    <row r="881" customFormat="false" ht="15" hidden="false" customHeight="false" outlineLevel="0" collapsed="false">
      <c r="A881" s="3" t="s">
        <v>500</v>
      </c>
      <c r="C881" s="21" t="n">
        <f aca="false">IF(C829=0,0,C877/C829)</f>
        <v>1</v>
      </c>
    </row>
    <row r="882" customFormat="false" ht="15" hidden="false" customHeight="false" outlineLevel="0" collapsed="false">
      <c r="A882" s="3" t="s">
        <v>501</v>
      </c>
      <c r="C882" s="21" t="n">
        <f aca="false">IF(C830=0,0,C878/C830)</f>
        <v>1</v>
      </c>
    </row>
    <row r="883" customFormat="false" ht="15" hidden="false" customHeight="false" outlineLevel="0" collapsed="false">
      <c r="A883" s="2" t="s">
        <v>515</v>
      </c>
      <c r="C883" s="16" t="n">
        <f aca="false">MAX(0,$C$826-SUM($C$840:$C$842)-SUM($C$848:$C$850))</f>
        <v>0</v>
      </c>
    </row>
    <row r="884" customFormat="false" ht="15" hidden="false" customHeight="false" outlineLevel="0" collapsed="false">
      <c r="A884" s="3" t="s">
        <v>516</v>
      </c>
      <c r="C884" s="25" t="n">
        <f aca="false">SUM($C$868:$C$870)+C883+C825-C824</f>
        <v>0</v>
      </c>
    </row>
    <row r="886" customFormat="false" ht="15" hidden="false" customHeight="false" outlineLevel="0" collapsed="false">
      <c r="A886" s="23" t="s">
        <v>519</v>
      </c>
      <c r="B886" s="24"/>
      <c r="C886" s="24"/>
      <c r="D886" s="24"/>
      <c r="E886" s="24"/>
      <c r="F886" s="24"/>
      <c r="G886" s="24"/>
      <c r="H886" s="24"/>
      <c r="I886" s="24"/>
      <c r="J886" s="24"/>
      <c r="K886" s="24"/>
    </row>
    <row r="887" customFormat="false" ht="15" hidden="false" customHeight="false" outlineLevel="0" collapsed="false">
      <c r="A887" s="3" t="s">
        <v>520</v>
      </c>
      <c r="C887" s="27" t="n">
        <f aca="false">Assumptions!$C$33</f>
        <v>1</v>
      </c>
    </row>
    <row r="888" customFormat="false" ht="15" hidden="false" customHeight="false" outlineLevel="0" collapsed="false">
      <c r="A888" s="3" t="s">
        <v>521</v>
      </c>
      <c r="C888" s="29" t="n">
        <f aca="false">Assumptions!$C$34</f>
        <v>100</v>
      </c>
    </row>
    <row r="889" customFormat="false" ht="15" hidden="false" customHeight="false" outlineLevel="0" collapsed="false">
      <c r="A889" s="3" t="s">
        <v>522</v>
      </c>
      <c r="C889" s="40" t="n">
        <f aca="false">Assumptions!$C$35</f>
        <v>95</v>
      </c>
    </row>
    <row r="890" customFormat="false" ht="15" hidden="false" customHeight="false" outlineLevel="0" collapsed="false">
      <c r="A890" s="3" t="s">
        <v>523</v>
      </c>
      <c r="C890" s="25" t="n">
        <f aca="false">C888*C889/100*(1+Assumptions!$C$36)</f>
        <v>95</v>
      </c>
    </row>
    <row r="891" customFormat="false" ht="15" hidden="false" customHeight="false" outlineLevel="0" collapsed="false">
      <c r="A891" s="3" t="s">
        <v>524</v>
      </c>
      <c r="C891" s="27" t="n">
        <f aca="false">Assumptions!$C$37</f>
        <v>3</v>
      </c>
    </row>
    <row r="892" customFormat="false" ht="15" hidden="false" customHeight="false" outlineLevel="0" collapsed="false">
      <c r="A892" s="3" t="s">
        <v>525</v>
      </c>
      <c r="C892" s="20" t="n">
        <f aca="false">IF(C817=1,SUMPRODUCT($G$769:$K$769,$G$662:$K$662),0)</f>
        <v>3</v>
      </c>
    </row>
    <row r="893" customFormat="false" ht="15" hidden="false" customHeight="false" outlineLevel="0" collapsed="false">
      <c r="A893" s="3" t="s">
        <v>526</v>
      </c>
      <c r="C893" s="21" t="n">
        <f aca="false">IFERROR(C888/CHOOSE(C887,SUMPRODUCT($G$816:$K$816,$G$708:$K$708),SUMPRODUCT($G$816:$K$816,$G$721:$K$721),SUMPRODUCT($G$816:$K$816,$G$734:$K$734)),0)</f>
        <v>0.0760399605200525</v>
      </c>
    </row>
    <row r="894" customFormat="false" ht="15" hidden="false" customHeight="false" outlineLevel="0" collapsed="false">
      <c r="A894" s="3" t="s">
        <v>527</v>
      </c>
      <c r="C894" s="25" t="n">
        <f aca="false">CHOOSE(C887,C868,C869,C870)*C893</f>
        <v>34.945728090226</v>
      </c>
    </row>
    <row r="895" customFormat="false" ht="15" hidden="false" customHeight="false" outlineLevel="0" collapsed="false">
      <c r="A895" s="3" t="s">
        <v>528</v>
      </c>
      <c r="C895" s="21" t="n">
        <f aca="false">CHOOSE(C887,C872,C873,C874)</f>
        <v>0.340518665921812</v>
      </c>
    </row>
    <row r="896" customFormat="false" ht="15" hidden="false" customHeight="false" outlineLevel="0" collapsed="false">
      <c r="A896" s="3" t="s">
        <v>529</v>
      </c>
      <c r="C896" s="20" t="n">
        <f aca="false">IF(C817=1,C892,C891)</f>
        <v>3</v>
      </c>
    </row>
    <row r="897" customFormat="false" ht="15" hidden="false" customHeight="false" outlineLevel="0" collapsed="false">
      <c r="A897" s="3" t="s">
        <v>530</v>
      </c>
      <c r="C897" s="34" t="n">
        <f aca="false">CHOOSE($C$654,Assumptions!$C$83,Assumptions!$C$102,Assumptions!$C$121)</f>
        <v>80</v>
      </c>
    </row>
    <row r="898" customFormat="false" ht="15" hidden="false" customHeight="false" outlineLevel="0" collapsed="false">
      <c r="A898" s="3" t="s">
        <v>531</v>
      </c>
      <c r="C898" s="25" t="n">
        <f aca="false">INDEX($G$671:$K$671,C891)*CHOOSE($C$654,Assumptions!$C$82,Assumptions!$C$101,Assumptions!$C$120)+MAX(0,INDEX($G$766:$K$766,C891))</f>
        <v>428.3744040576</v>
      </c>
    </row>
    <row r="899" customFormat="false" ht="15" hidden="false" customHeight="false" outlineLevel="0" collapsed="false">
      <c r="A899" s="23" t="s">
        <v>532</v>
      </c>
      <c r="B899" s="24"/>
      <c r="C899" s="24"/>
      <c r="D899" s="24"/>
      <c r="E899" s="24"/>
      <c r="F899" s="24"/>
      <c r="G899" s="24"/>
      <c r="H899" s="24"/>
      <c r="I899" s="24"/>
      <c r="J899" s="24"/>
      <c r="K899" s="24"/>
    </row>
    <row r="900" customFormat="false" ht="15" hidden="false" customHeight="false" outlineLevel="0" collapsed="false">
      <c r="A900" s="3" t="s">
        <v>499</v>
      </c>
      <c r="C900" s="25" t="n">
        <f aca="false">INDEX($G$708:$K$708,C891)</f>
        <v>1315.098</v>
      </c>
    </row>
    <row r="901" customFormat="false" ht="15" hidden="false" customHeight="false" outlineLevel="0" collapsed="false">
      <c r="A901" s="3" t="s">
        <v>500</v>
      </c>
      <c r="C901" s="25" t="n">
        <f aca="false">INDEX($G$721:$K$721,C891)</f>
        <v>6.33403256832008</v>
      </c>
    </row>
    <row r="902" customFormat="false" ht="15" hidden="false" customHeight="false" outlineLevel="0" collapsed="false">
      <c r="A902" s="3" t="s">
        <v>501</v>
      </c>
      <c r="C902" s="25" t="n">
        <f aca="false">INDEX($G$734:$K$734,C891)</f>
        <v>143.75</v>
      </c>
    </row>
    <row r="903" customFormat="false" ht="15" hidden="false" customHeight="false" outlineLevel="0" collapsed="false">
      <c r="A903" s="23" t="s">
        <v>502</v>
      </c>
      <c r="B903" s="24"/>
      <c r="C903" s="24"/>
      <c r="D903" s="24"/>
      <c r="E903" s="24"/>
      <c r="F903" s="24"/>
      <c r="G903" s="24"/>
      <c r="H903" s="24"/>
      <c r="I903" s="24"/>
      <c r="J903" s="24"/>
      <c r="K903" s="24"/>
    </row>
    <row r="904" customFormat="false" ht="15" hidden="false" customHeight="false" outlineLevel="0" collapsed="false">
      <c r="A904" s="3" t="s">
        <v>499</v>
      </c>
      <c r="C904" s="27" t="n">
        <f aca="false">Assumptions!$M$56</f>
        <v>1</v>
      </c>
    </row>
    <row r="905" customFormat="false" ht="15" hidden="false" customHeight="false" outlineLevel="0" collapsed="false">
      <c r="A905" s="3" t="s">
        <v>500</v>
      </c>
      <c r="C905" s="27" t="n">
        <f aca="false">Assumptions!$M$57</f>
        <v>2</v>
      </c>
    </row>
    <row r="906" customFormat="false" ht="15" hidden="false" customHeight="false" outlineLevel="0" collapsed="false">
      <c r="A906" s="3" t="s">
        <v>501</v>
      </c>
      <c r="C906" s="27" t="n">
        <f aca="false">Assumptions!$M$58</f>
        <v>2</v>
      </c>
    </row>
    <row r="907" customFormat="false" ht="15" hidden="false" customHeight="false" outlineLevel="0" collapsed="false">
      <c r="A907" s="23" t="s">
        <v>503</v>
      </c>
      <c r="B907" s="24"/>
      <c r="C907" s="24"/>
      <c r="D907" s="24"/>
      <c r="E907" s="24"/>
      <c r="F907" s="24"/>
      <c r="G907" s="24"/>
      <c r="H907" s="24"/>
      <c r="I907" s="24"/>
      <c r="J907" s="24"/>
      <c r="K907" s="24"/>
    </row>
    <row r="908" customFormat="false" ht="15" hidden="false" customHeight="false" outlineLevel="0" collapsed="false">
      <c r="A908" s="3" t="s">
        <v>499</v>
      </c>
      <c r="C908" s="35" t="n">
        <f aca="false">Assumptions!$Q$56</f>
        <v>0</v>
      </c>
    </row>
    <row r="909" customFormat="false" ht="15" hidden="false" customHeight="false" outlineLevel="0" collapsed="false">
      <c r="A909" s="3" t="s">
        <v>500</v>
      </c>
      <c r="C909" s="35" t="n">
        <f aca="false">Assumptions!$Q$57</f>
        <v>0</v>
      </c>
    </row>
    <row r="910" customFormat="false" ht="15" hidden="false" customHeight="false" outlineLevel="0" collapsed="false">
      <c r="A910" s="3" t="s">
        <v>501</v>
      </c>
      <c r="C910" s="35" t="n">
        <f aca="false">Assumptions!$Q$58</f>
        <v>0</v>
      </c>
    </row>
    <row r="911" customFormat="false" ht="15" hidden="false" customHeight="false" outlineLevel="0" collapsed="false">
      <c r="A911" s="23" t="s">
        <v>504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</row>
    <row r="912" customFormat="false" ht="15" hidden="false" customHeight="false" outlineLevel="0" collapsed="false">
      <c r="A912" s="3" t="s">
        <v>499</v>
      </c>
      <c r="C912" s="25" t="n">
        <f aca="false">IF(C908&gt;0,MIN(C900,C908*$C$898),0)</f>
        <v>0</v>
      </c>
    </row>
    <row r="913" customFormat="false" ht="15" hidden="false" customHeight="false" outlineLevel="0" collapsed="false">
      <c r="A913" s="3" t="s">
        <v>500</v>
      </c>
      <c r="C913" s="25" t="n">
        <f aca="false">IF(C909&gt;0,MIN(C901,C909*$C$898),0)</f>
        <v>0</v>
      </c>
    </row>
    <row r="914" customFormat="false" ht="15" hidden="false" customHeight="false" outlineLevel="0" collapsed="false">
      <c r="A914" s="3" t="s">
        <v>501</v>
      </c>
      <c r="C914" s="25" t="n">
        <f aca="false">IF(C910&gt;0,MIN(C902,C910*$C$898),0)</f>
        <v>0</v>
      </c>
    </row>
    <row r="915" customFormat="false" ht="15" hidden="false" customHeight="false" outlineLevel="0" collapsed="false">
      <c r="A915" s="23" t="s">
        <v>505</v>
      </c>
      <c r="B915" s="24"/>
      <c r="C915" s="24"/>
      <c r="D915" s="24"/>
      <c r="E915" s="24"/>
      <c r="F915" s="24"/>
      <c r="G915" s="24"/>
      <c r="H915" s="24"/>
      <c r="I915" s="24"/>
      <c r="J915" s="24"/>
      <c r="K915" s="24"/>
    </row>
    <row r="916" customFormat="false" ht="15" hidden="false" customHeight="false" outlineLevel="0" collapsed="false">
      <c r="A916" s="3" t="s">
        <v>499</v>
      </c>
      <c r="C916" s="25" t="n">
        <f aca="false">IF(C908&gt;0,C900-C912,0)</f>
        <v>0</v>
      </c>
    </row>
    <row r="917" customFormat="false" ht="15" hidden="false" customHeight="false" outlineLevel="0" collapsed="false">
      <c r="A917" s="3" t="s">
        <v>500</v>
      </c>
      <c r="C917" s="25" t="n">
        <f aca="false">IF(C909&gt;0,C901-C913,0)</f>
        <v>0</v>
      </c>
    </row>
    <row r="918" customFormat="false" ht="15" hidden="false" customHeight="false" outlineLevel="0" collapsed="false">
      <c r="A918" s="3" t="s">
        <v>501</v>
      </c>
      <c r="C918" s="25" t="n">
        <f aca="false">IF(C910&gt;0,C902-C914,0)</f>
        <v>0</v>
      </c>
    </row>
    <row r="919" customFormat="false" ht="15" hidden="false" customHeight="false" outlineLevel="0" collapsed="false">
      <c r="A919" s="23" t="s">
        <v>506</v>
      </c>
      <c r="B919" s="24"/>
      <c r="C919" s="24"/>
      <c r="D919" s="24"/>
      <c r="E919" s="24"/>
      <c r="F919" s="24"/>
      <c r="G919" s="24"/>
      <c r="H919" s="24"/>
      <c r="I919" s="24"/>
      <c r="J919" s="24"/>
      <c r="K919" s="24"/>
    </row>
    <row r="920" customFormat="false" ht="15" hidden="false" customHeight="false" outlineLevel="0" collapsed="false">
      <c r="A920" s="3" t="s">
        <v>499</v>
      </c>
      <c r="C920" s="25" t="n">
        <f aca="false">IF(C908&gt;0,C916,C900)</f>
        <v>1315.098</v>
      </c>
    </row>
    <row r="921" customFormat="false" ht="15" hidden="false" customHeight="false" outlineLevel="0" collapsed="false">
      <c r="A921" s="3" t="s">
        <v>500</v>
      </c>
      <c r="C921" s="25" t="n">
        <f aca="false">IF(C909&gt;0,C917,C901)</f>
        <v>6.33403256832008</v>
      </c>
    </row>
    <row r="922" customFormat="false" ht="15" hidden="false" customHeight="false" outlineLevel="0" collapsed="false">
      <c r="A922" s="3" t="s">
        <v>501</v>
      </c>
      <c r="C922" s="25" t="n">
        <f aca="false">IF(C910&gt;0,C918,C902)</f>
        <v>143.75</v>
      </c>
    </row>
    <row r="923" customFormat="false" ht="15" hidden="false" customHeight="false" outlineLevel="0" collapsed="false">
      <c r="A923" s="23" t="s">
        <v>507</v>
      </c>
      <c r="B923" s="24"/>
      <c r="C923" s="24"/>
      <c r="D923" s="24"/>
      <c r="E923" s="24"/>
      <c r="F923" s="24"/>
      <c r="G923" s="24"/>
      <c r="H923" s="24"/>
      <c r="I923" s="24"/>
      <c r="J923" s="24"/>
      <c r="K923" s="24"/>
    </row>
    <row r="924" customFormat="false" ht="15" hidden="false" customHeight="false" outlineLevel="0" collapsed="false">
      <c r="A924" s="3" t="s">
        <v>499</v>
      </c>
      <c r="C924" s="20" t="n">
        <f aca="false">IF(C908&gt;0,Assumptions!$C$17,C904)</f>
        <v>1</v>
      </c>
    </row>
    <row r="925" customFormat="false" ht="15" hidden="false" customHeight="false" outlineLevel="0" collapsed="false">
      <c r="A925" s="3" t="s">
        <v>500</v>
      </c>
      <c r="C925" s="20" t="n">
        <f aca="false">IF(C909&gt;0,Assumptions!$C$17,C905)</f>
        <v>2</v>
      </c>
    </row>
    <row r="926" customFormat="false" ht="15" hidden="false" customHeight="false" outlineLevel="0" collapsed="false">
      <c r="A926" s="3" t="s">
        <v>501</v>
      </c>
      <c r="C926" s="20" t="n">
        <f aca="false">IF(C910&gt;0,Assumptions!$C$17,C906)</f>
        <v>2</v>
      </c>
    </row>
    <row r="927" customFormat="false" ht="15" hidden="false" customHeight="false" outlineLevel="0" collapsed="false">
      <c r="A927" s="23" t="s">
        <v>508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</row>
    <row r="928" customFormat="false" ht="15" hidden="false" customHeight="false" outlineLevel="0" collapsed="false">
      <c r="A928" s="3" t="s">
        <v>499</v>
      </c>
      <c r="C928" s="25" t="n">
        <f aca="false">SUMPRODUCT(($C$924:$C$926&lt;C924)*$C$920:$C$922)</f>
        <v>0</v>
      </c>
    </row>
    <row r="929" customFormat="false" ht="15" hidden="false" customHeight="false" outlineLevel="0" collapsed="false">
      <c r="A929" s="3" t="s">
        <v>500</v>
      </c>
      <c r="C929" s="25" t="n">
        <f aca="false">SUMPRODUCT(($C$924:$C$926&lt;C925)*$C$920:$C$922)</f>
        <v>1315.098</v>
      </c>
    </row>
    <row r="930" customFormat="false" ht="15" hidden="false" customHeight="false" outlineLevel="0" collapsed="false">
      <c r="A930" s="3" t="s">
        <v>501</v>
      </c>
      <c r="C930" s="25" t="n">
        <f aca="false">SUMPRODUCT(($C$924:$C$926&lt;C926)*$C$920:$C$922)</f>
        <v>1315.098</v>
      </c>
    </row>
    <row r="931" customFormat="false" ht="15" hidden="false" customHeight="false" outlineLevel="0" collapsed="false">
      <c r="A931" s="23" t="s">
        <v>509</v>
      </c>
      <c r="B931" s="24"/>
      <c r="C931" s="24"/>
      <c r="D931" s="24"/>
      <c r="E931" s="24"/>
      <c r="F931" s="24"/>
      <c r="G931" s="24"/>
      <c r="H931" s="24"/>
      <c r="I931" s="24"/>
      <c r="J931" s="24"/>
      <c r="K931" s="24"/>
    </row>
    <row r="932" customFormat="false" ht="15" hidden="false" customHeight="false" outlineLevel="0" collapsed="false">
      <c r="A932" s="3" t="s">
        <v>499</v>
      </c>
      <c r="C932" s="25" t="n">
        <f aca="false">SUMPRODUCT(($C$924:$C$926=C924)*$C$920:$C$922)</f>
        <v>1315.098</v>
      </c>
    </row>
    <row r="933" customFormat="false" ht="15" hidden="false" customHeight="false" outlineLevel="0" collapsed="false">
      <c r="A933" s="3" t="s">
        <v>500</v>
      </c>
      <c r="C933" s="25" t="n">
        <f aca="false">SUMPRODUCT(($C$924:$C$926=C925)*$C$920:$C$922)</f>
        <v>150.08403256832</v>
      </c>
    </row>
    <row r="934" customFormat="false" ht="15" hidden="false" customHeight="false" outlineLevel="0" collapsed="false">
      <c r="A934" s="3" t="s">
        <v>501</v>
      </c>
      <c r="C934" s="25" t="n">
        <f aca="false">SUMPRODUCT(($C$924:$C$926=C926)*$C$920:$C$922)</f>
        <v>150.08403256832</v>
      </c>
    </row>
    <row r="935" customFormat="false" ht="15" hidden="false" customHeight="false" outlineLevel="0" collapsed="false">
      <c r="A935" s="23" t="s">
        <v>510</v>
      </c>
      <c r="B935" s="24"/>
      <c r="C935" s="24"/>
      <c r="D935" s="24"/>
      <c r="E935" s="24"/>
      <c r="F935" s="24"/>
      <c r="G935" s="24"/>
      <c r="H935" s="24"/>
      <c r="I935" s="24"/>
      <c r="J935" s="24"/>
      <c r="K935" s="24"/>
    </row>
    <row r="936" customFormat="false" ht="15" hidden="false" customHeight="false" outlineLevel="0" collapsed="false">
      <c r="A936" s="3" t="s">
        <v>499</v>
      </c>
      <c r="C936" s="25" t="n">
        <f aca="false">IF(C932=0,0,C920/C932*MAX(0,MIN(C932,$C$898-SUM($C$912:$C$914)-C928)))</f>
        <v>428.3744040576</v>
      </c>
    </row>
    <row r="937" customFormat="false" ht="15" hidden="false" customHeight="false" outlineLevel="0" collapsed="false">
      <c r="A937" s="3" t="s">
        <v>500</v>
      </c>
      <c r="C937" s="25" t="n">
        <f aca="false">IF(C933=0,0,C921/C933*MAX(0,MIN(C933,$C$898-SUM($C$912:$C$914)-C929)))</f>
        <v>0</v>
      </c>
    </row>
    <row r="938" customFormat="false" ht="15" hidden="false" customHeight="false" outlineLevel="0" collapsed="false">
      <c r="A938" s="3" t="s">
        <v>501</v>
      </c>
      <c r="C938" s="25" t="n">
        <f aca="false">IF(C934=0,0,C922/C934*MAX(0,MIN(C934,$C$898-SUM($C$912:$C$914)-C930)))</f>
        <v>0</v>
      </c>
    </row>
    <row r="939" customFormat="false" ht="15" hidden="false" customHeight="false" outlineLevel="0" collapsed="false">
      <c r="A939" s="23" t="s">
        <v>511</v>
      </c>
      <c r="B939" s="24"/>
      <c r="C939" s="24"/>
      <c r="D939" s="24"/>
      <c r="E939" s="24"/>
      <c r="F939" s="24"/>
      <c r="G939" s="24"/>
      <c r="H939" s="24"/>
      <c r="I939" s="24"/>
      <c r="J939" s="24"/>
      <c r="K939" s="24"/>
    </row>
    <row r="940" customFormat="false" ht="15" hidden="false" customHeight="false" outlineLevel="0" collapsed="false">
      <c r="A940" s="2" t="s">
        <v>499</v>
      </c>
      <c r="C940" s="16" t="n">
        <f aca="false">C912+C936</f>
        <v>428.3744040576</v>
      </c>
    </row>
    <row r="941" customFormat="false" ht="15" hidden="false" customHeight="false" outlineLevel="0" collapsed="false">
      <c r="A941" s="2" t="s">
        <v>500</v>
      </c>
      <c r="C941" s="16" t="n">
        <f aca="false">C913+C937</f>
        <v>0</v>
      </c>
    </row>
    <row r="942" customFormat="false" ht="15" hidden="false" customHeight="false" outlineLevel="0" collapsed="false">
      <c r="A942" s="2" t="s">
        <v>501</v>
      </c>
      <c r="C942" s="16" t="n">
        <f aca="false">C914+C938</f>
        <v>0</v>
      </c>
    </row>
    <row r="943" customFormat="false" ht="15" hidden="false" customHeight="false" outlineLevel="0" collapsed="false">
      <c r="A943" s="23" t="s">
        <v>512</v>
      </c>
      <c r="B943" s="24"/>
      <c r="C943" s="24"/>
      <c r="D943" s="24"/>
      <c r="E943" s="24"/>
      <c r="F943" s="24"/>
      <c r="G943" s="24"/>
      <c r="H943" s="24"/>
      <c r="I943" s="24"/>
      <c r="J943" s="24"/>
      <c r="K943" s="24"/>
    </row>
    <row r="944" customFormat="false" ht="15" hidden="false" customHeight="false" outlineLevel="0" collapsed="false">
      <c r="A944" s="3" t="s">
        <v>499</v>
      </c>
      <c r="C944" s="21" t="n">
        <f aca="false">IF(C900=0,1,C940/C900)</f>
        <v>0.325735727723409</v>
      </c>
    </row>
    <row r="945" customFormat="false" ht="15" hidden="false" customHeight="false" outlineLevel="0" collapsed="false">
      <c r="A945" s="3" t="s">
        <v>500</v>
      </c>
      <c r="C945" s="21" t="n">
        <f aca="false">IF(C901=0,1,C941/C901)</f>
        <v>0</v>
      </c>
    </row>
    <row r="946" customFormat="false" ht="15" hidden="false" customHeight="false" outlineLevel="0" collapsed="false">
      <c r="A946" s="3" t="s">
        <v>501</v>
      </c>
      <c r="C946" s="21" t="n">
        <f aca="false">IF(C902=0,1,C942/C902)</f>
        <v>0</v>
      </c>
    </row>
    <row r="947" customFormat="false" ht="15" hidden="false" customHeight="false" outlineLevel="0" collapsed="false">
      <c r="A947" s="23" t="s">
        <v>513</v>
      </c>
      <c r="B947" s="24"/>
      <c r="C947" s="24"/>
      <c r="D947" s="24"/>
      <c r="E947" s="24"/>
      <c r="F947" s="24"/>
      <c r="G947" s="24"/>
      <c r="H947" s="24"/>
      <c r="I947" s="24"/>
      <c r="J947" s="24"/>
      <c r="K947" s="24"/>
    </row>
    <row r="948" customFormat="false" ht="15" hidden="false" customHeight="false" outlineLevel="0" collapsed="false">
      <c r="A948" s="3" t="s">
        <v>499</v>
      </c>
      <c r="C948" s="25" t="n">
        <f aca="false">C900-C940</f>
        <v>886.7235959424</v>
      </c>
    </row>
    <row r="949" customFormat="false" ht="15" hidden="false" customHeight="false" outlineLevel="0" collapsed="false">
      <c r="A949" s="3" t="s">
        <v>500</v>
      </c>
      <c r="C949" s="25" t="n">
        <f aca="false">C901-C941</f>
        <v>6.33403256832008</v>
      </c>
    </row>
    <row r="950" customFormat="false" ht="15" hidden="false" customHeight="false" outlineLevel="0" collapsed="false">
      <c r="A950" s="3" t="s">
        <v>501</v>
      </c>
      <c r="C950" s="25" t="n">
        <f aca="false">C902-C942</f>
        <v>143.75</v>
      </c>
    </row>
    <row r="951" customFormat="false" ht="15" hidden="false" customHeight="false" outlineLevel="0" collapsed="false">
      <c r="A951" s="23" t="s">
        <v>514</v>
      </c>
      <c r="B951" s="24"/>
      <c r="C951" s="24"/>
      <c r="D951" s="24"/>
      <c r="E951" s="24"/>
      <c r="F951" s="24"/>
      <c r="G951" s="24"/>
      <c r="H951" s="24"/>
      <c r="I951" s="24"/>
      <c r="J951" s="24"/>
      <c r="K951" s="24"/>
    </row>
    <row r="952" customFormat="false" ht="15" hidden="false" customHeight="false" outlineLevel="0" collapsed="false">
      <c r="A952" s="3" t="s">
        <v>499</v>
      </c>
      <c r="C952" s="21" t="n">
        <f aca="false">IF(C900=0,0,C948/C900)</f>
        <v>0.674264272276591</v>
      </c>
    </row>
    <row r="953" customFormat="false" ht="15" hidden="false" customHeight="false" outlineLevel="0" collapsed="false">
      <c r="A953" s="3" t="s">
        <v>500</v>
      </c>
      <c r="C953" s="21" t="n">
        <f aca="false">IF(C901=0,0,C949/C901)</f>
        <v>1</v>
      </c>
    </row>
    <row r="954" customFormat="false" ht="15" hidden="false" customHeight="false" outlineLevel="0" collapsed="false">
      <c r="A954" s="3" t="s">
        <v>501</v>
      </c>
      <c r="C954" s="21" t="n">
        <f aca="false">IF(C902=0,0,C950/C902)</f>
        <v>1</v>
      </c>
    </row>
    <row r="955" customFormat="false" ht="15" hidden="false" customHeight="false" outlineLevel="0" collapsed="false">
      <c r="A955" s="2" t="s">
        <v>515</v>
      </c>
      <c r="C955" s="16" t="n">
        <f aca="false">MAX(0,$C$898-SUM($C$912:$C$914)-SUM($C$920:$C$922))</f>
        <v>0</v>
      </c>
    </row>
    <row r="956" customFormat="false" ht="15" hidden="false" customHeight="false" outlineLevel="0" collapsed="false">
      <c r="A956" s="3" t="s">
        <v>533</v>
      </c>
      <c r="C956" s="34" t="n">
        <f aca="false">MIN(C897,100*CHOOSE(C887,C944,C945,C946))</f>
        <v>32.5735727723409</v>
      </c>
    </row>
    <row r="957" customFormat="false" ht="15" hidden="false" customHeight="false" outlineLevel="0" collapsed="false">
      <c r="A957" s="3" t="s">
        <v>534</v>
      </c>
      <c r="C957" s="20" t="n">
        <f aca="false">IF(C817=1,C892+Assumptions!$C$39,C891)</f>
        <v>4</v>
      </c>
    </row>
    <row r="958" customFormat="false" ht="15" hidden="false" customHeight="false" outlineLevel="0" collapsed="false">
      <c r="A958" s="23" t="s">
        <v>535</v>
      </c>
      <c r="B958" s="24"/>
      <c r="C958" s="24"/>
      <c r="D958" s="24"/>
      <c r="E958" s="24"/>
      <c r="F958" s="24"/>
      <c r="G958" s="24"/>
      <c r="H958" s="24"/>
      <c r="I958" s="24"/>
      <c r="J958" s="24"/>
      <c r="K958" s="24"/>
    </row>
    <row r="959" customFormat="false" ht="15" hidden="false" customHeight="false" outlineLevel="0" collapsed="false">
      <c r="A959" s="3" t="s">
        <v>536</v>
      </c>
      <c r="C959" s="20" t="n">
        <f aca="false">COLUMN()-COLUMN($C$1)</f>
        <v>0</v>
      </c>
      <c r="D959" s="20" t="n">
        <f aca="false">COLUMN()-COLUMN($C$1)</f>
        <v>1</v>
      </c>
      <c r="E959" s="20" t="n">
        <f aca="false">COLUMN()-COLUMN($C$1)</f>
        <v>2</v>
      </c>
      <c r="F959" s="20" t="n">
        <f aca="false">COLUMN()-COLUMN($C$1)</f>
        <v>3</v>
      </c>
      <c r="G959" s="20" t="n">
        <f aca="false">COLUMN()-COLUMN($C$1)</f>
        <v>4</v>
      </c>
      <c r="H959" s="20" t="n">
        <f aca="false">COLUMN()-COLUMN($C$1)</f>
        <v>5</v>
      </c>
      <c r="I959" s="20" t="n">
        <f aca="false">COLUMN()-COLUMN($C$1)</f>
        <v>6</v>
      </c>
    </row>
    <row r="960" customFormat="false" ht="15" hidden="false" customHeight="false" outlineLevel="0" collapsed="false">
      <c r="A960" s="3" t="s">
        <v>537</v>
      </c>
      <c r="D960" s="31" t="n">
        <f aca="false">CHOOSE($C$887,G700,G713,G726)</f>
        <v>0.105</v>
      </c>
      <c r="E960" s="31" t="n">
        <f aca="false">CHOOSE($C$887,H700,H713,H726)</f>
        <v>0.105</v>
      </c>
      <c r="F960" s="31" t="n">
        <f aca="false">CHOOSE($C$887,I700,I713,I726)</f>
        <v>0.105</v>
      </c>
      <c r="G960" s="31" t="n">
        <f aca="false">CHOOSE($C$887,J700,J713,J726)</f>
        <v>0.105</v>
      </c>
      <c r="H960" s="31" t="n">
        <f aca="false">CHOOSE($C$887,K700,K713,K726)</f>
        <v>0.105</v>
      </c>
    </row>
    <row r="961" customFormat="false" ht="15" hidden="false" customHeight="false" outlineLevel="0" collapsed="false">
      <c r="A961" s="3" t="s">
        <v>538</v>
      </c>
      <c r="D961" s="25" t="n">
        <f aca="false">IF(D959&lt;=$C$896,$C$888*D960,0)</f>
        <v>10.5</v>
      </c>
      <c r="E961" s="25" t="n">
        <f aca="false">IF(E959&lt;=$C$896,$C$888*E960,0)</f>
        <v>10.5</v>
      </c>
      <c r="F961" s="25" t="n">
        <f aca="false">IF(F959&lt;=$C$896,$C$888*F960,0)</f>
        <v>10.5</v>
      </c>
      <c r="G961" s="25" t="n">
        <f aca="false">IF(G959&lt;=$C$896,$C$888*G960,0)</f>
        <v>0</v>
      </c>
      <c r="H961" s="25" t="n">
        <f aca="false">IF(H959&lt;=$C$896,$C$888*H960,0)</f>
        <v>0</v>
      </c>
    </row>
    <row r="962" customFormat="false" ht="15" hidden="false" customHeight="false" outlineLevel="0" collapsed="false">
      <c r="A962" s="3" t="s">
        <v>539</v>
      </c>
      <c r="D962" s="25" t="n">
        <f aca="false">IF(AND($C$817=0,D959=$C$891),$C$888*$C$956/100,0)+IF(AND($C$817=1,D959=$C$957),$C$894,0)</f>
        <v>0</v>
      </c>
      <c r="E962" s="25" t="n">
        <f aca="false">IF(AND($C$817=0,E959=$C$891),$C$888*$C$956/100,0)+IF(AND($C$817=1,E959=$C$957),$C$894,0)</f>
        <v>0</v>
      </c>
      <c r="F962" s="25" t="n">
        <f aca="false">IF(AND($C$817=0,F959=$C$891),$C$888*$C$956/100,0)+IF(AND($C$817=1,F959=$C$957),$C$894,0)</f>
        <v>0</v>
      </c>
      <c r="G962" s="25" t="n">
        <f aca="false">IF(AND($C$817=0,G959=$C$891),$C$888*$C$956/100,0)+IF(AND($C$817=1,G959=$C$957),$C$894,0)</f>
        <v>34.945728090226</v>
      </c>
      <c r="H962" s="25" t="n">
        <f aca="false">IF(AND($C$817=0,H959=$C$891),$C$888*$C$956/100,0)+IF(AND($C$817=1,H959=$C$957),$C$894,0)</f>
        <v>0</v>
      </c>
      <c r="I962" s="25" t="n">
        <f aca="false">IF(AND($C$817=0,I959=$C$891),$C$888*$C$956/100,0)+IF(AND($C$817=1,I959=$C$957),$C$894,0)</f>
        <v>0</v>
      </c>
    </row>
    <row r="963" customFormat="false" ht="15" hidden="false" customHeight="false" outlineLevel="0" collapsed="false">
      <c r="A963" s="2" t="s">
        <v>540</v>
      </c>
      <c r="C963" s="16" t="n">
        <f aca="false">-$C$890</f>
        <v>-95</v>
      </c>
      <c r="D963" s="16" t="n">
        <f aca="false">D961+D962</f>
        <v>10.5</v>
      </c>
      <c r="E963" s="16" t="n">
        <f aca="false">E961+E962</f>
        <v>10.5</v>
      </c>
      <c r="F963" s="16" t="n">
        <f aca="false">F961+F962</f>
        <v>10.5</v>
      </c>
      <c r="G963" s="16" t="n">
        <f aca="false">G961+G962</f>
        <v>34.945728090226</v>
      </c>
      <c r="H963" s="16" t="n">
        <f aca="false">H961+H962</f>
        <v>0</v>
      </c>
      <c r="I963" s="16" t="n">
        <f aca="false">I961+I962</f>
        <v>0</v>
      </c>
    </row>
    <row r="964" customFormat="false" ht="15" hidden="false" customHeight="false" outlineLevel="0" collapsed="false">
      <c r="A964" s="3" t="s">
        <v>541</v>
      </c>
      <c r="C964" s="25" t="n">
        <f aca="false">SUM($C$961:$I$961)</f>
        <v>31.5</v>
      </c>
    </row>
    <row r="965" customFormat="false" ht="15" hidden="false" customHeight="false" outlineLevel="0" collapsed="false">
      <c r="A965" s="3" t="s">
        <v>542</v>
      </c>
      <c r="C965" s="25" t="n">
        <f aca="false">SUM($C$962:$I$962)</f>
        <v>34.945728090226</v>
      </c>
    </row>
    <row r="966" customFormat="false" ht="15" hidden="false" customHeight="false" outlineLevel="0" collapsed="false">
      <c r="A966" s="3" t="s">
        <v>543</v>
      </c>
      <c r="C966" s="25" t="n">
        <f aca="false">C964+C965</f>
        <v>66.445728090226</v>
      </c>
    </row>
    <row r="967" customFormat="false" ht="15" hidden="false" customHeight="false" outlineLevel="0" collapsed="false">
      <c r="A967" s="3" t="s">
        <v>544</v>
      </c>
      <c r="C967" s="25" t="n">
        <f aca="false">C965-C888*C889/100</f>
        <v>-60.054271909774</v>
      </c>
    </row>
    <row r="968" customFormat="false" ht="15" hidden="false" customHeight="false" outlineLevel="0" collapsed="false">
      <c r="A968" s="3" t="s">
        <v>545</v>
      </c>
      <c r="C968" s="25" t="n">
        <f aca="false">C966-C890</f>
        <v>-28.554271909774</v>
      </c>
    </row>
    <row r="969" customFormat="false" ht="15" hidden="false" customHeight="false" outlineLevel="0" collapsed="false">
      <c r="A969" s="2" t="s">
        <v>427</v>
      </c>
      <c r="C969" s="44" t="n">
        <f aca="false">C966/C890</f>
        <v>0.699428716739221</v>
      </c>
    </row>
    <row r="970" customFormat="false" ht="15" hidden="false" customHeight="false" outlineLevel="0" collapsed="false">
      <c r="A970" s="2" t="s">
        <v>426</v>
      </c>
      <c r="C970" s="42" t="n">
        <f aca="false">IF(C966&lt;=0,-1,IFERROR(IRR($C$963:$I$963,MAX(-0.9,C969^(1/C957)-1)),IRR($C$963:$I$963,0.1)))</f>
        <v>-0.10811295237651</v>
      </c>
    </row>
    <row r="971" customFormat="false" ht="15" hidden="false" customHeight="false" outlineLevel="0" collapsed="false">
      <c r="A971" s="3" t="s">
        <v>546</v>
      </c>
      <c r="C971" s="32" t="n">
        <f aca="false">MAX($G$777:$K$777)</f>
        <v>17.6426302993449</v>
      </c>
    </row>
    <row r="972" customFormat="false" ht="15" hidden="false" customHeight="false" outlineLevel="0" collapsed="false">
      <c r="A972" s="3" t="s">
        <v>547</v>
      </c>
      <c r="C972" s="32" t="n">
        <f aca="false">MIN($G$778:$K$778)</f>
        <v>0.641091448545568</v>
      </c>
    </row>
    <row r="973" customFormat="false" ht="15" hidden="false" customHeight="false" outlineLevel="0" collapsed="false">
      <c r="A973" s="3" t="s">
        <v>548</v>
      </c>
      <c r="C973" s="25" t="n">
        <f aca="false">SUM($G$684:$K$684)</f>
        <v>-362.406198194027</v>
      </c>
    </row>
    <row r="977" customFormat="false" ht="15" hidden="false" customHeight="false" outlineLevel="0" collapsed="false">
      <c r="A977" s="9" t="s">
        <v>1017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customFormat="false" ht="15" hidden="false" customHeight="false" outlineLevel="0" collapsed="false">
      <c r="A978" s="3" t="s">
        <v>1010</v>
      </c>
      <c r="C978" s="11" t="n">
        <v>1</v>
      </c>
    </row>
    <row r="979" customFormat="false" ht="15" hidden="false" customHeight="false" outlineLevel="0" collapsed="false">
      <c r="A979" s="3" t="s">
        <v>1011</v>
      </c>
      <c r="C979" s="18" t="n">
        <v>0</v>
      </c>
    </row>
    <row r="980" customFormat="false" ht="15" hidden="false" customHeight="false" outlineLevel="0" collapsed="false">
      <c r="A980" s="3" t="s">
        <v>1012</v>
      </c>
      <c r="C980" s="30" t="n">
        <f aca="false">Sensitivities!$A$30</f>
        <v>-0.04</v>
      </c>
    </row>
    <row r="981" customFormat="false" ht="15" hidden="false" customHeight="false" outlineLevel="0" collapsed="false">
      <c r="A981" s="3" t="s">
        <v>1013</v>
      </c>
      <c r="C981" s="18" t="n">
        <v>0</v>
      </c>
    </row>
    <row r="982" customFormat="false" ht="15" hidden="false" customHeight="false" outlineLevel="0" collapsed="false">
      <c r="A982" s="3" t="s">
        <v>1014</v>
      </c>
      <c r="C982" s="15" t="n">
        <v>0</v>
      </c>
    </row>
    <row r="984" customFormat="false" ht="15" hidden="false" customHeight="false" outlineLevel="0" collapsed="false">
      <c r="A984" s="23" t="s">
        <v>281</v>
      </c>
      <c r="B984" s="24"/>
      <c r="C984" s="24"/>
      <c r="D984" s="24"/>
      <c r="E984" s="24"/>
      <c r="F984" s="24"/>
      <c r="G984" s="24"/>
      <c r="H984" s="24"/>
      <c r="I984" s="24"/>
      <c r="J984" s="24"/>
      <c r="K984" s="24"/>
    </row>
    <row r="985" customFormat="false" ht="15" hidden="false" customHeight="false" outlineLevel="0" collapsed="false">
      <c r="A985" s="3" t="s">
        <v>282</v>
      </c>
      <c r="F985" s="27" t="n">
        <f aca="false">Assumptions!$C$6</f>
        <v>2026</v>
      </c>
      <c r="G985" s="20" t="n">
        <f aca="false">F985+1</f>
        <v>2027</v>
      </c>
      <c r="H985" s="20" t="n">
        <f aca="false">G985+1</f>
        <v>2028</v>
      </c>
      <c r="I985" s="20" t="n">
        <f aca="false">H985+1</f>
        <v>2029</v>
      </c>
      <c r="J985" s="20" t="n">
        <f aca="false">I985+1</f>
        <v>2030</v>
      </c>
      <c r="K985" s="20" t="n">
        <f aca="false">J985+1</f>
        <v>2031</v>
      </c>
    </row>
    <row r="986" customFormat="false" ht="15" hidden="false" customHeight="false" outlineLevel="0" collapsed="false">
      <c r="A986" s="3" t="s">
        <v>283</v>
      </c>
      <c r="G986" s="20" t="n">
        <f aca="false">G985-Assumptions!$C$6</f>
        <v>1</v>
      </c>
      <c r="H986" s="20" t="n">
        <f aca="false">H985-Assumptions!$C$6</f>
        <v>2</v>
      </c>
      <c r="I986" s="20" t="n">
        <f aca="false">I985-Assumptions!$C$6</f>
        <v>3</v>
      </c>
      <c r="J986" s="20" t="n">
        <f aca="false">J985-Assumptions!$C$6</f>
        <v>4</v>
      </c>
      <c r="K986" s="20" t="n">
        <f aca="false">K985-Assumptions!$C$6</f>
        <v>5</v>
      </c>
    </row>
    <row r="987" customFormat="false" ht="15" hidden="false" customHeight="false" outlineLevel="0" collapsed="false">
      <c r="A987" s="3" t="s">
        <v>165</v>
      </c>
      <c r="G987" s="21" t="n">
        <f aca="false">CHOOSE($C$978,Assumptions!$G$71,Assumptions!$G$90,Assumptions!$G$109)+$C$979</f>
        <v>-0.045</v>
      </c>
      <c r="H987" s="21" t="n">
        <f aca="false">CHOOSE($C$978,Assumptions!$H$71,Assumptions!$H$90,Assumptions!$H$109)+$C$979</f>
        <v>-0.04</v>
      </c>
      <c r="I987" s="21" t="n">
        <f aca="false">CHOOSE($C$978,Assumptions!$I$71,Assumptions!$I$90,Assumptions!$I$109)+$C$979</f>
        <v>-0.035</v>
      </c>
      <c r="J987" s="21" t="n">
        <f aca="false">CHOOSE($C$978,Assumptions!$J$71,Assumptions!$J$90,Assumptions!$J$109)+$C$979</f>
        <v>-0.03</v>
      </c>
      <c r="K987" s="21" t="n">
        <f aca="false">CHOOSE($C$978,Assumptions!$K$71,Assumptions!$K$90,Assumptions!$K$109)+$C$979</f>
        <v>-0.03</v>
      </c>
    </row>
    <row r="988" customFormat="false" ht="15" hidden="false" customHeight="false" outlineLevel="0" collapsed="false">
      <c r="A988" s="3" t="s">
        <v>166</v>
      </c>
      <c r="G988" s="21" t="n">
        <f aca="false">CHOOSE($C$978,Assumptions!$G$72,Assumptions!$G$91,Assumptions!$G$110)</f>
        <v>0.483246670103635</v>
      </c>
      <c r="H988" s="21" t="n">
        <f aca="false">CHOOSE($C$978,Assumptions!$H$72,Assumptions!$H$91,Assumptions!$H$110)</f>
        <v>0.483246670103635</v>
      </c>
      <c r="I988" s="21" t="n">
        <f aca="false">CHOOSE($C$978,Assumptions!$I$72,Assumptions!$I$91,Assumptions!$I$110)</f>
        <v>0.481246670103635</v>
      </c>
      <c r="J988" s="21" t="n">
        <f aca="false">CHOOSE($C$978,Assumptions!$J$72,Assumptions!$J$91,Assumptions!$J$110)</f>
        <v>0.479246670103635</v>
      </c>
      <c r="K988" s="21" t="n">
        <f aca="false">CHOOSE($C$978,Assumptions!$K$72,Assumptions!$K$91,Assumptions!$K$110)</f>
        <v>0.477246670103635</v>
      </c>
    </row>
    <row r="989" customFormat="false" ht="15" hidden="false" customHeight="false" outlineLevel="0" collapsed="false">
      <c r="A989" s="3" t="s">
        <v>167</v>
      </c>
      <c r="G989" s="21" t="n">
        <f aca="false">CHOOSE($C$978,Assumptions!$G$73,Assumptions!$G$92,Assumptions!$G$111)+$C$980</f>
        <v>0.1</v>
      </c>
      <c r="H989" s="21" t="n">
        <f aca="false">CHOOSE($C$978,Assumptions!$H$73,Assumptions!$H$92,Assumptions!$H$111)+$C$980</f>
        <v>0.1</v>
      </c>
      <c r="I989" s="21" t="n">
        <f aca="false">CHOOSE($C$978,Assumptions!$I$73,Assumptions!$I$92,Assumptions!$I$111)+$C$980</f>
        <v>0.098</v>
      </c>
      <c r="J989" s="21" t="n">
        <f aca="false">CHOOSE($C$978,Assumptions!$J$73,Assumptions!$J$92,Assumptions!$J$111)+$C$980</f>
        <v>0.096</v>
      </c>
      <c r="K989" s="21" t="n">
        <f aca="false">CHOOSE($C$978,Assumptions!$K$73,Assumptions!$K$92,Assumptions!$K$111)+$C$980</f>
        <v>0.094</v>
      </c>
    </row>
    <row r="990" customFormat="false" ht="15" hidden="false" customHeight="false" outlineLevel="0" collapsed="false">
      <c r="A990" s="23" t="s">
        <v>284</v>
      </c>
      <c r="B990" s="24"/>
      <c r="C990" s="24"/>
      <c r="D990" s="24"/>
      <c r="E990" s="24"/>
      <c r="F990" s="24"/>
      <c r="G990" s="24"/>
      <c r="H990" s="24"/>
      <c r="I990" s="24"/>
      <c r="J990" s="24"/>
      <c r="K990" s="24"/>
    </row>
    <row r="991" customFormat="false" ht="15" hidden="false" customHeight="false" outlineLevel="0" collapsed="false">
      <c r="A991" s="2" t="s">
        <v>256</v>
      </c>
      <c r="F991" s="28" t="n">
        <f aca="false">'Historical Financials'!G23</f>
        <v>2246.166</v>
      </c>
      <c r="G991" s="16" t="n">
        <f aca="false">F991*(1+G987)</f>
        <v>2145.08853</v>
      </c>
      <c r="H991" s="16" t="n">
        <f aca="false">G991*(1+H987)</f>
        <v>2059.2849888</v>
      </c>
      <c r="I991" s="16" t="n">
        <f aca="false">H991*(1+I987)</f>
        <v>1987.210014192</v>
      </c>
      <c r="J991" s="16" t="n">
        <f aca="false">I991*(1+J987)</f>
        <v>1927.59371376624</v>
      </c>
      <c r="K991" s="16" t="n">
        <f aca="false">J991*(1+K987)</f>
        <v>1869.76590235325</v>
      </c>
    </row>
    <row r="992" customFormat="false" ht="15" hidden="false" customHeight="false" outlineLevel="0" collapsed="false">
      <c r="A992" s="3" t="s">
        <v>257</v>
      </c>
      <c r="G992" s="25" t="n">
        <f aca="false">G991*(1-G988)</f>
        <v>1108.4816408</v>
      </c>
      <c r="H992" s="25" t="n">
        <f aca="false">H991*(1-H988)</f>
        <v>1064.142375168</v>
      </c>
      <c r="I992" s="25" t="n">
        <f aca="false">I991*(1-I988)</f>
        <v>1030.8718120655</v>
      </c>
      <c r="J992" s="25" t="n">
        <f aca="false">J991*(1-J988)</f>
        <v>1003.80084513107</v>
      </c>
      <c r="K992" s="25" t="n">
        <f aca="false">K991*(1-K988)</f>
        <v>977.426351581845</v>
      </c>
    </row>
    <row r="993" customFormat="false" ht="15" hidden="false" customHeight="false" outlineLevel="0" collapsed="false">
      <c r="A993" s="2" t="s">
        <v>258</v>
      </c>
      <c r="G993" s="16" t="n">
        <f aca="false">G991-G992</f>
        <v>1036.6068892</v>
      </c>
      <c r="H993" s="16" t="n">
        <f aca="false">H991-H992</f>
        <v>995.142613632</v>
      </c>
      <c r="I993" s="16" t="n">
        <f aca="false">I991-I992</f>
        <v>956.338202126496</v>
      </c>
      <c r="J993" s="16" t="n">
        <f aca="false">J991-J992</f>
        <v>923.792868635169</v>
      </c>
      <c r="K993" s="16" t="n">
        <f aca="false">K991-K992</f>
        <v>892.339550771407</v>
      </c>
    </row>
    <row r="994" customFormat="false" ht="15" hidden="false" customHeight="false" outlineLevel="0" collapsed="false">
      <c r="A994" s="3" t="s">
        <v>285</v>
      </c>
      <c r="G994" s="25" t="n">
        <f aca="false">G993-G995</f>
        <v>822.0980362</v>
      </c>
      <c r="H994" s="25" t="n">
        <f aca="false">H993-H995</f>
        <v>789.214114752</v>
      </c>
      <c r="I994" s="25" t="n">
        <f aca="false">I993-I995</f>
        <v>761.59162073568</v>
      </c>
      <c r="J994" s="25" t="n">
        <f aca="false">J993-J995</f>
        <v>738.74387211361</v>
      </c>
      <c r="K994" s="25" t="n">
        <f aca="false">K993-K995</f>
        <v>716.581555950201</v>
      </c>
    </row>
    <row r="995" customFormat="false" ht="15" hidden="false" customHeight="false" outlineLevel="0" collapsed="false">
      <c r="A995" s="2" t="s">
        <v>286</v>
      </c>
      <c r="G995" s="16" t="n">
        <f aca="false">G991*G989</f>
        <v>214.508853</v>
      </c>
      <c r="H995" s="16" t="n">
        <f aca="false">H991*H989</f>
        <v>205.92849888</v>
      </c>
      <c r="I995" s="16" t="n">
        <f aca="false">I991*I989</f>
        <v>194.746581390816</v>
      </c>
      <c r="J995" s="16" t="n">
        <f aca="false">J991*J989</f>
        <v>185.048996521559</v>
      </c>
      <c r="K995" s="16" t="n">
        <f aca="false">K991*K989</f>
        <v>175.757994821206</v>
      </c>
    </row>
    <row r="996" customFormat="false" ht="15" hidden="false" customHeight="false" outlineLevel="0" collapsed="false">
      <c r="A996" s="3" t="s">
        <v>287</v>
      </c>
      <c r="G996" s="25" t="n">
        <f aca="false">G991*'Historical Financials'!G28/'Historical Financials'!G23</f>
        <v>81.45768</v>
      </c>
      <c r="H996" s="25" t="n">
        <f aca="false">H991*'Historical Financials'!G28/'Historical Financials'!G23</f>
        <v>78.1993728</v>
      </c>
      <c r="I996" s="25" t="n">
        <f aca="false">I991*'Historical Financials'!G28/'Historical Financials'!G23</f>
        <v>75.462394752</v>
      </c>
      <c r="J996" s="25" t="n">
        <f aca="false">J991*'Historical Financials'!G28/'Historical Financials'!G23</f>
        <v>73.19852290944</v>
      </c>
      <c r="K996" s="25" t="n">
        <f aca="false">K991*'Historical Financials'!G28/'Historical Financials'!G23</f>
        <v>71.0025672221568</v>
      </c>
    </row>
    <row r="997" customFormat="false" ht="15" hidden="false" customHeight="false" outlineLevel="0" collapsed="false">
      <c r="A997" s="3" t="s">
        <v>288</v>
      </c>
      <c r="G997" s="25" t="n">
        <f aca="false">G991*'Historical Financials'!G29/'Historical Financials'!G23</f>
        <v>23.25998</v>
      </c>
      <c r="H997" s="25" t="n">
        <f aca="false">H991*'Historical Financials'!G29/'Historical Financials'!G23</f>
        <v>22.3295808</v>
      </c>
      <c r="I997" s="25" t="n">
        <f aca="false">I991*'Historical Financials'!G29/'Historical Financials'!G23</f>
        <v>21.548045472</v>
      </c>
      <c r="J997" s="25" t="n">
        <f aca="false">J991*'Historical Financials'!G29/'Historical Financials'!G23</f>
        <v>20.90160410784</v>
      </c>
      <c r="K997" s="25" t="n">
        <f aca="false">K991*'Historical Financials'!G29/'Historical Financials'!G23</f>
        <v>20.2745559846048</v>
      </c>
    </row>
    <row r="998" customFormat="false" ht="15" hidden="false" customHeight="false" outlineLevel="0" collapsed="false">
      <c r="A998" s="2" t="s">
        <v>289</v>
      </c>
      <c r="G998" s="16" t="n">
        <f aca="false">G995-G996-G997</f>
        <v>109.791193</v>
      </c>
      <c r="H998" s="16" t="n">
        <f aca="false">H995-H996-H997</f>
        <v>105.39954528</v>
      </c>
      <c r="I998" s="16" t="n">
        <f aca="false">I995-I996-I997</f>
        <v>97.736141166816</v>
      </c>
      <c r="J998" s="16" t="n">
        <f aca="false">J995-J996-J997</f>
        <v>90.948869504279</v>
      </c>
      <c r="K998" s="16" t="n">
        <f aca="false">K995-K996-K997</f>
        <v>84.4808716144441</v>
      </c>
    </row>
    <row r="999" customFormat="false" ht="15" hidden="false" customHeight="false" outlineLevel="0" collapsed="false">
      <c r="A999" s="3" t="s">
        <v>290</v>
      </c>
      <c r="G999" s="25" t="n">
        <f aca="false">G1025+G1038+G1051</f>
        <v>155.95467</v>
      </c>
      <c r="H999" s="25" t="n">
        <f aca="false">H1025+H1038+H1051</f>
        <v>155.95467</v>
      </c>
      <c r="I999" s="25" t="n">
        <f aca="false">I1025+I1038+I1051</f>
        <v>155.95467</v>
      </c>
      <c r="J999" s="25" t="n">
        <f aca="false">J1025+J1038+J1051</f>
        <v>138.08529</v>
      </c>
      <c r="K999" s="25" t="n">
        <f aca="false">K1025+K1038+K1051</f>
        <v>138.08529</v>
      </c>
    </row>
    <row r="1000" customFormat="false" ht="15" hidden="false" customHeight="false" outlineLevel="0" collapsed="false">
      <c r="A1000" s="3" t="s">
        <v>291</v>
      </c>
      <c r="G1000" s="25" t="n">
        <f aca="false">G1026+G1039+G1052</f>
        <v>0</v>
      </c>
      <c r="H1000" s="25" t="n">
        <f aca="false">H1026+H1039+H1052</f>
        <v>0</v>
      </c>
      <c r="I1000" s="25" t="n">
        <f aca="false">I1026+I1039+I1052</f>
        <v>0</v>
      </c>
      <c r="J1000" s="25" t="n">
        <f aca="false">J1026+J1039+J1052</f>
        <v>0</v>
      </c>
      <c r="K1000" s="25" t="n">
        <f aca="false">K1026+K1039+K1052</f>
        <v>0</v>
      </c>
    </row>
    <row r="1001" customFormat="false" ht="15" hidden="false" customHeight="false" outlineLevel="0" collapsed="false">
      <c r="A1001" s="3" t="s">
        <v>239</v>
      </c>
      <c r="G1001" s="25" t="n">
        <f aca="false">G999+G1000</f>
        <v>155.95467</v>
      </c>
      <c r="H1001" s="25" t="n">
        <f aca="false">H999+H1000</f>
        <v>155.95467</v>
      </c>
      <c r="I1001" s="25" t="n">
        <f aca="false">I999+I1000</f>
        <v>155.95467</v>
      </c>
      <c r="J1001" s="25" t="n">
        <f aca="false">J999+J1000</f>
        <v>138.08529</v>
      </c>
      <c r="K1001" s="25" t="n">
        <f aca="false">K999+K1000</f>
        <v>138.08529</v>
      </c>
    </row>
    <row r="1002" customFormat="false" ht="15" hidden="false" customHeight="false" outlineLevel="0" collapsed="false">
      <c r="A1002" s="2" t="s">
        <v>264</v>
      </c>
      <c r="G1002" s="16" t="n">
        <f aca="false">G998-G1001</f>
        <v>-46.163477</v>
      </c>
      <c r="H1002" s="16" t="n">
        <f aca="false">H998-H1001</f>
        <v>-50.55512472</v>
      </c>
      <c r="I1002" s="16" t="n">
        <f aca="false">I998-I1001</f>
        <v>-58.218528833184</v>
      </c>
      <c r="J1002" s="16" t="n">
        <f aca="false">J998-J1001</f>
        <v>-47.136420495721</v>
      </c>
      <c r="K1002" s="16" t="n">
        <f aca="false">K998-K1001</f>
        <v>-53.6044183855559</v>
      </c>
    </row>
    <row r="1003" customFormat="false" ht="15" hidden="false" customHeight="false" outlineLevel="0" collapsed="false">
      <c r="A1003" s="3" t="s">
        <v>292</v>
      </c>
      <c r="G1003" s="25" t="n">
        <f aca="false">MAX(0,G1002)*Assumptions!$C$9</f>
        <v>0</v>
      </c>
      <c r="H1003" s="25" t="n">
        <f aca="false">MAX(0,H1002)*Assumptions!$C$9</f>
        <v>0</v>
      </c>
      <c r="I1003" s="25" t="n">
        <f aca="false">MAX(0,I1002)*Assumptions!$C$9</f>
        <v>0</v>
      </c>
      <c r="J1003" s="25" t="n">
        <f aca="false">MAX(0,J1002)*Assumptions!$C$9</f>
        <v>0</v>
      </c>
      <c r="K1003" s="25" t="n">
        <f aca="false">MAX(0,K1002)*Assumptions!$C$9</f>
        <v>0</v>
      </c>
    </row>
    <row r="1004" customFormat="false" ht="15" hidden="false" customHeight="false" outlineLevel="0" collapsed="false">
      <c r="A1004" s="2" t="s">
        <v>293</v>
      </c>
      <c r="G1004" s="16" t="n">
        <f aca="false">G1002-G1003</f>
        <v>-46.163477</v>
      </c>
      <c r="H1004" s="16" t="n">
        <f aca="false">H1002-H1003</f>
        <v>-50.55512472</v>
      </c>
      <c r="I1004" s="16" t="n">
        <f aca="false">I1002-I1003</f>
        <v>-58.218528833184</v>
      </c>
      <c r="J1004" s="16" t="n">
        <f aca="false">J1002-J1003</f>
        <v>-47.136420495721</v>
      </c>
      <c r="K1004" s="16" t="n">
        <f aca="false">K1002-K1003</f>
        <v>-53.6044183855559</v>
      </c>
    </row>
    <row r="1005" customFormat="false" ht="15" hidden="false" customHeight="false" outlineLevel="0" collapsed="false">
      <c r="A1005" s="23" t="s">
        <v>294</v>
      </c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</row>
    <row r="1006" customFormat="false" ht="15" hidden="false" customHeight="false" outlineLevel="0" collapsed="false">
      <c r="A1006" s="3" t="s">
        <v>169</v>
      </c>
      <c r="G1006" s="25" t="n">
        <f aca="false">G991*CHOOSE($C$978,Assumptions!$C$75,Assumptions!$C$94,Assumptions!$C$113)</f>
        <v>30.03123942</v>
      </c>
      <c r="H1006" s="25" t="n">
        <f aca="false">H991*CHOOSE($C$978,Assumptions!$C$75,Assumptions!$C$94,Assumptions!$C$113)</f>
        <v>28.8299898432</v>
      </c>
      <c r="I1006" s="25" t="n">
        <f aca="false">I991*CHOOSE($C$978,Assumptions!$C$75,Assumptions!$C$94,Assumptions!$C$113)</f>
        <v>27.820940198688</v>
      </c>
      <c r="J1006" s="25" t="n">
        <f aca="false">J991*CHOOSE($C$978,Assumptions!$C$75,Assumptions!$C$94,Assumptions!$C$113)</f>
        <v>26.9863119927274</v>
      </c>
      <c r="K1006" s="25" t="n">
        <f aca="false">K991*CHOOSE($C$978,Assumptions!$C$75,Assumptions!$C$94,Assumptions!$C$113)</f>
        <v>26.1767226329455</v>
      </c>
    </row>
    <row r="1007" customFormat="false" ht="15" hidden="false" customHeight="false" outlineLevel="0" collapsed="false">
      <c r="A1007" s="3" t="s">
        <v>295</v>
      </c>
      <c r="G1007" s="25" t="n">
        <f aca="false">CHOOSE($C$978,Assumptions!$C$76,Assumptions!$C$95,Assumptions!$C$114)*(G991-F991)+CHOOSE($C$978,Assumptions!$C$77,Assumptions!$C$96,Assumptions!$C$115)*G991</f>
        <v>-21.4508853</v>
      </c>
      <c r="H1007" s="25" t="n">
        <f aca="false">CHOOSE($C$978,Assumptions!$C$76,Assumptions!$C$95,Assumptions!$C$114)*(H991-G991)+CHOOSE($C$978,Assumptions!$C$77,Assumptions!$C$96,Assumptions!$C$115)*H991</f>
        <v>-20.592849888</v>
      </c>
      <c r="I1007" s="25" t="n">
        <f aca="false">CHOOSE($C$978,Assumptions!$C$76,Assumptions!$C$95,Assumptions!$C$114)*(I991-H991)+CHOOSE($C$978,Assumptions!$C$77,Assumptions!$C$96,Assumptions!$C$115)*I991</f>
        <v>-19.87210014192</v>
      </c>
      <c r="J1007" s="25" t="n">
        <f aca="false">CHOOSE($C$978,Assumptions!$C$76,Assumptions!$C$95,Assumptions!$C$114)*(J991-I991)+CHOOSE($C$978,Assumptions!$C$77,Assumptions!$C$96,Assumptions!$C$115)*J991</f>
        <v>-19.2759371376624</v>
      </c>
      <c r="K1007" s="25" t="n">
        <f aca="false">CHOOSE($C$978,Assumptions!$C$76,Assumptions!$C$95,Assumptions!$C$114)*(K991-J991)+CHOOSE($C$978,Assumptions!$C$77,Assumptions!$C$96,Assumptions!$C$115)*K991</f>
        <v>-18.6976590235325</v>
      </c>
    </row>
    <row r="1008" customFormat="false" ht="15" hidden="false" customHeight="false" outlineLevel="0" collapsed="false">
      <c r="A1008" s="2" t="s">
        <v>296</v>
      </c>
      <c r="G1008" s="16" t="n">
        <f aca="false">G1004+G996+G997+G1000-G1006-G1007</f>
        <v>49.97382888</v>
      </c>
      <c r="H1008" s="16" t="n">
        <f aca="false">H1004+H996+H997+H1000-H1006-H1007</f>
        <v>41.7366889248</v>
      </c>
      <c r="I1008" s="16" t="n">
        <f aca="false">I1004+I996+I997+I1000-I1006-I1007</f>
        <v>30.843071334048</v>
      </c>
      <c r="J1008" s="16" t="n">
        <f aca="false">J1004+J996+J997+J1000-J1006-J1007</f>
        <v>39.2533316664941</v>
      </c>
      <c r="K1008" s="16" t="n">
        <f aca="false">K1004+K996+K997+K1000-K1006-K1007</f>
        <v>30.1936412117927</v>
      </c>
    </row>
    <row r="1010" customFormat="false" ht="15" hidden="false" customHeight="false" outlineLevel="0" collapsed="false">
      <c r="A1010" s="23" t="s">
        <v>298</v>
      </c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</row>
    <row r="1011" customFormat="false" ht="15" hidden="false" customHeight="false" outlineLevel="0" collapsed="false">
      <c r="A1011" s="3" t="s">
        <v>299</v>
      </c>
      <c r="G1011" s="30" t="n">
        <f aca="false">Assumptions!$G$52</f>
        <v>0.039</v>
      </c>
      <c r="H1011" s="30" t="n">
        <f aca="false">Assumptions!$H$52</f>
        <v>0.0375</v>
      </c>
      <c r="I1011" s="30" t="n">
        <f aca="false">Assumptions!$I$52</f>
        <v>0.035</v>
      </c>
      <c r="J1011" s="30" t="n">
        <f aca="false">Assumptions!$J$52</f>
        <v>0.035</v>
      </c>
      <c r="K1011" s="30" t="n">
        <f aca="false">Assumptions!$K$52</f>
        <v>0.035</v>
      </c>
    </row>
    <row r="1012" customFormat="false" ht="15" hidden="false" customHeight="false" outlineLevel="0" collapsed="false">
      <c r="A1012" s="3" t="s">
        <v>300</v>
      </c>
      <c r="C1012" s="31" t="n">
        <f aca="false">CHOOSE($C$978,Assumptions!$C$78,Assumptions!$C$97,Assumptions!$C$116)+$C$981</f>
        <v>0</v>
      </c>
    </row>
    <row r="1013" customFormat="false" ht="15" hidden="false" customHeight="false" outlineLevel="0" collapsed="false">
      <c r="A1013" s="3" t="s">
        <v>301</v>
      </c>
      <c r="C1013" s="31" t="n">
        <f aca="false">CHOOSE($C$978,Assumptions!$C$79,Assumptions!$C$98,Assumptions!$C$117)</f>
        <v>0.11</v>
      </c>
    </row>
    <row r="1014" customFormat="false" ht="15" hidden="false" customHeight="false" outlineLevel="0" collapsed="false">
      <c r="A1014" s="3" t="s">
        <v>302</v>
      </c>
      <c r="C1014" s="32" t="n">
        <f aca="false">CHOOSE($C$978,Assumptions!$C$80,Assumptions!$C$99,Assumptions!$C$118)</f>
        <v>6</v>
      </c>
    </row>
    <row r="1015" customFormat="false" ht="15" hidden="false" customHeight="false" outlineLevel="0" collapsed="false">
      <c r="A1015" s="3" t="s">
        <v>303</v>
      </c>
      <c r="C1015" s="32" t="n">
        <f aca="false">CHOOSE($C$978,Assumptions!$C$81,Assumptions!$C$100,Assumptions!$C$119)</f>
        <v>1.25</v>
      </c>
    </row>
    <row r="1016" customFormat="false" ht="15" hidden="false" customHeight="false" outlineLevel="0" collapsed="false">
      <c r="A1016" s="3" t="s">
        <v>304</v>
      </c>
      <c r="G1016" s="25" t="n">
        <f aca="false">G1021+G1034+G1047</f>
        <v>1735.554</v>
      </c>
      <c r="H1016" s="25" t="n">
        <f aca="false">H1021+H1034+H1047</f>
        <v>1735.554</v>
      </c>
      <c r="I1016" s="25" t="n">
        <f aca="false">I1021+I1034+I1047</f>
        <v>1735.554</v>
      </c>
      <c r="J1016" s="25" t="n">
        <f aca="false">J1021+J1034+J1047</f>
        <v>1315.098</v>
      </c>
      <c r="K1016" s="25" t="n">
        <f aca="false">K1021+K1034+K1047</f>
        <v>1315.098</v>
      </c>
    </row>
    <row r="1017" customFormat="false" ht="15" hidden="false" customHeight="false" outlineLevel="0" collapsed="false">
      <c r="A1017" s="3" t="s">
        <v>305</v>
      </c>
      <c r="G1017" s="25" t="n">
        <f aca="false">F1090</f>
        <v>463.996</v>
      </c>
      <c r="H1017" s="25" t="n">
        <f aca="false">G1090</f>
        <v>513.96982888</v>
      </c>
      <c r="I1017" s="25" t="n">
        <f aca="false">H1090</f>
        <v>555.7065178048</v>
      </c>
      <c r="J1017" s="25" t="n">
        <f aca="false">I1090</f>
        <v>166.093589138848</v>
      </c>
      <c r="K1017" s="25" t="n">
        <f aca="false">J1090</f>
        <v>205.346920805342</v>
      </c>
    </row>
    <row r="1018" customFormat="false" ht="15" hidden="false" customHeight="false" outlineLevel="0" collapsed="false">
      <c r="A1018" s="3" t="s">
        <v>306</v>
      </c>
      <c r="G1018" s="25" t="n">
        <f aca="false">G1021*IF(G1022=1,$C$1013,IF(Assumptions!$I$56=1,MAX(G1011,Assumptions!$G$56)+Assumptions!$F$56+$C$1012,Assumptions!$E$56))+G1034*IF(G1035=1,$C$1013,IF(Assumptions!$I$57=1,MAX(G1011,Assumptions!$G$57)+Assumptions!$F$57+$C$1012,Assumptions!$E$57))+G1047*IF(G1048=1,$C$1013,IF(Assumptions!$I$58=1,MAX(G1011,Assumptions!$G$58)+Assumptions!$F$58+$C$1012,Assumptions!$E$58))</f>
        <v>155.95467</v>
      </c>
      <c r="H1018" s="25" t="n">
        <f aca="false">H1021*IF(OR(H1022=1,G1168=1),$C$1013,IF(Assumptions!$I$56=1,MAX(H1011,Assumptions!$G$56)+Assumptions!$F$56+$C$1012,Assumptions!$E$56))+H1034*IF(OR(H1035=1,G1169=1),$C$1013,IF(Assumptions!$I$57=1,MAX(H1011,Assumptions!$G$57)+Assumptions!$F$57+$C$1012,Assumptions!$E$57))+H1047*IF(OR(H1048=1,G1170=1),$C$1013,IF(Assumptions!$I$58=1,MAX(H1011,Assumptions!$G$58)+Assumptions!$F$58+$C$1012,Assumptions!$E$58))</f>
        <v>155.95467</v>
      </c>
      <c r="I1018" s="25" t="n">
        <f aca="false">I1021*IF(OR(I1022=1,H1168=1),$C$1013,IF(Assumptions!$I$56=1,MAX(I1011,Assumptions!$G$56)+Assumptions!$F$56+$C$1012,Assumptions!$E$56))+I1034*IF(OR(I1035=1,H1169=1),$C$1013,IF(Assumptions!$I$57=1,MAX(I1011,Assumptions!$G$57)+Assumptions!$F$57+$C$1012,Assumptions!$E$57))+I1047*IF(OR(I1048=1,H1170=1),$C$1013,IF(Assumptions!$I$58=1,MAX(I1011,Assumptions!$G$58)+Assumptions!$F$58+$C$1012,Assumptions!$E$58))</f>
        <v>184.33545</v>
      </c>
      <c r="J1018" s="25" t="n">
        <f aca="false">J1021*IF(OR(J1022=1,I1168=1),$C$1013,IF(Assumptions!$I$56=1,MAX(J1011,Assumptions!$G$56)+Assumptions!$F$56+$C$1012,Assumptions!$E$56))+J1034*IF(OR(J1035=1,I1169=1),$C$1013,IF(Assumptions!$I$57=1,MAX(J1011,Assumptions!$G$57)+Assumptions!$F$57+$C$1012,Assumptions!$E$57))+J1047*IF(OR(J1048=1,I1170=1),$C$1013,IF(Assumptions!$I$58=1,MAX(J1011,Assumptions!$G$58)+Assumptions!$F$58+$C$1012,Assumptions!$E$58))</f>
        <v>138.08529</v>
      </c>
      <c r="K1018" s="25" t="n">
        <f aca="false">K1021*IF(OR(K1022=1,J1168=1),$C$1013,IF(Assumptions!$I$56=1,MAX(K1011,Assumptions!$G$56)+Assumptions!$F$56+$C$1012,Assumptions!$E$56))+K1034*IF(OR(K1035=1,J1169=1),$C$1013,IF(Assumptions!$I$57=1,MAX(K1011,Assumptions!$G$57)+Assumptions!$F$57+$C$1012,Assumptions!$E$57))+K1047*IF(OR(K1048=1,J1170=1),$C$1013,IF(Assumptions!$I$58=1,MAX(K1011,Assumptions!$G$58)+Assumptions!$F$58+$C$1012,Assumptions!$E$58))</f>
        <v>138.08529</v>
      </c>
    </row>
    <row r="1019" customFormat="false" ht="15" hidden="false" customHeight="false" outlineLevel="0" collapsed="false">
      <c r="A1019" s="3" t="s">
        <v>307</v>
      </c>
      <c r="G1019" s="20" t="n">
        <f aca="false">IF(G995&lt;=0,0,IF(AND((G1016-G1017)/G995&lt;=$C$1014,G995/G1018&gt;=$C$1015),1,0))</f>
        <v>1</v>
      </c>
      <c r="H1019" s="20" t="n">
        <f aca="false">IF(H995&lt;=0,0,IF(AND((H1016-H1017)/H995&lt;=$C$1014,H995/H1018&gt;=$C$1015),1,0))</f>
        <v>1</v>
      </c>
      <c r="I1019" s="20" t="n">
        <f aca="false">IF(I995&lt;=0,0,IF(AND((I1016-I1017)/I995&lt;=$C$1014,I995/I1018&gt;=$C$1015),1,0))</f>
        <v>0</v>
      </c>
      <c r="J1019" s="20" t="n">
        <f aca="false">IF(J995&lt;=0,0,IF(AND((J1016-J1017)/J995&lt;=$C$1014,J995/J1018&gt;=$C$1015),1,0))</f>
        <v>0</v>
      </c>
      <c r="K1019" s="20" t="n">
        <f aca="false">IF(K995&lt;=0,0,IF(AND((K1016-K1017)/K995&lt;=$C$1014,K995/K1018&gt;=$C$1015),1,0))</f>
        <v>0</v>
      </c>
    </row>
    <row r="1020" customFormat="false" ht="15" hidden="false" customHeight="false" outlineLevel="0" collapsed="false">
      <c r="A1020" s="23" t="s">
        <v>308</v>
      </c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</row>
    <row r="1021" customFormat="false" ht="15" hidden="false" customHeight="false" outlineLevel="0" collapsed="false">
      <c r="A1021" s="3" t="s">
        <v>309</v>
      </c>
      <c r="G1021" s="25" t="n">
        <f aca="false">F1032</f>
        <v>1315.098</v>
      </c>
      <c r="H1021" s="25" t="n">
        <f aca="false">G1032</f>
        <v>1315.098</v>
      </c>
      <c r="I1021" s="25" t="n">
        <f aca="false">H1032</f>
        <v>1315.098</v>
      </c>
      <c r="J1021" s="25" t="n">
        <f aca="false">I1032</f>
        <v>1315.098</v>
      </c>
      <c r="K1021" s="25" t="n">
        <f aca="false">J1032</f>
        <v>1315.098</v>
      </c>
    </row>
    <row r="1022" customFormat="false" ht="15" hidden="false" customHeight="false" outlineLevel="0" collapsed="false">
      <c r="A1022" s="3" t="s">
        <v>310</v>
      </c>
      <c r="G1022" s="20" t="n">
        <f aca="false">IF(G985=Assumptions!$K$56,1,0)</f>
        <v>0</v>
      </c>
      <c r="H1022" s="20" t="n">
        <f aca="false">IF(H985=Assumptions!$K$56,1,0)</f>
        <v>0</v>
      </c>
      <c r="I1022" s="20" t="n">
        <f aca="false">IF(I985=Assumptions!$K$56,1,0)</f>
        <v>0</v>
      </c>
      <c r="J1022" s="20" t="n">
        <f aca="false">IF(J985=Assumptions!$K$56,1,0)</f>
        <v>0</v>
      </c>
      <c r="K1022" s="20" t="n">
        <f aca="false">IF(K985=Assumptions!$K$56,1,0)</f>
        <v>0</v>
      </c>
    </row>
    <row r="1024" customFormat="false" ht="15" hidden="false" customHeight="false" outlineLevel="0" collapsed="false">
      <c r="A1024" s="3" t="s">
        <v>311</v>
      </c>
      <c r="G1024" s="31" t="n">
        <f aca="false">IF(Assumptions!$I$56=1,MAX(G1011,Assumptions!$G$56)+Assumptions!$F$56+$C$1012,Assumptions!$E$56)</f>
        <v>0.105</v>
      </c>
      <c r="H1024" s="31" t="n">
        <f aca="false">IF(G1168=1,$C$1013,IF(Assumptions!$I$56=1,MAX(H1011,Assumptions!$G$56)+Assumptions!$F$56+$C$1012,Assumptions!$E$56))</f>
        <v>0.105</v>
      </c>
      <c r="I1024" s="31" t="n">
        <f aca="false">IF(H1168=1,$C$1013,IF(Assumptions!$I$56=1,MAX(I1011,Assumptions!$G$56)+Assumptions!$F$56+$C$1012,Assumptions!$E$56))</f>
        <v>0.105</v>
      </c>
      <c r="J1024" s="31" t="n">
        <f aca="false">IF(I1168=1,$C$1013,IF(Assumptions!$I$56=1,MAX(J1011,Assumptions!$G$56)+Assumptions!$F$56+$C$1012,Assumptions!$E$56))</f>
        <v>0.105</v>
      </c>
      <c r="K1024" s="31" t="n">
        <f aca="false">IF(J1168=1,$C$1013,IF(Assumptions!$I$56=1,MAX(K1011,Assumptions!$G$56)+Assumptions!$F$56+$C$1012,Assumptions!$E$56))</f>
        <v>0.105</v>
      </c>
    </row>
    <row r="1025" customFormat="false" ht="15" hidden="false" customHeight="false" outlineLevel="0" collapsed="false">
      <c r="A1025" s="3" t="s">
        <v>312</v>
      </c>
      <c r="G1025" s="25" t="n">
        <f aca="false">G1021*G1024</f>
        <v>138.08529</v>
      </c>
      <c r="H1025" s="25" t="n">
        <f aca="false">H1021*H1024</f>
        <v>138.08529</v>
      </c>
      <c r="I1025" s="25" t="n">
        <f aca="false">I1021*I1024</f>
        <v>138.08529</v>
      </c>
      <c r="J1025" s="25" t="n">
        <f aca="false">J1021*J1024</f>
        <v>138.08529</v>
      </c>
      <c r="K1025" s="25" t="n">
        <f aca="false">K1021*K1024</f>
        <v>138.08529</v>
      </c>
    </row>
    <row r="1026" customFormat="false" ht="15" hidden="false" customHeight="false" outlineLevel="0" collapsed="false">
      <c r="A1026" s="3" t="s">
        <v>313</v>
      </c>
      <c r="G1026" s="25" t="n">
        <f aca="false">G1021*Assumptions!$H$56</f>
        <v>0</v>
      </c>
      <c r="H1026" s="25" t="n">
        <f aca="false">H1021*Assumptions!$H$56</f>
        <v>0</v>
      </c>
      <c r="I1026" s="25" t="n">
        <f aca="false">I1021*Assumptions!$H$56</f>
        <v>0</v>
      </c>
      <c r="J1026" s="25" t="n">
        <f aca="false">J1021*Assumptions!$H$56</f>
        <v>0</v>
      </c>
      <c r="K1026" s="25" t="n">
        <f aca="false">K1021*Assumptions!$H$56</f>
        <v>0</v>
      </c>
    </row>
    <row r="1027" customFormat="false" ht="15" hidden="false" customHeight="false" outlineLevel="0" collapsed="false">
      <c r="A1027" s="3" t="s">
        <v>314</v>
      </c>
      <c r="G1027" s="25" t="n">
        <f aca="false">MIN(G1021,Assumptions!$L$56*Assumptions!$C$56)</f>
        <v>0</v>
      </c>
      <c r="H1027" s="25" t="n">
        <f aca="false">MIN(H1021,Assumptions!$L$56*Assumptions!$C$56)</f>
        <v>0</v>
      </c>
      <c r="I1027" s="25" t="n">
        <f aca="false">MIN(I1021,Assumptions!$L$56*Assumptions!$C$56)</f>
        <v>0</v>
      </c>
      <c r="J1027" s="25" t="n">
        <f aca="false">MIN(J1021,Assumptions!$L$56*Assumptions!$C$56)</f>
        <v>0</v>
      </c>
      <c r="K1027" s="25" t="n">
        <f aca="false">MIN(K1021,Assumptions!$L$56*Assumptions!$C$56)</f>
        <v>0</v>
      </c>
    </row>
    <row r="1028" customFormat="false" ht="15" hidden="false" customHeight="false" outlineLevel="0" collapsed="false">
      <c r="A1028" s="3" t="s">
        <v>315</v>
      </c>
      <c r="G1028" s="25" t="n">
        <f aca="false">IF(AND(Assumptions!$P$56=1,G985&lt;Assumptions!$K$56),MIN(MAX(0,-G1082),MAX(0,Assumptions!$D$56-G1021)),0)</f>
        <v>0</v>
      </c>
      <c r="H1028" s="25" t="n">
        <f aca="false">IF(AND(Assumptions!$P$56=1,OR(H985&lt;Assumptions!$K$56,G1168=1)),MIN(MAX(0,-H1082),MAX(0,Assumptions!$D$56-H1021)),0)</f>
        <v>0</v>
      </c>
      <c r="I1028" s="25" t="n">
        <f aca="false">IF(AND(Assumptions!$P$56=1,OR(I985&lt;Assumptions!$K$56,H1168=1)),MIN(MAX(0,-I1082),MAX(0,Assumptions!$D$56-I1021)),0)</f>
        <v>0</v>
      </c>
      <c r="J1028" s="25" t="n">
        <f aca="false">IF(AND(Assumptions!$P$56=1,OR(J985&lt;Assumptions!$K$56,I1168=1)),MIN(MAX(0,-J1082),MAX(0,Assumptions!$D$56-J1021)),0)</f>
        <v>0</v>
      </c>
      <c r="K1028" s="25" t="n">
        <f aca="false">IF(AND(Assumptions!$P$56=1,OR(K985&lt;Assumptions!$K$56,J1168=1)),MIN(MAX(0,-K1082),MAX(0,Assumptions!$D$56-K1021)),0)</f>
        <v>0</v>
      </c>
    </row>
    <row r="1029" customFormat="false" ht="15" hidden="false" customHeight="false" outlineLevel="0" collapsed="false">
      <c r="A1029" s="3" t="s">
        <v>316</v>
      </c>
      <c r="G1029" s="25" t="n">
        <f aca="false">G1022*MIN(G1021-G1027+G1026,MAX(0,G1084-Assumptions!$C$12*G1019))</f>
        <v>0</v>
      </c>
      <c r="H1029" s="25" t="n">
        <f aca="false">H1022*MIN(H1021-H1027+H1026,MAX(0,H1084-Assumptions!$C$12*H1019))</f>
        <v>0</v>
      </c>
      <c r="I1029" s="25" t="n">
        <f aca="false">I1022*MIN(I1021-I1027+I1026,MAX(0,I1084-Assumptions!$C$12*I1019))</f>
        <v>0</v>
      </c>
      <c r="J1029" s="25" t="n">
        <f aca="false">J1022*MIN(J1021-J1027+J1026,MAX(0,J1084-Assumptions!$C$12*J1019))</f>
        <v>0</v>
      </c>
      <c r="K1029" s="25" t="n">
        <f aca="false">K1022*MIN(K1021-K1027+K1026,MAX(0,K1084-Assumptions!$C$12*K1019))</f>
        <v>0</v>
      </c>
    </row>
    <row r="1030" customFormat="false" ht="15" hidden="false" customHeight="false" outlineLevel="0" collapsed="false">
      <c r="A1030" s="3" t="s">
        <v>317</v>
      </c>
      <c r="G1030" s="25" t="n">
        <f aca="false">Assumptions!$N$56*MIN(G1021+G1028+G1026-G1027-G1029,MAX(0,G1088))</f>
        <v>0</v>
      </c>
      <c r="H1030" s="25" t="n">
        <f aca="false">Assumptions!$N$56*MIN(H1021+H1028+H1026-H1027-H1029,MAX(0,H1088))</f>
        <v>0</v>
      </c>
      <c r="I1030" s="25" t="n">
        <f aca="false">Assumptions!$N$56*MIN(I1021+I1028+I1026-I1027-I1029,MAX(0,I1088))</f>
        <v>0</v>
      </c>
      <c r="J1030" s="25" t="n">
        <f aca="false">Assumptions!$N$56*MIN(J1021+J1028+J1026-J1027-J1029,MAX(0,J1088))</f>
        <v>0</v>
      </c>
      <c r="K1030" s="25" t="n">
        <f aca="false">Assumptions!$N$56*MIN(K1021+K1028+K1026-K1027-K1029,MAX(0,K1088))</f>
        <v>0</v>
      </c>
    </row>
    <row r="1031" customFormat="false" ht="15" hidden="false" customHeight="false" outlineLevel="0" collapsed="false">
      <c r="A1031" s="3" t="s">
        <v>318</v>
      </c>
      <c r="G1031" s="25" t="n">
        <f aca="false">G1022*(1-G1019)*(G1021-G1027+G1026-G1029)</f>
        <v>0</v>
      </c>
      <c r="H1031" s="25" t="n">
        <f aca="false">H1022*(1-H1019)*(H1021-H1027+H1026-H1029)</f>
        <v>0</v>
      </c>
      <c r="I1031" s="25" t="n">
        <f aca="false">I1022*(1-I1019)*(I1021-I1027+I1026-I1029)</f>
        <v>0</v>
      </c>
      <c r="J1031" s="25" t="n">
        <f aca="false">J1022*(1-J1019)*(J1021-J1027+J1026-J1029)</f>
        <v>0</v>
      </c>
      <c r="K1031" s="25" t="n">
        <f aca="false">K1022*(1-K1019)*(K1021-K1027+K1026-K1029)</f>
        <v>0</v>
      </c>
    </row>
    <row r="1032" customFormat="false" ht="15" hidden="false" customHeight="false" outlineLevel="0" collapsed="false">
      <c r="A1032" s="2" t="s">
        <v>319</v>
      </c>
      <c r="F1032" s="28" t="n">
        <f aca="false">Assumptions!$C$56</f>
        <v>1315.098</v>
      </c>
      <c r="G1032" s="16" t="n">
        <f aca="false">G1021+G1028+G1026-G1027-G1029-G1030</f>
        <v>1315.098</v>
      </c>
      <c r="H1032" s="16" t="n">
        <f aca="false">H1021+H1028+H1026-H1027-H1029-H1030</f>
        <v>1315.098</v>
      </c>
      <c r="I1032" s="16" t="n">
        <f aca="false">I1021+I1028+I1026-I1027-I1029-I1030</f>
        <v>1315.098</v>
      </c>
      <c r="J1032" s="16" t="n">
        <f aca="false">J1021+J1028+J1026-J1027-J1029-J1030</f>
        <v>1315.098</v>
      </c>
      <c r="K1032" s="16" t="n">
        <f aca="false">K1021+K1028+K1026-K1027-K1029-K1030</f>
        <v>1315.098</v>
      </c>
    </row>
    <row r="1033" customFormat="false" ht="15" hidden="false" customHeight="false" outlineLevel="0" collapsed="false">
      <c r="A1033" s="23" t="s">
        <v>320</v>
      </c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</row>
    <row r="1034" customFormat="false" ht="15" hidden="false" customHeight="false" outlineLevel="0" collapsed="false">
      <c r="A1034" s="3" t="s">
        <v>309</v>
      </c>
      <c r="G1034" s="25" t="n">
        <f aca="false">F1045</f>
        <v>276.706</v>
      </c>
      <c r="H1034" s="25" t="n">
        <f aca="false">G1045</f>
        <v>276.706</v>
      </c>
      <c r="I1034" s="25" t="n">
        <f aca="false">H1045</f>
        <v>276.706</v>
      </c>
      <c r="J1034" s="25" t="n">
        <f aca="false">I1045</f>
        <v>0</v>
      </c>
      <c r="K1034" s="25" t="n">
        <f aca="false">J1045</f>
        <v>0</v>
      </c>
    </row>
    <row r="1035" customFormat="false" ht="15" hidden="false" customHeight="false" outlineLevel="0" collapsed="false">
      <c r="A1035" s="3" t="s">
        <v>310</v>
      </c>
      <c r="G1035" s="20" t="n">
        <f aca="false">IF(G985=Assumptions!$K$57,1,0)</f>
        <v>0</v>
      </c>
      <c r="H1035" s="20" t="n">
        <f aca="false">IF(H985=Assumptions!$K$57,1,0)</f>
        <v>0</v>
      </c>
      <c r="I1035" s="20" t="n">
        <f aca="false">IF(I985=Assumptions!$K$57,1,0)</f>
        <v>1</v>
      </c>
      <c r="J1035" s="20" t="n">
        <f aca="false">IF(J985=Assumptions!$K$57,1,0)</f>
        <v>0</v>
      </c>
      <c r="K1035" s="20" t="n">
        <f aca="false">IF(K985=Assumptions!$K$57,1,0)</f>
        <v>0</v>
      </c>
    </row>
    <row r="1037" customFormat="false" ht="15" hidden="false" customHeight="false" outlineLevel="0" collapsed="false">
      <c r="A1037" s="3" t="s">
        <v>311</v>
      </c>
      <c r="G1037" s="31" t="n">
        <f aca="false">IF(Assumptions!$I$57=1,MAX(G1011,Assumptions!$G$57)+Assumptions!$F$57+$C$1012,Assumptions!$E$57)</f>
        <v>0.0425</v>
      </c>
      <c r="H1037" s="31" t="n">
        <f aca="false">IF(G1169=1,$C$1013,IF(Assumptions!$I$57=1,MAX(H1011,Assumptions!$G$57)+Assumptions!$F$57+$C$1012,Assumptions!$E$57))</f>
        <v>0.0425</v>
      </c>
      <c r="I1037" s="31" t="n">
        <f aca="false">IF(H1169=1,$C$1013,IF(Assumptions!$I$57=1,MAX(I1011,Assumptions!$G$57)+Assumptions!$F$57+$C$1012,Assumptions!$E$57))</f>
        <v>0.0425</v>
      </c>
      <c r="J1037" s="31" t="n">
        <f aca="false">IF(I1169=1,$C$1013,IF(Assumptions!$I$57=1,MAX(J1011,Assumptions!$G$57)+Assumptions!$F$57+$C$1012,Assumptions!$E$57))</f>
        <v>0.0425</v>
      </c>
      <c r="K1037" s="31" t="n">
        <f aca="false">IF(J1169=1,$C$1013,IF(Assumptions!$I$57=1,MAX(K1011,Assumptions!$G$57)+Assumptions!$F$57+$C$1012,Assumptions!$E$57))</f>
        <v>0.0425</v>
      </c>
    </row>
    <row r="1038" customFormat="false" ht="15" hidden="false" customHeight="false" outlineLevel="0" collapsed="false">
      <c r="A1038" s="3" t="s">
        <v>312</v>
      </c>
      <c r="G1038" s="25" t="n">
        <f aca="false">G1034*G1037</f>
        <v>11.760005</v>
      </c>
      <c r="H1038" s="25" t="n">
        <f aca="false">H1034*H1037</f>
        <v>11.760005</v>
      </c>
      <c r="I1038" s="25" t="n">
        <f aca="false">I1034*I1037</f>
        <v>11.760005</v>
      </c>
      <c r="J1038" s="25" t="n">
        <f aca="false">J1034*J1037</f>
        <v>0</v>
      </c>
      <c r="K1038" s="25" t="n">
        <f aca="false">K1034*K1037</f>
        <v>0</v>
      </c>
    </row>
    <row r="1039" customFormat="false" ht="15" hidden="false" customHeight="false" outlineLevel="0" collapsed="false">
      <c r="A1039" s="3" t="s">
        <v>313</v>
      </c>
      <c r="G1039" s="25" t="n">
        <f aca="false">G1034*Assumptions!$H$57</f>
        <v>0</v>
      </c>
      <c r="H1039" s="25" t="n">
        <f aca="false">H1034*Assumptions!$H$57</f>
        <v>0</v>
      </c>
      <c r="I1039" s="25" t="n">
        <f aca="false">I1034*Assumptions!$H$57</f>
        <v>0</v>
      </c>
      <c r="J1039" s="25" t="n">
        <f aca="false">J1034*Assumptions!$H$57</f>
        <v>0</v>
      </c>
      <c r="K1039" s="25" t="n">
        <f aca="false">K1034*Assumptions!$H$57</f>
        <v>0</v>
      </c>
    </row>
    <row r="1040" customFormat="false" ht="15" hidden="false" customHeight="false" outlineLevel="0" collapsed="false">
      <c r="A1040" s="3" t="s">
        <v>314</v>
      </c>
      <c r="G1040" s="25" t="n">
        <f aca="false">MIN(G1034,Assumptions!$L$57*Assumptions!$C$57)</f>
        <v>0</v>
      </c>
      <c r="H1040" s="25" t="n">
        <f aca="false">MIN(H1034,Assumptions!$L$57*Assumptions!$C$57)</f>
        <v>0</v>
      </c>
      <c r="I1040" s="25" t="n">
        <f aca="false">MIN(I1034,Assumptions!$L$57*Assumptions!$C$57)</f>
        <v>0</v>
      </c>
      <c r="J1040" s="25" t="n">
        <f aca="false">MIN(J1034,Assumptions!$L$57*Assumptions!$C$57)</f>
        <v>0</v>
      </c>
      <c r="K1040" s="25" t="n">
        <f aca="false">MIN(K1034,Assumptions!$L$57*Assumptions!$C$57)</f>
        <v>0</v>
      </c>
    </row>
    <row r="1041" customFormat="false" ht="15" hidden="false" customHeight="false" outlineLevel="0" collapsed="false">
      <c r="A1041" s="3" t="s">
        <v>315</v>
      </c>
      <c r="G1041" s="25" t="n">
        <f aca="false">IF(AND(Assumptions!$P$57=1,G985&lt;Assumptions!$K$57),MIN(MAX(0,-G1082),MAX(0,Assumptions!$D$57-G1034)),0)</f>
        <v>0</v>
      </c>
      <c r="H1041" s="25" t="n">
        <f aca="false">IF(AND(Assumptions!$P$57=1,OR(H985&lt;Assumptions!$K$57,G1169=1)),MIN(MAX(0,-H1082),MAX(0,Assumptions!$D$57-H1034)),0)</f>
        <v>0</v>
      </c>
      <c r="I1041" s="25" t="n">
        <f aca="false">IF(AND(Assumptions!$P$57=1,OR(I985&lt;Assumptions!$K$57,H1169=1)),MIN(MAX(0,-I1082),MAX(0,Assumptions!$D$57-I1034)),0)</f>
        <v>0</v>
      </c>
      <c r="J1041" s="25" t="n">
        <f aca="false">IF(AND(Assumptions!$P$57=1,OR(J985&lt;Assumptions!$K$57,I1169=1)),MIN(MAX(0,-J1082),MAX(0,Assumptions!$D$57-J1034)),0)</f>
        <v>0</v>
      </c>
      <c r="K1041" s="25" t="n">
        <f aca="false">IF(AND(Assumptions!$P$57=1,OR(K985&lt;Assumptions!$K$57,J1169=1)),MIN(MAX(0,-K1082),MAX(0,Assumptions!$D$57-K1034)),0)</f>
        <v>0</v>
      </c>
    </row>
    <row r="1042" customFormat="false" ht="15" hidden="false" customHeight="false" outlineLevel="0" collapsed="false">
      <c r="A1042" s="3" t="s">
        <v>316</v>
      </c>
      <c r="G1042" s="25" t="n">
        <f aca="false">G1035*MIN(G1034-G1040+G1039,MAX(0,G1084-Assumptions!$C$12*G1019-G1029))</f>
        <v>0</v>
      </c>
      <c r="H1042" s="25" t="n">
        <f aca="false">H1035*MIN(H1034-H1040+H1039,MAX(0,H1084-Assumptions!$C$12*H1019-H1029))</f>
        <v>0</v>
      </c>
      <c r="I1042" s="25" t="n">
        <f aca="false">I1035*MIN(I1034-I1040+I1039,MAX(0,I1084-Assumptions!$C$12*I1019-I1029))</f>
        <v>276.706</v>
      </c>
      <c r="J1042" s="25" t="n">
        <f aca="false">J1035*MIN(J1034-J1040+J1039,MAX(0,J1084-Assumptions!$C$12*J1019-J1029))</f>
        <v>0</v>
      </c>
      <c r="K1042" s="25" t="n">
        <f aca="false">K1035*MIN(K1034-K1040+K1039,MAX(0,K1084-Assumptions!$C$12*K1019-K1029))</f>
        <v>0</v>
      </c>
    </row>
    <row r="1043" customFormat="false" ht="15" hidden="false" customHeight="false" outlineLevel="0" collapsed="false">
      <c r="A1043" s="3" t="s">
        <v>317</v>
      </c>
      <c r="G1043" s="25" t="n">
        <f aca="false">Assumptions!$N$57*MIN(G1034+G1041+G1039-G1040-G1042,MAX(0,G1088-G1030))</f>
        <v>0</v>
      </c>
      <c r="H1043" s="25" t="n">
        <f aca="false">Assumptions!$N$57*MIN(H1034+H1041+H1039-H1040-H1042,MAX(0,H1088-H1030))</f>
        <v>0</v>
      </c>
      <c r="I1043" s="25" t="n">
        <f aca="false">Assumptions!$N$57*MIN(I1034+I1041+I1039-I1040-I1042,MAX(0,I1088-I1030))</f>
        <v>0</v>
      </c>
      <c r="J1043" s="25" t="n">
        <f aca="false">Assumptions!$N$57*MIN(J1034+J1041+J1039-J1040-J1042,MAX(0,J1088-J1030))</f>
        <v>0</v>
      </c>
      <c r="K1043" s="25" t="n">
        <f aca="false">Assumptions!$N$57*MIN(K1034+K1041+K1039-K1040-K1042,MAX(0,K1088-K1030))</f>
        <v>0</v>
      </c>
    </row>
    <row r="1044" customFormat="false" ht="15" hidden="false" customHeight="false" outlineLevel="0" collapsed="false">
      <c r="A1044" s="3" t="s">
        <v>318</v>
      </c>
      <c r="G1044" s="25" t="n">
        <f aca="false">G1035*(1-G1019)*(G1034-G1040+G1039-G1042)</f>
        <v>0</v>
      </c>
      <c r="H1044" s="25" t="n">
        <f aca="false">H1035*(1-H1019)*(H1034-H1040+H1039-H1042)</f>
        <v>0</v>
      </c>
      <c r="I1044" s="25" t="n">
        <f aca="false">I1035*(1-I1019)*(I1034-I1040+I1039-I1042)</f>
        <v>0</v>
      </c>
      <c r="J1044" s="25" t="n">
        <f aca="false">J1035*(1-J1019)*(J1034-J1040+J1039-J1042)</f>
        <v>0</v>
      </c>
      <c r="K1044" s="25" t="n">
        <f aca="false">K1035*(1-K1019)*(K1034-K1040+K1039-K1042)</f>
        <v>0</v>
      </c>
    </row>
    <row r="1045" customFormat="false" ht="15" hidden="false" customHeight="false" outlineLevel="0" collapsed="false">
      <c r="A1045" s="2" t="s">
        <v>319</v>
      </c>
      <c r="F1045" s="28" t="n">
        <f aca="false">Assumptions!$C$57</f>
        <v>276.706</v>
      </c>
      <c r="G1045" s="16" t="n">
        <f aca="false">G1034+G1041+G1039-G1040-G1042-G1043</f>
        <v>276.706</v>
      </c>
      <c r="H1045" s="16" t="n">
        <f aca="false">H1034+H1041+H1039-H1040-H1042-H1043</f>
        <v>276.706</v>
      </c>
      <c r="I1045" s="16" t="n">
        <f aca="false">I1034+I1041+I1039-I1040-I1042-I1043</f>
        <v>0</v>
      </c>
      <c r="J1045" s="16" t="n">
        <f aca="false">J1034+J1041+J1039-J1040-J1042-J1043</f>
        <v>0</v>
      </c>
      <c r="K1045" s="16" t="n">
        <f aca="false">K1034+K1041+K1039-K1040-K1042-K1043</f>
        <v>0</v>
      </c>
    </row>
    <row r="1046" customFormat="false" ht="15" hidden="false" customHeight="false" outlineLevel="0" collapsed="false">
      <c r="A1046" s="23" t="s">
        <v>321</v>
      </c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</row>
    <row r="1047" customFormat="false" ht="15" hidden="false" customHeight="false" outlineLevel="0" collapsed="false">
      <c r="A1047" s="3" t="s">
        <v>309</v>
      </c>
      <c r="G1047" s="25" t="n">
        <f aca="false">F1058</f>
        <v>143.75</v>
      </c>
      <c r="H1047" s="25" t="n">
        <f aca="false">G1058</f>
        <v>143.75</v>
      </c>
      <c r="I1047" s="25" t="n">
        <f aca="false">H1058</f>
        <v>143.75</v>
      </c>
      <c r="J1047" s="25" t="n">
        <f aca="false">I1058</f>
        <v>0</v>
      </c>
      <c r="K1047" s="25" t="n">
        <f aca="false">J1058</f>
        <v>0</v>
      </c>
    </row>
    <row r="1048" customFormat="false" ht="15" hidden="false" customHeight="false" outlineLevel="0" collapsed="false">
      <c r="A1048" s="3" t="s">
        <v>310</v>
      </c>
      <c r="G1048" s="20" t="n">
        <f aca="false">IF(G985=Assumptions!$K$58,1,0)</f>
        <v>0</v>
      </c>
      <c r="H1048" s="20" t="n">
        <f aca="false">IF(H985=Assumptions!$K$58,1,0)</f>
        <v>0</v>
      </c>
      <c r="I1048" s="20" t="n">
        <f aca="false">IF(I985=Assumptions!$K$58,1,0)</f>
        <v>1</v>
      </c>
      <c r="J1048" s="20" t="n">
        <f aca="false">IF(J985=Assumptions!$K$58,1,0)</f>
        <v>0</v>
      </c>
      <c r="K1048" s="20" t="n">
        <f aca="false">IF(K985=Assumptions!$K$58,1,0)</f>
        <v>0</v>
      </c>
    </row>
    <row r="1050" customFormat="false" ht="15" hidden="false" customHeight="false" outlineLevel="0" collapsed="false">
      <c r="A1050" s="3" t="s">
        <v>311</v>
      </c>
      <c r="G1050" s="31" t="n">
        <f aca="false">IF(Assumptions!$I$58=1,MAX(G1011,Assumptions!$G$58)+Assumptions!$F$58+$C$1012,Assumptions!$E$58)</f>
        <v>0.0425</v>
      </c>
      <c r="H1050" s="31" t="n">
        <f aca="false">IF(G1170=1,$C$1013,IF(Assumptions!$I$58=1,MAX(H1011,Assumptions!$G$58)+Assumptions!$F$58+$C$1012,Assumptions!$E$58))</f>
        <v>0.0425</v>
      </c>
      <c r="I1050" s="31" t="n">
        <f aca="false">IF(H1170=1,$C$1013,IF(Assumptions!$I$58=1,MAX(I1011,Assumptions!$G$58)+Assumptions!$F$58+$C$1012,Assumptions!$E$58))</f>
        <v>0.0425</v>
      </c>
      <c r="J1050" s="31" t="n">
        <f aca="false">IF(I1170=1,$C$1013,IF(Assumptions!$I$58=1,MAX(J1011,Assumptions!$G$58)+Assumptions!$F$58+$C$1012,Assumptions!$E$58))</f>
        <v>0.0425</v>
      </c>
      <c r="K1050" s="31" t="n">
        <f aca="false">IF(J1170=1,$C$1013,IF(Assumptions!$I$58=1,MAX(K1011,Assumptions!$G$58)+Assumptions!$F$58+$C$1012,Assumptions!$E$58))</f>
        <v>0.0425</v>
      </c>
    </row>
    <row r="1051" customFormat="false" ht="15" hidden="false" customHeight="false" outlineLevel="0" collapsed="false">
      <c r="A1051" s="3" t="s">
        <v>312</v>
      </c>
      <c r="G1051" s="25" t="n">
        <f aca="false">G1047*G1050</f>
        <v>6.109375</v>
      </c>
      <c r="H1051" s="25" t="n">
        <f aca="false">H1047*H1050</f>
        <v>6.109375</v>
      </c>
      <c r="I1051" s="25" t="n">
        <f aca="false">I1047*I1050</f>
        <v>6.109375</v>
      </c>
      <c r="J1051" s="25" t="n">
        <f aca="false">J1047*J1050</f>
        <v>0</v>
      </c>
      <c r="K1051" s="25" t="n">
        <f aca="false">K1047*K1050</f>
        <v>0</v>
      </c>
    </row>
    <row r="1052" customFormat="false" ht="15" hidden="false" customHeight="false" outlineLevel="0" collapsed="false">
      <c r="A1052" s="3" t="s">
        <v>313</v>
      </c>
      <c r="G1052" s="25" t="n">
        <f aca="false">G1047*Assumptions!$H$58</f>
        <v>0</v>
      </c>
      <c r="H1052" s="25" t="n">
        <f aca="false">H1047*Assumptions!$H$58</f>
        <v>0</v>
      </c>
      <c r="I1052" s="25" t="n">
        <f aca="false">I1047*Assumptions!$H$58</f>
        <v>0</v>
      </c>
      <c r="J1052" s="25" t="n">
        <f aca="false">J1047*Assumptions!$H$58</f>
        <v>0</v>
      </c>
      <c r="K1052" s="25" t="n">
        <f aca="false">K1047*Assumptions!$H$58</f>
        <v>0</v>
      </c>
    </row>
    <row r="1053" customFormat="false" ht="15" hidden="false" customHeight="false" outlineLevel="0" collapsed="false">
      <c r="A1053" s="3" t="s">
        <v>314</v>
      </c>
      <c r="G1053" s="25" t="n">
        <f aca="false">MIN(G1047,Assumptions!$L$58*Assumptions!$C$58)</f>
        <v>0</v>
      </c>
      <c r="H1053" s="25" t="n">
        <f aca="false">MIN(H1047,Assumptions!$L$58*Assumptions!$C$58)</f>
        <v>0</v>
      </c>
      <c r="I1053" s="25" t="n">
        <f aca="false">MIN(I1047,Assumptions!$L$58*Assumptions!$C$58)</f>
        <v>0</v>
      </c>
      <c r="J1053" s="25" t="n">
        <f aca="false">MIN(J1047,Assumptions!$L$58*Assumptions!$C$58)</f>
        <v>0</v>
      </c>
      <c r="K1053" s="25" t="n">
        <f aca="false">MIN(K1047,Assumptions!$L$58*Assumptions!$C$58)</f>
        <v>0</v>
      </c>
    </row>
    <row r="1054" customFormat="false" ht="15" hidden="false" customHeight="false" outlineLevel="0" collapsed="false">
      <c r="A1054" s="3" t="s">
        <v>315</v>
      </c>
      <c r="G1054" s="25" t="n">
        <f aca="false">IF(AND(Assumptions!$P$58=1,G985&lt;Assumptions!$K$58),MIN(MAX(0,-G1082),MAX(0,Assumptions!$D$58-G1047)),0)</f>
        <v>0</v>
      </c>
      <c r="H1054" s="25" t="n">
        <f aca="false">IF(AND(Assumptions!$P$58=1,OR(H985&lt;Assumptions!$K$58,G1170=1)),MIN(MAX(0,-H1082),MAX(0,Assumptions!$D$58-H1047)),0)</f>
        <v>0</v>
      </c>
      <c r="I1054" s="25" t="n">
        <f aca="false">IF(AND(Assumptions!$P$58=1,OR(I985&lt;Assumptions!$K$58,H1170=1)),MIN(MAX(0,-I1082),MAX(0,Assumptions!$D$58-I1047)),0)</f>
        <v>0</v>
      </c>
      <c r="J1054" s="25" t="n">
        <f aca="false">IF(AND(Assumptions!$P$58=1,OR(J985&lt;Assumptions!$K$58,I1170=1)),MIN(MAX(0,-J1082),MAX(0,Assumptions!$D$58-J1047)),0)</f>
        <v>0</v>
      </c>
      <c r="K1054" s="25" t="n">
        <f aca="false">IF(AND(Assumptions!$P$58=1,OR(K985&lt;Assumptions!$K$58,J1170=1)),MIN(MAX(0,-K1082),MAX(0,Assumptions!$D$58-K1047)),0)</f>
        <v>0</v>
      </c>
    </row>
    <row r="1055" customFormat="false" ht="15" hidden="false" customHeight="false" outlineLevel="0" collapsed="false">
      <c r="A1055" s="3" t="s">
        <v>316</v>
      </c>
      <c r="G1055" s="25" t="n">
        <f aca="false">G1048*MIN(G1047-G1053+G1052,MAX(0,G1084-Assumptions!$C$12*G1019-G1029-G1042))</f>
        <v>0</v>
      </c>
      <c r="H1055" s="25" t="n">
        <f aca="false">H1048*MIN(H1047-H1053+H1052,MAX(0,H1084-Assumptions!$C$12*H1019-H1029-H1042))</f>
        <v>0</v>
      </c>
      <c r="I1055" s="25" t="n">
        <f aca="false">I1048*MIN(I1047-I1053+I1052,MAX(0,I1084-Assumptions!$C$12*I1019-I1029-I1042))</f>
        <v>143.75</v>
      </c>
      <c r="J1055" s="25" t="n">
        <f aca="false">J1048*MIN(J1047-J1053+J1052,MAX(0,J1084-Assumptions!$C$12*J1019-J1029-J1042))</f>
        <v>0</v>
      </c>
      <c r="K1055" s="25" t="n">
        <f aca="false">K1048*MIN(K1047-K1053+K1052,MAX(0,K1084-Assumptions!$C$12*K1019-K1029-K1042))</f>
        <v>0</v>
      </c>
    </row>
    <row r="1056" customFormat="false" ht="15" hidden="false" customHeight="false" outlineLevel="0" collapsed="false">
      <c r="A1056" s="3" t="s">
        <v>317</v>
      </c>
      <c r="G1056" s="25" t="n">
        <f aca="false">Assumptions!$N$58*MIN(G1047+G1054+G1052-G1053-G1055,MAX(0,G1088-G1030-G1043))</f>
        <v>0</v>
      </c>
      <c r="H1056" s="25" t="n">
        <f aca="false">Assumptions!$N$58*MIN(H1047+H1054+H1052-H1053-H1055,MAX(0,H1088-H1030-H1043))</f>
        <v>0</v>
      </c>
      <c r="I1056" s="25" t="n">
        <f aca="false">Assumptions!$N$58*MIN(I1047+I1054+I1052-I1053-I1055,MAX(0,I1088-I1030-I1043))</f>
        <v>0</v>
      </c>
      <c r="J1056" s="25" t="n">
        <f aca="false">Assumptions!$N$58*MIN(J1047+J1054+J1052-J1053-J1055,MAX(0,J1088-J1030-J1043))</f>
        <v>0</v>
      </c>
      <c r="K1056" s="25" t="n">
        <f aca="false">Assumptions!$N$58*MIN(K1047+K1054+K1052-K1053-K1055,MAX(0,K1088-K1030-K1043))</f>
        <v>0</v>
      </c>
    </row>
    <row r="1057" customFormat="false" ht="15" hidden="false" customHeight="false" outlineLevel="0" collapsed="false">
      <c r="A1057" s="3" t="s">
        <v>318</v>
      </c>
      <c r="G1057" s="25" t="n">
        <f aca="false">G1048*(1-G1019)*(G1047-G1053+G1052-G1055)</f>
        <v>0</v>
      </c>
      <c r="H1057" s="25" t="n">
        <f aca="false">H1048*(1-H1019)*(H1047-H1053+H1052-H1055)</f>
        <v>0</v>
      </c>
      <c r="I1057" s="25" t="n">
        <f aca="false">I1048*(1-I1019)*(I1047-I1053+I1052-I1055)</f>
        <v>0</v>
      </c>
      <c r="J1057" s="25" t="n">
        <f aca="false">J1048*(1-J1019)*(J1047-J1053+J1052-J1055)</f>
        <v>0</v>
      </c>
      <c r="K1057" s="25" t="n">
        <f aca="false">K1048*(1-K1019)*(K1047-K1053+K1052-K1055)</f>
        <v>0</v>
      </c>
    </row>
    <row r="1058" customFormat="false" ht="15" hidden="false" customHeight="false" outlineLevel="0" collapsed="false">
      <c r="A1058" s="2" t="s">
        <v>319</v>
      </c>
      <c r="F1058" s="28" t="n">
        <f aca="false">Assumptions!$C$58</f>
        <v>143.75</v>
      </c>
      <c r="G1058" s="16" t="n">
        <f aca="false">G1047+G1054+G1052-G1053-G1055-G1056</f>
        <v>143.75</v>
      </c>
      <c r="H1058" s="16" t="n">
        <f aca="false">H1047+H1054+H1052-H1053-H1055-H1056</f>
        <v>143.75</v>
      </c>
      <c r="I1058" s="16" t="n">
        <f aca="false">I1047+I1054+I1052-I1053-I1055-I1056</f>
        <v>0</v>
      </c>
      <c r="J1058" s="16" t="n">
        <f aca="false">J1047+J1054+J1052-J1053-J1055-J1056</f>
        <v>0</v>
      </c>
      <c r="K1058" s="16" t="n">
        <f aca="false">K1047+K1054+K1052-K1053-K1055-K1056</f>
        <v>0</v>
      </c>
    </row>
    <row r="1059" customFormat="false" ht="15" hidden="false" customHeight="false" outlineLevel="0" collapsed="false">
      <c r="A1059" s="23" t="s">
        <v>322</v>
      </c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</row>
    <row r="1060" customFormat="false" ht="15" hidden="false" customHeight="false" outlineLevel="0" collapsed="false">
      <c r="A1060" s="2" t="s">
        <v>323</v>
      </c>
      <c r="F1060" s="16" t="n">
        <f aca="false">F1032+F1045+F1058</f>
        <v>1735.554</v>
      </c>
      <c r="G1060" s="16" t="n">
        <f aca="false">G1032+G1045+G1058</f>
        <v>1735.554</v>
      </c>
      <c r="H1060" s="16" t="n">
        <f aca="false">H1032+H1045+H1058</f>
        <v>1735.554</v>
      </c>
      <c r="I1060" s="16" t="n">
        <f aca="false">I1032+I1045+I1058</f>
        <v>1315.098</v>
      </c>
      <c r="J1060" s="16" t="n">
        <f aca="false">J1032+J1045+J1058</f>
        <v>1315.098</v>
      </c>
      <c r="K1060" s="16" t="n">
        <f aca="false">K1032+K1045+K1058</f>
        <v>1315.098</v>
      </c>
    </row>
    <row r="1061" customFormat="false" ht="15" hidden="false" customHeight="false" outlineLevel="0" collapsed="false">
      <c r="A1061" s="3" t="s">
        <v>324</v>
      </c>
      <c r="G1061" s="25" t="n">
        <f aca="false">G1022*Assumptions!$C$56+G1035*Assumptions!$C$57+G1048*Assumptions!$C$58</f>
        <v>0</v>
      </c>
      <c r="H1061" s="25" t="n">
        <f aca="false">H1022*Assumptions!$C$56+H1035*Assumptions!$C$57+H1048*Assumptions!$C$58</f>
        <v>0</v>
      </c>
      <c r="I1061" s="25" t="n">
        <f aca="false">I1022*Assumptions!$C$56+I1035*Assumptions!$C$57+I1048*Assumptions!$C$58</f>
        <v>420.456</v>
      </c>
      <c r="J1061" s="25" t="n">
        <f aca="false">J1022*Assumptions!$C$56+J1035*Assumptions!$C$57+J1048*Assumptions!$C$58</f>
        <v>0</v>
      </c>
      <c r="K1061" s="25" t="n">
        <f aca="false">K1022*Assumptions!$C$56+K1035*Assumptions!$C$57+K1048*Assumptions!$C$58</f>
        <v>0</v>
      </c>
    </row>
    <row r="1062" customFormat="false" ht="15" hidden="false" customHeight="false" outlineLevel="0" collapsed="false">
      <c r="A1062" s="23" t="s">
        <v>325</v>
      </c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</row>
    <row r="1063" customFormat="false" ht="15" hidden="false" customHeight="false" outlineLevel="0" collapsed="false">
      <c r="A1063" s="3" t="s">
        <v>326</v>
      </c>
      <c r="C1063" s="25" t="n">
        <f aca="false">SUMPRODUCT($G$1022:$K$1022,$G$1021:$K$1021-$G$1027:$K$1027+$G$1026:$K$1026)</f>
        <v>0</v>
      </c>
    </row>
    <row r="1064" customFormat="false" ht="15" hidden="false" customHeight="false" outlineLevel="0" collapsed="false">
      <c r="A1064" s="3" t="s">
        <v>327</v>
      </c>
      <c r="C1064" s="25" t="n">
        <f aca="false">SUMPRODUCT($G$1022:$K$1022,$G$1029:$K$1029)</f>
        <v>0</v>
      </c>
    </row>
    <row r="1065" customFormat="false" ht="15" hidden="false" customHeight="false" outlineLevel="0" collapsed="false">
      <c r="A1065" s="3" t="s">
        <v>328</v>
      </c>
      <c r="C1065" s="3" t="str">
        <f aca="false">IF(SUM($G$1022:$K$1022)=0,"n/a (beyond horizon)",IF(SUMPRODUCT($G$1022:$K$1022,$G$1019:$K$1019)&gt;0,"REFINANCING PASS","REFINANCING FAILURE"))</f>
        <v>n/a (beyond horizon)</v>
      </c>
    </row>
    <row r="1066" customFormat="false" ht="15" hidden="false" customHeight="false" outlineLevel="0" collapsed="false">
      <c r="A1066" s="3" t="s">
        <v>329</v>
      </c>
      <c r="C1066" s="3" t="str">
        <f aca="false">IF(SUM($G$1022:$K$1022)=0,"n/a",IF(C1064&gt;=C1063-0.001,"Repaid from cash",IF(SUMPRODUCT($G$1022:$K$1022,$G$1019:$K$1019)&gt;0,IF(C1064&gt;0,"Partly repaid; remainder refinanced","Refinanced"),IF(SUM($G$1031:$K$1031)&gt;0.001,IF(C1064&gt;0,"Partial repayment; PAYMENT DEFAULT","PAYMENT DEFAULT"),"Repaid from cash"))))</f>
        <v>n/a</v>
      </c>
    </row>
    <row r="1067" customFormat="false" ht="15" hidden="false" customHeight="false" outlineLevel="0" collapsed="false">
      <c r="A1067" s="3" t="s">
        <v>330</v>
      </c>
      <c r="C1067" s="25" t="n">
        <f aca="false">SUMPRODUCT($G$1035:$K$1035,$G$1034:$K$1034-$G$1040:$K$1040+$G$1039:$K$1039)</f>
        <v>276.706</v>
      </c>
    </row>
    <row r="1068" customFormat="false" ht="15" hidden="false" customHeight="false" outlineLevel="0" collapsed="false">
      <c r="A1068" s="3" t="s">
        <v>331</v>
      </c>
      <c r="C1068" s="25" t="n">
        <f aca="false">SUMPRODUCT($G$1035:$K$1035,$G$1042:$K$1042)</f>
        <v>276.706</v>
      </c>
    </row>
    <row r="1069" customFormat="false" ht="15" hidden="false" customHeight="false" outlineLevel="0" collapsed="false">
      <c r="A1069" s="3" t="s">
        <v>332</v>
      </c>
      <c r="C1069" s="3" t="str">
        <f aca="false">IF(SUM($G$1035:$K$1035)=0,"n/a (beyond horizon)",IF(SUMPRODUCT($G$1035:$K$1035,$G$1019:$K$1019)&gt;0,"REFINANCING PASS","REFINANCING FAILURE"))</f>
        <v>REFINANCING FAILURE</v>
      </c>
    </row>
    <row r="1070" customFormat="false" ht="15" hidden="false" customHeight="false" outlineLevel="0" collapsed="false">
      <c r="A1070" s="3" t="s">
        <v>333</v>
      </c>
      <c r="C1070" s="3" t="str">
        <f aca="false">IF(SUM($G$1035:$K$1035)=0,"n/a",IF(C1068&gt;=C1067-0.001,"Repaid from cash",IF(SUMPRODUCT($G$1035:$K$1035,$G$1019:$K$1019)&gt;0,IF(C1068&gt;0,"Partly repaid; remainder refinanced","Refinanced"),IF(SUM($G$1044:$K$1044)&gt;0.001,IF(C1068&gt;0,"Partial repayment; PAYMENT DEFAULT","PAYMENT DEFAULT"),"Repaid from cash"))))</f>
        <v>Repaid from cash</v>
      </c>
    </row>
    <row r="1071" customFormat="false" ht="15" hidden="false" customHeight="false" outlineLevel="0" collapsed="false">
      <c r="A1071" s="3" t="s">
        <v>334</v>
      </c>
      <c r="C1071" s="25" t="n">
        <f aca="false">SUMPRODUCT($G$1048:$K$1048,$G$1047:$K$1047-$G$1053:$K$1053+$G$1052:$K$1052)</f>
        <v>143.75</v>
      </c>
    </row>
    <row r="1072" customFormat="false" ht="15" hidden="false" customHeight="false" outlineLevel="0" collapsed="false">
      <c r="A1072" s="3" t="s">
        <v>335</v>
      </c>
      <c r="C1072" s="25" t="n">
        <f aca="false">SUMPRODUCT($G$1048:$K$1048,$G$1055:$K$1055)</f>
        <v>143.75</v>
      </c>
    </row>
    <row r="1073" customFormat="false" ht="15" hidden="false" customHeight="false" outlineLevel="0" collapsed="false">
      <c r="A1073" s="3" t="s">
        <v>336</v>
      </c>
      <c r="C1073" s="3" t="str">
        <f aca="false">IF(SUM($G$1048:$K$1048)=0,"n/a (beyond horizon)",IF(SUMPRODUCT($G$1048:$K$1048,$G$1019:$K$1019)&gt;0,"REFINANCING PASS","REFINANCING FAILURE"))</f>
        <v>REFINANCING FAILURE</v>
      </c>
    </row>
    <row r="1074" customFormat="false" ht="15" hidden="false" customHeight="false" outlineLevel="0" collapsed="false">
      <c r="A1074" s="3" t="s">
        <v>337</v>
      </c>
      <c r="C1074" s="3" t="str">
        <f aca="false">IF(SUM($G$1048:$K$1048)=0,"n/a",IF(C1072&gt;=C1071-0.001,"Repaid from cash",IF(SUMPRODUCT($G$1048:$K$1048,$G$1019:$K$1019)&gt;0,IF(C1072&gt;0,"Partly repaid; remainder refinanced","Refinanced"),IF(SUM($G$1057:$K$1057)&gt;0.001,IF(C1072&gt;0,"Partial repayment; PAYMENT DEFAULT","PAYMENT DEFAULT"),"Repaid from cash"))))</f>
        <v>Repaid from cash</v>
      </c>
    </row>
    <row r="1075" customFormat="false" ht="15" hidden="false" customHeight="false" outlineLevel="0" collapsed="false">
      <c r="A1075" s="3" t="s">
        <v>338</v>
      </c>
      <c r="C1075" s="20" t="n">
        <f aca="false">IF(C1065="REFINANCING FAILURE",1,0)+IF(C1069="REFINANCING FAILURE",1,0)+IF(C1073="REFINANCING FAILURE",1,0)</f>
        <v>2</v>
      </c>
    </row>
    <row r="1077" customFormat="false" ht="15" hidden="false" customHeight="false" outlineLevel="0" collapsed="false">
      <c r="A1077" s="23" t="s">
        <v>340</v>
      </c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</row>
    <row r="1078" customFormat="false" ht="15" hidden="false" customHeight="false" outlineLevel="0" collapsed="false">
      <c r="A1078" s="3" t="s">
        <v>305</v>
      </c>
      <c r="G1078" s="25" t="n">
        <f aca="false">F1090</f>
        <v>463.996</v>
      </c>
      <c r="H1078" s="25" t="n">
        <f aca="false">G1090</f>
        <v>513.96982888</v>
      </c>
      <c r="I1078" s="25" t="n">
        <f aca="false">H1090</f>
        <v>555.7065178048</v>
      </c>
      <c r="J1078" s="25" t="n">
        <f aca="false">I1090</f>
        <v>166.093589138848</v>
      </c>
      <c r="K1078" s="25" t="n">
        <f aca="false">J1090</f>
        <v>205.346920805342</v>
      </c>
    </row>
    <row r="1079" customFormat="false" ht="15" hidden="false" customHeight="false" outlineLevel="0" collapsed="false">
      <c r="A1079" s="3" t="s">
        <v>341</v>
      </c>
      <c r="G1079" s="25" t="n">
        <f aca="false">G1008</f>
        <v>49.97382888</v>
      </c>
      <c r="H1079" s="25" t="n">
        <f aca="false">H1008</f>
        <v>41.7366889248</v>
      </c>
      <c r="I1079" s="25" t="n">
        <f aca="false">I1008</f>
        <v>30.843071334048</v>
      </c>
      <c r="J1079" s="25" t="n">
        <f aca="false">J1008</f>
        <v>39.2533316664941</v>
      </c>
      <c r="K1079" s="25" t="n">
        <f aca="false">K1008</f>
        <v>30.1936412117927</v>
      </c>
    </row>
    <row r="1080" customFormat="false" ht="15" hidden="false" customHeight="false" outlineLevel="0" collapsed="false">
      <c r="A1080" s="3" t="s">
        <v>342</v>
      </c>
      <c r="G1080" s="25" t="n">
        <f aca="false">CHOOSE($C$978,Assumptions!$G$74,Assumptions!$G$93,Assumptions!$G$112)</f>
        <v>0</v>
      </c>
      <c r="H1080" s="25" t="n">
        <f aca="false">CHOOSE($C$978,Assumptions!$H$74,Assumptions!$H$93,Assumptions!$H$112)</f>
        <v>0</v>
      </c>
      <c r="I1080" s="25" t="n">
        <f aca="false">CHOOSE($C$978,Assumptions!$I$74,Assumptions!$I$93,Assumptions!$I$112)</f>
        <v>0</v>
      </c>
      <c r="J1080" s="25" t="n">
        <f aca="false">CHOOSE($C$978,Assumptions!$J$74,Assumptions!$J$93,Assumptions!$J$112)</f>
        <v>0</v>
      </c>
      <c r="K1080" s="25" t="n">
        <f aca="false">CHOOSE($C$978,Assumptions!$K$74,Assumptions!$K$93,Assumptions!$K$112)</f>
        <v>0</v>
      </c>
    </row>
    <row r="1081" customFormat="false" ht="15" hidden="false" customHeight="false" outlineLevel="0" collapsed="false">
      <c r="A1081" s="3" t="s">
        <v>343</v>
      </c>
      <c r="G1081" s="25" t="n">
        <f aca="false">G1027+G1040+G1053</f>
        <v>0</v>
      </c>
      <c r="H1081" s="25" t="n">
        <f aca="false">H1027+H1040+H1053</f>
        <v>0</v>
      </c>
      <c r="I1081" s="25" t="n">
        <f aca="false">I1027+I1040+I1053</f>
        <v>0</v>
      </c>
      <c r="J1081" s="25" t="n">
        <f aca="false">J1027+J1040+J1053</f>
        <v>0</v>
      </c>
      <c r="K1081" s="25" t="n">
        <f aca="false">K1027+K1040+K1053</f>
        <v>0</v>
      </c>
    </row>
    <row r="1082" customFormat="false" ht="15" hidden="false" customHeight="false" outlineLevel="0" collapsed="false">
      <c r="A1082" s="2" t="s">
        <v>344</v>
      </c>
      <c r="G1082" s="16" t="n">
        <f aca="false">G1078+G1079+G1080-G1081</f>
        <v>513.96982888</v>
      </c>
      <c r="H1082" s="16" t="n">
        <f aca="false">H1078+H1079+H1080-H1081</f>
        <v>555.7065178048</v>
      </c>
      <c r="I1082" s="16" t="n">
        <f aca="false">I1078+I1079+I1080-I1081</f>
        <v>586.549589138848</v>
      </c>
      <c r="J1082" s="16" t="n">
        <f aca="false">J1078+J1079+J1080-J1081</f>
        <v>205.346920805342</v>
      </c>
      <c r="K1082" s="16" t="n">
        <f aca="false">K1078+K1079+K1080-K1081</f>
        <v>235.540562017135</v>
      </c>
    </row>
    <row r="1083" customFormat="false" ht="15" hidden="false" customHeight="false" outlineLevel="0" collapsed="false">
      <c r="A1083" s="3" t="s">
        <v>345</v>
      </c>
      <c r="G1083" s="25" t="n">
        <f aca="false">G1028+G1041+G1054</f>
        <v>0</v>
      </c>
      <c r="H1083" s="25" t="n">
        <f aca="false">H1028+H1041+H1054</f>
        <v>0</v>
      </c>
      <c r="I1083" s="25" t="n">
        <f aca="false">I1028+I1041+I1054</f>
        <v>0</v>
      </c>
      <c r="J1083" s="25" t="n">
        <f aca="false">J1028+J1041+J1054</f>
        <v>0</v>
      </c>
      <c r="K1083" s="25" t="n">
        <f aca="false">K1028+K1041+K1054</f>
        <v>0</v>
      </c>
    </row>
    <row r="1084" customFormat="false" ht="15" hidden="false" customHeight="false" outlineLevel="0" collapsed="false">
      <c r="A1084" s="2" t="s">
        <v>346</v>
      </c>
      <c r="G1084" s="16" t="n">
        <f aca="false">G1082+G1083</f>
        <v>513.96982888</v>
      </c>
      <c r="H1084" s="16" t="n">
        <f aca="false">H1082+H1083</f>
        <v>555.7065178048</v>
      </c>
      <c r="I1084" s="16" t="n">
        <f aca="false">I1082+I1083</f>
        <v>586.549589138848</v>
      </c>
      <c r="J1084" s="16" t="n">
        <f aca="false">J1082+J1083</f>
        <v>205.346920805342</v>
      </c>
      <c r="K1084" s="16" t="n">
        <f aca="false">K1082+K1083</f>
        <v>235.540562017135</v>
      </c>
    </row>
    <row r="1085" customFormat="false" ht="15" hidden="false" customHeight="false" outlineLevel="0" collapsed="false">
      <c r="A1085" s="3" t="s">
        <v>347</v>
      </c>
      <c r="G1085" s="25" t="n">
        <f aca="false">G1029+G1042+G1055</f>
        <v>0</v>
      </c>
      <c r="H1085" s="25" t="n">
        <f aca="false">H1029+H1042+H1055</f>
        <v>0</v>
      </c>
      <c r="I1085" s="25" t="n">
        <f aca="false">I1029+I1042+I1055</f>
        <v>420.456</v>
      </c>
      <c r="J1085" s="25" t="n">
        <f aca="false">J1029+J1042+J1055</f>
        <v>0</v>
      </c>
      <c r="K1085" s="25" t="n">
        <f aca="false">K1029+K1042+K1055</f>
        <v>0</v>
      </c>
    </row>
    <row r="1086" customFormat="false" ht="15" hidden="false" customHeight="false" outlineLevel="0" collapsed="false">
      <c r="A1086" s="2" t="s">
        <v>348</v>
      </c>
      <c r="G1086" s="16" t="n">
        <f aca="false">G1084-G1085</f>
        <v>513.96982888</v>
      </c>
      <c r="H1086" s="16" t="n">
        <f aca="false">H1084-H1085</f>
        <v>555.7065178048</v>
      </c>
      <c r="I1086" s="16" t="n">
        <f aca="false">I1084-I1085</f>
        <v>166.093589138848</v>
      </c>
      <c r="J1086" s="16" t="n">
        <f aca="false">J1084-J1085</f>
        <v>205.346920805342</v>
      </c>
      <c r="K1086" s="16" t="n">
        <f aca="false">K1084-K1085</f>
        <v>235.540562017135</v>
      </c>
    </row>
    <row r="1087" customFormat="false" ht="15" hidden="false" customHeight="false" outlineLevel="0" collapsed="false">
      <c r="A1087" s="3" t="s">
        <v>349</v>
      </c>
      <c r="G1087" s="25" t="n">
        <f aca="false">MAX(0,-G1086)</f>
        <v>0</v>
      </c>
      <c r="H1087" s="25" t="n">
        <f aca="false">MAX(0,-H1086)</f>
        <v>0</v>
      </c>
      <c r="I1087" s="25" t="n">
        <f aca="false">MAX(0,-I1086)</f>
        <v>0</v>
      </c>
      <c r="J1087" s="25" t="n">
        <f aca="false">MAX(0,-J1086)</f>
        <v>0</v>
      </c>
      <c r="K1087" s="25" t="n">
        <f aca="false">MAX(0,-K1086)</f>
        <v>0</v>
      </c>
    </row>
    <row r="1088" customFormat="false" ht="15" hidden="false" customHeight="false" outlineLevel="0" collapsed="false">
      <c r="A1088" s="3" t="s">
        <v>350</v>
      </c>
      <c r="G1088" s="25" t="n">
        <f aca="false">MAX(0,G1086-Assumptions!$C$12)*Assumptions!$C$13</f>
        <v>0</v>
      </c>
      <c r="H1088" s="25" t="n">
        <f aca="false">MAX(0,H1086-Assumptions!$C$12)*Assumptions!$C$13</f>
        <v>0</v>
      </c>
      <c r="I1088" s="25" t="n">
        <f aca="false">MAX(0,I1086-Assumptions!$C$12)*Assumptions!$C$13</f>
        <v>0</v>
      </c>
      <c r="J1088" s="25" t="n">
        <f aca="false">MAX(0,J1086-Assumptions!$C$12)*Assumptions!$C$13</f>
        <v>0</v>
      </c>
      <c r="K1088" s="25" t="n">
        <f aca="false">MAX(0,K1086-Assumptions!$C$12)*Assumptions!$C$13</f>
        <v>0</v>
      </c>
    </row>
    <row r="1089" customFormat="false" ht="15" hidden="false" customHeight="false" outlineLevel="0" collapsed="false">
      <c r="A1089" s="3" t="s">
        <v>351</v>
      </c>
      <c r="G1089" s="25" t="n">
        <f aca="false">G1030+G1043+G1056</f>
        <v>0</v>
      </c>
      <c r="H1089" s="25" t="n">
        <f aca="false">H1030+H1043+H1056</f>
        <v>0</v>
      </c>
      <c r="I1089" s="25" t="n">
        <f aca="false">I1030+I1043+I1056</f>
        <v>0</v>
      </c>
      <c r="J1089" s="25" t="n">
        <f aca="false">J1030+J1043+J1056</f>
        <v>0</v>
      </c>
      <c r="K1089" s="25" t="n">
        <f aca="false">K1030+K1043+K1056</f>
        <v>0</v>
      </c>
    </row>
    <row r="1090" customFormat="false" ht="15" hidden="false" customHeight="false" outlineLevel="0" collapsed="false">
      <c r="A1090" s="2" t="s">
        <v>352</v>
      </c>
      <c r="F1090" s="28" t="n">
        <f aca="false">Assumptions!$C$11</f>
        <v>463.996</v>
      </c>
      <c r="G1090" s="16" t="n">
        <f aca="false">G1086-G1089</f>
        <v>513.96982888</v>
      </c>
      <c r="H1090" s="16" t="n">
        <f aca="false">H1086-H1089</f>
        <v>555.7065178048</v>
      </c>
      <c r="I1090" s="16" t="n">
        <f aca="false">I1086-I1089</f>
        <v>166.093589138848</v>
      </c>
      <c r="J1090" s="16" t="n">
        <f aca="false">J1086-J1089</f>
        <v>205.346920805342</v>
      </c>
      <c r="K1090" s="16" t="n">
        <f aca="false">K1086-K1089</f>
        <v>235.540562017135</v>
      </c>
    </row>
    <row r="1091" customFormat="false" ht="15" hidden="false" customHeight="false" outlineLevel="0" collapsed="false">
      <c r="A1091" s="3" t="s">
        <v>353</v>
      </c>
      <c r="G1091" s="25" t="n">
        <f aca="false">G1031+G1044+G1057</f>
        <v>0</v>
      </c>
      <c r="H1091" s="25" t="n">
        <f aca="false">H1031+H1044+H1057</f>
        <v>0</v>
      </c>
      <c r="I1091" s="25" t="n">
        <f aca="false">I1031+I1044+I1057</f>
        <v>0</v>
      </c>
      <c r="J1091" s="25" t="n">
        <f aca="false">J1031+J1044+J1057</f>
        <v>0</v>
      </c>
      <c r="K1091" s="25" t="n">
        <f aca="false">K1031+K1044+K1057</f>
        <v>0</v>
      </c>
    </row>
    <row r="1092" customFormat="false" ht="15" hidden="false" customHeight="false" outlineLevel="0" collapsed="false">
      <c r="A1092" s="3" t="s">
        <v>354</v>
      </c>
      <c r="G1092" s="20" t="n">
        <f aca="false">IF(OR(G1087&gt;0.001,G1091&gt;0.001),1,0)</f>
        <v>0</v>
      </c>
      <c r="H1092" s="20" t="n">
        <f aca="false">IF(OR(H1087&gt;0.001,H1091&gt;0.001),1,0)</f>
        <v>0</v>
      </c>
      <c r="I1092" s="20" t="n">
        <f aca="false">IF(OR(I1087&gt;0.001,I1091&gt;0.001),1,0)</f>
        <v>0</v>
      </c>
      <c r="J1092" s="20" t="n">
        <f aca="false">IF(OR(J1087&gt;0.001,J1091&gt;0.001),1,0)</f>
        <v>0</v>
      </c>
      <c r="K1092" s="20" t="n">
        <f aca="false">IF(OR(K1087&gt;0.001,K1091&gt;0.001),1,0)</f>
        <v>0</v>
      </c>
    </row>
    <row r="1093" customFormat="false" ht="15" hidden="false" customHeight="false" outlineLevel="0" collapsed="false">
      <c r="A1093" s="3" t="s">
        <v>355</v>
      </c>
      <c r="G1093" s="20" t="n">
        <f aca="false">IF(G1092=1,1,0)</f>
        <v>0</v>
      </c>
      <c r="H1093" s="20" t="n">
        <f aca="false">IF(AND(H1092=1,SUM($G$1092:G1092)=0),1,0)</f>
        <v>0</v>
      </c>
      <c r="I1093" s="20" t="n">
        <f aca="false">IF(AND(I1092=1,SUM($G$1092:H1092)=0),1,0)</f>
        <v>0</v>
      </c>
      <c r="J1093" s="20" t="n">
        <f aca="false">IF(AND(J1092=1,SUM($G$1092:I1092)=0),1,0)</f>
        <v>0</v>
      </c>
      <c r="K1093" s="20" t="n">
        <f aca="false">IF(AND(K1092=1,SUM($G$1092:J1092)=0),1,0)</f>
        <v>0</v>
      </c>
    </row>
    <row r="1094" customFormat="false" ht="15" hidden="false" customHeight="false" outlineLevel="0" collapsed="false">
      <c r="A1094" s="3" t="s">
        <v>356</v>
      </c>
      <c r="G1094" s="25" t="n">
        <f aca="false">(G1060-F1060)-(G1083+G1000-G1081-G1085-G1089)</f>
        <v>0</v>
      </c>
      <c r="H1094" s="25" t="n">
        <f aca="false">(H1060-G1060)-(H1083+H1000-H1081-H1085-H1089)</f>
        <v>0</v>
      </c>
      <c r="I1094" s="25" t="n">
        <f aca="false">(I1060-H1060)-(I1083+I1000-I1081-I1085-I1089)</f>
        <v>0</v>
      </c>
      <c r="J1094" s="25" t="n">
        <f aca="false">(J1060-I1060)-(J1083+J1000-J1081-J1085-J1089)</f>
        <v>0</v>
      </c>
      <c r="K1094" s="25" t="n">
        <f aca="false">(K1060-J1060)-(K1083+K1000-K1081-K1085-K1089)</f>
        <v>0</v>
      </c>
    </row>
    <row r="1096" customFormat="false" ht="15" hidden="false" customHeight="false" outlineLevel="0" collapsed="false">
      <c r="A1096" s="23" t="s">
        <v>358</v>
      </c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</row>
    <row r="1097" customFormat="false" ht="15" hidden="false" customHeight="false" outlineLevel="0" collapsed="false">
      <c r="A1097" s="3" t="s">
        <v>359</v>
      </c>
      <c r="G1097" s="25" t="n">
        <f aca="false">G1060</f>
        <v>1735.554</v>
      </c>
      <c r="H1097" s="25" t="n">
        <f aca="false">H1060</f>
        <v>1735.554</v>
      </c>
      <c r="I1097" s="25" t="n">
        <f aca="false">I1060</f>
        <v>1315.098</v>
      </c>
      <c r="J1097" s="25" t="n">
        <f aca="false">J1060</f>
        <v>1315.098</v>
      </c>
      <c r="K1097" s="25" t="n">
        <f aca="false">K1060</f>
        <v>1315.098</v>
      </c>
    </row>
    <row r="1098" customFormat="false" ht="15" hidden="false" customHeight="false" outlineLevel="0" collapsed="false">
      <c r="A1098" s="3" t="s">
        <v>360</v>
      </c>
      <c r="G1098" s="25" t="n">
        <f aca="false">Assumptions!$O$56*G1032+Assumptions!$O$57*G1045+Assumptions!$O$58*G1058</f>
        <v>1315.098</v>
      </c>
      <c r="H1098" s="25" t="n">
        <f aca="false">Assumptions!$O$56*H1032+Assumptions!$O$57*H1045+Assumptions!$O$58*H1058</f>
        <v>1315.098</v>
      </c>
      <c r="I1098" s="25" t="n">
        <f aca="false">Assumptions!$O$56*I1032+Assumptions!$O$57*I1045+Assumptions!$O$58*I1058</f>
        <v>1315.098</v>
      </c>
      <c r="J1098" s="25" t="n">
        <f aca="false">Assumptions!$O$56*J1032+Assumptions!$O$57*J1045+Assumptions!$O$58*J1058</f>
        <v>1315.098</v>
      </c>
      <c r="K1098" s="25" t="n">
        <f aca="false">Assumptions!$O$56*K1032+Assumptions!$O$57*K1045+Assumptions!$O$58*K1058</f>
        <v>1315.098</v>
      </c>
    </row>
    <row r="1099" customFormat="false" ht="15" hidden="false" customHeight="false" outlineLevel="0" collapsed="false">
      <c r="A1099" s="3" t="s">
        <v>361</v>
      </c>
      <c r="G1099" s="25" t="n">
        <f aca="false">G1097-G1090</f>
        <v>1221.58417112</v>
      </c>
      <c r="H1099" s="25" t="n">
        <f aca="false">H1097-H1090</f>
        <v>1179.8474821952</v>
      </c>
      <c r="I1099" s="25" t="n">
        <f aca="false">I1097-I1090</f>
        <v>1149.00441086115</v>
      </c>
      <c r="J1099" s="25" t="n">
        <f aca="false">J1097-J1090</f>
        <v>1109.75107919466</v>
      </c>
      <c r="K1099" s="25" t="n">
        <f aca="false">K1097-K1090</f>
        <v>1079.55743798287</v>
      </c>
    </row>
    <row r="1100" customFormat="false" ht="15" hidden="false" customHeight="false" outlineLevel="0" collapsed="false">
      <c r="A1100" s="3" t="s">
        <v>362</v>
      </c>
      <c r="G1100" s="32" t="n">
        <f aca="false">IF(G995&gt;0,G1097/G995,0)</f>
        <v>8.09082690866843</v>
      </c>
      <c r="H1100" s="32" t="n">
        <f aca="false">IF(H995&gt;0,H1097/H995,0)</f>
        <v>8.42794469652961</v>
      </c>
      <c r="I1100" s="32" t="n">
        <f aca="false">IF(I995&gt;0,I1097/I995,0)</f>
        <v>6.75286821780389</v>
      </c>
      <c r="J1100" s="32" t="n">
        <f aca="false">IF(J995&gt;0,J1097/J995,0)</f>
        <v>7.10675564158915</v>
      </c>
      <c r="K1100" s="32" t="n">
        <f aca="false">IF(K995&gt;0,K1097/K995,0)</f>
        <v>7.48243629735203</v>
      </c>
    </row>
    <row r="1101" customFormat="false" ht="15" hidden="false" customHeight="false" outlineLevel="0" collapsed="false">
      <c r="A1101" s="3" t="s">
        <v>363</v>
      </c>
      <c r="G1101" s="32" t="n">
        <f aca="false">IF(G995&gt;0,G1099/G995,0)</f>
        <v>5.69479606102784</v>
      </c>
      <c r="H1101" s="32" t="n">
        <f aca="false">IF(H995&gt;0,H1099/H995,0)</f>
        <v>5.72940359693842</v>
      </c>
      <c r="I1101" s="32" t="n">
        <f aca="false">IF(I995&gt;0,I1099/I995,0)</f>
        <v>5.89999784671618</v>
      </c>
      <c r="J1101" s="32" t="n">
        <f aca="false">IF(J995&gt;0,J1099/J995,0)</f>
        <v>5.99706618276834</v>
      </c>
      <c r="K1101" s="32" t="n">
        <f aca="false">IF(K995&gt;0,K1099/K995,0)</f>
        <v>6.14229491569401</v>
      </c>
    </row>
    <row r="1102" customFormat="false" ht="15" hidden="false" customHeight="false" outlineLevel="0" collapsed="false">
      <c r="A1102" s="3" t="s">
        <v>364</v>
      </c>
      <c r="G1102" s="32" t="n">
        <f aca="false">IF(G999&gt;0,G995/G999,0)</f>
        <v>1.37545642589606</v>
      </c>
      <c r="H1102" s="32" t="n">
        <f aca="false">IF(H999&gt;0,H995/H999,0)</f>
        <v>1.32043816886022</v>
      </c>
      <c r="I1102" s="32" t="n">
        <f aca="false">IF(I999&gt;0,I995/I999,0)</f>
        <v>1.24873837629111</v>
      </c>
      <c r="J1102" s="32" t="n">
        <f aca="false">IF(J999&gt;0,J995/J999,0)</f>
        <v>1.34010651331187</v>
      </c>
      <c r="K1102" s="32" t="n">
        <f aca="false">IF(K999&gt;0,K995/K999,0)</f>
        <v>1.27282199878934</v>
      </c>
    </row>
    <row r="1103" customFormat="false" ht="15" hidden="false" customHeight="false" outlineLevel="0" collapsed="false">
      <c r="A1103" s="3" t="s">
        <v>365</v>
      </c>
      <c r="G1103" s="32" t="n">
        <f aca="false">IF(G999&gt;0,G998/G999,0)</f>
        <v>0.703994263204814</v>
      </c>
      <c r="H1103" s="32" t="n">
        <f aca="false">IF(H999&gt;0,H998/H999,0)</f>
        <v>0.675834492676622</v>
      </c>
      <c r="I1103" s="32" t="n">
        <f aca="false">IF(I999&gt;0,I998/I999,0)</f>
        <v>0.626695828773938</v>
      </c>
      <c r="J1103" s="32" t="n">
        <f aca="false">IF(J999&gt;0,J998/J999,0)</f>
        <v>0.658642709185598</v>
      </c>
      <c r="K1103" s="32" t="n">
        <f aca="false">IF(K999&gt;0,K998/K999,0)</f>
        <v>0.611802108786853</v>
      </c>
    </row>
    <row r="1104" customFormat="false" ht="15" hidden="false" customHeight="false" outlineLevel="0" collapsed="false">
      <c r="A1104" s="3" t="s">
        <v>198</v>
      </c>
      <c r="G1104" s="21" t="n">
        <f aca="false">IF(G1097&gt;0,G1008/G1097,0)</f>
        <v>0.0287941653673697</v>
      </c>
      <c r="H1104" s="21" t="n">
        <f aca="false">IF(H1097&gt;0,H1008/H1097,0)</f>
        <v>0.0240480497436553</v>
      </c>
      <c r="I1104" s="21" t="n">
        <f aca="false">IF(I1097&gt;0,I1008/I1097,0)</f>
        <v>0.0234530592655817</v>
      </c>
      <c r="J1104" s="21" t="n">
        <f aca="false">IF(J1097&gt;0,J1008/J1097,0)</f>
        <v>0.0298482179020073</v>
      </c>
      <c r="K1104" s="21" t="n">
        <f aca="false">IF(K1097&gt;0,K1008/K1097,0)</f>
        <v>0.0229592328570135</v>
      </c>
    </row>
    <row r="1105" customFormat="false" ht="15" hidden="false" customHeight="false" outlineLevel="0" collapsed="false">
      <c r="A1105" s="3" t="s">
        <v>366</v>
      </c>
      <c r="G1105" s="32" t="n">
        <f aca="false">IF(G999+G1081&gt;0,(G995-G1006-G1003)/(G999+G1081),0)</f>
        <v>1.18289252627061</v>
      </c>
      <c r="H1105" s="32" t="n">
        <f aca="false">IF(H999+H1081&gt;0,(H995-H1006-H1003)/(H999+H1081),0)</f>
        <v>1.13557682521979</v>
      </c>
      <c r="I1105" s="32" t="n">
        <f aca="false">IF(I999+I1081&gt;0,(I995-I1006-I1003)/(I999+I1081),0)</f>
        <v>1.07034717967809</v>
      </c>
      <c r="J1105" s="32" t="n">
        <f aca="false">IF(J999+J1081&gt;0,(J995-J1006-J1003)/(J999+J1081),0)</f>
        <v>1.14467431345389</v>
      </c>
      <c r="K1105" s="32" t="n">
        <f aca="false">IF(K999+K1081&gt;0,(K995-K1006-K1003)/(K999+K1081),0)</f>
        <v>1.0832527649271</v>
      </c>
    </row>
    <row r="1106" customFormat="false" ht="15" hidden="false" customHeight="false" outlineLevel="0" collapsed="false">
      <c r="A1106" s="3" t="s">
        <v>367</v>
      </c>
      <c r="G1106" s="25" t="n">
        <f aca="false">MAX(0,G1090)+Assumptions!$P$56*MAX(0,Assumptions!$D$56-G1032)+Assumptions!$P$57*MAX(0,Assumptions!$D$57-G1045)+Assumptions!$P$58*MAX(0,Assumptions!$D$58-G1058)</f>
        <v>513.96982888</v>
      </c>
      <c r="H1106" s="25" t="n">
        <f aca="false">MAX(0,H1090)+Assumptions!$P$56*MAX(0,Assumptions!$D$56-H1032)+Assumptions!$P$57*MAX(0,Assumptions!$D$57-H1045)+Assumptions!$P$58*MAX(0,Assumptions!$D$58-H1058)</f>
        <v>555.7065178048</v>
      </c>
      <c r="I1106" s="25" t="n">
        <f aca="false">MAX(0,I1090)+Assumptions!$P$56*MAX(0,Assumptions!$D$56-I1032)+Assumptions!$P$57*MAX(0,Assumptions!$D$57-I1045)+Assumptions!$P$58*MAX(0,Assumptions!$D$58-I1058)</f>
        <v>166.093589138848</v>
      </c>
      <c r="J1106" s="25" t="n">
        <f aca="false">MAX(0,J1090)+Assumptions!$P$56*MAX(0,Assumptions!$D$56-J1032)+Assumptions!$P$57*MAX(0,Assumptions!$D$57-J1045)+Assumptions!$P$58*MAX(0,Assumptions!$D$58-J1058)</f>
        <v>205.346920805342</v>
      </c>
      <c r="K1106" s="25" t="n">
        <f aca="false">MAX(0,K1090)+Assumptions!$P$56*MAX(0,Assumptions!$D$56-K1032)+Assumptions!$P$57*MAX(0,Assumptions!$D$57-K1045)+Assumptions!$P$58*MAX(0,Assumptions!$D$58-K1058)</f>
        <v>235.540562017135</v>
      </c>
    </row>
    <row r="1107" customFormat="false" ht="15" hidden="false" customHeight="false" outlineLevel="0" collapsed="false">
      <c r="A1107" s="3" t="s">
        <v>368</v>
      </c>
      <c r="G1107" s="21" t="n">
        <f aca="false">IF(G1097&gt;0,G1097/(G1097+MAX(0,G995*CHOOSE($C$978,Assumptions!$C$82,Assumptions!$C$101,Assumptions!$C$120)-G1099)),0)</f>
        <v>1</v>
      </c>
      <c r="H1107" s="21" t="n">
        <f aca="false">IF(H1097&gt;0,H1097/(H1097+MAX(0,H995*CHOOSE($C$978,Assumptions!$C$82,Assumptions!$C$101,Assumptions!$C$120)-H1099)),0)</f>
        <v>1</v>
      </c>
      <c r="I1107" s="21" t="n">
        <f aca="false">IF(I1097&gt;0,I1097/(I1097+MAX(0,I995*CHOOSE($C$978,Assumptions!$C$82,Assumptions!$C$101,Assumptions!$C$120)-I1099)),0)</f>
        <v>1</v>
      </c>
      <c r="J1107" s="21" t="n">
        <f aca="false">IF(J1097&gt;0,J1097/(J1097+MAX(0,J995*CHOOSE($C$978,Assumptions!$C$82,Assumptions!$C$101,Assumptions!$C$120)-J1099)),0)</f>
        <v>1</v>
      </c>
      <c r="K1107" s="21" t="n">
        <f aca="false">IF(K1097&gt;0,K1097/(K1097+MAX(0,K995*CHOOSE($C$978,Assumptions!$C$82,Assumptions!$C$101,Assumptions!$C$120)-K1099)),0)</f>
        <v>1</v>
      </c>
    </row>
    <row r="1108" customFormat="false" ht="15" hidden="false" customHeight="false" outlineLevel="0" collapsed="false">
      <c r="A1108" s="3" t="s">
        <v>369</v>
      </c>
      <c r="G1108" s="21" t="n">
        <f aca="false">IF(G1097&gt;0,MAX(0,G1090)/G1097,0)</f>
        <v>0.296141652106474</v>
      </c>
      <c r="H1108" s="21" t="n">
        <f aca="false">IF(H1097&gt;0,MAX(0,H1090)/H1097,0)</f>
        <v>0.32018970185013</v>
      </c>
      <c r="I1108" s="21" t="n">
        <f aca="false">IF(I1097&gt;0,MAX(0,I1090)/I1097,0)</f>
        <v>0.126297499607518</v>
      </c>
      <c r="J1108" s="21" t="n">
        <f aca="false">IF(J1097&gt;0,MAX(0,J1090)/J1097,0)</f>
        <v>0.156145717509525</v>
      </c>
      <c r="K1108" s="21" t="n">
        <f aca="false">IF(K1097&gt;0,MAX(0,K1090)/K1097,0)</f>
        <v>0.179104950366539</v>
      </c>
    </row>
    <row r="1109" customFormat="false" ht="15" hidden="false" customHeight="false" outlineLevel="0" collapsed="false">
      <c r="A1109" s="3" t="s">
        <v>370</v>
      </c>
      <c r="G1109" s="25" t="n">
        <f aca="false">Assumptions!$C$30*(1-CHOOSE($C$978,Assumptions!$C$85,Assumptions!$C$104,Assumptions!$C$123))</f>
        <v>2454.971</v>
      </c>
      <c r="H1109" s="25" t="n">
        <f aca="false">Assumptions!$C$30*(1-CHOOSE($C$978,Assumptions!$C$85,Assumptions!$C$104,Assumptions!$C$123))</f>
        <v>2454.971</v>
      </c>
      <c r="I1109" s="25" t="n">
        <f aca="false">Assumptions!$C$30*(1-CHOOSE($C$978,Assumptions!$C$85,Assumptions!$C$104,Assumptions!$C$123))</f>
        <v>2454.971</v>
      </c>
      <c r="J1109" s="25" t="n">
        <f aca="false">Assumptions!$C$30*(1-CHOOSE($C$978,Assumptions!$C$85,Assumptions!$C$104,Assumptions!$C$123))</f>
        <v>2454.971</v>
      </c>
      <c r="K1109" s="25" t="n">
        <f aca="false">Assumptions!$C$30*(1-CHOOSE($C$978,Assumptions!$C$85,Assumptions!$C$104,Assumptions!$C$123))</f>
        <v>2454.971</v>
      </c>
    </row>
    <row r="1110" customFormat="false" ht="15" hidden="false" customHeight="false" outlineLevel="0" collapsed="false">
      <c r="A1110" s="23" t="s">
        <v>371</v>
      </c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</row>
    <row r="1111" customFormat="false" ht="15" hidden="false" customHeight="false" outlineLevel="0" collapsed="false">
      <c r="A1111" s="23" t="s">
        <v>372</v>
      </c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</row>
    <row r="1112" customFormat="false" ht="15" hidden="false" customHeight="false" outlineLevel="0" collapsed="false">
      <c r="A1112" s="3" t="s">
        <v>373</v>
      </c>
      <c r="G1112" s="32" t="n">
        <f aca="false">IF(G995&gt;0,G1099/G995,99)</f>
        <v>5.69479606102784</v>
      </c>
      <c r="H1112" s="32" t="n">
        <f aca="false">IF(H995&gt;0,H1099/H995,99)</f>
        <v>5.72940359693842</v>
      </c>
      <c r="I1112" s="32" t="n">
        <f aca="false">IF(I995&gt;0,I1099/I995,99)</f>
        <v>5.89999784671618</v>
      </c>
      <c r="J1112" s="32" t="n">
        <f aca="false">IF(J995&gt;0,J1099/J995,99)</f>
        <v>5.99706618276834</v>
      </c>
      <c r="K1112" s="32" t="n">
        <f aca="false">IF(K995&gt;0,K1099/K995,99)</f>
        <v>6.14229491569401</v>
      </c>
    </row>
    <row r="1113" customFormat="false" ht="15" hidden="false" customHeight="false" outlineLevel="0" collapsed="false">
      <c r="A1113" s="3" t="s">
        <v>374</v>
      </c>
      <c r="G1113" s="33" t="n">
        <f aca="false">Assumptions!$G$65</f>
        <v>5.25</v>
      </c>
      <c r="H1113" s="33" t="n">
        <f aca="false">Assumptions!$H$65</f>
        <v>5.25</v>
      </c>
      <c r="I1113" s="33" t="n">
        <f aca="false">Assumptions!$I$65</f>
        <v>5</v>
      </c>
      <c r="J1113" s="33" t="n">
        <f aca="false">Assumptions!$J$65</f>
        <v>5</v>
      </c>
      <c r="K1113" s="33" t="n">
        <f aca="false">Assumptions!$K$65</f>
        <v>5</v>
      </c>
    </row>
    <row r="1114" customFormat="false" ht="15" hidden="false" customHeight="false" outlineLevel="0" collapsed="false">
      <c r="A1114" s="3" t="s">
        <v>375</v>
      </c>
      <c r="G1114" s="32" t="n">
        <f aca="false">G1113-G1112</f>
        <v>-0.444796061027842</v>
      </c>
      <c r="H1114" s="32" t="n">
        <f aca="false">H1113-H1112</f>
        <v>-0.479403596938415</v>
      </c>
      <c r="I1114" s="32" t="n">
        <f aca="false">I1113-I1112</f>
        <v>-0.899997846716182</v>
      </c>
      <c r="J1114" s="32" t="n">
        <f aca="false">J1113-J1112</f>
        <v>-0.997066182768343</v>
      </c>
      <c r="K1114" s="32" t="n">
        <f aca="false">K1113-K1112</f>
        <v>-1.14229491569401</v>
      </c>
    </row>
    <row r="1115" customFormat="false" ht="15" hidden="false" customHeight="false" outlineLevel="0" collapsed="false">
      <c r="A1115" s="3" t="s">
        <v>376</v>
      </c>
      <c r="G1115" s="21" t="n">
        <f aca="false">IF(G1113=0,0,G1114/ABS(G1113))</f>
        <v>-0.0847230592433984</v>
      </c>
      <c r="H1115" s="21" t="n">
        <f aca="false">IF(H1113=0,0,H1114/ABS(H1113))</f>
        <v>-0.0913149708454123</v>
      </c>
      <c r="I1115" s="21" t="n">
        <f aca="false">IF(I1113=0,0,I1114/ABS(I1113))</f>
        <v>-0.179999569343237</v>
      </c>
      <c r="J1115" s="21" t="n">
        <f aca="false">IF(J1113=0,0,J1114/ABS(J1113))</f>
        <v>-0.199413236553669</v>
      </c>
      <c r="K1115" s="21" t="n">
        <f aca="false">IF(K1113=0,0,K1114/ABS(K1113))</f>
        <v>-0.228458983138801</v>
      </c>
    </row>
    <row r="1116" customFormat="false" ht="15" hidden="false" customHeight="false" outlineLevel="0" collapsed="false">
      <c r="A1116" s="3" t="s">
        <v>377</v>
      </c>
      <c r="G1116" s="20" t="n">
        <f aca="false">IF(G1114&lt;0,1,0)</f>
        <v>1</v>
      </c>
      <c r="H1116" s="20" t="n">
        <f aca="false">IF(H1114&lt;0,1,0)</f>
        <v>1</v>
      </c>
      <c r="I1116" s="20" t="n">
        <f aca="false">IF(I1114&lt;0,1,0)</f>
        <v>1</v>
      </c>
      <c r="J1116" s="20" t="n">
        <f aca="false">IF(J1114&lt;0,1,0)</f>
        <v>1</v>
      </c>
      <c r="K1116" s="20" t="n">
        <f aca="false">IF(K1114&lt;0,1,0)</f>
        <v>1</v>
      </c>
    </row>
    <row r="1117" customFormat="false" ht="15" hidden="false" customHeight="false" outlineLevel="0" collapsed="false">
      <c r="A1117" s="3" t="s">
        <v>378</v>
      </c>
      <c r="C1117" s="20" t="n">
        <f aca="false">IFERROR(INDEX($G$985:$K$985,MATCH(1,$G$1116:$K$1116,0)),0)</f>
        <v>2027</v>
      </c>
    </row>
    <row r="1118" customFormat="false" ht="15" hidden="false" customHeight="false" outlineLevel="0" collapsed="false">
      <c r="A1118" s="3" t="s">
        <v>379</v>
      </c>
      <c r="C1118" s="21" t="n">
        <f aca="false">MIN($G$1115:$K$1115)</f>
        <v>-0.228458983138801</v>
      </c>
    </row>
    <row r="1119" customFormat="false" ht="15" hidden="false" customHeight="false" outlineLevel="0" collapsed="false">
      <c r="A1119" s="23" t="s">
        <v>380</v>
      </c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</row>
    <row r="1120" customFormat="false" ht="15" hidden="false" customHeight="false" outlineLevel="0" collapsed="false">
      <c r="A1120" s="3" t="s">
        <v>373</v>
      </c>
      <c r="G1120" s="32" t="n">
        <f aca="false">IF(G999&gt;0,G995/G999,99)</f>
        <v>1.37545642589606</v>
      </c>
      <c r="H1120" s="32" t="n">
        <f aca="false">IF(H999&gt;0,H995/H999,99)</f>
        <v>1.32043816886022</v>
      </c>
      <c r="I1120" s="32" t="n">
        <f aca="false">IF(I999&gt;0,I995/I999,99)</f>
        <v>1.24873837629111</v>
      </c>
      <c r="J1120" s="32" t="n">
        <f aca="false">IF(J999&gt;0,J995/J999,99)</f>
        <v>1.34010651331187</v>
      </c>
      <c r="K1120" s="32" t="n">
        <f aca="false">IF(K999&gt;0,K995/K999,99)</f>
        <v>1.27282199878934</v>
      </c>
    </row>
    <row r="1121" customFormat="false" ht="15" hidden="false" customHeight="false" outlineLevel="0" collapsed="false">
      <c r="A1121" s="3" t="s">
        <v>374</v>
      </c>
      <c r="G1121" s="33" t="n">
        <f aca="false">Assumptions!$G$66</f>
        <v>1.4</v>
      </c>
      <c r="H1121" s="33" t="n">
        <f aca="false">Assumptions!$H$66</f>
        <v>1.4</v>
      </c>
      <c r="I1121" s="33" t="n">
        <f aca="false">Assumptions!$I$66</f>
        <v>1.4</v>
      </c>
      <c r="J1121" s="33" t="n">
        <f aca="false">Assumptions!$J$66</f>
        <v>1.5</v>
      </c>
      <c r="K1121" s="33" t="n">
        <f aca="false">Assumptions!$K$66</f>
        <v>1.5</v>
      </c>
    </row>
    <row r="1122" customFormat="false" ht="15" hidden="false" customHeight="false" outlineLevel="0" collapsed="false">
      <c r="A1122" s="3" t="s">
        <v>375</v>
      </c>
      <c r="G1122" s="32" t="n">
        <f aca="false">G1120-G1121</f>
        <v>-0.0245435741039368</v>
      </c>
      <c r="H1122" s="32" t="n">
        <f aca="false">H1120-H1121</f>
        <v>-0.0795618311397792</v>
      </c>
      <c r="I1122" s="32" t="n">
        <f aca="false">I1120-I1121</f>
        <v>-0.151261623708889</v>
      </c>
      <c r="J1122" s="32" t="n">
        <f aca="false">J1120-J1121</f>
        <v>-0.159893486688126</v>
      </c>
      <c r="K1122" s="32" t="n">
        <f aca="false">K1120-K1121</f>
        <v>-0.22717800121066</v>
      </c>
    </row>
    <row r="1123" customFormat="false" ht="15" hidden="false" customHeight="false" outlineLevel="0" collapsed="false">
      <c r="A1123" s="3" t="s">
        <v>376</v>
      </c>
      <c r="G1123" s="21" t="n">
        <f aca="false">IF(G1121=0,0,G1122/ABS(G1121))</f>
        <v>-0.0175311243599549</v>
      </c>
      <c r="H1123" s="21" t="n">
        <f aca="false">IF(H1121=0,0,H1122/ABS(H1121))</f>
        <v>-0.0568298793855566</v>
      </c>
      <c r="I1123" s="21" t="n">
        <f aca="false">IF(I1121=0,0,I1122/ABS(I1121))</f>
        <v>-0.108044016934921</v>
      </c>
      <c r="J1123" s="21" t="n">
        <f aca="false">IF(J1121=0,0,J1122/ABS(J1121))</f>
        <v>-0.106595657792084</v>
      </c>
      <c r="K1123" s="21" t="n">
        <f aca="false">IF(K1121=0,0,K1122/ABS(K1121))</f>
        <v>-0.151452000807106</v>
      </c>
    </row>
    <row r="1124" customFormat="false" ht="15" hidden="false" customHeight="false" outlineLevel="0" collapsed="false">
      <c r="A1124" s="3" t="s">
        <v>377</v>
      </c>
      <c r="G1124" s="20" t="n">
        <f aca="false">IF(G1122&lt;0,1,0)</f>
        <v>1</v>
      </c>
      <c r="H1124" s="20" t="n">
        <f aca="false">IF(H1122&lt;0,1,0)</f>
        <v>1</v>
      </c>
      <c r="I1124" s="20" t="n">
        <f aca="false">IF(I1122&lt;0,1,0)</f>
        <v>1</v>
      </c>
      <c r="J1124" s="20" t="n">
        <f aca="false">IF(J1122&lt;0,1,0)</f>
        <v>1</v>
      </c>
      <c r="K1124" s="20" t="n">
        <f aca="false">IF(K1122&lt;0,1,0)</f>
        <v>1</v>
      </c>
    </row>
    <row r="1125" customFormat="false" ht="15" hidden="false" customHeight="false" outlineLevel="0" collapsed="false">
      <c r="A1125" s="3" t="s">
        <v>378</v>
      </c>
      <c r="C1125" s="20" t="n">
        <f aca="false">IFERROR(INDEX($G$985:$K$985,MATCH(1,$G$1124:$K$1124,0)),0)</f>
        <v>2027</v>
      </c>
    </row>
    <row r="1126" customFormat="false" ht="15" hidden="false" customHeight="false" outlineLevel="0" collapsed="false">
      <c r="A1126" s="3" t="s">
        <v>379</v>
      </c>
      <c r="C1126" s="21" t="n">
        <f aca="false">MIN($G$1123:$K$1123)</f>
        <v>-0.151452000807106</v>
      </c>
    </row>
    <row r="1127" customFormat="false" ht="15" hidden="false" customHeight="false" outlineLevel="0" collapsed="false">
      <c r="A1127" s="23" t="s">
        <v>381</v>
      </c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</row>
    <row r="1128" customFormat="false" ht="15" hidden="false" customHeight="false" outlineLevel="0" collapsed="false">
      <c r="A1128" s="3" t="s">
        <v>373</v>
      </c>
      <c r="G1128" s="25" t="n">
        <f aca="false">G1106</f>
        <v>513.96982888</v>
      </c>
      <c r="H1128" s="25" t="n">
        <f aca="false">H1106</f>
        <v>555.7065178048</v>
      </c>
      <c r="I1128" s="25" t="n">
        <f aca="false">I1106</f>
        <v>166.093589138848</v>
      </c>
      <c r="J1128" s="25" t="n">
        <f aca="false">J1106</f>
        <v>205.346920805342</v>
      </c>
      <c r="K1128" s="25" t="n">
        <f aca="false">K1106</f>
        <v>235.540562017135</v>
      </c>
    </row>
    <row r="1129" customFormat="false" ht="15" hidden="false" customHeight="false" outlineLevel="0" collapsed="false">
      <c r="A1129" s="3" t="s">
        <v>374</v>
      </c>
      <c r="G1129" s="29" t="n">
        <f aca="false">Assumptions!$G$67</f>
        <v>200</v>
      </c>
      <c r="H1129" s="29" t="n">
        <f aca="false">Assumptions!$H$67</f>
        <v>200</v>
      </c>
      <c r="I1129" s="29" t="n">
        <f aca="false">Assumptions!$I$67</f>
        <v>200</v>
      </c>
      <c r="J1129" s="29" t="n">
        <f aca="false">Assumptions!$J$67</f>
        <v>200</v>
      </c>
      <c r="K1129" s="29" t="n">
        <f aca="false">Assumptions!$K$67</f>
        <v>200</v>
      </c>
    </row>
    <row r="1130" customFormat="false" ht="15" hidden="false" customHeight="false" outlineLevel="0" collapsed="false">
      <c r="A1130" s="3" t="s">
        <v>375</v>
      </c>
      <c r="G1130" s="25" t="n">
        <f aca="false">G1128-G1129</f>
        <v>313.96982888</v>
      </c>
      <c r="H1130" s="25" t="n">
        <f aca="false">H1128-H1129</f>
        <v>355.7065178048</v>
      </c>
      <c r="I1130" s="25" t="n">
        <f aca="false">I1128-I1129</f>
        <v>-33.9064108611522</v>
      </c>
      <c r="J1130" s="25" t="n">
        <f aca="false">J1128-J1129</f>
        <v>5.34692080534188</v>
      </c>
      <c r="K1130" s="25" t="n">
        <f aca="false">K1128-K1129</f>
        <v>35.5405620171346</v>
      </c>
    </row>
    <row r="1131" customFormat="false" ht="15" hidden="false" customHeight="false" outlineLevel="0" collapsed="false">
      <c r="A1131" s="3" t="s">
        <v>376</v>
      </c>
      <c r="G1131" s="21" t="n">
        <f aca="false">IF(G1129=0,0,G1130/ABS(G1129))</f>
        <v>1.5698491444</v>
      </c>
      <c r="H1131" s="21" t="n">
        <f aca="false">IF(H1129=0,0,H1130/ABS(H1129))</f>
        <v>1.778532589024</v>
      </c>
      <c r="I1131" s="21" t="n">
        <f aca="false">IF(I1129=0,0,I1130/ABS(I1129))</f>
        <v>-0.169532054305761</v>
      </c>
      <c r="J1131" s="21" t="n">
        <f aca="false">IF(J1129=0,0,J1130/ABS(J1129))</f>
        <v>0.0267346040267094</v>
      </c>
      <c r="K1131" s="21" t="n">
        <f aca="false">IF(K1129=0,0,K1130/ABS(K1129))</f>
        <v>0.177702810085673</v>
      </c>
    </row>
    <row r="1132" customFormat="false" ht="15" hidden="false" customHeight="false" outlineLevel="0" collapsed="false">
      <c r="A1132" s="3" t="s">
        <v>377</v>
      </c>
      <c r="G1132" s="20" t="n">
        <f aca="false">IF(G1130&lt;0,1,0)</f>
        <v>0</v>
      </c>
      <c r="H1132" s="20" t="n">
        <f aca="false">IF(H1130&lt;0,1,0)</f>
        <v>0</v>
      </c>
      <c r="I1132" s="20" t="n">
        <f aca="false">IF(I1130&lt;0,1,0)</f>
        <v>1</v>
      </c>
      <c r="J1132" s="20" t="n">
        <f aca="false">IF(J1130&lt;0,1,0)</f>
        <v>0</v>
      </c>
      <c r="K1132" s="20" t="n">
        <f aca="false">IF(K1130&lt;0,1,0)</f>
        <v>0</v>
      </c>
    </row>
    <row r="1133" customFormat="false" ht="15" hidden="false" customHeight="false" outlineLevel="0" collapsed="false">
      <c r="A1133" s="3" t="s">
        <v>378</v>
      </c>
      <c r="C1133" s="20" t="n">
        <f aca="false">IFERROR(INDEX($G$985:$K$985,MATCH(1,$G$1132:$K$1132,0)),0)</f>
        <v>2029</v>
      </c>
    </row>
    <row r="1134" customFormat="false" ht="15" hidden="false" customHeight="false" outlineLevel="0" collapsed="false">
      <c r="A1134" s="3" t="s">
        <v>379</v>
      </c>
      <c r="C1134" s="21" t="n">
        <f aca="false">MIN($G$1131:$K$1131)</f>
        <v>-0.169532054305761</v>
      </c>
    </row>
    <row r="1135" customFormat="false" ht="15" hidden="false" customHeight="false" outlineLevel="0" collapsed="false">
      <c r="A1135" s="3" t="s">
        <v>382</v>
      </c>
      <c r="G1135" s="20" t="n">
        <f aca="false">G1116+G1124+G1132</f>
        <v>2</v>
      </c>
      <c r="H1135" s="20" t="n">
        <f aca="false">H1116+H1124+H1132</f>
        <v>2</v>
      </c>
      <c r="I1135" s="20" t="n">
        <f aca="false">I1116+I1124+I1132</f>
        <v>3</v>
      </c>
      <c r="J1135" s="20" t="n">
        <f aca="false">J1116+J1124+J1132</f>
        <v>2</v>
      </c>
      <c r="K1135" s="20" t="n">
        <f aca="false">K1116+K1124+K1132</f>
        <v>2</v>
      </c>
    </row>
    <row r="1136" customFormat="false" ht="15" hidden="false" customHeight="false" outlineLevel="0" collapsed="false">
      <c r="A1136" s="3" t="s">
        <v>383</v>
      </c>
      <c r="C1136" s="20" t="n">
        <f aca="false">SUM($G$1135:$K$1135)</f>
        <v>11</v>
      </c>
    </row>
    <row r="1137" customFormat="false" ht="15" hidden="false" customHeight="false" outlineLevel="0" collapsed="false">
      <c r="A1137" s="3" t="s">
        <v>384</v>
      </c>
      <c r="C1137" s="21" t="n">
        <f aca="false">MIN(C1118,C1126,C1134)</f>
        <v>-0.228458983138801</v>
      </c>
    </row>
    <row r="1139" customFormat="false" ht="15" hidden="false" customHeight="false" outlineLevel="0" collapsed="false">
      <c r="A1139" s="23" t="s">
        <v>486</v>
      </c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</row>
    <row r="1140" customFormat="false" ht="15" hidden="false" customHeight="false" outlineLevel="0" collapsed="false">
      <c r="A1140" s="3" t="s">
        <v>487</v>
      </c>
      <c r="G1140" s="20" t="n">
        <f aca="false">IF($C$1141=1,G1093,IF(G995=MIN($G$995:$K$995),1,0))</f>
        <v>0</v>
      </c>
      <c r="H1140" s="20" t="n">
        <f aca="false">IF($C$1141=1,H1093,IF(AND(H995=MIN($G$995:$K$995),SUM($G$1140:G1140)=0),1,0))</f>
        <v>0</v>
      </c>
      <c r="I1140" s="20" t="n">
        <f aca="false">IF($C$1141=1,I1093,IF(AND(I995=MIN($G$995:$K$995),SUM($G$1140:H1140)=0),1,0))</f>
        <v>0</v>
      </c>
      <c r="J1140" s="20" t="n">
        <f aca="false">IF($C$1141=1,J1093,IF(AND(J995=MIN($G$995:$K$995),SUM($G$1140:I1140)=0),1,0))</f>
        <v>0</v>
      </c>
      <c r="K1140" s="20" t="n">
        <f aca="false">IF($C$1141=1,K1093,IF(AND(K995=MIN($G$995:$K$995),SUM($G$1140:J1140)=0),1,0))</f>
        <v>1</v>
      </c>
    </row>
    <row r="1141" customFormat="false" ht="15" hidden="false" customHeight="false" outlineLevel="0" collapsed="false">
      <c r="A1141" s="3" t="s">
        <v>488</v>
      </c>
      <c r="C1141" s="20" t="n">
        <f aca="false">IF(SUM($G$1093:$K$1093)&gt;0,1,0)</f>
        <v>0</v>
      </c>
    </row>
    <row r="1142" customFormat="false" ht="15" hidden="false" customHeight="false" outlineLevel="0" collapsed="false">
      <c r="A1142" s="3" t="s">
        <v>489</v>
      </c>
      <c r="C1142" s="20" t="n">
        <f aca="false">SUMPRODUCT($G$1140:$K$1140,$G$985:$K$985)</f>
        <v>2031</v>
      </c>
    </row>
    <row r="1143" customFormat="false" ht="15" hidden="false" customHeight="false" outlineLevel="0" collapsed="false">
      <c r="A1143" s="3" t="s">
        <v>490</v>
      </c>
      <c r="C1143" s="25" t="n">
        <f aca="false">SUMPRODUCT($G$1140:$K$1140,$G$995:$K$995)</f>
        <v>175.757994821206</v>
      </c>
    </row>
    <row r="1144" customFormat="false" ht="15" hidden="false" customHeight="false" outlineLevel="0" collapsed="false">
      <c r="A1144" s="3" t="s">
        <v>491</v>
      </c>
      <c r="C1144" s="25" t="n">
        <f aca="false">MAX(0,SUMPRODUCT($G$1140:$K$1140,$G$1090:$K$1090))</f>
        <v>235.540562017135</v>
      </c>
    </row>
    <row r="1145" customFormat="false" ht="15" hidden="false" customHeight="false" outlineLevel="0" collapsed="false">
      <c r="A1145" s="3" t="s">
        <v>492</v>
      </c>
      <c r="C1145" s="25" t="n">
        <f aca="false">(CHOOSE($C$978,Assumptions!$C$84,Assumptions!$C$103,Assumptions!$C$122)+$C$982)*C1143</f>
        <v>878.789974106029</v>
      </c>
    </row>
    <row r="1146" customFormat="false" ht="15" hidden="false" customHeight="false" outlineLevel="0" collapsed="false">
      <c r="A1146" s="3" t="s">
        <v>493</v>
      </c>
      <c r="C1146" s="25" t="n">
        <f aca="false">Assumptions!$C$30*(1-CHOOSE($C$978,Assumptions!$C$85,Assumptions!$C$104,Assumptions!$C$123))*CHOOSE($C$978,Assumptions!$C$86,Assumptions!$C$105,Assumptions!$C$124)</f>
        <v>736.4913</v>
      </c>
    </row>
    <row r="1147" customFormat="false" ht="15" hidden="false" customHeight="false" outlineLevel="0" collapsed="false">
      <c r="A1147" s="3" t="s">
        <v>494</v>
      </c>
      <c r="C1147" s="25" t="n">
        <f aca="false">MAX(C1145,C1146)+C1144</f>
        <v>1114.33053612316</v>
      </c>
    </row>
    <row r="1148" customFormat="false" ht="15" hidden="false" customHeight="false" outlineLevel="0" collapsed="false">
      <c r="A1148" s="2" t="s">
        <v>495</v>
      </c>
      <c r="C1148" s="16" t="n">
        <f aca="false">IF(ISNUMBER(Assumptions!$C$14),Assumptions!$C$14,C1147)</f>
        <v>1114.33053612316</v>
      </c>
    </row>
    <row r="1149" customFormat="false" ht="15" hidden="false" customHeight="false" outlineLevel="0" collapsed="false">
      <c r="A1149" s="3" t="s">
        <v>496</v>
      </c>
      <c r="C1149" s="25" t="n">
        <f aca="false">C1148*Assumptions!$C$15</f>
        <v>44.5732214449265</v>
      </c>
    </row>
    <row r="1150" customFormat="false" ht="15" hidden="false" customHeight="false" outlineLevel="0" collapsed="false">
      <c r="A1150" s="2" t="s">
        <v>497</v>
      </c>
      <c r="C1150" s="16" t="n">
        <f aca="false">C1148-C1149</f>
        <v>1069.75731467824</v>
      </c>
    </row>
    <row r="1151" customFormat="false" ht="15" hidden="false" customHeight="false" outlineLevel="0" collapsed="false">
      <c r="A1151" s="23" t="s">
        <v>498</v>
      </c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</row>
    <row r="1152" customFormat="false" ht="15" hidden="false" customHeight="false" outlineLevel="0" collapsed="false">
      <c r="A1152" s="3" t="s">
        <v>499</v>
      </c>
      <c r="C1152" s="25" t="n">
        <f aca="false">SUMPRODUCT($G$1140:$K$1140,$G$1032:$K$1032)*(1+SUMPRODUCT($G$1140:$K$1140,$G$1024:$K$1024)*Assumptions!$C$16/12)</f>
        <v>1349.6193225</v>
      </c>
    </row>
    <row r="1153" customFormat="false" ht="15" hidden="false" customHeight="false" outlineLevel="0" collapsed="false">
      <c r="A1153" s="3" t="s">
        <v>500</v>
      </c>
      <c r="C1153" s="25" t="n">
        <f aca="false">SUMPRODUCT($G$1140:$K$1140,$G$1045:$K$1045)*(1+SUMPRODUCT($G$1140:$K$1140,$G$1037:$K$1037)*Assumptions!$C$16/12)</f>
        <v>0</v>
      </c>
    </row>
    <row r="1154" customFormat="false" ht="15" hidden="false" customHeight="false" outlineLevel="0" collapsed="false">
      <c r="A1154" s="3" t="s">
        <v>501</v>
      </c>
      <c r="C1154" s="25" t="n">
        <f aca="false">SUMPRODUCT($G$1140:$K$1140,$G$1058:$K$1058)*(1+SUMPRODUCT($G$1140:$K$1140,$G$1050:$K$1050)*Assumptions!$C$16/12)</f>
        <v>0</v>
      </c>
    </row>
    <row r="1155" customFormat="false" ht="15" hidden="false" customHeight="false" outlineLevel="0" collapsed="false">
      <c r="A1155" s="23" t="s">
        <v>502</v>
      </c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</row>
    <row r="1156" customFormat="false" ht="15" hidden="false" customHeight="false" outlineLevel="0" collapsed="false">
      <c r="A1156" s="3" t="s">
        <v>499</v>
      </c>
      <c r="C1156" s="27" t="n">
        <f aca="false">Assumptions!$M$56</f>
        <v>1</v>
      </c>
    </row>
    <row r="1157" customFormat="false" ht="15" hidden="false" customHeight="false" outlineLevel="0" collapsed="false">
      <c r="A1157" s="3" t="s">
        <v>500</v>
      </c>
      <c r="C1157" s="27" t="n">
        <f aca="false">Assumptions!$M$57</f>
        <v>2</v>
      </c>
    </row>
    <row r="1158" customFormat="false" ht="15" hidden="false" customHeight="false" outlineLevel="0" collapsed="false">
      <c r="A1158" s="3" t="s">
        <v>501</v>
      </c>
      <c r="C1158" s="27" t="n">
        <f aca="false">Assumptions!$M$58</f>
        <v>2</v>
      </c>
    </row>
    <row r="1159" customFormat="false" ht="15" hidden="false" customHeight="false" outlineLevel="0" collapsed="false">
      <c r="A1159" s="23" t="s">
        <v>503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</row>
    <row r="1160" customFormat="false" ht="15" hidden="false" customHeight="false" outlineLevel="0" collapsed="false">
      <c r="A1160" s="3" t="s">
        <v>499</v>
      </c>
      <c r="C1160" s="35" t="n">
        <f aca="false">Assumptions!$Q$56</f>
        <v>0</v>
      </c>
    </row>
    <row r="1161" customFormat="false" ht="15" hidden="false" customHeight="false" outlineLevel="0" collapsed="false">
      <c r="A1161" s="3" t="s">
        <v>500</v>
      </c>
      <c r="C1161" s="35" t="n">
        <f aca="false">Assumptions!$Q$57</f>
        <v>0</v>
      </c>
    </row>
    <row r="1162" customFormat="false" ht="15" hidden="false" customHeight="false" outlineLevel="0" collapsed="false">
      <c r="A1162" s="3" t="s">
        <v>501</v>
      </c>
      <c r="C1162" s="35" t="n">
        <f aca="false">Assumptions!$Q$58</f>
        <v>0</v>
      </c>
    </row>
    <row r="1163" customFormat="false" ht="15" hidden="false" customHeight="false" outlineLevel="0" collapsed="false">
      <c r="A1163" s="23" t="s">
        <v>504</v>
      </c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</row>
    <row r="1164" customFormat="false" ht="15" hidden="false" customHeight="false" outlineLevel="0" collapsed="false">
      <c r="A1164" s="3" t="s">
        <v>499</v>
      </c>
      <c r="C1164" s="25" t="n">
        <f aca="false">IF(C1160&gt;0,MIN(C1152,C1160*$C$1150),0)</f>
        <v>0</v>
      </c>
    </row>
    <row r="1165" customFormat="false" ht="15" hidden="false" customHeight="false" outlineLevel="0" collapsed="false">
      <c r="A1165" s="3" t="s">
        <v>500</v>
      </c>
      <c r="C1165" s="25" t="n">
        <f aca="false">IF(C1161&gt;0,MIN(C1153,C1161*$C$1150),0)</f>
        <v>0</v>
      </c>
    </row>
    <row r="1166" customFormat="false" ht="15" hidden="false" customHeight="false" outlineLevel="0" collapsed="false">
      <c r="A1166" s="3" t="s">
        <v>501</v>
      </c>
      <c r="C1166" s="25" t="n">
        <f aca="false">IF(C1162&gt;0,MIN(C1154,C1162*$C$1150),0)</f>
        <v>0</v>
      </c>
    </row>
    <row r="1167" customFormat="false" ht="15" hidden="false" customHeight="false" outlineLevel="0" collapsed="false">
      <c r="A1167" s="23" t="s">
        <v>505</v>
      </c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</row>
    <row r="1168" customFormat="false" ht="15" hidden="false" customHeight="false" outlineLevel="0" collapsed="false">
      <c r="A1168" s="3" t="s">
        <v>499</v>
      </c>
      <c r="C1168" s="25" t="n">
        <f aca="false">IF(C1160&gt;0,C1152-C1164,0)</f>
        <v>0</v>
      </c>
      <c r="G1168" s="20" t="n">
        <f aca="false">IF(AND(G1022=1,G1019=1),1,0)</f>
        <v>0</v>
      </c>
      <c r="H1168" s="20" t="n">
        <f aca="false">IF(G1168=1,1,IF(AND(H1022=1,H1019=1),1,0))</f>
        <v>0</v>
      </c>
      <c r="I1168" s="20" t="n">
        <f aca="false">IF(H1168=1,1,IF(AND(I1022=1,I1019=1),1,0))</f>
        <v>0</v>
      </c>
      <c r="J1168" s="20" t="n">
        <f aca="false">IF(I1168=1,1,IF(AND(J1022=1,J1019=1),1,0))</f>
        <v>0</v>
      </c>
      <c r="K1168" s="20" t="n">
        <f aca="false">IF(J1168=1,1,IF(AND(K1022=1,K1019=1),1,0))</f>
        <v>0</v>
      </c>
    </row>
    <row r="1169" customFormat="false" ht="15" hidden="false" customHeight="false" outlineLevel="0" collapsed="false">
      <c r="A1169" s="3" t="s">
        <v>500</v>
      </c>
      <c r="C1169" s="25" t="n">
        <f aca="false">IF(C1161&gt;0,C1153-C1165,0)</f>
        <v>0</v>
      </c>
      <c r="G1169" s="20" t="n">
        <f aca="false">IF(AND(G1035=1,G1019=1),1,0)</f>
        <v>0</v>
      </c>
      <c r="H1169" s="20" t="n">
        <f aca="false">IF(G1169=1,1,IF(AND(H1035=1,H1019=1),1,0))</f>
        <v>0</v>
      </c>
      <c r="I1169" s="20" t="n">
        <f aca="false">IF(H1169=1,1,IF(AND(I1035=1,I1019=1),1,0))</f>
        <v>0</v>
      </c>
      <c r="J1169" s="20" t="n">
        <f aca="false">IF(I1169=1,1,IF(AND(J1035=1,J1019=1),1,0))</f>
        <v>0</v>
      </c>
      <c r="K1169" s="20" t="n">
        <f aca="false">IF(J1169=1,1,IF(AND(K1035=1,K1019=1),1,0))</f>
        <v>0</v>
      </c>
    </row>
    <row r="1170" customFormat="false" ht="15" hidden="false" customHeight="false" outlineLevel="0" collapsed="false">
      <c r="A1170" s="3" t="s">
        <v>501</v>
      </c>
      <c r="C1170" s="25" t="n">
        <f aca="false">IF(C1162&gt;0,C1154-C1166,0)</f>
        <v>0</v>
      </c>
      <c r="G1170" s="20" t="n">
        <f aca="false">IF(AND(G1048=1,G1019=1),1,0)</f>
        <v>0</v>
      </c>
      <c r="H1170" s="20" t="n">
        <f aca="false">IF(G1170=1,1,IF(AND(H1048=1,H1019=1),1,0))</f>
        <v>0</v>
      </c>
      <c r="I1170" s="20" t="n">
        <f aca="false">IF(H1170=1,1,IF(AND(I1048=1,I1019=1),1,0))</f>
        <v>0</v>
      </c>
      <c r="J1170" s="20" t="n">
        <f aca="false">IF(I1170=1,1,IF(AND(J1048=1,J1019=1),1,0))</f>
        <v>0</v>
      </c>
      <c r="K1170" s="20" t="n">
        <f aca="false">IF(J1170=1,1,IF(AND(K1048=1,K1019=1),1,0))</f>
        <v>0</v>
      </c>
    </row>
    <row r="1171" customFormat="false" ht="15" hidden="false" customHeight="false" outlineLevel="0" collapsed="false">
      <c r="A1171" s="23" t="s">
        <v>506</v>
      </c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</row>
    <row r="1172" customFormat="false" ht="15" hidden="false" customHeight="false" outlineLevel="0" collapsed="false">
      <c r="A1172" s="3" t="s">
        <v>499</v>
      </c>
      <c r="C1172" s="25" t="n">
        <f aca="false">IF(C1160&gt;0,C1168,C1152)</f>
        <v>1349.6193225</v>
      </c>
    </row>
    <row r="1173" customFormat="false" ht="15" hidden="false" customHeight="false" outlineLevel="0" collapsed="false">
      <c r="A1173" s="3" t="s">
        <v>500</v>
      </c>
      <c r="C1173" s="25" t="n">
        <f aca="false">IF(C1161&gt;0,C1169,C1153)</f>
        <v>0</v>
      </c>
    </row>
    <row r="1174" customFormat="false" ht="15" hidden="false" customHeight="false" outlineLevel="0" collapsed="false">
      <c r="A1174" s="3" t="s">
        <v>501</v>
      </c>
      <c r="C1174" s="25" t="n">
        <f aca="false">IF(C1162&gt;0,C1170,C1154)</f>
        <v>0</v>
      </c>
    </row>
    <row r="1175" customFormat="false" ht="15" hidden="false" customHeight="false" outlineLevel="0" collapsed="false">
      <c r="A1175" s="23" t="s">
        <v>507</v>
      </c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</row>
    <row r="1176" customFormat="false" ht="15" hidden="false" customHeight="false" outlineLevel="0" collapsed="false">
      <c r="A1176" s="3" t="s">
        <v>499</v>
      </c>
      <c r="C1176" s="20" t="n">
        <f aca="false">IF(C1160&gt;0,Assumptions!$C$17,C1156)</f>
        <v>1</v>
      </c>
    </row>
    <row r="1177" customFormat="false" ht="15" hidden="false" customHeight="false" outlineLevel="0" collapsed="false">
      <c r="A1177" s="3" t="s">
        <v>500</v>
      </c>
      <c r="C1177" s="20" t="n">
        <f aca="false">IF(C1161&gt;0,Assumptions!$C$17,C1157)</f>
        <v>2</v>
      </c>
    </row>
    <row r="1178" customFormat="false" ht="15" hidden="false" customHeight="false" outlineLevel="0" collapsed="false">
      <c r="A1178" s="3" t="s">
        <v>501</v>
      </c>
      <c r="C1178" s="20" t="n">
        <f aca="false">IF(C1162&gt;0,Assumptions!$C$17,C1158)</f>
        <v>2</v>
      </c>
    </row>
    <row r="1179" customFormat="false" ht="15" hidden="false" customHeight="false" outlineLevel="0" collapsed="false">
      <c r="A1179" s="23" t="s">
        <v>508</v>
      </c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</row>
    <row r="1180" customFormat="false" ht="15" hidden="false" customHeight="false" outlineLevel="0" collapsed="false">
      <c r="A1180" s="3" t="s">
        <v>499</v>
      </c>
      <c r="C1180" s="25" t="n">
        <f aca="false">SUMPRODUCT(($C$1176:$C$1178&lt;C1176)*$C$1172:$C$1174)</f>
        <v>0</v>
      </c>
    </row>
    <row r="1181" customFormat="false" ht="15" hidden="false" customHeight="false" outlineLevel="0" collapsed="false">
      <c r="A1181" s="3" t="s">
        <v>500</v>
      </c>
      <c r="C1181" s="25" t="n">
        <f aca="false">SUMPRODUCT(($C$1176:$C$1178&lt;C1177)*$C$1172:$C$1174)</f>
        <v>1349.6193225</v>
      </c>
    </row>
    <row r="1182" customFormat="false" ht="15" hidden="false" customHeight="false" outlineLevel="0" collapsed="false">
      <c r="A1182" s="3" t="s">
        <v>501</v>
      </c>
      <c r="C1182" s="25" t="n">
        <f aca="false">SUMPRODUCT(($C$1176:$C$1178&lt;C1178)*$C$1172:$C$1174)</f>
        <v>1349.6193225</v>
      </c>
    </row>
    <row r="1183" customFormat="false" ht="15" hidden="false" customHeight="false" outlineLevel="0" collapsed="false">
      <c r="A1183" s="23" t="s">
        <v>509</v>
      </c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</row>
    <row r="1184" customFormat="false" ht="15" hidden="false" customHeight="false" outlineLevel="0" collapsed="false">
      <c r="A1184" s="3" t="s">
        <v>499</v>
      </c>
      <c r="C1184" s="25" t="n">
        <f aca="false">SUMPRODUCT(($C$1176:$C$1178=C1176)*$C$1172:$C$1174)</f>
        <v>1349.6193225</v>
      </c>
    </row>
    <row r="1185" customFormat="false" ht="15" hidden="false" customHeight="false" outlineLevel="0" collapsed="false">
      <c r="A1185" s="3" t="s">
        <v>500</v>
      </c>
      <c r="C1185" s="25" t="n">
        <f aca="false">SUMPRODUCT(($C$1176:$C$1178=C1177)*$C$1172:$C$1174)</f>
        <v>0</v>
      </c>
    </row>
    <row r="1186" customFormat="false" ht="15" hidden="false" customHeight="false" outlineLevel="0" collapsed="false">
      <c r="A1186" s="3" t="s">
        <v>501</v>
      </c>
      <c r="C1186" s="25" t="n">
        <f aca="false">SUMPRODUCT(($C$1176:$C$1178=C1178)*$C$1172:$C$1174)</f>
        <v>0</v>
      </c>
    </row>
    <row r="1187" customFormat="false" ht="15" hidden="false" customHeight="false" outlineLevel="0" collapsed="false">
      <c r="A1187" s="23" t="s">
        <v>510</v>
      </c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</row>
    <row r="1188" customFormat="false" ht="15" hidden="false" customHeight="false" outlineLevel="0" collapsed="false">
      <c r="A1188" s="3" t="s">
        <v>499</v>
      </c>
      <c r="C1188" s="25" t="n">
        <f aca="false">IF(C1184=0,0,C1172/C1184*MAX(0,MIN(C1184,$C$1150-SUM($C$1164:$C$1166)-C1180)))</f>
        <v>1069.75731467824</v>
      </c>
    </row>
    <row r="1189" customFormat="false" ht="15" hidden="false" customHeight="false" outlineLevel="0" collapsed="false">
      <c r="A1189" s="3" t="s">
        <v>500</v>
      </c>
      <c r="C1189" s="25" t="n">
        <f aca="false">IF(C1185=0,0,C1173/C1185*MAX(0,MIN(C1185,$C$1150-SUM($C$1164:$C$1166)-C1181)))</f>
        <v>0</v>
      </c>
    </row>
    <row r="1190" customFormat="false" ht="15" hidden="false" customHeight="false" outlineLevel="0" collapsed="false">
      <c r="A1190" s="3" t="s">
        <v>501</v>
      </c>
      <c r="C1190" s="25" t="n">
        <f aca="false">IF(C1186=0,0,C1174/C1186*MAX(0,MIN(C1186,$C$1150-SUM($C$1164:$C$1166)-C1182)))</f>
        <v>0</v>
      </c>
    </row>
    <row r="1191" customFormat="false" ht="15" hidden="false" customHeight="false" outlineLevel="0" collapsed="false">
      <c r="A1191" s="23" t="s">
        <v>511</v>
      </c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</row>
    <row r="1192" customFormat="false" ht="15" hidden="false" customHeight="false" outlineLevel="0" collapsed="false">
      <c r="A1192" s="2" t="s">
        <v>499</v>
      </c>
      <c r="C1192" s="16" t="n">
        <f aca="false">C1164+C1188</f>
        <v>1069.75731467824</v>
      </c>
    </row>
    <row r="1193" customFormat="false" ht="15" hidden="false" customHeight="false" outlineLevel="0" collapsed="false">
      <c r="A1193" s="2" t="s">
        <v>500</v>
      </c>
      <c r="C1193" s="16" t="n">
        <f aca="false">C1165+C1189</f>
        <v>0</v>
      </c>
    </row>
    <row r="1194" customFormat="false" ht="15" hidden="false" customHeight="false" outlineLevel="0" collapsed="false">
      <c r="A1194" s="2" t="s">
        <v>501</v>
      </c>
      <c r="C1194" s="16" t="n">
        <f aca="false">C1166+C1190</f>
        <v>0</v>
      </c>
    </row>
    <row r="1195" customFormat="false" ht="15" hidden="false" customHeight="false" outlineLevel="0" collapsed="false">
      <c r="A1195" s="23" t="s">
        <v>512</v>
      </c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</row>
    <row r="1196" customFormat="false" ht="15" hidden="false" customHeight="false" outlineLevel="0" collapsed="false">
      <c r="A1196" s="3" t="s">
        <v>499</v>
      </c>
      <c r="C1196" s="21" t="n">
        <f aca="false">IF(C1152=0,1,C1192/C1152)</f>
        <v>0.792636335923707</v>
      </c>
    </row>
    <row r="1197" customFormat="false" ht="15" hidden="false" customHeight="false" outlineLevel="0" collapsed="false">
      <c r="A1197" s="3" t="s">
        <v>500</v>
      </c>
      <c r="C1197" s="21" t="n">
        <f aca="false">IF(C1153=0,1,C1193/C1153)</f>
        <v>1</v>
      </c>
    </row>
    <row r="1198" customFormat="false" ht="15" hidden="false" customHeight="false" outlineLevel="0" collapsed="false">
      <c r="A1198" s="3" t="s">
        <v>501</v>
      </c>
      <c r="C1198" s="21" t="n">
        <f aca="false">IF(C1154=0,1,C1194/C1154)</f>
        <v>1</v>
      </c>
    </row>
    <row r="1199" customFormat="false" ht="15" hidden="false" customHeight="false" outlineLevel="0" collapsed="false">
      <c r="A1199" s="23" t="s">
        <v>513</v>
      </c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</row>
    <row r="1200" customFormat="false" ht="15" hidden="false" customHeight="false" outlineLevel="0" collapsed="false">
      <c r="A1200" s="3" t="s">
        <v>499</v>
      </c>
      <c r="C1200" s="25" t="n">
        <f aca="false">C1152-C1192</f>
        <v>279.862007821764</v>
      </c>
    </row>
    <row r="1201" customFormat="false" ht="15" hidden="false" customHeight="false" outlineLevel="0" collapsed="false">
      <c r="A1201" s="3" t="s">
        <v>500</v>
      </c>
      <c r="C1201" s="25" t="n">
        <f aca="false">C1153-C1193</f>
        <v>0</v>
      </c>
    </row>
    <row r="1202" customFormat="false" ht="15" hidden="false" customHeight="false" outlineLevel="0" collapsed="false">
      <c r="A1202" s="3" t="s">
        <v>501</v>
      </c>
      <c r="C1202" s="25" t="n">
        <f aca="false">C1154-C1194</f>
        <v>0</v>
      </c>
    </row>
    <row r="1203" customFormat="false" ht="15" hidden="false" customHeight="false" outlineLevel="0" collapsed="false">
      <c r="A1203" s="23" t="s">
        <v>514</v>
      </c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</row>
    <row r="1204" customFormat="false" ht="15" hidden="false" customHeight="false" outlineLevel="0" collapsed="false">
      <c r="A1204" s="3" t="s">
        <v>499</v>
      </c>
      <c r="C1204" s="21" t="n">
        <f aca="false">IF(C1152=0,0,C1200/C1152)</f>
        <v>0.207363664076293</v>
      </c>
    </row>
    <row r="1205" customFormat="false" ht="15" hidden="false" customHeight="false" outlineLevel="0" collapsed="false">
      <c r="A1205" s="3" t="s">
        <v>500</v>
      </c>
      <c r="C1205" s="21" t="n">
        <f aca="false">IF(C1153=0,0,C1201/C1153)</f>
        <v>0</v>
      </c>
    </row>
    <row r="1206" customFormat="false" ht="15" hidden="false" customHeight="false" outlineLevel="0" collapsed="false">
      <c r="A1206" s="3" t="s">
        <v>501</v>
      </c>
      <c r="C1206" s="21" t="n">
        <f aca="false">IF(C1154=0,0,C1202/C1154)</f>
        <v>0</v>
      </c>
    </row>
    <row r="1207" customFormat="false" ht="15" hidden="false" customHeight="false" outlineLevel="0" collapsed="false">
      <c r="A1207" s="2" t="s">
        <v>515</v>
      </c>
      <c r="C1207" s="16" t="n">
        <f aca="false">MAX(0,$C$1150-SUM($C$1164:$C$1166)-SUM($C$1172:$C$1174))</f>
        <v>0</v>
      </c>
    </row>
    <row r="1208" customFormat="false" ht="15" hidden="false" customHeight="false" outlineLevel="0" collapsed="false">
      <c r="A1208" s="3" t="s">
        <v>516</v>
      </c>
      <c r="C1208" s="25" t="n">
        <f aca="false">SUM($C$1192:$C$1194)+C1207+C1149-C1148</f>
        <v>0</v>
      </c>
    </row>
    <row r="1210" customFormat="false" ht="15" hidden="false" customHeight="false" outlineLevel="0" collapsed="false">
      <c r="A1210" s="23" t="s">
        <v>519</v>
      </c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</row>
    <row r="1211" customFormat="false" ht="15" hidden="false" customHeight="false" outlineLevel="0" collapsed="false">
      <c r="A1211" s="3" t="s">
        <v>520</v>
      </c>
      <c r="C1211" s="27" t="n">
        <f aca="false">Assumptions!$C$33</f>
        <v>1</v>
      </c>
    </row>
    <row r="1212" customFormat="false" ht="15" hidden="false" customHeight="false" outlineLevel="0" collapsed="false">
      <c r="A1212" s="3" t="s">
        <v>521</v>
      </c>
      <c r="C1212" s="29" t="n">
        <f aca="false">Assumptions!$C$34</f>
        <v>100</v>
      </c>
    </row>
    <row r="1213" customFormat="false" ht="15" hidden="false" customHeight="false" outlineLevel="0" collapsed="false">
      <c r="A1213" s="3" t="s">
        <v>522</v>
      </c>
      <c r="C1213" s="40" t="n">
        <f aca="false">Assumptions!$C$35</f>
        <v>95</v>
      </c>
    </row>
    <row r="1214" customFormat="false" ht="15" hidden="false" customHeight="false" outlineLevel="0" collapsed="false">
      <c r="A1214" s="3" t="s">
        <v>523</v>
      </c>
      <c r="C1214" s="25" t="n">
        <f aca="false">C1212*C1213/100*(1+Assumptions!$C$36)</f>
        <v>95</v>
      </c>
    </row>
    <row r="1215" customFormat="false" ht="15" hidden="false" customHeight="false" outlineLevel="0" collapsed="false">
      <c r="A1215" s="3" t="s">
        <v>524</v>
      </c>
      <c r="C1215" s="27" t="n">
        <f aca="false">Assumptions!$C$37</f>
        <v>3</v>
      </c>
    </row>
    <row r="1216" customFormat="false" ht="15" hidden="false" customHeight="false" outlineLevel="0" collapsed="false">
      <c r="A1216" s="3" t="s">
        <v>525</v>
      </c>
      <c r="C1216" s="20" t="n">
        <f aca="false">IF(C1141=1,SUMPRODUCT($G$1093:$K$1093,$G$986:$K$986),0)</f>
        <v>0</v>
      </c>
    </row>
    <row r="1217" customFormat="false" ht="15" hidden="false" customHeight="false" outlineLevel="0" collapsed="false">
      <c r="A1217" s="3" t="s">
        <v>526</v>
      </c>
      <c r="C1217" s="21" t="n">
        <f aca="false">IFERROR(C1212/CHOOSE(C1211,SUMPRODUCT($G$1140:$K$1140,$G$1032:$K$1032),SUMPRODUCT($G$1140:$K$1140,$G$1045:$K$1045),SUMPRODUCT($G$1140:$K$1140,$G$1058:$K$1058)),0)</f>
        <v>0.0760399605200525</v>
      </c>
    </row>
    <row r="1218" customFormat="false" ht="15" hidden="false" customHeight="false" outlineLevel="0" collapsed="false">
      <c r="A1218" s="3" t="s">
        <v>527</v>
      </c>
      <c r="C1218" s="25" t="n">
        <f aca="false">CHOOSE(C1211,C1192,C1193,C1194)*C1217</f>
        <v>81.3443039741705</v>
      </c>
    </row>
    <row r="1219" customFormat="false" ht="15" hidden="false" customHeight="false" outlineLevel="0" collapsed="false">
      <c r="A1219" s="3" t="s">
        <v>528</v>
      </c>
      <c r="C1219" s="21" t="n">
        <f aca="false">CHOOSE(C1211,C1196,C1197,C1198)</f>
        <v>0.792636335923707</v>
      </c>
    </row>
    <row r="1220" customFormat="false" ht="15" hidden="false" customHeight="false" outlineLevel="0" collapsed="false">
      <c r="A1220" s="3" t="s">
        <v>529</v>
      </c>
      <c r="C1220" s="20" t="n">
        <f aca="false">IF(C1141=1,C1216,C1215)</f>
        <v>3</v>
      </c>
    </row>
    <row r="1221" customFormat="false" ht="15" hidden="false" customHeight="false" outlineLevel="0" collapsed="false">
      <c r="A1221" s="3" t="s">
        <v>530</v>
      </c>
      <c r="C1221" s="34" t="n">
        <f aca="false">CHOOSE($C$978,Assumptions!$C$83,Assumptions!$C$102,Assumptions!$C$121)</f>
        <v>100</v>
      </c>
    </row>
    <row r="1222" customFormat="false" ht="15" hidden="false" customHeight="false" outlineLevel="0" collapsed="false">
      <c r="A1222" s="3" t="s">
        <v>531</v>
      </c>
      <c r="C1222" s="25" t="n">
        <f aca="false">INDEX($G$995:$K$995,C1215)*CHOOSE($C$978,Assumptions!$C$82,Assumptions!$C$101,Assumptions!$C$120)+MAX(0,INDEX($G$1090:$K$1090,C1215))</f>
        <v>1237.19978678834</v>
      </c>
    </row>
    <row r="1223" customFormat="false" ht="15" hidden="false" customHeight="false" outlineLevel="0" collapsed="false">
      <c r="A1223" s="23" t="s">
        <v>532</v>
      </c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</row>
    <row r="1224" customFormat="false" ht="15" hidden="false" customHeight="false" outlineLevel="0" collapsed="false">
      <c r="A1224" s="3" t="s">
        <v>499</v>
      </c>
      <c r="C1224" s="25" t="n">
        <f aca="false">INDEX($G$1032:$K$1032,C1215)</f>
        <v>1315.098</v>
      </c>
    </row>
    <row r="1225" customFormat="false" ht="15" hidden="false" customHeight="false" outlineLevel="0" collapsed="false">
      <c r="A1225" s="3" t="s">
        <v>500</v>
      </c>
      <c r="C1225" s="25" t="n">
        <f aca="false">INDEX($G$1045:$K$1045,C1215)</f>
        <v>0</v>
      </c>
    </row>
    <row r="1226" customFormat="false" ht="15" hidden="false" customHeight="false" outlineLevel="0" collapsed="false">
      <c r="A1226" s="3" t="s">
        <v>501</v>
      </c>
      <c r="C1226" s="25" t="n">
        <f aca="false">INDEX($G$1058:$K$1058,C1215)</f>
        <v>0</v>
      </c>
    </row>
    <row r="1227" customFormat="false" ht="15" hidden="false" customHeight="false" outlineLevel="0" collapsed="false">
      <c r="A1227" s="23" t="s">
        <v>502</v>
      </c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</row>
    <row r="1228" customFormat="false" ht="15" hidden="false" customHeight="false" outlineLevel="0" collapsed="false">
      <c r="A1228" s="3" t="s">
        <v>499</v>
      </c>
      <c r="C1228" s="27" t="n">
        <f aca="false">Assumptions!$M$56</f>
        <v>1</v>
      </c>
    </row>
    <row r="1229" customFormat="false" ht="15" hidden="false" customHeight="false" outlineLevel="0" collapsed="false">
      <c r="A1229" s="3" t="s">
        <v>500</v>
      </c>
      <c r="C1229" s="27" t="n">
        <f aca="false">Assumptions!$M$57</f>
        <v>2</v>
      </c>
    </row>
    <row r="1230" customFormat="false" ht="15" hidden="false" customHeight="false" outlineLevel="0" collapsed="false">
      <c r="A1230" s="3" t="s">
        <v>501</v>
      </c>
      <c r="C1230" s="27" t="n">
        <f aca="false">Assumptions!$M$58</f>
        <v>2</v>
      </c>
    </row>
    <row r="1231" customFormat="false" ht="15" hidden="false" customHeight="false" outlineLevel="0" collapsed="false">
      <c r="A1231" s="23" t="s">
        <v>503</v>
      </c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</row>
    <row r="1232" customFormat="false" ht="15" hidden="false" customHeight="false" outlineLevel="0" collapsed="false">
      <c r="A1232" s="3" t="s">
        <v>499</v>
      </c>
      <c r="C1232" s="35" t="n">
        <f aca="false">Assumptions!$Q$56</f>
        <v>0</v>
      </c>
    </row>
    <row r="1233" customFormat="false" ht="15" hidden="false" customHeight="false" outlineLevel="0" collapsed="false">
      <c r="A1233" s="3" t="s">
        <v>500</v>
      </c>
      <c r="C1233" s="35" t="n">
        <f aca="false">Assumptions!$Q$57</f>
        <v>0</v>
      </c>
    </row>
    <row r="1234" customFormat="false" ht="15" hidden="false" customHeight="false" outlineLevel="0" collapsed="false">
      <c r="A1234" s="3" t="s">
        <v>501</v>
      </c>
      <c r="C1234" s="35" t="n">
        <f aca="false">Assumptions!$Q$58</f>
        <v>0</v>
      </c>
    </row>
    <row r="1235" customFormat="false" ht="15" hidden="false" customHeight="false" outlineLevel="0" collapsed="false">
      <c r="A1235" s="23" t="s">
        <v>504</v>
      </c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</row>
    <row r="1236" customFormat="false" ht="15" hidden="false" customHeight="false" outlineLevel="0" collapsed="false">
      <c r="A1236" s="3" t="s">
        <v>499</v>
      </c>
      <c r="C1236" s="25" t="n">
        <f aca="false">IF(C1232&gt;0,MIN(C1224,C1232*$C$1222),0)</f>
        <v>0</v>
      </c>
    </row>
    <row r="1237" customFormat="false" ht="15" hidden="false" customHeight="false" outlineLevel="0" collapsed="false">
      <c r="A1237" s="3" t="s">
        <v>500</v>
      </c>
      <c r="C1237" s="25" t="n">
        <f aca="false">IF(C1233&gt;0,MIN(C1225,C1233*$C$1222),0)</f>
        <v>0</v>
      </c>
    </row>
    <row r="1238" customFormat="false" ht="15" hidden="false" customHeight="false" outlineLevel="0" collapsed="false">
      <c r="A1238" s="3" t="s">
        <v>501</v>
      </c>
      <c r="C1238" s="25" t="n">
        <f aca="false">IF(C1234&gt;0,MIN(C1226,C1234*$C$1222),0)</f>
        <v>0</v>
      </c>
    </row>
    <row r="1239" customFormat="false" ht="15" hidden="false" customHeight="false" outlineLevel="0" collapsed="false">
      <c r="A1239" s="23" t="s">
        <v>505</v>
      </c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</row>
    <row r="1240" customFormat="false" ht="15" hidden="false" customHeight="false" outlineLevel="0" collapsed="false">
      <c r="A1240" s="3" t="s">
        <v>499</v>
      </c>
      <c r="C1240" s="25" t="n">
        <f aca="false">IF(C1232&gt;0,C1224-C1236,0)</f>
        <v>0</v>
      </c>
    </row>
    <row r="1241" customFormat="false" ht="15" hidden="false" customHeight="false" outlineLevel="0" collapsed="false">
      <c r="A1241" s="3" t="s">
        <v>500</v>
      </c>
      <c r="C1241" s="25" t="n">
        <f aca="false">IF(C1233&gt;0,C1225-C1237,0)</f>
        <v>0</v>
      </c>
    </row>
    <row r="1242" customFormat="false" ht="15" hidden="false" customHeight="false" outlineLevel="0" collapsed="false">
      <c r="A1242" s="3" t="s">
        <v>501</v>
      </c>
      <c r="C1242" s="25" t="n">
        <f aca="false">IF(C1234&gt;0,C1226-C1238,0)</f>
        <v>0</v>
      </c>
    </row>
    <row r="1243" customFormat="false" ht="15" hidden="false" customHeight="false" outlineLevel="0" collapsed="false">
      <c r="A1243" s="23" t="s">
        <v>506</v>
      </c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</row>
    <row r="1244" customFormat="false" ht="15" hidden="false" customHeight="false" outlineLevel="0" collapsed="false">
      <c r="A1244" s="3" t="s">
        <v>499</v>
      </c>
      <c r="C1244" s="25" t="n">
        <f aca="false">IF(C1232&gt;0,C1240,C1224)</f>
        <v>1315.098</v>
      </c>
    </row>
    <row r="1245" customFormat="false" ht="15" hidden="false" customHeight="false" outlineLevel="0" collapsed="false">
      <c r="A1245" s="3" t="s">
        <v>500</v>
      </c>
      <c r="C1245" s="25" t="n">
        <f aca="false">IF(C1233&gt;0,C1241,C1225)</f>
        <v>0</v>
      </c>
    </row>
    <row r="1246" customFormat="false" ht="15" hidden="false" customHeight="false" outlineLevel="0" collapsed="false">
      <c r="A1246" s="3" t="s">
        <v>501</v>
      </c>
      <c r="C1246" s="25" t="n">
        <f aca="false">IF(C1234&gt;0,C1242,C1226)</f>
        <v>0</v>
      </c>
    </row>
    <row r="1247" customFormat="false" ht="15" hidden="false" customHeight="false" outlineLevel="0" collapsed="false">
      <c r="A1247" s="23" t="s">
        <v>507</v>
      </c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</row>
    <row r="1248" customFormat="false" ht="15" hidden="false" customHeight="false" outlineLevel="0" collapsed="false">
      <c r="A1248" s="3" t="s">
        <v>499</v>
      </c>
      <c r="C1248" s="20" t="n">
        <f aca="false">IF(C1232&gt;0,Assumptions!$C$17,C1228)</f>
        <v>1</v>
      </c>
    </row>
    <row r="1249" customFormat="false" ht="15" hidden="false" customHeight="false" outlineLevel="0" collapsed="false">
      <c r="A1249" s="3" t="s">
        <v>500</v>
      </c>
      <c r="C1249" s="20" t="n">
        <f aca="false">IF(C1233&gt;0,Assumptions!$C$17,C1229)</f>
        <v>2</v>
      </c>
    </row>
    <row r="1250" customFormat="false" ht="15" hidden="false" customHeight="false" outlineLevel="0" collapsed="false">
      <c r="A1250" s="3" t="s">
        <v>501</v>
      </c>
      <c r="C1250" s="20" t="n">
        <f aca="false">IF(C1234&gt;0,Assumptions!$C$17,C1230)</f>
        <v>2</v>
      </c>
    </row>
    <row r="1251" customFormat="false" ht="15" hidden="false" customHeight="false" outlineLevel="0" collapsed="false">
      <c r="A1251" s="23" t="s">
        <v>508</v>
      </c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</row>
    <row r="1252" customFormat="false" ht="15" hidden="false" customHeight="false" outlineLevel="0" collapsed="false">
      <c r="A1252" s="3" t="s">
        <v>499</v>
      </c>
      <c r="C1252" s="25" t="n">
        <f aca="false">SUMPRODUCT(($C$1248:$C$1250&lt;C1248)*$C$1244:$C$1246)</f>
        <v>0</v>
      </c>
    </row>
    <row r="1253" customFormat="false" ht="15" hidden="false" customHeight="false" outlineLevel="0" collapsed="false">
      <c r="A1253" s="3" t="s">
        <v>500</v>
      </c>
      <c r="C1253" s="25" t="n">
        <f aca="false">SUMPRODUCT(($C$1248:$C$1250&lt;C1249)*$C$1244:$C$1246)</f>
        <v>1315.098</v>
      </c>
    </row>
    <row r="1254" customFormat="false" ht="15" hidden="false" customHeight="false" outlineLevel="0" collapsed="false">
      <c r="A1254" s="3" t="s">
        <v>501</v>
      </c>
      <c r="C1254" s="25" t="n">
        <f aca="false">SUMPRODUCT(($C$1248:$C$1250&lt;C1250)*$C$1244:$C$1246)</f>
        <v>1315.098</v>
      </c>
    </row>
    <row r="1255" customFormat="false" ht="15" hidden="false" customHeight="false" outlineLevel="0" collapsed="false">
      <c r="A1255" s="23" t="s">
        <v>509</v>
      </c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</row>
    <row r="1256" customFormat="false" ht="15" hidden="false" customHeight="false" outlineLevel="0" collapsed="false">
      <c r="A1256" s="3" t="s">
        <v>499</v>
      </c>
      <c r="C1256" s="25" t="n">
        <f aca="false">SUMPRODUCT(($C$1248:$C$1250=C1248)*$C$1244:$C$1246)</f>
        <v>1315.098</v>
      </c>
    </row>
    <row r="1257" customFormat="false" ht="15" hidden="false" customHeight="false" outlineLevel="0" collapsed="false">
      <c r="A1257" s="3" t="s">
        <v>500</v>
      </c>
      <c r="C1257" s="25" t="n">
        <f aca="false">SUMPRODUCT(($C$1248:$C$1250=C1249)*$C$1244:$C$1246)</f>
        <v>0</v>
      </c>
    </row>
    <row r="1258" customFormat="false" ht="15" hidden="false" customHeight="false" outlineLevel="0" collapsed="false">
      <c r="A1258" s="3" t="s">
        <v>501</v>
      </c>
      <c r="C1258" s="25" t="n">
        <f aca="false">SUMPRODUCT(($C$1248:$C$1250=C1250)*$C$1244:$C$1246)</f>
        <v>0</v>
      </c>
    </row>
    <row r="1259" customFormat="false" ht="15" hidden="false" customHeight="false" outlineLevel="0" collapsed="false">
      <c r="A1259" s="23" t="s">
        <v>510</v>
      </c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</row>
    <row r="1260" customFormat="false" ht="15" hidden="false" customHeight="false" outlineLevel="0" collapsed="false">
      <c r="A1260" s="3" t="s">
        <v>499</v>
      </c>
      <c r="C1260" s="25" t="n">
        <f aca="false">IF(C1256=0,0,C1244/C1256*MAX(0,MIN(C1256,$C$1222-SUM($C$1236:$C$1238)-C1252)))</f>
        <v>1237.19978678834</v>
      </c>
    </row>
    <row r="1261" customFormat="false" ht="15" hidden="false" customHeight="false" outlineLevel="0" collapsed="false">
      <c r="A1261" s="3" t="s">
        <v>500</v>
      </c>
      <c r="C1261" s="25" t="n">
        <f aca="false">IF(C1257=0,0,C1245/C1257*MAX(0,MIN(C1257,$C$1222-SUM($C$1236:$C$1238)-C1253)))</f>
        <v>0</v>
      </c>
    </row>
    <row r="1262" customFormat="false" ht="15" hidden="false" customHeight="false" outlineLevel="0" collapsed="false">
      <c r="A1262" s="3" t="s">
        <v>501</v>
      </c>
      <c r="C1262" s="25" t="n">
        <f aca="false">IF(C1258=0,0,C1246/C1258*MAX(0,MIN(C1258,$C$1222-SUM($C$1236:$C$1238)-C1254)))</f>
        <v>0</v>
      </c>
    </row>
    <row r="1263" customFormat="false" ht="15" hidden="false" customHeight="false" outlineLevel="0" collapsed="false">
      <c r="A1263" s="23" t="s">
        <v>511</v>
      </c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</row>
    <row r="1264" customFormat="false" ht="15" hidden="false" customHeight="false" outlineLevel="0" collapsed="false">
      <c r="A1264" s="2" t="s">
        <v>499</v>
      </c>
      <c r="C1264" s="16" t="n">
        <f aca="false">C1236+C1260</f>
        <v>1237.19978678834</v>
      </c>
    </row>
    <row r="1265" customFormat="false" ht="15" hidden="false" customHeight="false" outlineLevel="0" collapsed="false">
      <c r="A1265" s="2" t="s">
        <v>500</v>
      </c>
      <c r="C1265" s="16" t="n">
        <f aca="false">C1237+C1261</f>
        <v>0</v>
      </c>
    </row>
    <row r="1266" customFormat="false" ht="15" hidden="false" customHeight="false" outlineLevel="0" collapsed="false">
      <c r="A1266" s="2" t="s">
        <v>501</v>
      </c>
      <c r="C1266" s="16" t="n">
        <f aca="false">C1238+C1262</f>
        <v>0</v>
      </c>
    </row>
    <row r="1267" customFormat="false" ht="15" hidden="false" customHeight="false" outlineLevel="0" collapsed="false">
      <c r="A1267" s="23" t="s">
        <v>512</v>
      </c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</row>
    <row r="1268" customFormat="false" ht="15" hidden="false" customHeight="false" outlineLevel="0" collapsed="false">
      <c r="A1268" s="3" t="s">
        <v>499</v>
      </c>
      <c r="C1268" s="21" t="n">
        <f aca="false">IF(C1224=0,1,C1264/C1224)</f>
        <v>0.940766229428024</v>
      </c>
    </row>
    <row r="1269" customFormat="false" ht="15" hidden="false" customHeight="false" outlineLevel="0" collapsed="false">
      <c r="A1269" s="3" t="s">
        <v>500</v>
      </c>
      <c r="C1269" s="21" t="n">
        <f aca="false">IF(C1225=0,1,C1265/C1225)</f>
        <v>1</v>
      </c>
    </row>
    <row r="1270" customFormat="false" ht="15" hidden="false" customHeight="false" outlineLevel="0" collapsed="false">
      <c r="A1270" s="3" t="s">
        <v>501</v>
      </c>
      <c r="C1270" s="21" t="n">
        <f aca="false">IF(C1226=0,1,C1266/C1226)</f>
        <v>1</v>
      </c>
    </row>
    <row r="1271" customFormat="false" ht="15" hidden="false" customHeight="false" outlineLevel="0" collapsed="false">
      <c r="A1271" s="23" t="s">
        <v>513</v>
      </c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</row>
    <row r="1272" customFormat="false" ht="15" hidden="false" customHeight="false" outlineLevel="0" collapsed="false">
      <c r="A1272" s="3" t="s">
        <v>499</v>
      </c>
      <c r="C1272" s="25" t="n">
        <f aca="false">C1224-C1264</f>
        <v>77.8982132116641</v>
      </c>
    </row>
    <row r="1273" customFormat="false" ht="15" hidden="false" customHeight="false" outlineLevel="0" collapsed="false">
      <c r="A1273" s="3" t="s">
        <v>500</v>
      </c>
      <c r="C1273" s="25" t="n">
        <f aca="false">C1225-C1265</f>
        <v>0</v>
      </c>
    </row>
    <row r="1274" customFormat="false" ht="15" hidden="false" customHeight="false" outlineLevel="0" collapsed="false">
      <c r="A1274" s="3" t="s">
        <v>501</v>
      </c>
      <c r="C1274" s="25" t="n">
        <f aca="false">C1226-C1266</f>
        <v>0</v>
      </c>
    </row>
    <row r="1275" customFormat="false" ht="15" hidden="false" customHeight="false" outlineLevel="0" collapsed="false">
      <c r="A1275" s="23" t="s">
        <v>514</v>
      </c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</row>
    <row r="1276" customFormat="false" ht="15" hidden="false" customHeight="false" outlineLevel="0" collapsed="false">
      <c r="A1276" s="3" t="s">
        <v>499</v>
      </c>
      <c r="C1276" s="21" t="n">
        <f aca="false">IF(C1224=0,0,C1272/C1224)</f>
        <v>0.0592337705719757</v>
      </c>
    </row>
    <row r="1277" customFormat="false" ht="15" hidden="false" customHeight="false" outlineLevel="0" collapsed="false">
      <c r="A1277" s="3" t="s">
        <v>500</v>
      </c>
      <c r="C1277" s="21" t="n">
        <f aca="false">IF(C1225=0,0,C1273/C1225)</f>
        <v>0</v>
      </c>
    </row>
    <row r="1278" customFormat="false" ht="15" hidden="false" customHeight="false" outlineLevel="0" collapsed="false">
      <c r="A1278" s="3" t="s">
        <v>501</v>
      </c>
      <c r="C1278" s="21" t="n">
        <f aca="false">IF(C1226=0,0,C1274/C1226)</f>
        <v>0</v>
      </c>
    </row>
    <row r="1279" customFormat="false" ht="15" hidden="false" customHeight="false" outlineLevel="0" collapsed="false">
      <c r="A1279" s="2" t="s">
        <v>515</v>
      </c>
      <c r="C1279" s="16" t="n">
        <f aca="false">MAX(0,$C$1222-SUM($C$1236:$C$1238)-SUM($C$1244:$C$1246))</f>
        <v>0</v>
      </c>
    </row>
    <row r="1280" customFormat="false" ht="15" hidden="false" customHeight="false" outlineLevel="0" collapsed="false">
      <c r="A1280" s="3" t="s">
        <v>533</v>
      </c>
      <c r="C1280" s="34" t="n">
        <f aca="false">MIN(C1221,100*CHOOSE(C1211,C1268,C1269,C1270))</f>
        <v>94.0766229428024</v>
      </c>
    </row>
    <row r="1281" customFormat="false" ht="15" hidden="false" customHeight="false" outlineLevel="0" collapsed="false">
      <c r="A1281" s="3" t="s">
        <v>534</v>
      </c>
      <c r="C1281" s="20" t="n">
        <f aca="false">IF(C1141=1,C1216+Assumptions!$C$39,C1215)</f>
        <v>3</v>
      </c>
    </row>
    <row r="1282" customFormat="false" ht="15" hidden="false" customHeight="false" outlineLevel="0" collapsed="false">
      <c r="A1282" s="23" t="s">
        <v>535</v>
      </c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</row>
    <row r="1283" customFormat="false" ht="15" hidden="false" customHeight="false" outlineLevel="0" collapsed="false">
      <c r="A1283" s="3" t="s">
        <v>536</v>
      </c>
      <c r="C1283" s="20" t="n">
        <f aca="false">COLUMN()-COLUMN($C$1)</f>
        <v>0</v>
      </c>
      <c r="D1283" s="20" t="n">
        <f aca="false">COLUMN()-COLUMN($C$1)</f>
        <v>1</v>
      </c>
      <c r="E1283" s="20" t="n">
        <f aca="false">COLUMN()-COLUMN($C$1)</f>
        <v>2</v>
      </c>
      <c r="F1283" s="20" t="n">
        <f aca="false">COLUMN()-COLUMN($C$1)</f>
        <v>3</v>
      </c>
      <c r="G1283" s="20" t="n">
        <f aca="false">COLUMN()-COLUMN($C$1)</f>
        <v>4</v>
      </c>
      <c r="H1283" s="20" t="n">
        <f aca="false">COLUMN()-COLUMN($C$1)</f>
        <v>5</v>
      </c>
      <c r="I1283" s="20" t="n">
        <f aca="false">COLUMN()-COLUMN($C$1)</f>
        <v>6</v>
      </c>
    </row>
    <row r="1284" customFormat="false" ht="15" hidden="false" customHeight="false" outlineLevel="0" collapsed="false">
      <c r="A1284" s="3" t="s">
        <v>537</v>
      </c>
      <c r="D1284" s="31" t="n">
        <f aca="false">CHOOSE($C$1211,G1024,G1037,G1050)</f>
        <v>0.105</v>
      </c>
      <c r="E1284" s="31" t="n">
        <f aca="false">CHOOSE($C$1211,H1024,H1037,H1050)</f>
        <v>0.105</v>
      </c>
      <c r="F1284" s="31" t="n">
        <f aca="false">CHOOSE($C$1211,I1024,I1037,I1050)</f>
        <v>0.105</v>
      </c>
      <c r="G1284" s="31" t="n">
        <f aca="false">CHOOSE($C$1211,J1024,J1037,J1050)</f>
        <v>0.105</v>
      </c>
      <c r="H1284" s="31" t="n">
        <f aca="false">CHOOSE($C$1211,K1024,K1037,K1050)</f>
        <v>0.105</v>
      </c>
    </row>
    <row r="1285" customFormat="false" ht="15" hidden="false" customHeight="false" outlineLevel="0" collapsed="false">
      <c r="A1285" s="3" t="s">
        <v>538</v>
      </c>
      <c r="D1285" s="25" t="n">
        <f aca="false">IF(D1283&lt;=$C$1220,$C$1212*D1284,0)</f>
        <v>10.5</v>
      </c>
      <c r="E1285" s="25" t="n">
        <f aca="false">IF(E1283&lt;=$C$1220,$C$1212*E1284,0)</f>
        <v>10.5</v>
      </c>
      <c r="F1285" s="25" t="n">
        <f aca="false">IF(F1283&lt;=$C$1220,$C$1212*F1284,0)</f>
        <v>10.5</v>
      </c>
      <c r="G1285" s="25" t="n">
        <f aca="false">IF(G1283&lt;=$C$1220,$C$1212*G1284,0)</f>
        <v>0</v>
      </c>
      <c r="H1285" s="25" t="n">
        <f aca="false">IF(H1283&lt;=$C$1220,$C$1212*H1284,0)</f>
        <v>0</v>
      </c>
    </row>
    <row r="1286" customFormat="false" ht="15" hidden="false" customHeight="false" outlineLevel="0" collapsed="false">
      <c r="A1286" s="3" t="s">
        <v>539</v>
      </c>
      <c r="D1286" s="25" t="n">
        <f aca="false">IF(AND($C$1141=0,D1283=$C$1215),$C$1212*$C$1280/100,0)+IF(AND($C$1141=1,D1283=$C$1281),$C$1218,0)</f>
        <v>0</v>
      </c>
      <c r="E1286" s="25" t="n">
        <f aca="false">IF(AND($C$1141=0,E1283=$C$1215),$C$1212*$C$1280/100,0)+IF(AND($C$1141=1,E1283=$C$1281),$C$1218,0)</f>
        <v>0</v>
      </c>
      <c r="F1286" s="25" t="n">
        <f aca="false">IF(AND($C$1141=0,F1283=$C$1215),$C$1212*$C$1280/100,0)+IF(AND($C$1141=1,F1283=$C$1281),$C$1218,0)</f>
        <v>94.0766229428024</v>
      </c>
      <c r="G1286" s="25" t="n">
        <f aca="false">IF(AND($C$1141=0,G1283=$C$1215),$C$1212*$C$1280/100,0)+IF(AND($C$1141=1,G1283=$C$1281),$C$1218,0)</f>
        <v>0</v>
      </c>
      <c r="H1286" s="25" t="n">
        <f aca="false">IF(AND($C$1141=0,H1283=$C$1215),$C$1212*$C$1280/100,0)+IF(AND($C$1141=1,H1283=$C$1281),$C$1218,0)</f>
        <v>0</v>
      </c>
      <c r="I1286" s="25" t="n">
        <f aca="false">IF(AND($C$1141=0,I1283=$C$1215),$C$1212*$C$1280/100,0)+IF(AND($C$1141=1,I1283=$C$1281),$C$1218,0)</f>
        <v>0</v>
      </c>
    </row>
    <row r="1287" customFormat="false" ht="15" hidden="false" customHeight="false" outlineLevel="0" collapsed="false">
      <c r="A1287" s="2" t="s">
        <v>540</v>
      </c>
      <c r="C1287" s="16" t="n">
        <f aca="false">-$C$1214</f>
        <v>-95</v>
      </c>
      <c r="D1287" s="16" t="n">
        <f aca="false">D1285+D1286</f>
        <v>10.5</v>
      </c>
      <c r="E1287" s="16" t="n">
        <f aca="false">E1285+E1286</f>
        <v>10.5</v>
      </c>
      <c r="F1287" s="16" t="n">
        <f aca="false">F1285+F1286</f>
        <v>104.576622942802</v>
      </c>
      <c r="G1287" s="16" t="n">
        <f aca="false">G1285+G1286</f>
        <v>0</v>
      </c>
      <c r="H1287" s="16" t="n">
        <f aca="false">H1285+H1286</f>
        <v>0</v>
      </c>
      <c r="I1287" s="16" t="n">
        <f aca="false">I1285+I1286</f>
        <v>0</v>
      </c>
    </row>
    <row r="1288" customFormat="false" ht="15" hidden="false" customHeight="false" outlineLevel="0" collapsed="false">
      <c r="A1288" s="3" t="s">
        <v>541</v>
      </c>
      <c r="C1288" s="25" t="n">
        <f aca="false">SUM($C$1285:$I$1285)</f>
        <v>31.5</v>
      </c>
    </row>
    <row r="1289" customFormat="false" ht="15" hidden="false" customHeight="false" outlineLevel="0" collapsed="false">
      <c r="A1289" s="3" t="s">
        <v>542</v>
      </c>
      <c r="C1289" s="25" t="n">
        <f aca="false">SUM($C$1286:$I$1286)</f>
        <v>94.0766229428024</v>
      </c>
    </row>
    <row r="1290" customFormat="false" ht="15" hidden="false" customHeight="false" outlineLevel="0" collapsed="false">
      <c r="A1290" s="3" t="s">
        <v>543</v>
      </c>
      <c r="C1290" s="25" t="n">
        <f aca="false">C1288+C1289</f>
        <v>125.576622942802</v>
      </c>
    </row>
    <row r="1291" customFormat="false" ht="15" hidden="false" customHeight="false" outlineLevel="0" collapsed="false">
      <c r="A1291" s="3" t="s">
        <v>544</v>
      </c>
      <c r="C1291" s="25" t="n">
        <f aca="false">C1289-C1212*C1213/100</f>
        <v>-0.92337705719757</v>
      </c>
    </row>
    <row r="1292" customFormat="false" ht="15" hidden="false" customHeight="false" outlineLevel="0" collapsed="false">
      <c r="A1292" s="3" t="s">
        <v>545</v>
      </c>
      <c r="C1292" s="25" t="n">
        <f aca="false">C1290-C1214</f>
        <v>30.5766229428024</v>
      </c>
    </row>
    <row r="1293" customFormat="false" ht="15" hidden="false" customHeight="false" outlineLevel="0" collapsed="false">
      <c r="A1293" s="2" t="s">
        <v>427</v>
      </c>
      <c r="C1293" s="44" t="n">
        <f aca="false">C1290/C1214</f>
        <v>1.3218591888716</v>
      </c>
    </row>
    <row r="1294" customFormat="false" ht="15" hidden="false" customHeight="false" outlineLevel="0" collapsed="false">
      <c r="A1294" s="2" t="s">
        <v>426</v>
      </c>
      <c r="C1294" s="42" t="n">
        <f aca="false">IF(C1290&lt;=0,-1,IFERROR(IRR($C$1287:$I$1287,MAX(-0.9,C1293^(1/C1281)-1)),IRR($C$1287:$I$1287,0.1)))</f>
        <v>0.10761133345211</v>
      </c>
    </row>
    <row r="1295" customFormat="false" ht="15" hidden="false" customHeight="false" outlineLevel="0" collapsed="false">
      <c r="A1295" s="3" t="s">
        <v>546</v>
      </c>
      <c r="C1295" s="32" t="n">
        <f aca="false">MAX($G$1101:$K$1101)</f>
        <v>6.14229491569401</v>
      </c>
    </row>
    <row r="1296" customFormat="false" ht="15" hidden="false" customHeight="false" outlineLevel="0" collapsed="false">
      <c r="A1296" s="3" t="s">
        <v>547</v>
      </c>
      <c r="C1296" s="32" t="n">
        <f aca="false">MIN($G$1102:$K$1102)</f>
        <v>1.24873837629111</v>
      </c>
    </row>
    <row r="1297" customFormat="false" ht="15" hidden="false" customHeight="false" outlineLevel="0" collapsed="false">
      <c r="A1297" s="3" t="s">
        <v>548</v>
      </c>
      <c r="C1297" s="25" t="n">
        <f aca="false">SUM($G$1008:$K$1008)</f>
        <v>192.000562017135</v>
      </c>
    </row>
    <row r="1301" customFormat="false" ht="15" hidden="false" customHeight="false" outlineLevel="0" collapsed="false">
      <c r="A1301" s="9" t="s">
        <v>1018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</row>
    <row r="1302" customFormat="false" ht="15" hidden="false" customHeight="false" outlineLevel="0" collapsed="false">
      <c r="A1302" s="3" t="s">
        <v>1010</v>
      </c>
      <c r="C1302" s="11" t="n">
        <v>1</v>
      </c>
    </row>
    <row r="1303" customFormat="false" ht="15" hidden="false" customHeight="false" outlineLevel="0" collapsed="false">
      <c r="A1303" s="3" t="s">
        <v>1011</v>
      </c>
      <c r="C1303" s="18" t="n">
        <v>0</v>
      </c>
    </row>
    <row r="1304" customFormat="false" ht="15" hidden="false" customHeight="false" outlineLevel="0" collapsed="false">
      <c r="A1304" s="3" t="s">
        <v>1012</v>
      </c>
      <c r="C1304" s="30" t="n">
        <f aca="false">Sensitivities!$A$31</f>
        <v>-0.02</v>
      </c>
    </row>
    <row r="1305" customFormat="false" ht="15" hidden="false" customHeight="false" outlineLevel="0" collapsed="false">
      <c r="A1305" s="3" t="s">
        <v>1013</v>
      </c>
      <c r="C1305" s="18" t="n">
        <v>0</v>
      </c>
    </row>
    <row r="1306" customFormat="false" ht="15" hidden="false" customHeight="false" outlineLevel="0" collapsed="false">
      <c r="A1306" s="3" t="s">
        <v>1014</v>
      </c>
      <c r="C1306" s="15" t="n">
        <v>0</v>
      </c>
    </row>
    <row r="1308" customFormat="false" ht="15" hidden="false" customHeight="false" outlineLevel="0" collapsed="false">
      <c r="A1308" s="23" t="s">
        <v>281</v>
      </c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</row>
    <row r="1309" customFormat="false" ht="15" hidden="false" customHeight="false" outlineLevel="0" collapsed="false">
      <c r="A1309" s="3" t="s">
        <v>282</v>
      </c>
      <c r="F1309" s="27" t="n">
        <f aca="false">Assumptions!$C$6</f>
        <v>2026</v>
      </c>
      <c r="G1309" s="20" t="n">
        <f aca="false">F1309+1</f>
        <v>2027</v>
      </c>
      <c r="H1309" s="20" t="n">
        <f aca="false">G1309+1</f>
        <v>2028</v>
      </c>
      <c r="I1309" s="20" t="n">
        <f aca="false">H1309+1</f>
        <v>2029</v>
      </c>
      <c r="J1309" s="20" t="n">
        <f aca="false">I1309+1</f>
        <v>2030</v>
      </c>
      <c r="K1309" s="20" t="n">
        <f aca="false">J1309+1</f>
        <v>2031</v>
      </c>
    </row>
    <row r="1310" customFormat="false" ht="15" hidden="false" customHeight="false" outlineLevel="0" collapsed="false">
      <c r="A1310" s="3" t="s">
        <v>283</v>
      </c>
      <c r="G1310" s="20" t="n">
        <f aca="false">G1309-Assumptions!$C$6</f>
        <v>1</v>
      </c>
      <c r="H1310" s="20" t="n">
        <f aca="false">H1309-Assumptions!$C$6</f>
        <v>2</v>
      </c>
      <c r="I1310" s="20" t="n">
        <f aca="false">I1309-Assumptions!$C$6</f>
        <v>3</v>
      </c>
      <c r="J1310" s="20" t="n">
        <f aca="false">J1309-Assumptions!$C$6</f>
        <v>4</v>
      </c>
      <c r="K1310" s="20" t="n">
        <f aca="false">K1309-Assumptions!$C$6</f>
        <v>5</v>
      </c>
    </row>
    <row r="1311" customFormat="false" ht="15" hidden="false" customHeight="false" outlineLevel="0" collapsed="false">
      <c r="A1311" s="3" t="s">
        <v>165</v>
      </c>
      <c r="G1311" s="21" t="n">
        <f aca="false">CHOOSE($C$1302,Assumptions!$G$71,Assumptions!$G$90,Assumptions!$G$109)+$C$1303</f>
        <v>-0.045</v>
      </c>
      <c r="H1311" s="21" t="n">
        <f aca="false">CHOOSE($C$1302,Assumptions!$H$71,Assumptions!$H$90,Assumptions!$H$109)+$C$1303</f>
        <v>-0.04</v>
      </c>
      <c r="I1311" s="21" t="n">
        <f aca="false">CHOOSE($C$1302,Assumptions!$I$71,Assumptions!$I$90,Assumptions!$I$109)+$C$1303</f>
        <v>-0.035</v>
      </c>
      <c r="J1311" s="21" t="n">
        <f aca="false">CHOOSE($C$1302,Assumptions!$J$71,Assumptions!$J$90,Assumptions!$J$109)+$C$1303</f>
        <v>-0.03</v>
      </c>
      <c r="K1311" s="21" t="n">
        <f aca="false">CHOOSE($C$1302,Assumptions!$K$71,Assumptions!$K$90,Assumptions!$K$109)+$C$1303</f>
        <v>-0.03</v>
      </c>
    </row>
    <row r="1312" customFormat="false" ht="15" hidden="false" customHeight="false" outlineLevel="0" collapsed="false">
      <c r="A1312" s="3" t="s">
        <v>166</v>
      </c>
      <c r="G1312" s="21" t="n">
        <f aca="false">CHOOSE($C$1302,Assumptions!$G$72,Assumptions!$G$91,Assumptions!$G$110)</f>
        <v>0.483246670103635</v>
      </c>
      <c r="H1312" s="21" t="n">
        <f aca="false">CHOOSE($C$1302,Assumptions!$H$72,Assumptions!$H$91,Assumptions!$H$110)</f>
        <v>0.483246670103635</v>
      </c>
      <c r="I1312" s="21" t="n">
        <f aca="false">CHOOSE($C$1302,Assumptions!$I$72,Assumptions!$I$91,Assumptions!$I$110)</f>
        <v>0.481246670103635</v>
      </c>
      <c r="J1312" s="21" t="n">
        <f aca="false">CHOOSE($C$1302,Assumptions!$J$72,Assumptions!$J$91,Assumptions!$J$110)</f>
        <v>0.479246670103635</v>
      </c>
      <c r="K1312" s="21" t="n">
        <f aca="false">CHOOSE($C$1302,Assumptions!$K$72,Assumptions!$K$91,Assumptions!$K$110)</f>
        <v>0.477246670103635</v>
      </c>
    </row>
    <row r="1313" customFormat="false" ht="15" hidden="false" customHeight="false" outlineLevel="0" collapsed="false">
      <c r="A1313" s="3" t="s">
        <v>167</v>
      </c>
      <c r="G1313" s="21" t="n">
        <f aca="false">CHOOSE($C$1302,Assumptions!$G$73,Assumptions!$G$92,Assumptions!$G$111)+$C$1304</f>
        <v>0.12</v>
      </c>
      <c r="H1313" s="21" t="n">
        <f aca="false">CHOOSE($C$1302,Assumptions!$H$73,Assumptions!$H$92,Assumptions!$H$111)+$C$1304</f>
        <v>0.12</v>
      </c>
      <c r="I1313" s="21" t="n">
        <f aca="false">CHOOSE($C$1302,Assumptions!$I$73,Assumptions!$I$92,Assumptions!$I$111)+$C$1304</f>
        <v>0.118</v>
      </c>
      <c r="J1313" s="21" t="n">
        <f aca="false">CHOOSE($C$1302,Assumptions!$J$73,Assumptions!$J$92,Assumptions!$J$111)+$C$1304</f>
        <v>0.116</v>
      </c>
      <c r="K1313" s="21" t="n">
        <f aca="false">CHOOSE($C$1302,Assumptions!$K$73,Assumptions!$K$92,Assumptions!$K$111)+$C$1304</f>
        <v>0.114</v>
      </c>
    </row>
    <row r="1314" customFormat="false" ht="15" hidden="false" customHeight="false" outlineLevel="0" collapsed="false">
      <c r="A1314" s="23" t="s">
        <v>284</v>
      </c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</row>
    <row r="1315" customFormat="false" ht="15" hidden="false" customHeight="false" outlineLevel="0" collapsed="false">
      <c r="A1315" s="2" t="s">
        <v>256</v>
      </c>
      <c r="F1315" s="28" t="n">
        <f aca="false">'Historical Financials'!G23</f>
        <v>2246.166</v>
      </c>
      <c r="G1315" s="16" t="n">
        <f aca="false">F1315*(1+G1311)</f>
        <v>2145.08853</v>
      </c>
      <c r="H1315" s="16" t="n">
        <f aca="false">G1315*(1+H1311)</f>
        <v>2059.2849888</v>
      </c>
      <c r="I1315" s="16" t="n">
        <f aca="false">H1315*(1+I1311)</f>
        <v>1987.210014192</v>
      </c>
      <c r="J1315" s="16" t="n">
        <f aca="false">I1315*(1+J1311)</f>
        <v>1927.59371376624</v>
      </c>
      <c r="K1315" s="16" t="n">
        <f aca="false">J1315*(1+K1311)</f>
        <v>1869.76590235325</v>
      </c>
    </row>
    <row r="1316" customFormat="false" ht="15" hidden="false" customHeight="false" outlineLevel="0" collapsed="false">
      <c r="A1316" s="3" t="s">
        <v>257</v>
      </c>
      <c r="G1316" s="25" t="n">
        <f aca="false">G1315*(1-G1312)</f>
        <v>1108.4816408</v>
      </c>
      <c r="H1316" s="25" t="n">
        <f aca="false">H1315*(1-H1312)</f>
        <v>1064.142375168</v>
      </c>
      <c r="I1316" s="25" t="n">
        <f aca="false">I1315*(1-I1312)</f>
        <v>1030.8718120655</v>
      </c>
      <c r="J1316" s="25" t="n">
        <f aca="false">J1315*(1-J1312)</f>
        <v>1003.80084513107</v>
      </c>
      <c r="K1316" s="25" t="n">
        <f aca="false">K1315*(1-K1312)</f>
        <v>977.426351581845</v>
      </c>
    </row>
    <row r="1317" customFormat="false" ht="15" hidden="false" customHeight="false" outlineLevel="0" collapsed="false">
      <c r="A1317" s="2" t="s">
        <v>258</v>
      </c>
      <c r="G1317" s="16" t="n">
        <f aca="false">G1315-G1316</f>
        <v>1036.6068892</v>
      </c>
      <c r="H1317" s="16" t="n">
        <f aca="false">H1315-H1316</f>
        <v>995.142613632</v>
      </c>
      <c r="I1317" s="16" t="n">
        <f aca="false">I1315-I1316</f>
        <v>956.338202126496</v>
      </c>
      <c r="J1317" s="16" t="n">
        <f aca="false">J1315-J1316</f>
        <v>923.792868635169</v>
      </c>
      <c r="K1317" s="16" t="n">
        <f aca="false">K1315-K1316</f>
        <v>892.339550771407</v>
      </c>
    </row>
    <row r="1318" customFormat="false" ht="15" hidden="false" customHeight="false" outlineLevel="0" collapsed="false">
      <c r="A1318" s="3" t="s">
        <v>285</v>
      </c>
      <c r="G1318" s="25" t="n">
        <f aca="false">G1317-G1319</f>
        <v>779.1962656</v>
      </c>
      <c r="H1318" s="25" t="n">
        <f aca="false">H1317-H1319</f>
        <v>748.028414976</v>
      </c>
      <c r="I1318" s="25" t="n">
        <f aca="false">I1317-I1319</f>
        <v>721.84742045184</v>
      </c>
      <c r="J1318" s="25" t="n">
        <f aca="false">J1317-J1319</f>
        <v>700.191997838285</v>
      </c>
      <c r="K1318" s="25" t="n">
        <f aca="false">K1317-K1319</f>
        <v>679.186237903136</v>
      </c>
    </row>
    <row r="1319" customFormat="false" ht="15" hidden="false" customHeight="false" outlineLevel="0" collapsed="false">
      <c r="A1319" s="2" t="s">
        <v>286</v>
      </c>
      <c r="G1319" s="16" t="n">
        <f aca="false">G1315*G1313</f>
        <v>257.4106236</v>
      </c>
      <c r="H1319" s="16" t="n">
        <f aca="false">H1315*H1313</f>
        <v>247.114198656</v>
      </c>
      <c r="I1319" s="16" t="n">
        <f aca="false">I1315*I1313</f>
        <v>234.490781674656</v>
      </c>
      <c r="J1319" s="16" t="n">
        <f aca="false">J1315*J1313</f>
        <v>223.600870796884</v>
      </c>
      <c r="K1319" s="16" t="n">
        <f aca="false">K1315*K1313</f>
        <v>213.153312868271</v>
      </c>
    </row>
    <row r="1320" customFormat="false" ht="15" hidden="false" customHeight="false" outlineLevel="0" collapsed="false">
      <c r="A1320" s="3" t="s">
        <v>287</v>
      </c>
      <c r="G1320" s="25" t="n">
        <f aca="false">G1315*'Historical Financials'!G28/'Historical Financials'!G23</f>
        <v>81.45768</v>
      </c>
      <c r="H1320" s="25" t="n">
        <f aca="false">H1315*'Historical Financials'!G28/'Historical Financials'!G23</f>
        <v>78.1993728</v>
      </c>
      <c r="I1320" s="25" t="n">
        <f aca="false">I1315*'Historical Financials'!G28/'Historical Financials'!G23</f>
        <v>75.462394752</v>
      </c>
      <c r="J1320" s="25" t="n">
        <f aca="false">J1315*'Historical Financials'!G28/'Historical Financials'!G23</f>
        <v>73.19852290944</v>
      </c>
      <c r="K1320" s="25" t="n">
        <f aca="false">K1315*'Historical Financials'!G28/'Historical Financials'!G23</f>
        <v>71.0025672221568</v>
      </c>
    </row>
    <row r="1321" customFormat="false" ht="15" hidden="false" customHeight="false" outlineLevel="0" collapsed="false">
      <c r="A1321" s="3" t="s">
        <v>288</v>
      </c>
      <c r="G1321" s="25" t="n">
        <f aca="false">G1315*'Historical Financials'!G29/'Historical Financials'!G23</f>
        <v>23.25998</v>
      </c>
      <c r="H1321" s="25" t="n">
        <f aca="false">H1315*'Historical Financials'!G29/'Historical Financials'!G23</f>
        <v>22.3295808</v>
      </c>
      <c r="I1321" s="25" t="n">
        <f aca="false">I1315*'Historical Financials'!G29/'Historical Financials'!G23</f>
        <v>21.548045472</v>
      </c>
      <c r="J1321" s="25" t="n">
        <f aca="false">J1315*'Historical Financials'!G29/'Historical Financials'!G23</f>
        <v>20.90160410784</v>
      </c>
      <c r="K1321" s="25" t="n">
        <f aca="false">K1315*'Historical Financials'!G29/'Historical Financials'!G23</f>
        <v>20.2745559846048</v>
      </c>
    </row>
    <row r="1322" customFormat="false" ht="15" hidden="false" customHeight="false" outlineLevel="0" collapsed="false">
      <c r="A1322" s="2" t="s">
        <v>289</v>
      </c>
      <c r="G1322" s="16" t="n">
        <f aca="false">G1319-G1320-G1321</f>
        <v>152.6929636</v>
      </c>
      <c r="H1322" s="16" t="n">
        <f aca="false">H1319-H1320-H1321</f>
        <v>146.585245056</v>
      </c>
      <c r="I1322" s="16" t="n">
        <f aca="false">I1319-I1320-I1321</f>
        <v>137.480341450656</v>
      </c>
      <c r="J1322" s="16" t="n">
        <f aca="false">J1319-J1320-J1321</f>
        <v>129.500743779604</v>
      </c>
      <c r="K1322" s="16" t="n">
        <f aca="false">K1319-K1320-K1321</f>
        <v>121.876189661509</v>
      </c>
    </row>
    <row r="1323" customFormat="false" ht="15" hidden="false" customHeight="false" outlineLevel="0" collapsed="false">
      <c r="A1323" s="3" t="s">
        <v>290</v>
      </c>
      <c r="G1323" s="25" t="n">
        <f aca="false">G1349+G1362+G1375</f>
        <v>155.95467</v>
      </c>
      <c r="H1323" s="25" t="n">
        <f aca="false">H1349+H1362+H1375</f>
        <v>155.95467</v>
      </c>
      <c r="I1323" s="25" t="n">
        <f aca="false">I1349+I1362+I1375</f>
        <v>155.95467</v>
      </c>
      <c r="J1323" s="25" t="n">
        <f aca="false">J1349+J1362+J1375</f>
        <v>138.08529</v>
      </c>
      <c r="K1323" s="25" t="n">
        <f aca="false">K1349+K1362+K1375</f>
        <v>138.08529</v>
      </c>
    </row>
    <row r="1324" customFormat="false" ht="15" hidden="false" customHeight="false" outlineLevel="0" collapsed="false">
      <c r="A1324" s="3" t="s">
        <v>291</v>
      </c>
      <c r="G1324" s="25" t="n">
        <f aca="false">G1350+G1363+G1376</f>
        <v>0</v>
      </c>
      <c r="H1324" s="25" t="n">
        <f aca="false">H1350+H1363+H1376</f>
        <v>0</v>
      </c>
      <c r="I1324" s="25" t="n">
        <f aca="false">I1350+I1363+I1376</f>
        <v>0</v>
      </c>
      <c r="J1324" s="25" t="n">
        <f aca="false">J1350+J1363+J1376</f>
        <v>0</v>
      </c>
      <c r="K1324" s="25" t="n">
        <f aca="false">K1350+K1363+K1376</f>
        <v>0</v>
      </c>
    </row>
    <row r="1325" customFormat="false" ht="15" hidden="false" customHeight="false" outlineLevel="0" collapsed="false">
      <c r="A1325" s="3" t="s">
        <v>239</v>
      </c>
      <c r="G1325" s="25" t="n">
        <f aca="false">G1323+G1324</f>
        <v>155.95467</v>
      </c>
      <c r="H1325" s="25" t="n">
        <f aca="false">H1323+H1324</f>
        <v>155.95467</v>
      </c>
      <c r="I1325" s="25" t="n">
        <f aca="false">I1323+I1324</f>
        <v>155.95467</v>
      </c>
      <c r="J1325" s="25" t="n">
        <f aca="false">J1323+J1324</f>
        <v>138.08529</v>
      </c>
      <c r="K1325" s="25" t="n">
        <f aca="false">K1323+K1324</f>
        <v>138.08529</v>
      </c>
    </row>
    <row r="1326" customFormat="false" ht="15" hidden="false" customHeight="false" outlineLevel="0" collapsed="false">
      <c r="A1326" s="2" t="s">
        <v>264</v>
      </c>
      <c r="G1326" s="16" t="n">
        <f aca="false">G1322-G1325</f>
        <v>-3.26170640000007</v>
      </c>
      <c r="H1326" s="16" t="n">
        <f aca="false">H1322-H1325</f>
        <v>-9.369424944</v>
      </c>
      <c r="I1326" s="16" t="n">
        <f aca="false">I1322-I1325</f>
        <v>-18.474328549344</v>
      </c>
      <c r="J1326" s="16" t="n">
        <f aca="false">J1322-J1325</f>
        <v>-8.58454622039619</v>
      </c>
      <c r="K1326" s="16" t="n">
        <f aca="false">K1322-K1325</f>
        <v>-16.2091003384908</v>
      </c>
    </row>
    <row r="1327" customFormat="false" ht="15" hidden="false" customHeight="false" outlineLevel="0" collapsed="false">
      <c r="A1327" s="3" t="s">
        <v>292</v>
      </c>
      <c r="G1327" s="25" t="n">
        <f aca="false">MAX(0,G1326)*Assumptions!$C$9</f>
        <v>0</v>
      </c>
      <c r="H1327" s="25" t="n">
        <f aca="false">MAX(0,H1326)*Assumptions!$C$9</f>
        <v>0</v>
      </c>
      <c r="I1327" s="25" t="n">
        <f aca="false">MAX(0,I1326)*Assumptions!$C$9</f>
        <v>0</v>
      </c>
      <c r="J1327" s="25" t="n">
        <f aca="false">MAX(0,J1326)*Assumptions!$C$9</f>
        <v>0</v>
      </c>
      <c r="K1327" s="25" t="n">
        <f aca="false">MAX(0,K1326)*Assumptions!$C$9</f>
        <v>0</v>
      </c>
    </row>
    <row r="1328" customFormat="false" ht="15" hidden="false" customHeight="false" outlineLevel="0" collapsed="false">
      <c r="A1328" s="2" t="s">
        <v>293</v>
      </c>
      <c r="G1328" s="16" t="n">
        <f aca="false">G1326-G1327</f>
        <v>-3.26170640000007</v>
      </c>
      <c r="H1328" s="16" t="n">
        <f aca="false">H1326-H1327</f>
        <v>-9.369424944</v>
      </c>
      <c r="I1328" s="16" t="n">
        <f aca="false">I1326-I1327</f>
        <v>-18.474328549344</v>
      </c>
      <c r="J1328" s="16" t="n">
        <f aca="false">J1326-J1327</f>
        <v>-8.58454622039619</v>
      </c>
      <c r="K1328" s="16" t="n">
        <f aca="false">K1326-K1327</f>
        <v>-16.2091003384908</v>
      </c>
    </row>
    <row r="1329" customFormat="false" ht="15" hidden="false" customHeight="false" outlineLevel="0" collapsed="false">
      <c r="A1329" s="23" t="s">
        <v>294</v>
      </c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</row>
    <row r="1330" customFormat="false" ht="15" hidden="false" customHeight="false" outlineLevel="0" collapsed="false">
      <c r="A1330" s="3" t="s">
        <v>169</v>
      </c>
      <c r="G1330" s="25" t="n">
        <f aca="false">G1315*CHOOSE($C$1302,Assumptions!$C$75,Assumptions!$C$94,Assumptions!$C$113)</f>
        <v>30.03123942</v>
      </c>
      <c r="H1330" s="25" t="n">
        <f aca="false">H1315*CHOOSE($C$1302,Assumptions!$C$75,Assumptions!$C$94,Assumptions!$C$113)</f>
        <v>28.8299898432</v>
      </c>
      <c r="I1330" s="25" t="n">
        <f aca="false">I1315*CHOOSE($C$1302,Assumptions!$C$75,Assumptions!$C$94,Assumptions!$C$113)</f>
        <v>27.820940198688</v>
      </c>
      <c r="J1330" s="25" t="n">
        <f aca="false">J1315*CHOOSE($C$1302,Assumptions!$C$75,Assumptions!$C$94,Assumptions!$C$113)</f>
        <v>26.9863119927274</v>
      </c>
      <c r="K1330" s="25" t="n">
        <f aca="false">K1315*CHOOSE($C$1302,Assumptions!$C$75,Assumptions!$C$94,Assumptions!$C$113)</f>
        <v>26.1767226329455</v>
      </c>
    </row>
    <row r="1331" customFormat="false" ht="15" hidden="false" customHeight="false" outlineLevel="0" collapsed="false">
      <c r="A1331" s="3" t="s">
        <v>295</v>
      </c>
      <c r="G1331" s="25" t="n">
        <f aca="false">CHOOSE($C$1302,Assumptions!$C$76,Assumptions!$C$95,Assumptions!$C$114)*(G1315-F1315)+CHOOSE($C$1302,Assumptions!$C$77,Assumptions!$C$96,Assumptions!$C$115)*G1315</f>
        <v>-21.4508853</v>
      </c>
      <c r="H1331" s="25" t="n">
        <f aca="false">CHOOSE($C$1302,Assumptions!$C$76,Assumptions!$C$95,Assumptions!$C$114)*(H1315-G1315)+CHOOSE($C$1302,Assumptions!$C$77,Assumptions!$C$96,Assumptions!$C$115)*H1315</f>
        <v>-20.592849888</v>
      </c>
      <c r="I1331" s="25" t="n">
        <f aca="false">CHOOSE($C$1302,Assumptions!$C$76,Assumptions!$C$95,Assumptions!$C$114)*(I1315-H1315)+CHOOSE($C$1302,Assumptions!$C$77,Assumptions!$C$96,Assumptions!$C$115)*I1315</f>
        <v>-19.87210014192</v>
      </c>
      <c r="J1331" s="25" t="n">
        <f aca="false">CHOOSE($C$1302,Assumptions!$C$76,Assumptions!$C$95,Assumptions!$C$114)*(J1315-I1315)+CHOOSE($C$1302,Assumptions!$C$77,Assumptions!$C$96,Assumptions!$C$115)*J1315</f>
        <v>-19.2759371376624</v>
      </c>
      <c r="K1331" s="25" t="n">
        <f aca="false">CHOOSE($C$1302,Assumptions!$C$76,Assumptions!$C$95,Assumptions!$C$114)*(K1315-J1315)+CHOOSE($C$1302,Assumptions!$C$77,Assumptions!$C$96,Assumptions!$C$115)*K1315</f>
        <v>-18.6976590235325</v>
      </c>
    </row>
    <row r="1332" customFormat="false" ht="15" hidden="false" customHeight="false" outlineLevel="0" collapsed="false">
      <c r="A1332" s="2" t="s">
        <v>296</v>
      </c>
      <c r="G1332" s="16" t="n">
        <f aca="false">G1328+G1320+G1321+G1324-G1330-G1331</f>
        <v>92.87559948</v>
      </c>
      <c r="H1332" s="16" t="n">
        <f aca="false">H1328+H1320+H1321+H1324-H1330-H1331</f>
        <v>82.9223887008</v>
      </c>
      <c r="I1332" s="16" t="n">
        <f aca="false">I1328+I1320+I1321+I1324-I1330-I1331</f>
        <v>70.587271617888</v>
      </c>
      <c r="J1332" s="16" t="n">
        <f aca="false">J1328+J1320+J1321+J1324-J1330-J1331</f>
        <v>77.8052059418188</v>
      </c>
      <c r="K1332" s="16" t="n">
        <f aca="false">K1328+K1320+K1321+K1324-K1330-K1331</f>
        <v>67.5889592588578</v>
      </c>
    </row>
    <row r="1334" customFormat="false" ht="15" hidden="false" customHeight="false" outlineLevel="0" collapsed="false">
      <c r="A1334" s="23" t="s">
        <v>298</v>
      </c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</row>
    <row r="1335" customFormat="false" ht="15" hidden="false" customHeight="false" outlineLevel="0" collapsed="false">
      <c r="A1335" s="3" t="s">
        <v>299</v>
      </c>
      <c r="G1335" s="30" t="n">
        <f aca="false">Assumptions!$G$52</f>
        <v>0.039</v>
      </c>
      <c r="H1335" s="30" t="n">
        <f aca="false">Assumptions!$H$52</f>
        <v>0.0375</v>
      </c>
      <c r="I1335" s="30" t="n">
        <f aca="false">Assumptions!$I$52</f>
        <v>0.035</v>
      </c>
      <c r="J1335" s="30" t="n">
        <f aca="false">Assumptions!$J$52</f>
        <v>0.035</v>
      </c>
      <c r="K1335" s="30" t="n">
        <f aca="false">Assumptions!$K$52</f>
        <v>0.035</v>
      </c>
    </row>
    <row r="1336" customFormat="false" ht="15" hidden="false" customHeight="false" outlineLevel="0" collapsed="false">
      <c r="A1336" s="3" t="s">
        <v>300</v>
      </c>
      <c r="C1336" s="31" t="n">
        <f aca="false">CHOOSE($C$1302,Assumptions!$C$78,Assumptions!$C$97,Assumptions!$C$116)+$C$1305</f>
        <v>0</v>
      </c>
    </row>
    <row r="1337" customFormat="false" ht="15" hidden="false" customHeight="false" outlineLevel="0" collapsed="false">
      <c r="A1337" s="3" t="s">
        <v>301</v>
      </c>
      <c r="C1337" s="31" t="n">
        <f aca="false">CHOOSE($C$1302,Assumptions!$C$79,Assumptions!$C$98,Assumptions!$C$117)</f>
        <v>0.11</v>
      </c>
    </row>
    <row r="1338" customFormat="false" ht="15" hidden="false" customHeight="false" outlineLevel="0" collapsed="false">
      <c r="A1338" s="3" t="s">
        <v>302</v>
      </c>
      <c r="C1338" s="32" t="n">
        <f aca="false">CHOOSE($C$1302,Assumptions!$C$80,Assumptions!$C$99,Assumptions!$C$118)</f>
        <v>6</v>
      </c>
    </row>
    <row r="1339" customFormat="false" ht="15" hidden="false" customHeight="false" outlineLevel="0" collapsed="false">
      <c r="A1339" s="3" t="s">
        <v>303</v>
      </c>
      <c r="C1339" s="32" t="n">
        <f aca="false">CHOOSE($C$1302,Assumptions!$C$81,Assumptions!$C$100,Assumptions!$C$119)</f>
        <v>1.25</v>
      </c>
    </row>
    <row r="1340" customFormat="false" ht="15" hidden="false" customHeight="false" outlineLevel="0" collapsed="false">
      <c r="A1340" s="3" t="s">
        <v>304</v>
      </c>
      <c r="G1340" s="25" t="n">
        <f aca="false">G1345+G1358+G1371</f>
        <v>1735.554</v>
      </c>
      <c r="H1340" s="25" t="n">
        <f aca="false">H1345+H1358+H1371</f>
        <v>1735.554</v>
      </c>
      <c r="I1340" s="25" t="n">
        <f aca="false">I1345+I1358+I1371</f>
        <v>1735.554</v>
      </c>
      <c r="J1340" s="25" t="n">
        <f aca="false">J1345+J1358+J1371</f>
        <v>1315.098</v>
      </c>
      <c r="K1340" s="25" t="n">
        <f aca="false">K1345+K1358+K1371</f>
        <v>1315.098</v>
      </c>
    </row>
    <row r="1341" customFormat="false" ht="15" hidden="false" customHeight="false" outlineLevel="0" collapsed="false">
      <c r="A1341" s="3" t="s">
        <v>305</v>
      </c>
      <c r="G1341" s="25" t="n">
        <f aca="false">F1414</f>
        <v>463.996</v>
      </c>
      <c r="H1341" s="25" t="n">
        <f aca="false">G1414</f>
        <v>556.87159948</v>
      </c>
      <c r="I1341" s="25" t="n">
        <f aca="false">H1414</f>
        <v>639.7939881808</v>
      </c>
      <c r="J1341" s="25" t="n">
        <f aca="false">I1414</f>
        <v>289.925259798688</v>
      </c>
      <c r="K1341" s="25" t="n">
        <f aca="false">J1414</f>
        <v>367.730465740507</v>
      </c>
    </row>
    <row r="1342" customFormat="false" ht="15" hidden="false" customHeight="false" outlineLevel="0" collapsed="false">
      <c r="A1342" s="3" t="s">
        <v>306</v>
      </c>
      <c r="G1342" s="25" t="n">
        <f aca="false">G1345*IF(G1346=1,$C$1337,IF(Assumptions!$I$56=1,MAX(G1335,Assumptions!$G$56)+Assumptions!$F$56+$C$1336,Assumptions!$E$56))+G1358*IF(G1359=1,$C$1337,IF(Assumptions!$I$57=1,MAX(G1335,Assumptions!$G$57)+Assumptions!$F$57+$C$1336,Assumptions!$E$57))+G1371*IF(G1372=1,$C$1337,IF(Assumptions!$I$58=1,MAX(G1335,Assumptions!$G$58)+Assumptions!$F$58+$C$1336,Assumptions!$E$58))</f>
        <v>155.95467</v>
      </c>
      <c r="H1342" s="25" t="n">
        <f aca="false">H1345*IF(OR(H1346=1,G1492=1),$C$1337,IF(Assumptions!$I$56=1,MAX(H1335,Assumptions!$G$56)+Assumptions!$F$56+$C$1336,Assumptions!$E$56))+H1358*IF(OR(H1359=1,G1493=1),$C$1337,IF(Assumptions!$I$57=1,MAX(H1335,Assumptions!$G$57)+Assumptions!$F$57+$C$1336,Assumptions!$E$57))+H1371*IF(OR(H1372=1,G1494=1),$C$1337,IF(Assumptions!$I$58=1,MAX(H1335,Assumptions!$G$58)+Assumptions!$F$58+$C$1336,Assumptions!$E$58))</f>
        <v>155.95467</v>
      </c>
      <c r="I1342" s="25" t="n">
        <f aca="false">I1345*IF(OR(I1346=1,H1492=1),$C$1337,IF(Assumptions!$I$56=1,MAX(I1335,Assumptions!$G$56)+Assumptions!$F$56+$C$1336,Assumptions!$E$56))+I1358*IF(OR(I1359=1,H1493=1),$C$1337,IF(Assumptions!$I$57=1,MAX(I1335,Assumptions!$G$57)+Assumptions!$F$57+$C$1336,Assumptions!$E$57))+I1371*IF(OR(I1372=1,H1494=1),$C$1337,IF(Assumptions!$I$58=1,MAX(I1335,Assumptions!$G$58)+Assumptions!$F$58+$C$1336,Assumptions!$E$58))</f>
        <v>184.33545</v>
      </c>
      <c r="J1342" s="25" t="n">
        <f aca="false">J1345*IF(OR(J1346=1,I1492=1),$C$1337,IF(Assumptions!$I$56=1,MAX(J1335,Assumptions!$G$56)+Assumptions!$F$56+$C$1336,Assumptions!$E$56))+J1358*IF(OR(J1359=1,I1493=1),$C$1337,IF(Assumptions!$I$57=1,MAX(J1335,Assumptions!$G$57)+Assumptions!$F$57+$C$1336,Assumptions!$E$57))+J1371*IF(OR(J1372=1,I1494=1),$C$1337,IF(Assumptions!$I$58=1,MAX(J1335,Assumptions!$G$58)+Assumptions!$F$58+$C$1336,Assumptions!$E$58))</f>
        <v>138.08529</v>
      </c>
      <c r="K1342" s="25" t="n">
        <f aca="false">K1345*IF(OR(K1346=1,J1492=1),$C$1337,IF(Assumptions!$I$56=1,MAX(K1335,Assumptions!$G$56)+Assumptions!$F$56+$C$1336,Assumptions!$E$56))+K1358*IF(OR(K1359=1,J1493=1),$C$1337,IF(Assumptions!$I$57=1,MAX(K1335,Assumptions!$G$57)+Assumptions!$F$57+$C$1336,Assumptions!$E$57))+K1371*IF(OR(K1372=1,J1494=1),$C$1337,IF(Assumptions!$I$58=1,MAX(K1335,Assumptions!$G$58)+Assumptions!$F$58+$C$1336,Assumptions!$E$58))</f>
        <v>138.08529</v>
      </c>
    </row>
    <row r="1343" customFormat="false" ht="15" hidden="false" customHeight="false" outlineLevel="0" collapsed="false">
      <c r="A1343" s="3" t="s">
        <v>307</v>
      </c>
      <c r="G1343" s="20" t="n">
        <f aca="false">IF(G1319&lt;=0,0,IF(AND((G1340-G1341)/G1319&lt;=$C$1338,G1319/G1342&gt;=$C$1339),1,0))</f>
        <v>1</v>
      </c>
      <c r="H1343" s="20" t="n">
        <f aca="false">IF(H1319&lt;=0,0,IF(AND((H1340-H1341)/H1319&lt;=$C$1338,H1319/H1342&gt;=$C$1339),1,0))</f>
        <v>1</v>
      </c>
      <c r="I1343" s="20" t="n">
        <f aca="false">IF(I1319&lt;=0,0,IF(AND((I1340-I1341)/I1319&lt;=$C$1338,I1319/I1342&gt;=$C$1339),1,0))</f>
        <v>1</v>
      </c>
      <c r="J1343" s="20" t="n">
        <f aca="false">IF(J1319&lt;=0,0,IF(AND((J1340-J1341)/J1319&lt;=$C$1338,J1319/J1342&gt;=$C$1339),1,0))</f>
        <v>1</v>
      </c>
      <c r="K1343" s="20" t="n">
        <f aca="false">IF(K1319&lt;=0,0,IF(AND((K1340-K1341)/K1319&lt;=$C$1338,K1319/K1342&gt;=$C$1339),1,0))</f>
        <v>1</v>
      </c>
    </row>
    <row r="1344" customFormat="false" ht="15" hidden="false" customHeight="false" outlineLevel="0" collapsed="false">
      <c r="A1344" s="23" t="s">
        <v>308</v>
      </c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</row>
    <row r="1345" customFormat="false" ht="15" hidden="false" customHeight="false" outlineLevel="0" collapsed="false">
      <c r="A1345" s="3" t="s">
        <v>309</v>
      </c>
      <c r="G1345" s="25" t="n">
        <f aca="false">F1356</f>
        <v>1315.098</v>
      </c>
      <c r="H1345" s="25" t="n">
        <f aca="false">G1356</f>
        <v>1315.098</v>
      </c>
      <c r="I1345" s="25" t="n">
        <f aca="false">H1356</f>
        <v>1315.098</v>
      </c>
      <c r="J1345" s="25" t="n">
        <f aca="false">I1356</f>
        <v>1315.098</v>
      </c>
      <c r="K1345" s="25" t="n">
        <f aca="false">J1356</f>
        <v>1315.098</v>
      </c>
    </row>
    <row r="1346" customFormat="false" ht="15" hidden="false" customHeight="false" outlineLevel="0" collapsed="false">
      <c r="A1346" s="3" t="s">
        <v>310</v>
      </c>
      <c r="G1346" s="20" t="n">
        <f aca="false">IF(G1309=Assumptions!$K$56,1,0)</f>
        <v>0</v>
      </c>
      <c r="H1346" s="20" t="n">
        <f aca="false">IF(H1309=Assumptions!$K$56,1,0)</f>
        <v>0</v>
      </c>
      <c r="I1346" s="20" t="n">
        <f aca="false">IF(I1309=Assumptions!$K$56,1,0)</f>
        <v>0</v>
      </c>
      <c r="J1346" s="20" t="n">
        <f aca="false">IF(J1309=Assumptions!$K$56,1,0)</f>
        <v>0</v>
      </c>
      <c r="K1346" s="20" t="n">
        <f aca="false">IF(K1309=Assumptions!$K$56,1,0)</f>
        <v>0</v>
      </c>
    </row>
    <row r="1348" customFormat="false" ht="15" hidden="false" customHeight="false" outlineLevel="0" collapsed="false">
      <c r="A1348" s="3" t="s">
        <v>311</v>
      </c>
      <c r="G1348" s="31" t="n">
        <f aca="false">IF(Assumptions!$I$56=1,MAX(G1335,Assumptions!$G$56)+Assumptions!$F$56+$C$1336,Assumptions!$E$56)</f>
        <v>0.105</v>
      </c>
      <c r="H1348" s="31" t="n">
        <f aca="false">IF(G1492=1,$C$1337,IF(Assumptions!$I$56=1,MAX(H1335,Assumptions!$G$56)+Assumptions!$F$56+$C$1336,Assumptions!$E$56))</f>
        <v>0.105</v>
      </c>
      <c r="I1348" s="31" t="n">
        <f aca="false">IF(H1492=1,$C$1337,IF(Assumptions!$I$56=1,MAX(I1335,Assumptions!$G$56)+Assumptions!$F$56+$C$1336,Assumptions!$E$56))</f>
        <v>0.105</v>
      </c>
      <c r="J1348" s="31" t="n">
        <f aca="false">IF(I1492=1,$C$1337,IF(Assumptions!$I$56=1,MAX(J1335,Assumptions!$G$56)+Assumptions!$F$56+$C$1336,Assumptions!$E$56))</f>
        <v>0.105</v>
      </c>
      <c r="K1348" s="31" t="n">
        <f aca="false">IF(J1492=1,$C$1337,IF(Assumptions!$I$56=1,MAX(K1335,Assumptions!$G$56)+Assumptions!$F$56+$C$1336,Assumptions!$E$56))</f>
        <v>0.105</v>
      </c>
    </row>
    <row r="1349" customFormat="false" ht="15" hidden="false" customHeight="false" outlineLevel="0" collapsed="false">
      <c r="A1349" s="3" t="s">
        <v>312</v>
      </c>
      <c r="G1349" s="25" t="n">
        <f aca="false">G1345*G1348</f>
        <v>138.08529</v>
      </c>
      <c r="H1349" s="25" t="n">
        <f aca="false">H1345*H1348</f>
        <v>138.08529</v>
      </c>
      <c r="I1349" s="25" t="n">
        <f aca="false">I1345*I1348</f>
        <v>138.08529</v>
      </c>
      <c r="J1349" s="25" t="n">
        <f aca="false">J1345*J1348</f>
        <v>138.08529</v>
      </c>
      <c r="K1349" s="25" t="n">
        <f aca="false">K1345*K1348</f>
        <v>138.08529</v>
      </c>
    </row>
    <row r="1350" customFormat="false" ht="15" hidden="false" customHeight="false" outlineLevel="0" collapsed="false">
      <c r="A1350" s="3" t="s">
        <v>313</v>
      </c>
      <c r="G1350" s="25" t="n">
        <f aca="false">G1345*Assumptions!$H$56</f>
        <v>0</v>
      </c>
      <c r="H1350" s="25" t="n">
        <f aca="false">H1345*Assumptions!$H$56</f>
        <v>0</v>
      </c>
      <c r="I1350" s="25" t="n">
        <f aca="false">I1345*Assumptions!$H$56</f>
        <v>0</v>
      </c>
      <c r="J1350" s="25" t="n">
        <f aca="false">J1345*Assumptions!$H$56</f>
        <v>0</v>
      </c>
      <c r="K1350" s="25" t="n">
        <f aca="false">K1345*Assumptions!$H$56</f>
        <v>0</v>
      </c>
    </row>
    <row r="1351" customFormat="false" ht="15" hidden="false" customHeight="false" outlineLevel="0" collapsed="false">
      <c r="A1351" s="3" t="s">
        <v>314</v>
      </c>
      <c r="G1351" s="25" t="n">
        <f aca="false">MIN(G1345,Assumptions!$L$56*Assumptions!$C$56)</f>
        <v>0</v>
      </c>
      <c r="H1351" s="25" t="n">
        <f aca="false">MIN(H1345,Assumptions!$L$56*Assumptions!$C$56)</f>
        <v>0</v>
      </c>
      <c r="I1351" s="25" t="n">
        <f aca="false">MIN(I1345,Assumptions!$L$56*Assumptions!$C$56)</f>
        <v>0</v>
      </c>
      <c r="J1351" s="25" t="n">
        <f aca="false">MIN(J1345,Assumptions!$L$56*Assumptions!$C$56)</f>
        <v>0</v>
      </c>
      <c r="K1351" s="25" t="n">
        <f aca="false">MIN(K1345,Assumptions!$L$56*Assumptions!$C$56)</f>
        <v>0</v>
      </c>
    </row>
    <row r="1352" customFormat="false" ht="15" hidden="false" customHeight="false" outlineLevel="0" collapsed="false">
      <c r="A1352" s="3" t="s">
        <v>315</v>
      </c>
      <c r="G1352" s="25" t="n">
        <f aca="false">IF(AND(Assumptions!$P$56=1,G1309&lt;Assumptions!$K$56),MIN(MAX(0,-G1406),MAX(0,Assumptions!$D$56-G1345)),0)</f>
        <v>0</v>
      </c>
      <c r="H1352" s="25" t="n">
        <f aca="false">IF(AND(Assumptions!$P$56=1,OR(H1309&lt;Assumptions!$K$56,G1492=1)),MIN(MAX(0,-H1406),MAX(0,Assumptions!$D$56-H1345)),0)</f>
        <v>0</v>
      </c>
      <c r="I1352" s="25" t="n">
        <f aca="false">IF(AND(Assumptions!$P$56=1,OR(I1309&lt;Assumptions!$K$56,H1492=1)),MIN(MAX(0,-I1406),MAX(0,Assumptions!$D$56-I1345)),0)</f>
        <v>0</v>
      </c>
      <c r="J1352" s="25" t="n">
        <f aca="false">IF(AND(Assumptions!$P$56=1,OR(J1309&lt;Assumptions!$K$56,I1492=1)),MIN(MAX(0,-J1406),MAX(0,Assumptions!$D$56-J1345)),0)</f>
        <v>0</v>
      </c>
      <c r="K1352" s="25" t="n">
        <f aca="false">IF(AND(Assumptions!$P$56=1,OR(K1309&lt;Assumptions!$K$56,J1492=1)),MIN(MAX(0,-K1406),MAX(0,Assumptions!$D$56-K1345)),0)</f>
        <v>0</v>
      </c>
    </row>
    <row r="1353" customFormat="false" ht="15" hidden="false" customHeight="false" outlineLevel="0" collapsed="false">
      <c r="A1353" s="3" t="s">
        <v>316</v>
      </c>
      <c r="G1353" s="25" t="n">
        <f aca="false">G1346*MIN(G1345-G1351+G1350,MAX(0,G1408-Assumptions!$C$12*G1343))</f>
        <v>0</v>
      </c>
      <c r="H1353" s="25" t="n">
        <f aca="false">H1346*MIN(H1345-H1351+H1350,MAX(0,H1408-Assumptions!$C$12*H1343))</f>
        <v>0</v>
      </c>
      <c r="I1353" s="25" t="n">
        <f aca="false">I1346*MIN(I1345-I1351+I1350,MAX(0,I1408-Assumptions!$C$12*I1343))</f>
        <v>0</v>
      </c>
      <c r="J1353" s="25" t="n">
        <f aca="false">J1346*MIN(J1345-J1351+J1350,MAX(0,J1408-Assumptions!$C$12*J1343))</f>
        <v>0</v>
      </c>
      <c r="K1353" s="25" t="n">
        <f aca="false">K1346*MIN(K1345-K1351+K1350,MAX(0,K1408-Assumptions!$C$12*K1343))</f>
        <v>0</v>
      </c>
    </row>
    <row r="1354" customFormat="false" ht="15" hidden="false" customHeight="false" outlineLevel="0" collapsed="false">
      <c r="A1354" s="3" t="s">
        <v>317</v>
      </c>
      <c r="G1354" s="25" t="n">
        <f aca="false">Assumptions!$N$56*MIN(G1345+G1352+G1350-G1351-G1353,MAX(0,G1412))</f>
        <v>0</v>
      </c>
      <c r="H1354" s="25" t="n">
        <f aca="false">Assumptions!$N$56*MIN(H1345+H1352+H1350-H1351-H1353,MAX(0,H1412))</f>
        <v>0</v>
      </c>
      <c r="I1354" s="25" t="n">
        <f aca="false">Assumptions!$N$56*MIN(I1345+I1352+I1350-I1351-I1353,MAX(0,I1412))</f>
        <v>0</v>
      </c>
      <c r="J1354" s="25" t="n">
        <f aca="false">Assumptions!$N$56*MIN(J1345+J1352+J1350-J1351-J1353,MAX(0,J1412))</f>
        <v>0</v>
      </c>
      <c r="K1354" s="25" t="n">
        <f aca="false">Assumptions!$N$56*MIN(K1345+K1352+K1350-K1351-K1353,MAX(0,K1412))</f>
        <v>0</v>
      </c>
    </row>
    <row r="1355" customFormat="false" ht="15" hidden="false" customHeight="false" outlineLevel="0" collapsed="false">
      <c r="A1355" s="3" t="s">
        <v>318</v>
      </c>
      <c r="G1355" s="25" t="n">
        <f aca="false">G1346*(1-G1343)*(G1345-G1351+G1350-G1353)</f>
        <v>0</v>
      </c>
      <c r="H1355" s="25" t="n">
        <f aca="false">H1346*(1-H1343)*(H1345-H1351+H1350-H1353)</f>
        <v>0</v>
      </c>
      <c r="I1355" s="25" t="n">
        <f aca="false">I1346*(1-I1343)*(I1345-I1351+I1350-I1353)</f>
        <v>0</v>
      </c>
      <c r="J1355" s="25" t="n">
        <f aca="false">J1346*(1-J1343)*(J1345-J1351+J1350-J1353)</f>
        <v>0</v>
      </c>
      <c r="K1355" s="25" t="n">
        <f aca="false">K1346*(1-K1343)*(K1345-K1351+K1350-K1353)</f>
        <v>0</v>
      </c>
    </row>
    <row r="1356" customFormat="false" ht="15" hidden="false" customHeight="false" outlineLevel="0" collapsed="false">
      <c r="A1356" s="2" t="s">
        <v>319</v>
      </c>
      <c r="F1356" s="28" t="n">
        <f aca="false">Assumptions!$C$56</f>
        <v>1315.098</v>
      </c>
      <c r="G1356" s="16" t="n">
        <f aca="false">G1345+G1352+G1350-G1351-G1353-G1354</f>
        <v>1315.098</v>
      </c>
      <c r="H1356" s="16" t="n">
        <f aca="false">H1345+H1352+H1350-H1351-H1353-H1354</f>
        <v>1315.098</v>
      </c>
      <c r="I1356" s="16" t="n">
        <f aca="false">I1345+I1352+I1350-I1351-I1353-I1354</f>
        <v>1315.098</v>
      </c>
      <c r="J1356" s="16" t="n">
        <f aca="false">J1345+J1352+J1350-J1351-J1353-J1354</f>
        <v>1315.098</v>
      </c>
      <c r="K1356" s="16" t="n">
        <f aca="false">K1345+K1352+K1350-K1351-K1353-K1354</f>
        <v>1315.098</v>
      </c>
    </row>
    <row r="1357" customFormat="false" ht="15" hidden="false" customHeight="false" outlineLevel="0" collapsed="false">
      <c r="A1357" s="23" t="s">
        <v>320</v>
      </c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</row>
    <row r="1358" customFormat="false" ht="15" hidden="false" customHeight="false" outlineLevel="0" collapsed="false">
      <c r="A1358" s="3" t="s">
        <v>309</v>
      </c>
      <c r="G1358" s="25" t="n">
        <f aca="false">F1369</f>
        <v>276.706</v>
      </c>
      <c r="H1358" s="25" t="n">
        <f aca="false">G1369</f>
        <v>276.706</v>
      </c>
      <c r="I1358" s="25" t="n">
        <f aca="false">H1369</f>
        <v>276.706</v>
      </c>
      <c r="J1358" s="25" t="n">
        <f aca="false">I1369</f>
        <v>0</v>
      </c>
      <c r="K1358" s="25" t="n">
        <f aca="false">J1369</f>
        <v>0</v>
      </c>
    </row>
    <row r="1359" customFormat="false" ht="15" hidden="false" customHeight="false" outlineLevel="0" collapsed="false">
      <c r="A1359" s="3" t="s">
        <v>310</v>
      </c>
      <c r="G1359" s="20" t="n">
        <f aca="false">IF(G1309=Assumptions!$K$57,1,0)</f>
        <v>0</v>
      </c>
      <c r="H1359" s="20" t="n">
        <f aca="false">IF(H1309=Assumptions!$K$57,1,0)</f>
        <v>0</v>
      </c>
      <c r="I1359" s="20" t="n">
        <f aca="false">IF(I1309=Assumptions!$K$57,1,0)</f>
        <v>1</v>
      </c>
      <c r="J1359" s="20" t="n">
        <f aca="false">IF(J1309=Assumptions!$K$57,1,0)</f>
        <v>0</v>
      </c>
      <c r="K1359" s="20" t="n">
        <f aca="false">IF(K1309=Assumptions!$K$57,1,0)</f>
        <v>0</v>
      </c>
    </row>
    <row r="1361" customFormat="false" ht="15" hidden="false" customHeight="false" outlineLevel="0" collapsed="false">
      <c r="A1361" s="3" t="s">
        <v>311</v>
      </c>
      <c r="G1361" s="31" t="n">
        <f aca="false">IF(Assumptions!$I$57=1,MAX(G1335,Assumptions!$G$57)+Assumptions!$F$57+$C$1336,Assumptions!$E$57)</f>
        <v>0.0425</v>
      </c>
      <c r="H1361" s="31" t="n">
        <f aca="false">IF(G1493=1,$C$1337,IF(Assumptions!$I$57=1,MAX(H1335,Assumptions!$G$57)+Assumptions!$F$57+$C$1336,Assumptions!$E$57))</f>
        <v>0.0425</v>
      </c>
      <c r="I1361" s="31" t="n">
        <f aca="false">IF(H1493=1,$C$1337,IF(Assumptions!$I$57=1,MAX(I1335,Assumptions!$G$57)+Assumptions!$F$57+$C$1336,Assumptions!$E$57))</f>
        <v>0.0425</v>
      </c>
      <c r="J1361" s="31" t="n">
        <f aca="false">IF(I1493=1,$C$1337,IF(Assumptions!$I$57=1,MAX(J1335,Assumptions!$G$57)+Assumptions!$F$57+$C$1336,Assumptions!$E$57))</f>
        <v>0.11</v>
      </c>
      <c r="K1361" s="31" t="n">
        <f aca="false">IF(J1493=1,$C$1337,IF(Assumptions!$I$57=1,MAX(K1335,Assumptions!$G$57)+Assumptions!$F$57+$C$1336,Assumptions!$E$57))</f>
        <v>0.11</v>
      </c>
    </row>
    <row r="1362" customFormat="false" ht="15" hidden="false" customHeight="false" outlineLevel="0" collapsed="false">
      <c r="A1362" s="3" t="s">
        <v>312</v>
      </c>
      <c r="G1362" s="25" t="n">
        <f aca="false">G1358*G1361</f>
        <v>11.760005</v>
      </c>
      <c r="H1362" s="25" t="n">
        <f aca="false">H1358*H1361</f>
        <v>11.760005</v>
      </c>
      <c r="I1362" s="25" t="n">
        <f aca="false">I1358*I1361</f>
        <v>11.760005</v>
      </c>
      <c r="J1362" s="25" t="n">
        <f aca="false">J1358*J1361</f>
        <v>0</v>
      </c>
      <c r="K1362" s="25" t="n">
        <f aca="false">K1358*K1361</f>
        <v>0</v>
      </c>
    </row>
    <row r="1363" customFormat="false" ht="15" hidden="false" customHeight="false" outlineLevel="0" collapsed="false">
      <c r="A1363" s="3" t="s">
        <v>313</v>
      </c>
      <c r="G1363" s="25" t="n">
        <f aca="false">G1358*Assumptions!$H$57</f>
        <v>0</v>
      </c>
      <c r="H1363" s="25" t="n">
        <f aca="false">H1358*Assumptions!$H$57</f>
        <v>0</v>
      </c>
      <c r="I1363" s="25" t="n">
        <f aca="false">I1358*Assumptions!$H$57</f>
        <v>0</v>
      </c>
      <c r="J1363" s="25" t="n">
        <f aca="false">J1358*Assumptions!$H$57</f>
        <v>0</v>
      </c>
      <c r="K1363" s="25" t="n">
        <f aca="false">K1358*Assumptions!$H$57</f>
        <v>0</v>
      </c>
    </row>
    <row r="1364" customFormat="false" ht="15" hidden="false" customHeight="false" outlineLevel="0" collapsed="false">
      <c r="A1364" s="3" t="s">
        <v>314</v>
      </c>
      <c r="G1364" s="25" t="n">
        <f aca="false">MIN(G1358,Assumptions!$L$57*Assumptions!$C$57)</f>
        <v>0</v>
      </c>
      <c r="H1364" s="25" t="n">
        <f aca="false">MIN(H1358,Assumptions!$L$57*Assumptions!$C$57)</f>
        <v>0</v>
      </c>
      <c r="I1364" s="25" t="n">
        <f aca="false">MIN(I1358,Assumptions!$L$57*Assumptions!$C$57)</f>
        <v>0</v>
      </c>
      <c r="J1364" s="25" t="n">
        <f aca="false">MIN(J1358,Assumptions!$L$57*Assumptions!$C$57)</f>
        <v>0</v>
      </c>
      <c r="K1364" s="25" t="n">
        <f aca="false">MIN(K1358,Assumptions!$L$57*Assumptions!$C$57)</f>
        <v>0</v>
      </c>
    </row>
    <row r="1365" customFormat="false" ht="15" hidden="false" customHeight="false" outlineLevel="0" collapsed="false">
      <c r="A1365" s="3" t="s">
        <v>315</v>
      </c>
      <c r="G1365" s="25" t="n">
        <f aca="false">IF(AND(Assumptions!$P$57=1,G1309&lt;Assumptions!$K$57),MIN(MAX(0,-G1406),MAX(0,Assumptions!$D$57-G1358)),0)</f>
        <v>0</v>
      </c>
      <c r="H1365" s="25" t="n">
        <f aca="false">IF(AND(Assumptions!$P$57=1,OR(H1309&lt;Assumptions!$K$57,G1493=1)),MIN(MAX(0,-H1406),MAX(0,Assumptions!$D$57-H1358)),0)</f>
        <v>0</v>
      </c>
      <c r="I1365" s="25" t="n">
        <f aca="false">IF(AND(Assumptions!$P$57=1,OR(I1309&lt;Assumptions!$K$57,H1493=1)),MIN(MAX(0,-I1406),MAX(0,Assumptions!$D$57-I1358)),0)</f>
        <v>0</v>
      </c>
      <c r="J1365" s="25" t="n">
        <f aca="false">IF(AND(Assumptions!$P$57=1,OR(J1309&lt;Assumptions!$K$57,I1493=1)),MIN(MAX(0,-J1406),MAX(0,Assumptions!$D$57-J1358)),0)</f>
        <v>0</v>
      </c>
      <c r="K1365" s="25" t="n">
        <f aca="false">IF(AND(Assumptions!$P$57=1,OR(K1309&lt;Assumptions!$K$57,J1493=1)),MIN(MAX(0,-K1406),MAX(0,Assumptions!$D$57-K1358)),0)</f>
        <v>0</v>
      </c>
    </row>
    <row r="1366" customFormat="false" ht="15" hidden="false" customHeight="false" outlineLevel="0" collapsed="false">
      <c r="A1366" s="3" t="s">
        <v>316</v>
      </c>
      <c r="G1366" s="25" t="n">
        <f aca="false">G1359*MIN(G1358-G1364+G1363,MAX(0,G1408-Assumptions!$C$12*G1343-G1353))</f>
        <v>0</v>
      </c>
      <c r="H1366" s="25" t="n">
        <f aca="false">H1359*MIN(H1358-H1364+H1363,MAX(0,H1408-Assumptions!$C$12*H1343-H1353))</f>
        <v>0</v>
      </c>
      <c r="I1366" s="25" t="n">
        <f aca="false">I1359*MIN(I1358-I1364+I1363,MAX(0,I1408-Assumptions!$C$12*I1343-I1353))</f>
        <v>276.706</v>
      </c>
      <c r="J1366" s="25" t="n">
        <f aca="false">J1359*MIN(J1358-J1364+J1363,MAX(0,J1408-Assumptions!$C$12*J1343-J1353))</f>
        <v>0</v>
      </c>
      <c r="K1366" s="25" t="n">
        <f aca="false">K1359*MIN(K1358-K1364+K1363,MAX(0,K1408-Assumptions!$C$12*K1343-K1353))</f>
        <v>0</v>
      </c>
    </row>
    <row r="1367" customFormat="false" ht="15" hidden="false" customHeight="false" outlineLevel="0" collapsed="false">
      <c r="A1367" s="3" t="s">
        <v>317</v>
      </c>
      <c r="G1367" s="25" t="n">
        <f aca="false">Assumptions!$N$57*MIN(G1358+G1365+G1363-G1364-G1366,MAX(0,G1412-G1354))</f>
        <v>0</v>
      </c>
      <c r="H1367" s="25" t="n">
        <f aca="false">Assumptions!$N$57*MIN(H1358+H1365+H1363-H1364-H1366,MAX(0,H1412-H1354))</f>
        <v>0</v>
      </c>
      <c r="I1367" s="25" t="n">
        <f aca="false">Assumptions!$N$57*MIN(I1358+I1365+I1363-I1364-I1366,MAX(0,I1412-I1354))</f>
        <v>0</v>
      </c>
      <c r="J1367" s="25" t="n">
        <f aca="false">Assumptions!$N$57*MIN(J1358+J1365+J1363-J1364-J1366,MAX(0,J1412-J1354))</f>
        <v>0</v>
      </c>
      <c r="K1367" s="25" t="n">
        <f aca="false">Assumptions!$N$57*MIN(K1358+K1365+K1363-K1364-K1366,MAX(0,K1412-K1354))</f>
        <v>0</v>
      </c>
    </row>
    <row r="1368" customFormat="false" ht="15" hidden="false" customHeight="false" outlineLevel="0" collapsed="false">
      <c r="A1368" s="3" t="s">
        <v>318</v>
      </c>
      <c r="G1368" s="25" t="n">
        <f aca="false">G1359*(1-G1343)*(G1358-G1364+G1363-G1366)</f>
        <v>0</v>
      </c>
      <c r="H1368" s="25" t="n">
        <f aca="false">H1359*(1-H1343)*(H1358-H1364+H1363-H1366)</f>
        <v>0</v>
      </c>
      <c r="I1368" s="25" t="n">
        <f aca="false">I1359*(1-I1343)*(I1358-I1364+I1363-I1366)</f>
        <v>0</v>
      </c>
      <c r="J1368" s="25" t="n">
        <f aca="false">J1359*(1-J1343)*(J1358-J1364+J1363-J1366)</f>
        <v>0</v>
      </c>
      <c r="K1368" s="25" t="n">
        <f aca="false">K1359*(1-K1343)*(K1358-K1364+K1363-K1366)</f>
        <v>0</v>
      </c>
    </row>
    <row r="1369" customFormat="false" ht="15" hidden="false" customHeight="false" outlineLevel="0" collapsed="false">
      <c r="A1369" s="2" t="s">
        <v>319</v>
      </c>
      <c r="F1369" s="28" t="n">
        <f aca="false">Assumptions!$C$57</f>
        <v>276.706</v>
      </c>
      <c r="G1369" s="16" t="n">
        <f aca="false">G1358+G1365+G1363-G1364-G1366-G1367</f>
        <v>276.706</v>
      </c>
      <c r="H1369" s="16" t="n">
        <f aca="false">H1358+H1365+H1363-H1364-H1366-H1367</f>
        <v>276.706</v>
      </c>
      <c r="I1369" s="16" t="n">
        <f aca="false">I1358+I1365+I1363-I1364-I1366-I1367</f>
        <v>0</v>
      </c>
      <c r="J1369" s="16" t="n">
        <f aca="false">J1358+J1365+J1363-J1364-J1366-J1367</f>
        <v>0</v>
      </c>
      <c r="K1369" s="16" t="n">
        <f aca="false">K1358+K1365+K1363-K1364-K1366-K1367</f>
        <v>0</v>
      </c>
    </row>
    <row r="1370" customFormat="false" ht="15" hidden="false" customHeight="false" outlineLevel="0" collapsed="false">
      <c r="A1370" s="23" t="s">
        <v>321</v>
      </c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</row>
    <row r="1371" customFormat="false" ht="15" hidden="false" customHeight="false" outlineLevel="0" collapsed="false">
      <c r="A1371" s="3" t="s">
        <v>309</v>
      </c>
      <c r="G1371" s="25" t="n">
        <f aca="false">F1382</f>
        <v>143.75</v>
      </c>
      <c r="H1371" s="25" t="n">
        <f aca="false">G1382</f>
        <v>143.75</v>
      </c>
      <c r="I1371" s="25" t="n">
        <f aca="false">H1382</f>
        <v>143.75</v>
      </c>
      <c r="J1371" s="25" t="n">
        <f aca="false">I1382</f>
        <v>0</v>
      </c>
      <c r="K1371" s="25" t="n">
        <f aca="false">J1382</f>
        <v>0</v>
      </c>
    </row>
    <row r="1372" customFormat="false" ht="15" hidden="false" customHeight="false" outlineLevel="0" collapsed="false">
      <c r="A1372" s="3" t="s">
        <v>310</v>
      </c>
      <c r="G1372" s="20" t="n">
        <f aca="false">IF(G1309=Assumptions!$K$58,1,0)</f>
        <v>0</v>
      </c>
      <c r="H1372" s="20" t="n">
        <f aca="false">IF(H1309=Assumptions!$K$58,1,0)</f>
        <v>0</v>
      </c>
      <c r="I1372" s="20" t="n">
        <f aca="false">IF(I1309=Assumptions!$K$58,1,0)</f>
        <v>1</v>
      </c>
      <c r="J1372" s="20" t="n">
        <f aca="false">IF(J1309=Assumptions!$K$58,1,0)</f>
        <v>0</v>
      </c>
      <c r="K1372" s="20" t="n">
        <f aca="false">IF(K1309=Assumptions!$K$58,1,0)</f>
        <v>0</v>
      </c>
    </row>
    <row r="1374" customFormat="false" ht="15" hidden="false" customHeight="false" outlineLevel="0" collapsed="false">
      <c r="A1374" s="3" t="s">
        <v>311</v>
      </c>
      <c r="G1374" s="31" t="n">
        <f aca="false">IF(Assumptions!$I$58=1,MAX(G1335,Assumptions!$G$58)+Assumptions!$F$58+$C$1336,Assumptions!$E$58)</f>
        <v>0.0425</v>
      </c>
      <c r="H1374" s="31" t="n">
        <f aca="false">IF(G1494=1,$C$1337,IF(Assumptions!$I$58=1,MAX(H1335,Assumptions!$G$58)+Assumptions!$F$58+$C$1336,Assumptions!$E$58))</f>
        <v>0.0425</v>
      </c>
      <c r="I1374" s="31" t="n">
        <f aca="false">IF(H1494=1,$C$1337,IF(Assumptions!$I$58=1,MAX(I1335,Assumptions!$G$58)+Assumptions!$F$58+$C$1336,Assumptions!$E$58))</f>
        <v>0.0425</v>
      </c>
      <c r="J1374" s="31" t="n">
        <f aca="false">IF(I1494=1,$C$1337,IF(Assumptions!$I$58=1,MAX(J1335,Assumptions!$G$58)+Assumptions!$F$58+$C$1336,Assumptions!$E$58))</f>
        <v>0.11</v>
      </c>
      <c r="K1374" s="31" t="n">
        <f aca="false">IF(J1494=1,$C$1337,IF(Assumptions!$I$58=1,MAX(K1335,Assumptions!$G$58)+Assumptions!$F$58+$C$1336,Assumptions!$E$58))</f>
        <v>0.11</v>
      </c>
    </row>
    <row r="1375" customFormat="false" ht="15" hidden="false" customHeight="false" outlineLevel="0" collapsed="false">
      <c r="A1375" s="3" t="s">
        <v>312</v>
      </c>
      <c r="G1375" s="25" t="n">
        <f aca="false">G1371*G1374</f>
        <v>6.109375</v>
      </c>
      <c r="H1375" s="25" t="n">
        <f aca="false">H1371*H1374</f>
        <v>6.109375</v>
      </c>
      <c r="I1375" s="25" t="n">
        <f aca="false">I1371*I1374</f>
        <v>6.109375</v>
      </c>
      <c r="J1375" s="25" t="n">
        <f aca="false">J1371*J1374</f>
        <v>0</v>
      </c>
      <c r="K1375" s="25" t="n">
        <f aca="false">K1371*K1374</f>
        <v>0</v>
      </c>
    </row>
    <row r="1376" customFormat="false" ht="15" hidden="false" customHeight="false" outlineLevel="0" collapsed="false">
      <c r="A1376" s="3" t="s">
        <v>313</v>
      </c>
      <c r="G1376" s="25" t="n">
        <f aca="false">G1371*Assumptions!$H$58</f>
        <v>0</v>
      </c>
      <c r="H1376" s="25" t="n">
        <f aca="false">H1371*Assumptions!$H$58</f>
        <v>0</v>
      </c>
      <c r="I1376" s="25" t="n">
        <f aca="false">I1371*Assumptions!$H$58</f>
        <v>0</v>
      </c>
      <c r="J1376" s="25" t="n">
        <f aca="false">J1371*Assumptions!$H$58</f>
        <v>0</v>
      </c>
      <c r="K1376" s="25" t="n">
        <f aca="false">K1371*Assumptions!$H$58</f>
        <v>0</v>
      </c>
    </row>
    <row r="1377" customFormat="false" ht="15" hidden="false" customHeight="false" outlineLevel="0" collapsed="false">
      <c r="A1377" s="3" t="s">
        <v>314</v>
      </c>
      <c r="G1377" s="25" t="n">
        <f aca="false">MIN(G1371,Assumptions!$L$58*Assumptions!$C$58)</f>
        <v>0</v>
      </c>
      <c r="H1377" s="25" t="n">
        <f aca="false">MIN(H1371,Assumptions!$L$58*Assumptions!$C$58)</f>
        <v>0</v>
      </c>
      <c r="I1377" s="25" t="n">
        <f aca="false">MIN(I1371,Assumptions!$L$58*Assumptions!$C$58)</f>
        <v>0</v>
      </c>
      <c r="J1377" s="25" t="n">
        <f aca="false">MIN(J1371,Assumptions!$L$58*Assumptions!$C$58)</f>
        <v>0</v>
      </c>
      <c r="K1377" s="25" t="n">
        <f aca="false">MIN(K1371,Assumptions!$L$58*Assumptions!$C$58)</f>
        <v>0</v>
      </c>
    </row>
    <row r="1378" customFormat="false" ht="15" hidden="false" customHeight="false" outlineLevel="0" collapsed="false">
      <c r="A1378" s="3" t="s">
        <v>315</v>
      </c>
      <c r="G1378" s="25" t="n">
        <f aca="false">IF(AND(Assumptions!$P$58=1,G1309&lt;Assumptions!$K$58),MIN(MAX(0,-G1406),MAX(0,Assumptions!$D$58-G1371)),0)</f>
        <v>0</v>
      </c>
      <c r="H1378" s="25" t="n">
        <f aca="false">IF(AND(Assumptions!$P$58=1,OR(H1309&lt;Assumptions!$K$58,G1494=1)),MIN(MAX(0,-H1406),MAX(0,Assumptions!$D$58-H1371)),0)</f>
        <v>0</v>
      </c>
      <c r="I1378" s="25" t="n">
        <f aca="false">IF(AND(Assumptions!$P$58=1,OR(I1309&lt;Assumptions!$K$58,H1494=1)),MIN(MAX(0,-I1406),MAX(0,Assumptions!$D$58-I1371)),0)</f>
        <v>0</v>
      </c>
      <c r="J1378" s="25" t="n">
        <f aca="false">IF(AND(Assumptions!$P$58=1,OR(J1309&lt;Assumptions!$K$58,I1494=1)),MIN(MAX(0,-J1406),MAX(0,Assumptions!$D$58-J1371)),0)</f>
        <v>0</v>
      </c>
      <c r="K1378" s="25" t="n">
        <f aca="false">IF(AND(Assumptions!$P$58=1,OR(K1309&lt;Assumptions!$K$58,J1494=1)),MIN(MAX(0,-K1406),MAX(0,Assumptions!$D$58-K1371)),0)</f>
        <v>0</v>
      </c>
    </row>
    <row r="1379" customFormat="false" ht="15" hidden="false" customHeight="false" outlineLevel="0" collapsed="false">
      <c r="A1379" s="3" t="s">
        <v>316</v>
      </c>
      <c r="G1379" s="25" t="n">
        <f aca="false">G1372*MIN(G1371-G1377+G1376,MAX(0,G1408-Assumptions!$C$12*G1343-G1353-G1366))</f>
        <v>0</v>
      </c>
      <c r="H1379" s="25" t="n">
        <f aca="false">H1372*MIN(H1371-H1377+H1376,MAX(0,H1408-Assumptions!$C$12*H1343-H1353-H1366))</f>
        <v>0</v>
      </c>
      <c r="I1379" s="25" t="n">
        <f aca="false">I1372*MIN(I1371-I1377+I1376,MAX(0,I1408-Assumptions!$C$12*I1343-I1353-I1366))</f>
        <v>143.75</v>
      </c>
      <c r="J1379" s="25" t="n">
        <f aca="false">J1372*MIN(J1371-J1377+J1376,MAX(0,J1408-Assumptions!$C$12*J1343-J1353-J1366))</f>
        <v>0</v>
      </c>
      <c r="K1379" s="25" t="n">
        <f aca="false">K1372*MIN(K1371-K1377+K1376,MAX(0,K1408-Assumptions!$C$12*K1343-K1353-K1366))</f>
        <v>0</v>
      </c>
    </row>
    <row r="1380" customFormat="false" ht="15" hidden="false" customHeight="false" outlineLevel="0" collapsed="false">
      <c r="A1380" s="3" t="s">
        <v>317</v>
      </c>
      <c r="G1380" s="25" t="n">
        <f aca="false">Assumptions!$N$58*MIN(G1371+G1378+G1376-G1377-G1379,MAX(0,G1412-G1354-G1367))</f>
        <v>0</v>
      </c>
      <c r="H1380" s="25" t="n">
        <f aca="false">Assumptions!$N$58*MIN(H1371+H1378+H1376-H1377-H1379,MAX(0,H1412-H1354-H1367))</f>
        <v>0</v>
      </c>
      <c r="I1380" s="25" t="n">
        <f aca="false">Assumptions!$N$58*MIN(I1371+I1378+I1376-I1377-I1379,MAX(0,I1412-I1354-I1367))</f>
        <v>0</v>
      </c>
      <c r="J1380" s="25" t="n">
        <f aca="false">Assumptions!$N$58*MIN(J1371+J1378+J1376-J1377-J1379,MAX(0,J1412-J1354-J1367))</f>
        <v>0</v>
      </c>
      <c r="K1380" s="25" t="n">
        <f aca="false">Assumptions!$N$58*MIN(K1371+K1378+K1376-K1377-K1379,MAX(0,K1412-K1354-K1367))</f>
        <v>0</v>
      </c>
    </row>
    <row r="1381" customFormat="false" ht="15" hidden="false" customHeight="false" outlineLevel="0" collapsed="false">
      <c r="A1381" s="3" t="s">
        <v>318</v>
      </c>
      <c r="G1381" s="25" t="n">
        <f aca="false">G1372*(1-G1343)*(G1371-G1377+G1376-G1379)</f>
        <v>0</v>
      </c>
      <c r="H1381" s="25" t="n">
        <f aca="false">H1372*(1-H1343)*(H1371-H1377+H1376-H1379)</f>
        <v>0</v>
      </c>
      <c r="I1381" s="25" t="n">
        <f aca="false">I1372*(1-I1343)*(I1371-I1377+I1376-I1379)</f>
        <v>0</v>
      </c>
      <c r="J1381" s="25" t="n">
        <f aca="false">J1372*(1-J1343)*(J1371-J1377+J1376-J1379)</f>
        <v>0</v>
      </c>
      <c r="K1381" s="25" t="n">
        <f aca="false">K1372*(1-K1343)*(K1371-K1377+K1376-K1379)</f>
        <v>0</v>
      </c>
    </row>
    <row r="1382" customFormat="false" ht="15" hidden="false" customHeight="false" outlineLevel="0" collapsed="false">
      <c r="A1382" s="2" t="s">
        <v>319</v>
      </c>
      <c r="F1382" s="28" t="n">
        <f aca="false">Assumptions!$C$58</f>
        <v>143.75</v>
      </c>
      <c r="G1382" s="16" t="n">
        <f aca="false">G1371+G1378+G1376-G1377-G1379-G1380</f>
        <v>143.75</v>
      </c>
      <c r="H1382" s="16" t="n">
        <f aca="false">H1371+H1378+H1376-H1377-H1379-H1380</f>
        <v>143.75</v>
      </c>
      <c r="I1382" s="16" t="n">
        <f aca="false">I1371+I1378+I1376-I1377-I1379-I1380</f>
        <v>0</v>
      </c>
      <c r="J1382" s="16" t="n">
        <f aca="false">J1371+J1378+J1376-J1377-J1379-J1380</f>
        <v>0</v>
      </c>
      <c r="K1382" s="16" t="n">
        <f aca="false">K1371+K1378+K1376-K1377-K1379-K1380</f>
        <v>0</v>
      </c>
    </row>
    <row r="1383" customFormat="false" ht="15" hidden="false" customHeight="false" outlineLevel="0" collapsed="false">
      <c r="A1383" s="23" t="s">
        <v>322</v>
      </c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</row>
    <row r="1384" customFormat="false" ht="15" hidden="false" customHeight="false" outlineLevel="0" collapsed="false">
      <c r="A1384" s="2" t="s">
        <v>323</v>
      </c>
      <c r="F1384" s="16" t="n">
        <f aca="false">F1356+F1369+F1382</f>
        <v>1735.554</v>
      </c>
      <c r="G1384" s="16" t="n">
        <f aca="false">G1356+G1369+G1382</f>
        <v>1735.554</v>
      </c>
      <c r="H1384" s="16" t="n">
        <f aca="false">H1356+H1369+H1382</f>
        <v>1735.554</v>
      </c>
      <c r="I1384" s="16" t="n">
        <f aca="false">I1356+I1369+I1382</f>
        <v>1315.098</v>
      </c>
      <c r="J1384" s="16" t="n">
        <f aca="false">J1356+J1369+J1382</f>
        <v>1315.098</v>
      </c>
      <c r="K1384" s="16" t="n">
        <f aca="false">K1356+K1369+K1382</f>
        <v>1315.098</v>
      </c>
    </row>
    <row r="1385" customFormat="false" ht="15" hidden="false" customHeight="false" outlineLevel="0" collapsed="false">
      <c r="A1385" s="3" t="s">
        <v>324</v>
      </c>
      <c r="G1385" s="25" t="n">
        <f aca="false">G1346*Assumptions!$C$56+G1359*Assumptions!$C$57+G1372*Assumptions!$C$58</f>
        <v>0</v>
      </c>
      <c r="H1385" s="25" t="n">
        <f aca="false">H1346*Assumptions!$C$56+H1359*Assumptions!$C$57+H1372*Assumptions!$C$58</f>
        <v>0</v>
      </c>
      <c r="I1385" s="25" t="n">
        <f aca="false">I1346*Assumptions!$C$56+I1359*Assumptions!$C$57+I1372*Assumptions!$C$58</f>
        <v>420.456</v>
      </c>
      <c r="J1385" s="25" t="n">
        <f aca="false">J1346*Assumptions!$C$56+J1359*Assumptions!$C$57+J1372*Assumptions!$C$58</f>
        <v>0</v>
      </c>
      <c r="K1385" s="25" t="n">
        <f aca="false">K1346*Assumptions!$C$56+K1359*Assumptions!$C$57+K1372*Assumptions!$C$58</f>
        <v>0</v>
      </c>
    </row>
    <row r="1386" customFormat="false" ht="15" hidden="false" customHeight="false" outlineLevel="0" collapsed="false">
      <c r="A1386" s="23" t="s">
        <v>325</v>
      </c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</row>
    <row r="1387" customFormat="false" ht="15" hidden="false" customHeight="false" outlineLevel="0" collapsed="false">
      <c r="A1387" s="3" t="s">
        <v>326</v>
      </c>
      <c r="C1387" s="25" t="n">
        <f aca="false">SUMPRODUCT($G$1346:$K$1346,$G$1345:$K$1345-$G$1351:$K$1351+$G$1350:$K$1350)</f>
        <v>0</v>
      </c>
    </row>
    <row r="1388" customFormat="false" ht="15" hidden="false" customHeight="false" outlineLevel="0" collapsed="false">
      <c r="A1388" s="3" t="s">
        <v>327</v>
      </c>
      <c r="C1388" s="25" t="n">
        <f aca="false">SUMPRODUCT($G$1346:$K$1346,$G$1353:$K$1353)</f>
        <v>0</v>
      </c>
    </row>
    <row r="1389" customFormat="false" ht="15" hidden="false" customHeight="false" outlineLevel="0" collapsed="false">
      <c r="A1389" s="3" t="s">
        <v>328</v>
      </c>
      <c r="C1389" s="3" t="str">
        <f aca="false">IF(SUM($G$1346:$K$1346)=0,"n/a (beyond horizon)",IF(SUMPRODUCT($G$1346:$K$1346,$G$1343:$K$1343)&gt;0,"REFINANCING PASS","REFINANCING FAILURE"))</f>
        <v>n/a (beyond horizon)</v>
      </c>
    </row>
    <row r="1390" customFormat="false" ht="15" hidden="false" customHeight="false" outlineLevel="0" collapsed="false">
      <c r="A1390" s="3" t="s">
        <v>329</v>
      </c>
      <c r="C1390" s="3" t="str">
        <f aca="false">IF(SUM($G$1346:$K$1346)=0,"n/a",IF(C1388&gt;=C1387-0.001,"Repaid from cash",IF(SUMPRODUCT($G$1346:$K$1346,$G$1343:$K$1343)&gt;0,IF(C1388&gt;0,"Partly repaid; remainder refinanced","Refinanced"),IF(SUM($G$1355:$K$1355)&gt;0.001,IF(C1388&gt;0,"Partial repayment; PAYMENT DEFAULT","PAYMENT DEFAULT"),"Repaid from cash"))))</f>
        <v>n/a</v>
      </c>
    </row>
    <row r="1391" customFormat="false" ht="15" hidden="false" customHeight="false" outlineLevel="0" collapsed="false">
      <c r="A1391" s="3" t="s">
        <v>330</v>
      </c>
      <c r="C1391" s="25" t="n">
        <f aca="false">SUMPRODUCT($G$1359:$K$1359,$G$1358:$K$1358-$G$1364:$K$1364+$G$1363:$K$1363)</f>
        <v>276.706</v>
      </c>
    </row>
    <row r="1392" customFormat="false" ht="15" hidden="false" customHeight="false" outlineLevel="0" collapsed="false">
      <c r="A1392" s="3" t="s">
        <v>331</v>
      </c>
      <c r="C1392" s="25" t="n">
        <f aca="false">SUMPRODUCT($G$1359:$K$1359,$G$1366:$K$1366)</f>
        <v>276.706</v>
      </c>
    </row>
    <row r="1393" customFormat="false" ht="15" hidden="false" customHeight="false" outlineLevel="0" collapsed="false">
      <c r="A1393" s="3" t="s">
        <v>332</v>
      </c>
      <c r="C1393" s="3" t="str">
        <f aca="false">IF(SUM($G$1359:$K$1359)=0,"n/a (beyond horizon)",IF(SUMPRODUCT($G$1359:$K$1359,$G$1343:$K$1343)&gt;0,"REFINANCING PASS","REFINANCING FAILURE"))</f>
        <v>REFINANCING PASS</v>
      </c>
    </row>
    <row r="1394" customFormat="false" ht="15" hidden="false" customHeight="false" outlineLevel="0" collapsed="false">
      <c r="A1394" s="3" t="s">
        <v>333</v>
      </c>
      <c r="C1394" s="3" t="str">
        <f aca="false">IF(SUM($G$1359:$K$1359)=0,"n/a",IF(C1392&gt;=C1391-0.001,"Repaid from cash",IF(SUMPRODUCT($G$1359:$K$1359,$G$1343:$K$1343)&gt;0,IF(C1392&gt;0,"Partly repaid; remainder refinanced","Refinanced"),IF(SUM($G$1368:$K$1368)&gt;0.001,IF(C1392&gt;0,"Partial repayment; PAYMENT DEFAULT","PAYMENT DEFAULT"),"Repaid from cash"))))</f>
        <v>Repaid from cash</v>
      </c>
    </row>
    <row r="1395" customFormat="false" ht="15" hidden="false" customHeight="false" outlineLevel="0" collapsed="false">
      <c r="A1395" s="3" t="s">
        <v>334</v>
      </c>
      <c r="C1395" s="25" t="n">
        <f aca="false">SUMPRODUCT($G$1372:$K$1372,$G$1371:$K$1371-$G$1377:$K$1377+$G$1376:$K$1376)</f>
        <v>143.75</v>
      </c>
    </row>
    <row r="1396" customFormat="false" ht="15" hidden="false" customHeight="false" outlineLevel="0" collapsed="false">
      <c r="A1396" s="3" t="s">
        <v>335</v>
      </c>
      <c r="C1396" s="25" t="n">
        <f aca="false">SUMPRODUCT($G$1372:$K$1372,$G$1379:$K$1379)</f>
        <v>143.75</v>
      </c>
    </row>
    <row r="1397" customFormat="false" ht="15" hidden="false" customHeight="false" outlineLevel="0" collapsed="false">
      <c r="A1397" s="3" t="s">
        <v>336</v>
      </c>
      <c r="C1397" s="3" t="str">
        <f aca="false">IF(SUM($G$1372:$K$1372)=0,"n/a (beyond horizon)",IF(SUMPRODUCT($G$1372:$K$1372,$G$1343:$K$1343)&gt;0,"REFINANCING PASS","REFINANCING FAILURE"))</f>
        <v>REFINANCING PASS</v>
      </c>
    </row>
    <row r="1398" customFormat="false" ht="15" hidden="false" customHeight="false" outlineLevel="0" collapsed="false">
      <c r="A1398" s="3" t="s">
        <v>337</v>
      </c>
      <c r="C1398" s="3" t="str">
        <f aca="false">IF(SUM($G$1372:$K$1372)=0,"n/a",IF(C1396&gt;=C1395-0.001,"Repaid from cash",IF(SUMPRODUCT($G$1372:$K$1372,$G$1343:$K$1343)&gt;0,IF(C1396&gt;0,"Partly repaid; remainder refinanced","Refinanced"),IF(SUM($G$1381:$K$1381)&gt;0.001,IF(C1396&gt;0,"Partial repayment; PAYMENT DEFAULT","PAYMENT DEFAULT"),"Repaid from cash"))))</f>
        <v>Repaid from cash</v>
      </c>
    </row>
    <row r="1399" customFormat="false" ht="15" hidden="false" customHeight="false" outlineLevel="0" collapsed="false">
      <c r="A1399" s="3" t="s">
        <v>338</v>
      </c>
      <c r="C1399" s="20" t="n">
        <f aca="false">IF(C1389="REFINANCING FAILURE",1,0)+IF(C1393="REFINANCING FAILURE",1,0)+IF(C1397="REFINANCING FAILURE",1,0)</f>
        <v>0</v>
      </c>
    </row>
    <row r="1401" customFormat="false" ht="15" hidden="false" customHeight="false" outlineLevel="0" collapsed="false">
      <c r="A1401" s="23" t="s">
        <v>340</v>
      </c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</row>
    <row r="1402" customFormat="false" ht="15" hidden="false" customHeight="false" outlineLevel="0" collapsed="false">
      <c r="A1402" s="3" t="s">
        <v>305</v>
      </c>
      <c r="G1402" s="25" t="n">
        <f aca="false">F1414</f>
        <v>463.996</v>
      </c>
      <c r="H1402" s="25" t="n">
        <f aca="false">G1414</f>
        <v>556.87159948</v>
      </c>
      <c r="I1402" s="25" t="n">
        <f aca="false">H1414</f>
        <v>639.7939881808</v>
      </c>
      <c r="J1402" s="25" t="n">
        <f aca="false">I1414</f>
        <v>289.925259798688</v>
      </c>
      <c r="K1402" s="25" t="n">
        <f aca="false">J1414</f>
        <v>367.730465740507</v>
      </c>
    </row>
    <row r="1403" customFormat="false" ht="15" hidden="false" customHeight="false" outlineLevel="0" collapsed="false">
      <c r="A1403" s="3" t="s">
        <v>341</v>
      </c>
      <c r="G1403" s="25" t="n">
        <f aca="false">G1332</f>
        <v>92.87559948</v>
      </c>
      <c r="H1403" s="25" t="n">
        <f aca="false">H1332</f>
        <v>82.9223887008</v>
      </c>
      <c r="I1403" s="25" t="n">
        <f aca="false">I1332</f>
        <v>70.587271617888</v>
      </c>
      <c r="J1403" s="25" t="n">
        <f aca="false">J1332</f>
        <v>77.8052059418188</v>
      </c>
      <c r="K1403" s="25" t="n">
        <f aca="false">K1332</f>
        <v>67.5889592588578</v>
      </c>
    </row>
    <row r="1404" customFormat="false" ht="15" hidden="false" customHeight="false" outlineLevel="0" collapsed="false">
      <c r="A1404" s="3" t="s">
        <v>342</v>
      </c>
      <c r="G1404" s="25" t="n">
        <f aca="false">CHOOSE($C$1302,Assumptions!$G$74,Assumptions!$G$93,Assumptions!$G$112)</f>
        <v>0</v>
      </c>
      <c r="H1404" s="25" t="n">
        <f aca="false">CHOOSE($C$1302,Assumptions!$H$74,Assumptions!$H$93,Assumptions!$H$112)</f>
        <v>0</v>
      </c>
      <c r="I1404" s="25" t="n">
        <f aca="false">CHOOSE($C$1302,Assumptions!$I$74,Assumptions!$I$93,Assumptions!$I$112)</f>
        <v>0</v>
      </c>
      <c r="J1404" s="25" t="n">
        <f aca="false">CHOOSE($C$1302,Assumptions!$J$74,Assumptions!$J$93,Assumptions!$J$112)</f>
        <v>0</v>
      </c>
      <c r="K1404" s="25" t="n">
        <f aca="false">CHOOSE($C$1302,Assumptions!$K$74,Assumptions!$K$93,Assumptions!$K$112)</f>
        <v>0</v>
      </c>
    </row>
    <row r="1405" customFormat="false" ht="15" hidden="false" customHeight="false" outlineLevel="0" collapsed="false">
      <c r="A1405" s="3" t="s">
        <v>343</v>
      </c>
      <c r="G1405" s="25" t="n">
        <f aca="false">G1351+G1364+G1377</f>
        <v>0</v>
      </c>
      <c r="H1405" s="25" t="n">
        <f aca="false">H1351+H1364+H1377</f>
        <v>0</v>
      </c>
      <c r="I1405" s="25" t="n">
        <f aca="false">I1351+I1364+I1377</f>
        <v>0</v>
      </c>
      <c r="J1405" s="25" t="n">
        <f aca="false">J1351+J1364+J1377</f>
        <v>0</v>
      </c>
      <c r="K1405" s="25" t="n">
        <f aca="false">K1351+K1364+K1377</f>
        <v>0</v>
      </c>
    </row>
    <row r="1406" customFormat="false" ht="15" hidden="false" customHeight="false" outlineLevel="0" collapsed="false">
      <c r="A1406" s="2" t="s">
        <v>344</v>
      </c>
      <c r="G1406" s="16" t="n">
        <f aca="false">G1402+G1403+G1404-G1405</f>
        <v>556.87159948</v>
      </c>
      <c r="H1406" s="16" t="n">
        <f aca="false">H1402+H1403+H1404-H1405</f>
        <v>639.7939881808</v>
      </c>
      <c r="I1406" s="16" t="n">
        <f aca="false">I1402+I1403+I1404-I1405</f>
        <v>710.381259798688</v>
      </c>
      <c r="J1406" s="16" t="n">
        <f aca="false">J1402+J1403+J1404-J1405</f>
        <v>367.730465740507</v>
      </c>
      <c r="K1406" s="16" t="n">
        <f aca="false">K1402+K1403+K1404-K1405</f>
        <v>435.319424999365</v>
      </c>
    </row>
    <row r="1407" customFormat="false" ht="15" hidden="false" customHeight="false" outlineLevel="0" collapsed="false">
      <c r="A1407" s="3" t="s">
        <v>345</v>
      </c>
      <c r="G1407" s="25" t="n">
        <f aca="false">G1352+G1365+G1378</f>
        <v>0</v>
      </c>
      <c r="H1407" s="25" t="n">
        <f aca="false">H1352+H1365+H1378</f>
        <v>0</v>
      </c>
      <c r="I1407" s="25" t="n">
        <f aca="false">I1352+I1365+I1378</f>
        <v>0</v>
      </c>
      <c r="J1407" s="25" t="n">
        <f aca="false">J1352+J1365+J1378</f>
        <v>0</v>
      </c>
      <c r="K1407" s="25" t="n">
        <f aca="false">K1352+K1365+K1378</f>
        <v>0</v>
      </c>
    </row>
    <row r="1408" customFormat="false" ht="15" hidden="false" customHeight="false" outlineLevel="0" collapsed="false">
      <c r="A1408" s="2" t="s">
        <v>346</v>
      </c>
      <c r="G1408" s="16" t="n">
        <f aca="false">G1406+G1407</f>
        <v>556.87159948</v>
      </c>
      <c r="H1408" s="16" t="n">
        <f aca="false">H1406+H1407</f>
        <v>639.7939881808</v>
      </c>
      <c r="I1408" s="16" t="n">
        <f aca="false">I1406+I1407</f>
        <v>710.381259798688</v>
      </c>
      <c r="J1408" s="16" t="n">
        <f aca="false">J1406+J1407</f>
        <v>367.730465740507</v>
      </c>
      <c r="K1408" s="16" t="n">
        <f aca="false">K1406+K1407</f>
        <v>435.319424999365</v>
      </c>
    </row>
    <row r="1409" customFormat="false" ht="15" hidden="false" customHeight="false" outlineLevel="0" collapsed="false">
      <c r="A1409" s="3" t="s">
        <v>347</v>
      </c>
      <c r="G1409" s="25" t="n">
        <f aca="false">G1353+G1366+G1379</f>
        <v>0</v>
      </c>
      <c r="H1409" s="25" t="n">
        <f aca="false">H1353+H1366+H1379</f>
        <v>0</v>
      </c>
      <c r="I1409" s="25" t="n">
        <f aca="false">I1353+I1366+I1379</f>
        <v>420.456</v>
      </c>
      <c r="J1409" s="25" t="n">
        <f aca="false">J1353+J1366+J1379</f>
        <v>0</v>
      </c>
      <c r="K1409" s="25" t="n">
        <f aca="false">K1353+K1366+K1379</f>
        <v>0</v>
      </c>
    </row>
    <row r="1410" customFormat="false" ht="15" hidden="false" customHeight="false" outlineLevel="0" collapsed="false">
      <c r="A1410" s="2" t="s">
        <v>348</v>
      </c>
      <c r="G1410" s="16" t="n">
        <f aca="false">G1408-G1409</f>
        <v>556.87159948</v>
      </c>
      <c r="H1410" s="16" t="n">
        <f aca="false">H1408-H1409</f>
        <v>639.7939881808</v>
      </c>
      <c r="I1410" s="16" t="n">
        <f aca="false">I1408-I1409</f>
        <v>289.925259798688</v>
      </c>
      <c r="J1410" s="16" t="n">
        <f aca="false">J1408-J1409</f>
        <v>367.730465740507</v>
      </c>
      <c r="K1410" s="16" t="n">
        <f aca="false">K1408-K1409</f>
        <v>435.319424999365</v>
      </c>
    </row>
    <row r="1411" customFormat="false" ht="15" hidden="false" customHeight="false" outlineLevel="0" collapsed="false">
      <c r="A1411" s="3" t="s">
        <v>349</v>
      </c>
      <c r="G1411" s="25" t="n">
        <f aca="false">MAX(0,-G1410)</f>
        <v>0</v>
      </c>
      <c r="H1411" s="25" t="n">
        <f aca="false">MAX(0,-H1410)</f>
        <v>0</v>
      </c>
      <c r="I1411" s="25" t="n">
        <f aca="false">MAX(0,-I1410)</f>
        <v>0</v>
      </c>
      <c r="J1411" s="25" t="n">
        <f aca="false">MAX(0,-J1410)</f>
        <v>0</v>
      </c>
      <c r="K1411" s="25" t="n">
        <f aca="false">MAX(0,-K1410)</f>
        <v>0</v>
      </c>
    </row>
    <row r="1412" customFormat="false" ht="15" hidden="false" customHeight="false" outlineLevel="0" collapsed="false">
      <c r="A1412" s="3" t="s">
        <v>350</v>
      </c>
      <c r="G1412" s="25" t="n">
        <f aca="false">MAX(0,G1410-Assumptions!$C$12)*Assumptions!$C$13</f>
        <v>0</v>
      </c>
      <c r="H1412" s="25" t="n">
        <f aca="false">MAX(0,H1410-Assumptions!$C$12)*Assumptions!$C$13</f>
        <v>0</v>
      </c>
      <c r="I1412" s="25" t="n">
        <f aca="false">MAX(0,I1410-Assumptions!$C$12)*Assumptions!$C$13</f>
        <v>0</v>
      </c>
      <c r="J1412" s="25" t="n">
        <f aca="false">MAX(0,J1410-Assumptions!$C$12)*Assumptions!$C$13</f>
        <v>0</v>
      </c>
      <c r="K1412" s="25" t="n">
        <f aca="false">MAX(0,K1410-Assumptions!$C$12)*Assumptions!$C$13</f>
        <v>0</v>
      </c>
    </row>
    <row r="1413" customFormat="false" ht="15" hidden="false" customHeight="false" outlineLevel="0" collapsed="false">
      <c r="A1413" s="3" t="s">
        <v>351</v>
      </c>
      <c r="G1413" s="25" t="n">
        <f aca="false">G1354+G1367+G1380</f>
        <v>0</v>
      </c>
      <c r="H1413" s="25" t="n">
        <f aca="false">H1354+H1367+H1380</f>
        <v>0</v>
      </c>
      <c r="I1413" s="25" t="n">
        <f aca="false">I1354+I1367+I1380</f>
        <v>0</v>
      </c>
      <c r="J1413" s="25" t="n">
        <f aca="false">J1354+J1367+J1380</f>
        <v>0</v>
      </c>
      <c r="K1413" s="25" t="n">
        <f aca="false">K1354+K1367+K1380</f>
        <v>0</v>
      </c>
    </row>
    <row r="1414" customFormat="false" ht="15" hidden="false" customHeight="false" outlineLevel="0" collapsed="false">
      <c r="A1414" s="2" t="s">
        <v>352</v>
      </c>
      <c r="F1414" s="28" t="n">
        <f aca="false">Assumptions!$C$11</f>
        <v>463.996</v>
      </c>
      <c r="G1414" s="16" t="n">
        <f aca="false">G1410-G1413</f>
        <v>556.87159948</v>
      </c>
      <c r="H1414" s="16" t="n">
        <f aca="false">H1410-H1413</f>
        <v>639.7939881808</v>
      </c>
      <c r="I1414" s="16" t="n">
        <f aca="false">I1410-I1413</f>
        <v>289.925259798688</v>
      </c>
      <c r="J1414" s="16" t="n">
        <f aca="false">J1410-J1413</f>
        <v>367.730465740507</v>
      </c>
      <c r="K1414" s="16" t="n">
        <f aca="false">K1410-K1413</f>
        <v>435.319424999365</v>
      </c>
    </row>
    <row r="1415" customFormat="false" ht="15" hidden="false" customHeight="false" outlineLevel="0" collapsed="false">
      <c r="A1415" s="3" t="s">
        <v>353</v>
      </c>
      <c r="G1415" s="25" t="n">
        <f aca="false">G1355+G1368+G1381</f>
        <v>0</v>
      </c>
      <c r="H1415" s="25" t="n">
        <f aca="false">H1355+H1368+H1381</f>
        <v>0</v>
      </c>
      <c r="I1415" s="25" t="n">
        <f aca="false">I1355+I1368+I1381</f>
        <v>0</v>
      </c>
      <c r="J1415" s="25" t="n">
        <f aca="false">J1355+J1368+J1381</f>
        <v>0</v>
      </c>
      <c r="K1415" s="25" t="n">
        <f aca="false">K1355+K1368+K1381</f>
        <v>0</v>
      </c>
    </row>
    <row r="1416" customFormat="false" ht="15" hidden="false" customHeight="false" outlineLevel="0" collapsed="false">
      <c r="A1416" s="3" t="s">
        <v>354</v>
      </c>
      <c r="G1416" s="20" t="n">
        <f aca="false">IF(OR(G1411&gt;0.001,G1415&gt;0.001),1,0)</f>
        <v>0</v>
      </c>
      <c r="H1416" s="20" t="n">
        <f aca="false">IF(OR(H1411&gt;0.001,H1415&gt;0.001),1,0)</f>
        <v>0</v>
      </c>
      <c r="I1416" s="20" t="n">
        <f aca="false">IF(OR(I1411&gt;0.001,I1415&gt;0.001),1,0)</f>
        <v>0</v>
      </c>
      <c r="J1416" s="20" t="n">
        <f aca="false">IF(OR(J1411&gt;0.001,J1415&gt;0.001),1,0)</f>
        <v>0</v>
      </c>
      <c r="K1416" s="20" t="n">
        <f aca="false">IF(OR(K1411&gt;0.001,K1415&gt;0.001),1,0)</f>
        <v>0</v>
      </c>
    </row>
    <row r="1417" customFormat="false" ht="15" hidden="false" customHeight="false" outlineLevel="0" collapsed="false">
      <c r="A1417" s="3" t="s">
        <v>355</v>
      </c>
      <c r="G1417" s="20" t="n">
        <f aca="false">IF(G1416=1,1,0)</f>
        <v>0</v>
      </c>
      <c r="H1417" s="20" t="n">
        <f aca="false">IF(AND(H1416=1,SUM($G$1416:G1416)=0),1,0)</f>
        <v>0</v>
      </c>
      <c r="I1417" s="20" t="n">
        <f aca="false">IF(AND(I1416=1,SUM($G$1416:H1416)=0),1,0)</f>
        <v>0</v>
      </c>
      <c r="J1417" s="20" t="n">
        <f aca="false">IF(AND(J1416=1,SUM($G$1416:I1416)=0),1,0)</f>
        <v>0</v>
      </c>
      <c r="K1417" s="20" t="n">
        <f aca="false">IF(AND(K1416=1,SUM($G$1416:J1416)=0),1,0)</f>
        <v>0</v>
      </c>
    </row>
    <row r="1418" customFormat="false" ht="15" hidden="false" customHeight="false" outlineLevel="0" collapsed="false">
      <c r="A1418" s="3" t="s">
        <v>356</v>
      </c>
      <c r="G1418" s="25" t="n">
        <f aca="false">(G1384-F1384)-(G1407+G1324-G1405-G1409-G1413)</f>
        <v>0</v>
      </c>
      <c r="H1418" s="25" t="n">
        <f aca="false">(H1384-G1384)-(H1407+H1324-H1405-H1409-H1413)</f>
        <v>0</v>
      </c>
      <c r="I1418" s="25" t="n">
        <f aca="false">(I1384-H1384)-(I1407+I1324-I1405-I1409-I1413)</f>
        <v>0</v>
      </c>
      <c r="J1418" s="25" t="n">
        <f aca="false">(J1384-I1384)-(J1407+J1324-J1405-J1409-J1413)</f>
        <v>0</v>
      </c>
      <c r="K1418" s="25" t="n">
        <f aca="false">(K1384-J1384)-(K1407+K1324-K1405-K1409-K1413)</f>
        <v>0</v>
      </c>
    </row>
    <row r="1420" customFormat="false" ht="15" hidden="false" customHeight="false" outlineLevel="0" collapsed="false">
      <c r="A1420" s="23" t="s">
        <v>358</v>
      </c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</row>
    <row r="1421" customFormat="false" ht="15" hidden="false" customHeight="false" outlineLevel="0" collapsed="false">
      <c r="A1421" s="3" t="s">
        <v>359</v>
      </c>
      <c r="G1421" s="25" t="n">
        <f aca="false">G1384</f>
        <v>1735.554</v>
      </c>
      <c r="H1421" s="25" t="n">
        <f aca="false">H1384</f>
        <v>1735.554</v>
      </c>
      <c r="I1421" s="25" t="n">
        <f aca="false">I1384</f>
        <v>1315.098</v>
      </c>
      <c r="J1421" s="25" t="n">
        <f aca="false">J1384</f>
        <v>1315.098</v>
      </c>
      <c r="K1421" s="25" t="n">
        <f aca="false">K1384</f>
        <v>1315.098</v>
      </c>
    </row>
    <row r="1422" customFormat="false" ht="15" hidden="false" customHeight="false" outlineLevel="0" collapsed="false">
      <c r="A1422" s="3" t="s">
        <v>360</v>
      </c>
      <c r="G1422" s="25" t="n">
        <f aca="false">Assumptions!$O$56*G1356+Assumptions!$O$57*G1369+Assumptions!$O$58*G1382</f>
        <v>1315.098</v>
      </c>
      <c r="H1422" s="25" t="n">
        <f aca="false">Assumptions!$O$56*H1356+Assumptions!$O$57*H1369+Assumptions!$O$58*H1382</f>
        <v>1315.098</v>
      </c>
      <c r="I1422" s="25" t="n">
        <f aca="false">Assumptions!$O$56*I1356+Assumptions!$O$57*I1369+Assumptions!$O$58*I1382</f>
        <v>1315.098</v>
      </c>
      <c r="J1422" s="25" t="n">
        <f aca="false">Assumptions!$O$56*J1356+Assumptions!$O$57*J1369+Assumptions!$O$58*J1382</f>
        <v>1315.098</v>
      </c>
      <c r="K1422" s="25" t="n">
        <f aca="false">Assumptions!$O$56*K1356+Assumptions!$O$57*K1369+Assumptions!$O$58*K1382</f>
        <v>1315.098</v>
      </c>
    </row>
    <row r="1423" customFormat="false" ht="15" hidden="false" customHeight="false" outlineLevel="0" collapsed="false">
      <c r="A1423" s="3" t="s">
        <v>361</v>
      </c>
      <c r="G1423" s="25" t="n">
        <f aca="false">G1421-G1414</f>
        <v>1178.68240052</v>
      </c>
      <c r="H1423" s="25" t="n">
        <f aca="false">H1421-H1414</f>
        <v>1095.7600118192</v>
      </c>
      <c r="I1423" s="25" t="n">
        <f aca="false">I1421-I1414</f>
        <v>1025.17274020131</v>
      </c>
      <c r="J1423" s="25" t="n">
        <f aca="false">J1421-J1414</f>
        <v>947.367534259493</v>
      </c>
      <c r="K1423" s="25" t="n">
        <f aca="false">K1421-K1414</f>
        <v>879.778575000635</v>
      </c>
    </row>
    <row r="1424" customFormat="false" ht="15" hidden="false" customHeight="false" outlineLevel="0" collapsed="false">
      <c r="A1424" s="3" t="s">
        <v>362</v>
      </c>
      <c r="G1424" s="32" t="n">
        <f aca="false">IF(G1319&gt;0,G1421/G1319,0)</f>
        <v>6.74235575722369</v>
      </c>
      <c r="H1424" s="32" t="n">
        <f aca="false">IF(H1319&gt;0,H1421/H1319,0)</f>
        <v>7.02328724710801</v>
      </c>
      <c r="I1424" s="32" t="n">
        <f aca="false">IF(I1319&gt;0,I1421/I1319,0)</f>
        <v>5.60831428258289</v>
      </c>
      <c r="J1424" s="32" t="n">
        <f aca="false">IF(J1319&gt;0,J1421/J1319,0)</f>
        <v>5.88145294476343</v>
      </c>
      <c r="K1424" s="32" t="n">
        <f aca="false">IF(K1319&gt;0,K1421/K1319,0)</f>
        <v>6.16972817500957</v>
      </c>
    </row>
    <row r="1425" customFormat="false" ht="15" hidden="false" customHeight="false" outlineLevel="0" collapsed="false">
      <c r="A1425" s="3" t="s">
        <v>363</v>
      </c>
      <c r="G1425" s="32" t="n">
        <f aca="false">IF(G1319&gt;0,G1423/G1319,0)</f>
        <v>4.5789967175232</v>
      </c>
      <c r="H1425" s="32" t="n">
        <f aca="false">IF(H1319&gt;0,H1423/H1319,0)</f>
        <v>4.4342252196709</v>
      </c>
      <c r="I1425" s="32" t="n">
        <f aca="false">IF(I1319&gt;0,I1423/I1319,0)</f>
        <v>4.3719106264215</v>
      </c>
      <c r="J1425" s="32" t="n">
        <f aca="false">IF(J1319&gt;0,J1423/J1319,0)</f>
        <v>4.23686871559668</v>
      </c>
      <c r="K1425" s="32" t="n">
        <f aca="false">IF(K1319&gt;0,K1423/K1319,0)</f>
        <v>4.12744499797824</v>
      </c>
    </row>
    <row r="1426" customFormat="false" ht="15" hidden="false" customHeight="false" outlineLevel="0" collapsed="false">
      <c r="A1426" s="3" t="s">
        <v>364</v>
      </c>
      <c r="G1426" s="32" t="n">
        <f aca="false">IF(G1323&gt;0,G1319/G1323,0)</f>
        <v>1.65054771107528</v>
      </c>
      <c r="H1426" s="32" t="n">
        <f aca="false">IF(H1323&gt;0,H1319/H1323,0)</f>
        <v>1.58452580263226</v>
      </c>
      <c r="I1426" s="32" t="n">
        <f aca="false">IF(I1323&gt;0,I1319/I1323,0)</f>
        <v>1.50358294288113</v>
      </c>
      <c r="J1426" s="32" t="n">
        <f aca="false">IF(J1323&gt;0,J1319/J1323,0)</f>
        <v>1.61929537025185</v>
      </c>
      <c r="K1426" s="32" t="n">
        <f aca="false">IF(K1323&gt;0,K1319/K1323,0)</f>
        <v>1.54363519002112</v>
      </c>
    </row>
    <row r="1427" customFormat="false" ht="15" hidden="false" customHeight="false" outlineLevel="0" collapsed="false">
      <c r="A1427" s="3" t="s">
        <v>365</v>
      </c>
      <c r="G1427" s="32" t="n">
        <f aca="false">IF(G1323&gt;0,G1322/G1323,0)</f>
        <v>0.979085548384027</v>
      </c>
      <c r="H1427" s="32" t="n">
        <f aca="false">IF(H1323&gt;0,H1322/H1323,0)</f>
        <v>0.939922126448666</v>
      </c>
      <c r="I1427" s="32" t="n">
        <f aca="false">IF(I1323&gt;0,I1322/I1323,0)</f>
        <v>0.881540395363961</v>
      </c>
      <c r="J1427" s="32" t="n">
        <f aca="false">IF(J1323&gt;0,J1322/J1323,0)</f>
        <v>0.937831566125572</v>
      </c>
      <c r="K1427" s="32" t="n">
        <f aca="false">IF(K1323&gt;0,K1322/K1323,0)</f>
        <v>0.882615300018628</v>
      </c>
    </row>
    <row r="1428" customFormat="false" ht="15" hidden="false" customHeight="false" outlineLevel="0" collapsed="false">
      <c r="A1428" s="3" t="s">
        <v>198</v>
      </c>
      <c r="G1428" s="21" t="n">
        <f aca="false">IF(G1421&gt;0,G1332/G1421,0)</f>
        <v>0.0535135175742155</v>
      </c>
      <c r="H1428" s="21" t="n">
        <f aca="false">IF(H1421&gt;0,H1332/H1421,0)</f>
        <v>0.0477786278622273</v>
      </c>
      <c r="I1428" s="21" t="n">
        <f aca="false">IF(I1421&gt;0,I1332/I1421,0)</f>
        <v>0.0536745334704243</v>
      </c>
      <c r="J1428" s="21" t="n">
        <f aca="false">IF(J1421&gt;0,J1332/J1421,0)</f>
        <v>0.0591630478807046</v>
      </c>
      <c r="K1428" s="21" t="n">
        <f aca="false">IF(K1421&gt;0,K1332/K1421,0)</f>
        <v>0.0513946179363498</v>
      </c>
    </row>
    <row r="1429" customFormat="false" ht="15" hidden="false" customHeight="false" outlineLevel="0" collapsed="false">
      <c r="A1429" s="3" t="s">
        <v>366</v>
      </c>
      <c r="G1429" s="32" t="n">
        <f aca="false">IF(G1323+G1405&gt;0,(G1319-G1330-G1327)/(G1323+G1405),0)</f>
        <v>1.45798381144983</v>
      </c>
      <c r="H1429" s="32" t="n">
        <f aca="false">IF(H1323+H1405&gt;0,(H1319-H1330-H1327)/(H1323+H1405),0)</f>
        <v>1.39966445899183</v>
      </c>
      <c r="I1429" s="32" t="n">
        <f aca="false">IF(I1323+I1405&gt;0,(I1319-I1330-I1327)/(I1323+I1405),0)</f>
        <v>1.32519174626812</v>
      </c>
      <c r="J1429" s="32" t="n">
        <f aca="false">IF(J1323+J1405&gt;0,(J1319-J1330-J1327)/(J1323+J1405),0)</f>
        <v>1.42386317039387</v>
      </c>
      <c r="K1429" s="32" t="n">
        <f aca="false">IF(K1323+K1405&gt;0,(K1319-K1330-K1327)/(K1323+K1405),0)</f>
        <v>1.35406595615887</v>
      </c>
    </row>
    <row r="1430" customFormat="false" ht="15" hidden="false" customHeight="false" outlineLevel="0" collapsed="false">
      <c r="A1430" s="3" t="s">
        <v>367</v>
      </c>
      <c r="G1430" s="25" t="n">
        <f aca="false">MAX(0,G1414)+Assumptions!$P$56*MAX(0,Assumptions!$D$56-G1356)+Assumptions!$P$57*MAX(0,Assumptions!$D$57-G1369)+Assumptions!$P$58*MAX(0,Assumptions!$D$58-G1382)</f>
        <v>556.87159948</v>
      </c>
      <c r="H1430" s="25" t="n">
        <f aca="false">MAX(0,H1414)+Assumptions!$P$56*MAX(0,Assumptions!$D$56-H1356)+Assumptions!$P$57*MAX(0,Assumptions!$D$57-H1369)+Assumptions!$P$58*MAX(0,Assumptions!$D$58-H1382)</f>
        <v>639.7939881808</v>
      </c>
      <c r="I1430" s="25" t="n">
        <f aca="false">MAX(0,I1414)+Assumptions!$P$56*MAX(0,Assumptions!$D$56-I1356)+Assumptions!$P$57*MAX(0,Assumptions!$D$57-I1369)+Assumptions!$P$58*MAX(0,Assumptions!$D$58-I1382)</f>
        <v>289.925259798688</v>
      </c>
      <c r="J1430" s="25" t="n">
        <f aca="false">MAX(0,J1414)+Assumptions!$P$56*MAX(0,Assumptions!$D$56-J1356)+Assumptions!$P$57*MAX(0,Assumptions!$D$57-J1369)+Assumptions!$P$58*MAX(0,Assumptions!$D$58-J1382)</f>
        <v>367.730465740507</v>
      </c>
      <c r="K1430" s="25" t="n">
        <f aca="false">MAX(0,K1414)+Assumptions!$P$56*MAX(0,Assumptions!$D$56-K1356)+Assumptions!$P$57*MAX(0,Assumptions!$D$57-K1369)+Assumptions!$P$58*MAX(0,Assumptions!$D$58-K1382)</f>
        <v>435.319424999365</v>
      </c>
    </row>
    <row r="1431" customFormat="false" ht="15" hidden="false" customHeight="false" outlineLevel="0" collapsed="false">
      <c r="A1431" s="3" t="s">
        <v>368</v>
      </c>
      <c r="G1431" s="21" t="n">
        <f aca="false">IF(G1421&gt;0,G1421/(G1421+MAX(0,G1319*CHOOSE($C$1302,Assumptions!$C$82,Assumptions!$C$101,Assumptions!$C$120)-G1423)),0)</f>
        <v>0.879817286687798</v>
      </c>
      <c r="H1431" s="21" t="n">
        <f aca="false">IF(H1421&gt;0,H1421/(H1421+MAX(0,H1319*CHOOSE($C$1302,Assumptions!$C$82,Assumptions!$C$101,Assumptions!$C$120)-H1423)),0)</f>
        <v>0.868244948955253</v>
      </c>
      <c r="I1431" s="21" t="n">
        <f aca="false">IF(I1421&gt;0,I1421/(I1421+MAX(0,I1319*CHOOSE($C$1302,Assumptions!$C$82,Assumptions!$C$101,Assumptions!$C$120)-I1423)),0)</f>
        <v>0.832538334821028</v>
      </c>
      <c r="J1431" s="21" t="n">
        <f aca="false">IF(J1421&gt;0,J1421/(J1421+MAX(0,J1319*CHOOSE($C$1302,Assumptions!$C$82,Assumptions!$C$101,Assumptions!$C$120)-J1423)),0)</f>
        <v>0.823204367967731</v>
      </c>
      <c r="K1431" s="21" t="n">
        <f aca="false">IF(K1421&gt;0,K1421/(K1421+MAX(0,K1319*CHOOSE($C$1302,Assumptions!$C$82,Assumptions!$C$101,Assumptions!$C$120)-K1423)),0)</f>
        <v>0.818018633110776</v>
      </c>
    </row>
    <row r="1432" customFormat="false" ht="15" hidden="false" customHeight="false" outlineLevel="0" collapsed="false">
      <c r="A1432" s="3" t="s">
        <v>369</v>
      </c>
      <c r="G1432" s="21" t="n">
        <f aca="false">IF(G1421&gt;0,MAX(0,G1414)/G1421,0)</f>
        <v>0.32086100431332</v>
      </c>
      <c r="H1432" s="21" t="n">
        <f aca="false">IF(H1421&gt;0,MAX(0,H1414)/H1421,0)</f>
        <v>0.368639632175547</v>
      </c>
      <c r="I1432" s="21" t="n">
        <f aca="false">IF(I1421&gt;0,MAX(0,I1414)/I1421,0)</f>
        <v>0.220459053088582</v>
      </c>
      <c r="J1432" s="21" t="n">
        <f aca="false">IF(J1421&gt;0,MAX(0,J1414)/J1421,0)</f>
        <v>0.279622100969287</v>
      </c>
      <c r="K1432" s="21" t="n">
        <f aca="false">IF(K1421&gt;0,MAX(0,K1414)/K1421,0)</f>
        <v>0.331016718905636</v>
      </c>
    </row>
    <row r="1433" customFormat="false" ht="15" hidden="false" customHeight="false" outlineLevel="0" collapsed="false">
      <c r="A1433" s="3" t="s">
        <v>370</v>
      </c>
      <c r="G1433" s="25" t="n">
        <f aca="false">Assumptions!$C$30*(1-CHOOSE($C$1302,Assumptions!$C$85,Assumptions!$C$104,Assumptions!$C$123))</f>
        <v>2454.971</v>
      </c>
      <c r="H1433" s="25" t="n">
        <f aca="false">Assumptions!$C$30*(1-CHOOSE($C$1302,Assumptions!$C$85,Assumptions!$C$104,Assumptions!$C$123))</f>
        <v>2454.971</v>
      </c>
      <c r="I1433" s="25" t="n">
        <f aca="false">Assumptions!$C$30*(1-CHOOSE($C$1302,Assumptions!$C$85,Assumptions!$C$104,Assumptions!$C$123))</f>
        <v>2454.971</v>
      </c>
      <c r="J1433" s="25" t="n">
        <f aca="false">Assumptions!$C$30*(1-CHOOSE($C$1302,Assumptions!$C$85,Assumptions!$C$104,Assumptions!$C$123))</f>
        <v>2454.971</v>
      </c>
      <c r="K1433" s="25" t="n">
        <f aca="false">Assumptions!$C$30*(1-CHOOSE($C$1302,Assumptions!$C$85,Assumptions!$C$104,Assumptions!$C$123))</f>
        <v>2454.971</v>
      </c>
    </row>
    <row r="1434" customFormat="false" ht="15" hidden="false" customHeight="false" outlineLevel="0" collapsed="false">
      <c r="A1434" s="23" t="s">
        <v>371</v>
      </c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</row>
    <row r="1435" customFormat="false" ht="15" hidden="false" customHeight="false" outlineLevel="0" collapsed="false">
      <c r="A1435" s="23" t="s">
        <v>372</v>
      </c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</row>
    <row r="1436" customFormat="false" ht="15" hidden="false" customHeight="false" outlineLevel="0" collapsed="false">
      <c r="A1436" s="3" t="s">
        <v>373</v>
      </c>
      <c r="G1436" s="32" t="n">
        <f aca="false">IF(G1319&gt;0,G1423/G1319,99)</f>
        <v>4.5789967175232</v>
      </c>
      <c r="H1436" s="32" t="n">
        <f aca="false">IF(H1319&gt;0,H1423/H1319,99)</f>
        <v>4.4342252196709</v>
      </c>
      <c r="I1436" s="32" t="n">
        <f aca="false">IF(I1319&gt;0,I1423/I1319,99)</f>
        <v>4.3719106264215</v>
      </c>
      <c r="J1436" s="32" t="n">
        <f aca="false">IF(J1319&gt;0,J1423/J1319,99)</f>
        <v>4.23686871559668</v>
      </c>
      <c r="K1436" s="32" t="n">
        <f aca="false">IF(K1319&gt;0,K1423/K1319,99)</f>
        <v>4.12744499797824</v>
      </c>
    </row>
    <row r="1437" customFormat="false" ht="15" hidden="false" customHeight="false" outlineLevel="0" collapsed="false">
      <c r="A1437" s="3" t="s">
        <v>374</v>
      </c>
      <c r="G1437" s="33" t="n">
        <f aca="false">Assumptions!$G$65</f>
        <v>5.25</v>
      </c>
      <c r="H1437" s="33" t="n">
        <f aca="false">Assumptions!$H$65</f>
        <v>5.25</v>
      </c>
      <c r="I1437" s="33" t="n">
        <f aca="false">Assumptions!$I$65</f>
        <v>5</v>
      </c>
      <c r="J1437" s="33" t="n">
        <f aca="false">Assumptions!$J$65</f>
        <v>5</v>
      </c>
      <c r="K1437" s="33" t="n">
        <f aca="false">Assumptions!$K$65</f>
        <v>5</v>
      </c>
    </row>
    <row r="1438" customFormat="false" ht="15" hidden="false" customHeight="false" outlineLevel="0" collapsed="false">
      <c r="A1438" s="3" t="s">
        <v>375</v>
      </c>
      <c r="G1438" s="32" t="n">
        <f aca="false">G1437-G1436</f>
        <v>0.671003282476798</v>
      </c>
      <c r="H1438" s="32" t="n">
        <f aca="false">H1437-H1436</f>
        <v>0.815774780329099</v>
      </c>
      <c r="I1438" s="32" t="n">
        <f aca="false">I1437-I1436</f>
        <v>0.628089373578502</v>
      </c>
      <c r="J1438" s="32" t="n">
        <f aca="false">J1437-J1436</f>
        <v>0.763131284403316</v>
      </c>
      <c r="K1438" s="32" t="n">
        <f aca="false">K1437-K1436</f>
        <v>0.872555002021758</v>
      </c>
    </row>
    <row r="1439" customFormat="false" ht="15" hidden="false" customHeight="false" outlineLevel="0" collapsed="false">
      <c r="A1439" s="3" t="s">
        <v>376</v>
      </c>
      <c r="G1439" s="21" t="n">
        <f aca="false">IF(G1437=0,0,G1438/ABS(G1437))</f>
        <v>0.1278101490432</v>
      </c>
      <c r="H1439" s="21" t="n">
        <f aca="false">IF(H1437=0,0,H1438/ABS(H1437))</f>
        <v>0.155385672443638</v>
      </c>
      <c r="I1439" s="21" t="n">
        <f aca="false">IF(I1437=0,0,I1438/ABS(I1437))</f>
        <v>0.1256178747157</v>
      </c>
      <c r="J1439" s="21" t="n">
        <f aca="false">IF(J1437=0,0,J1438/ABS(J1437))</f>
        <v>0.152626256880663</v>
      </c>
      <c r="K1439" s="21" t="n">
        <f aca="false">IF(K1437=0,0,K1438/ABS(K1437))</f>
        <v>0.174511000404352</v>
      </c>
    </row>
    <row r="1440" customFormat="false" ht="15" hidden="false" customHeight="false" outlineLevel="0" collapsed="false">
      <c r="A1440" s="3" t="s">
        <v>377</v>
      </c>
      <c r="G1440" s="20" t="n">
        <f aca="false">IF(G1438&lt;0,1,0)</f>
        <v>0</v>
      </c>
      <c r="H1440" s="20" t="n">
        <f aca="false">IF(H1438&lt;0,1,0)</f>
        <v>0</v>
      </c>
      <c r="I1440" s="20" t="n">
        <f aca="false">IF(I1438&lt;0,1,0)</f>
        <v>0</v>
      </c>
      <c r="J1440" s="20" t="n">
        <f aca="false">IF(J1438&lt;0,1,0)</f>
        <v>0</v>
      </c>
      <c r="K1440" s="20" t="n">
        <f aca="false">IF(K1438&lt;0,1,0)</f>
        <v>0</v>
      </c>
    </row>
    <row r="1441" customFormat="false" ht="15" hidden="false" customHeight="false" outlineLevel="0" collapsed="false">
      <c r="A1441" s="3" t="s">
        <v>378</v>
      </c>
      <c r="C1441" s="20" t="n">
        <f aca="false">IFERROR(INDEX($G$1309:$K$1309,MATCH(1,$G$1440:$K$1440,0)),0)</f>
        <v>0</v>
      </c>
    </row>
    <row r="1442" customFormat="false" ht="15" hidden="false" customHeight="false" outlineLevel="0" collapsed="false">
      <c r="A1442" s="3" t="s">
        <v>379</v>
      </c>
      <c r="C1442" s="21" t="n">
        <f aca="false">MIN($G$1439:$K$1439)</f>
        <v>0.1256178747157</v>
      </c>
    </row>
    <row r="1443" customFormat="false" ht="15" hidden="false" customHeight="false" outlineLevel="0" collapsed="false">
      <c r="A1443" s="23" t="s">
        <v>380</v>
      </c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</row>
    <row r="1444" customFormat="false" ht="15" hidden="false" customHeight="false" outlineLevel="0" collapsed="false">
      <c r="A1444" s="3" t="s">
        <v>373</v>
      </c>
      <c r="G1444" s="32" t="n">
        <f aca="false">IF(G1323&gt;0,G1319/G1323,99)</f>
        <v>1.65054771107528</v>
      </c>
      <c r="H1444" s="32" t="n">
        <f aca="false">IF(H1323&gt;0,H1319/H1323,99)</f>
        <v>1.58452580263226</v>
      </c>
      <c r="I1444" s="32" t="n">
        <f aca="false">IF(I1323&gt;0,I1319/I1323,99)</f>
        <v>1.50358294288113</v>
      </c>
      <c r="J1444" s="32" t="n">
        <f aca="false">IF(J1323&gt;0,J1319/J1323,99)</f>
        <v>1.61929537025185</v>
      </c>
      <c r="K1444" s="32" t="n">
        <f aca="false">IF(K1323&gt;0,K1319/K1323,99)</f>
        <v>1.54363519002112</v>
      </c>
    </row>
    <row r="1445" customFormat="false" ht="15" hidden="false" customHeight="false" outlineLevel="0" collapsed="false">
      <c r="A1445" s="3" t="s">
        <v>374</v>
      </c>
      <c r="G1445" s="33" t="n">
        <f aca="false">Assumptions!$G$66</f>
        <v>1.4</v>
      </c>
      <c r="H1445" s="33" t="n">
        <f aca="false">Assumptions!$H$66</f>
        <v>1.4</v>
      </c>
      <c r="I1445" s="33" t="n">
        <f aca="false">Assumptions!$I$66</f>
        <v>1.4</v>
      </c>
      <c r="J1445" s="33" t="n">
        <f aca="false">Assumptions!$J$66</f>
        <v>1.5</v>
      </c>
      <c r="K1445" s="33" t="n">
        <f aca="false">Assumptions!$K$66</f>
        <v>1.5</v>
      </c>
    </row>
    <row r="1446" customFormat="false" ht="15" hidden="false" customHeight="false" outlineLevel="0" collapsed="false">
      <c r="A1446" s="3" t="s">
        <v>375</v>
      </c>
      <c r="G1446" s="32" t="n">
        <f aca="false">G1444-G1445</f>
        <v>0.250547711075276</v>
      </c>
      <c r="H1446" s="32" t="n">
        <f aca="false">H1444-H1445</f>
        <v>0.184525802632265</v>
      </c>
      <c r="I1446" s="32" t="n">
        <f aca="false">I1444-I1445</f>
        <v>0.103582942881133</v>
      </c>
      <c r="J1446" s="32" t="n">
        <f aca="false">J1444-J1445</f>
        <v>0.119295370251848</v>
      </c>
      <c r="K1446" s="32" t="n">
        <f aca="false">K1444-K1445</f>
        <v>0.0436351900211149</v>
      </c>
    </row>
    <row r="1447" customFormat="false" ht="15" hidden="false" customHeight="false" outlineLevel="0" collapsed="false">
      <c r="A1447" s="3" t="s">
        <v>376</v>
      </c>
      <c r="G1447" s="21" t="n">
        <f aca="false">IF(G1445=0,0,G1446/ABS(G1445))</f>
        <v>0.178962650768054</v>
      </c>
      <c r="H1447" s="21" t="n">
        <f aca="false">IF(H1445=0,0,H1446/ABS(H1445))</f>
        <v>0.131804144737332</v>
      </c>
      <c r="I1447" s="21" t="n">
        <f aca="false">IF(I1445=0,0,I1446/ABS(I1445))</f>
        <v>0.0739878163436668</v>
      </c>
      <c r="J1447" s="21" t="n">
        <f aca="false">IF(J1445=0,0,J1446/ABS(J1445))</f>
        <v>0.0795302468345653</v>
      </c>
      <c r="K1447" s="21" t="n">
        <f aca="false">IF(K1445=0,0,K1446/ABS(K1445))</f>
        <v>0.0290901266807433</v>
      </c>
    </row>
    <row r="1448" customFormat="false" ht="15" hidden="false" customHeight="false" outlineLevel="0" collapsed="false">
      <c r="A1448" s="3" t="s">
        <v>377</v>
      </c>
      <c r="G1448" s="20" t="n">
        <f aca="false">IF(G1446&lt;0,1,0)</f>
        <v>0</v>
      </c>
      <c r="H1448" s="20" t="n">
        <f aca="false">IF(H1446&lt;0,1,0)</f>
        <v>0</v>
      </c>
      <c r="I1448" s="20" t="n">
        <f aca="false">IF(I1446&lt;0,1,0)</f>
        <v>0</v>
      </c>
      <c r="J1448" s="20" t="n">
        <f aca="false">IF(J1446&lt;0,1,0)</f>
        <v>0</v>
      </c>
      <c r="K1448" s="20" t="n">
        <f aca="false">IF(K1446&lt;0,1,0)</f>
        <v>0</v>
      </c>
    </row>
    <row r="1449" customFormat="false" ht="15" hidden="false" customHeight="false" outlineLevel="0" collapsed="false">
      <c r="A1449" s="3" t="s">
        <v>378</v>
      </c>
      <c r="C1449" s="20" t="n">
        <f aca="false">IFERROR(INDEX($G$1309:$K$1309,MATCH(1,$G$1448:$K$1448,0)),0)</f>
        <v>0</v>
      </c>
    </row>
    <row r="1450" customFormat="false" ht="15" hidden="false" customHeight="false" outlineLevel="0" collapsed="false">
      <c r="A1450" s="3" t="s">
        <v>379</v>
      </c>
      <c r="C1450" s="21" t="n">
        <f aca="false">MIN($G$1447:$K$1447)</f>
        <v>0.0290901266807433</v>
      </c>
    </row>
    <row r="1451" customFormat="false" ht="15" hidden="false" customHeight="false" outlineLevel="0" collapsed="false">
      <c r="A1451" s="23" t="s">
        <v>381</v>
      </c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</row>
    <row r="1452" customFormat="false" ht="15" hidden="false" customHeight="false" outlineLevel="0" collapsed="false">
      <c r="A1452" s="3" t="s">
        <v>373</v>
      </c>
      <c r="G1452" s="25" t="n">
        <f aca="false">G1430</f>
        <v>556.87159948</v>
      </c>
      <c r="H1452" s="25" t="n">
        <f aca="false">H1430</f>
        <v>639.7939881808</v>
      </c>
      <c r="I1452" s="25" t="n">
        <f aca="false">I1430</f>
        <v>289.925259798688</v>
      </c>
      <c r="J1452" s="25" t="n">
        <f aca="false">J1430</f>
        <v>367.730465740507</v>
      </c>
      <c r="K1452" s="25" t="n">
        <f aca="false">K1430</f>
        <v>435.319424999365</v>
      </c>
    </row>
    <row r="1453" customFormat="false" ht="15" hidden="false" customHeight="false" outlineLevel="0" collapsed="false">
      <c r="A1453" s="3" t="s">
        <v>374</v>
      </c>
      <c r="G1453" s="29" t="n">
        <f aca="false">Assumptions!$G$67</f>
        <v>200</v>
      </c>
      <c r="H1453" s="29" t="n">
        <f aca="false">Assumptions!$H$67</f>
        <v>200</v>
      </c>
      <c r="I1453" s="29" t="n">
        <f aca="false">Assumptions!$I$67</f>
        <v>200</v>
      </c>
      <c r="J1453" s="29" t="n">
        <f aca="false">Assumptions!$J$67</f>
        <v>200</v>
      </c>
      <c r="K1453" s="29" t="n">
        <f aca="false">Assumptions!$K$67</f>
        <v>200</v>
      </c>
    </row>
    <row r="1454" customFormat="false" ht="15" hidden="false" customHeight="false" outlineLevel="0" collapsed="false">
      <c r="A1454" s="3" t="s">
        <v>375</v>
      </c>
      <c r="G1454" s="25" t="n">
        <f aca="false">G1452-G1453</f>
        <v>356.87159948</v>
      </c>
      <c r="H1454" s="25" t="n">
        <f aca="false">H1452-H1453</f>
        <v>439.7939881808</v>
      </c>
      <c r="I1454" s="25" t="n">
        <f aca="false">I1452-I1453</f>
        <v>89.925259798688</v>
      </c>
      <c r="J1454" s="25" t="n">
        <f aca="false">J1452-J1453</f>
        <v>167.730465740507</v>
      </c>
      <c r="K1454" s="25" t="n">
        <f aca="false">K1452-K1453</f>
        <v>235.319424999365</v>
      </c>
    </row>
    <row r="1455" customFormat="false" ht="15" hidden="false" customHeight="false" outlineLevel="0" collapsed="false">
      <c r="A1455" s="3" t="s">
        <v>376</v>
      </c>
      <c r="G1455" s="21" t="n">
        <f aca="false">IF(G1453=0,0,G1454/ABS(G1453))</f>
        <v>1.7843579974</v>
      </c>
      <c r="H1455" s="21" t="n">
        <f aca="false">IF(H1453=0,0,H1454/ABS(H1453))</f>
        <v>2.198969940904</v>
      </c>
      <c r="I1455" s="21" t="n">
        <f aca="false">IF(I1453=0,0,I1454/ABS(I1453))</f>
        <v>0.44962629899344</v>
      </c>
      <c r="J1455" s="21" t="n">
        <f aca="false">IF(J1453=0,0,J1454/ABS(J1453))</f>
        <v>0.838652328702534</v>
      </c>
      <c r="K1455" s="21" t="n">
        <f aca="false">IF(K1453=0,0,K1454/ABS(K1453))</f>
        <v>1.17659712499682</v>
      </c>
    </row>
    <row r="1456" customFormat="false" ht="15" hidden="false" customHeight="false" outlineLevel="0" collapsed="false">
      <c r="A1456" s="3" t="s">
        <v>377</v>
      </c>
      <c r="G1456" s="20" t="n">
        <f aca="false">IF(G1454&lt;0,1,0)</f>
        <v>0</v>
      </c>
      <c r="H1456" s="20" t="n">
        <f aca="false">IF(H1454&lt;0,1,0)</f>
        <v>0</v>
      </c>
      <c r="I1456" s="20" t="n">
        <f aca="false">IF(I1454&lt;0,1,0)</f>
        <v>0</v>
      </c>
      <c r="J1456" s="20" t="n">
        <f aca="false">IF(J1454&lt;0,1,0)</f>
        <v>0</v>
      </c>
      <c r="K1456" s="20" t="n">
        <f aca="false">IF(K1454&lt;0,1,0)</f>
        <v>0</v>
      </c>
    </row>
    <row r="1457" customFormat="false" ht="15" hidden="false" customHeight="false" outlineLevel="0" collapsed="false">
      <c r="A1457" s="3" t="s">
        <v>378</v>
      </c>
      <c r="C1457" s="20" t="n">
        <f aca="false">IFERROR(INDEX($G$1309:$K$1309,MATCH(1,$G$1456:$K$1456,0)),0)</f>
        <v>0</v>
      </c>
    </row>
    <row r="1458" customFormat="false" ht="15" hidden="false" customHeight="false" outlineLevel="0" collapsed="false">
      <c r="A1458" s="3" t="s">
        <v>379</v>
      </c>
      <c r="C1458" s="21" t="n">
        <f aca="false">MIN($G$1455:$K$1455)</f>
        <v>0.44962629899344</v>
      </c>
    </row>
    <row r="1459" customFormat="false" ht="15" hidden="false" customHeight="false" outlineLevel="0" collapsed="false">
      <c r="A1459" s="3" t="s">
        <v>382</v>
      </c>
      <c r="G1459" s="20" t="n">
        <f aca="false">G1440+G1448+G1456</f>
        <v>0</v>
      </c>
      <c r="H1459" s="20" t="n">
        <f aca="false">H1440+H1448+H1456</f>
        <v>0</v>
      </c>
      <c r="I1459" s="20" t="n">
        <f aca="false">I1440+I1448+I1456</f>
        <v>0</v>
      </c>
      <c r="J1459" s="20" t="n">
        <f aca="false">J1440+J1448+J1456</f>
        <v>0</v>
      </c>
      <c r="K1459" s="20" t="n">
        <f aca="false">K1440+K1448+K1456</f>
        <v>0</v>
      </c>
    </row>
    <row r="1460" customFormat="false" ht="15" hidden="false" customHeight="false" outlineLevel="0" collapsed="false">
      <c r="A1460" s="3" t="s">
        <v>383</v>
      </c>
      <c r="C1460" s="20" t="n">
        <f aca="false">SUM($G$1459:$K$1459)</f>
        <v>0</v>
      </c>
    </row>
    <row r="1461" customFormat="false" ht="15" hidden="false" customHeight="false" outlineLevel="0" collapsed="false">
      <c r="A1461" s="3" t="s">
        <v>384</v>
      </c>
      <c r="C1461" s="21" t="n">
        <f aca="false">MIN(C1442,C1450,C1458)</f>
        <v>0.0290901266807433</v>
      </c>
    </row>
    <row r="1463" customFormat="false" ht="15" hidden="false" customHeight="false" outlineLevel="0" collapsed="false">
      <c r="A1463" s="23" t="s">
        <v>486</v>
      </c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</row>
    <row r="1464" customFormat="false" ht="15" hidden="false" customHeight="false" outlineLevel="0" collapsed="false">
      <c r="A1464" s="3" t="s">
        <v>487</v>
      </c>
      <c r="G1464" s="20" t="n">
        <f aca="false">IF($C$1465=1,G1417,IF(G1319=MIN($G$1319:$K$1319),1,0))</f>
        <v>0</v>
      </c>
      <c r="H1464" s="20" t="n">
        <f aca="false">IF($C$1465=1,H1417,IF(AND(H1319=MIN($G$1319:$K$1319),SUM($G$1464:G1464)=0),1,0))</f>
        <v>0</v>
      </c>
      <c r="I1464" s="20" t="n">
        <f aca="false">IF($C$1465=1,I1417,IF(AND(I1319=MIN($G$1319:$K$1319),SUM($G$1464:H1464)=0),1,0))</f>
        <v>0</v>
      </c>
      <c r="J1464" s="20" t="n">
        <f aca="false">IF($C$1465=1,J1417,IF(AND(J1319=MIN($G$1319:$K$1319),SUM($G$1464:I1464)=0),1,0))</f>
        <v>0</v>
      </c>
      <c r="K1464" s="20" t="n">
        <f aca="false">IF($C$1465=1,K1417,IF(AND(K1319=MIN($G$1319:$K$1319),SUM($G$1464:J1464)=0),1,0))</f>
        <v>1</v>
      </c>
    </row>
    <row r="1465" customFormat="false" ht="15" hidden="false" customHeight="false" outlineLevel="0" collapsed="false">
      <c r="A1465" s="3" t="s">
        <v>488</v>
      </c>
      <c r="C1465" s="20" t="n">
        <f aca="false">IF(SUM($G$1417:$K$1417)&gt;0,1,0)</f>
        <v>0</v>
      </c>
    </row>
    <row r="1466" customFormat="false" ht="15" hidden="false" customHeight="false" outlineLevel="0" collapsed="false">
      <c r="A1466" s="3" t="s">
        <v>489</v>
      </c>
      <c r="C1466" s="20" t="n">
        <f aca="false">SUMPRODUCT($G$1464:$K$1464,$G$1309:$K$1309)</f>
        <v>2031</v>
      </c>
    </row>
    <row r="1467" customFormat="false" ht="15" hidden="false" customHeight="false" outlineLevel="0" collapsed="false">
      <c r="A1467" s="3" t="s">
        <v>490</v>
      </c>
      <c r="C1467" s="25" t="n">
        <f aca="false">SUMPRODUCT($G$1464:$K$1464,$G$1319:$K$1319)</f>
        <v>213.153312868271</v>
      </c>
    </row>
    <row r="1468" customFormat="false" ht="15" hidden="false" customHeight="false" outlineLevel="0" collapsed="false">
      <c r="A1468" s="3" t="s">
        <v>491</v>
      </c>
      <c r="C1468" s="25" t="n">
        <f aca="false">MAX(0,SUMPRODUCT($G$1464:$K$1464,$G$1414:$K$1414))</f>
        <v>435.319424999365</v>
      </c>
    </row>
    <row r="1469" customFormat="false" ht="15" hidden="false" customHeight="false" outlineLevel="0" collapsed="false">
      <c r="A1469" s="3" t="s">
        <v>492</v>
      </c>
      <c r="C1469" s="25" t="n">
        <f aca="false">(CHOOSE($C$1302,Assumptions!$C$84,Assumptions!$C$103,Assumptions!$C$122)+$C$1306)*C1467</f>
        <v>1065.76656434135</v>
      </c>
    </row>
    <row r="1470" customFormat="false" ht="15" hidden="false" customHeight="false" outlineLevel="0" collapsed="false">
      <c r="A1470" s="3" t="s">
        <v>493</v>
      </c>
      <c r="C1470" s="25" t="n">
        <f aca="false">Assumptions!$C$30*(1-CHOOSE($C$1302,Assumptions!$C$85,Assumptions!$C$104,Assumptions!$C$123))*CHOOSE($C$1302,Assumptions!$C$86,Assumptions!$C$105,Assumptions!$C$124)</f>
        <v>736.4913</v>
      </c>
    </row>
    <row r="1471" customFormat="false" ht="15" hidden="false" customHeight="false" outlineLevel="0" collapsed="false">
      <c r="A1471" s="3" t="s">
        <v>494</v>
      </c>
      <c r="C1471" s="25" t="n">
        <f aca="false">MAX(C1469,C1470)+C1468</f>
        <v>1501.08598934072</v>
      </c>
    </row>
    <row r="1472" customFormat="false" ht="15" hidden="false" customHeight="false" outlineLevel="0" collapsed="false">
      <c r="A1472" s="2" t="s">
        <v>495</v>
      </c>
      <c r="C1472" s="16" t="n">
        <f aca="false">IF(ISNUMBER(Assumptions!$C$14),Assumptions!$C$14,C1471)</f>
        <v>1501.08598934072</v>
      </c>
    </row>
    <row r="1473" customFormat="false" ht="15" hidden="false" customHeight="false" outlineLevel="0" collapsed="false">
      <c r="A1473" s="3" t="s">
        <v>496</v>
      </c>
      <c r="C1473" s="25" t="n">
        <f aca="false">C1472*Assumptions!$C$15</f>
        <v>60.0434395736287</v>
      </c>
    </row>
    <row r="1474" customFormat="false" ht="15" hidden="false" customHeight="false" outlineLevel="0" collapsed="false">
      <c r="A1474" s="2" t="s">
        <v>497</v>
      </c>
      <c r="C1474" s="16" t="n">
        <f aca="false">C1472-C1473</f>
        <v>1441.04254976709</v>
      </c>
    </row>
    <row r="1475" customFormat="false" ht="15" hidden="false" customHeight="false" outlineLevel="0" collapsed="false">
      <c r="A1475" s="23" t="s">
        <v>498</v>
      </c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</row>
    <row r="1476" customFormat="false" ht="15" hidden="false" customHeight="false" outlineLevel="0" collapsed="false">
      <c r="A1476" s="3" t="s">
        <v>499</v>
      </c>
      <c r="C1476" s="25" t="n">
        <f aca="false">SUMPRODUCT($G$1464:$K$1464,$G$1356:$K$1356)*(1+SUMPRODUCT($G$1464:$K$1464,$G$1348:$K$1348)*Assumptions!$C$16/12)</f>
        <v>1349.6193225</v>
      </c>
    </row>
    <row r="1477" customFormat="false" ht="15" hidden="false" customHeight="false" outlineLevel="0" collapsed="false">
      <c r="A1477" s="3" t="s">
        <v>500</v>
      </c>
      <c r="C1477" s="25" t="n">
        <f aca="false">SUMPRODUCT($G$1464:$K$1464,$G$1369:$K$1369)*(1+SUMPRODUCT($G$1464:$K$1464,$G$1361:$K$1361)*Assumptions!$C$16/12)</f>
        <v>0</v>
      </c>
    </row>
    <row r="1478" customFormat="false" ht="15" hidden="false" customHeight="false" outlineLevel="0" collapsed="false">
      <c r="A1478" s="3" t="s">
        <v>501</v>
      </c>
      <c r="C1478" s="25" t="n">
        <f aca="false">SUMPRODUCT($G$1464:$K$1464,$G$1382:$K$1382)*(1+SUMPRODUCT($G$1464:$K$1464,$G$1374:$K$1374)*Assumptions!$C$16/12)</f>
        <v>0</v>
      </c>
    </row>
    <row r="1479" customFormat="false" ht="15" hidden="false" customHeight="false" outlineLevel="0" collapsed="false">
      <c r="A1479" s="23" t="s">
        <v>502</v>
      </c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</row>
    <row r="1480" customFormat="false" ht="15" hidden="false" customHeight="false" outlineLevel="0" collapsed="false">
      <c r="A1480" s="3" t="s">
        <v>499</v>
      </c>
      <c r="C1480" s="27" t="n">
        <f aca="false">Assumptions!$M$56</f>
        <v>1</v>
      </c>
    </row>
    <row r="1481" customFormat="false" ht="15" hidden="false" customHeight="false" outlineLevel="0" collapsed="false">
      <c r="A1481" s="3" t="s">
        <v>500</v>
      </c>
      <c r="C1481" s="27" t="n">
        <f aca="false">Assumptions!$M$57</f>
        <v>2</v>
      </c>
    </row>
    <row r="1482" customFormat="false" ht="15" hidden="false" customHeight="false" outlineLevel="0" collapsed="false">
      <c r="A1482" s="3" t="s">
        <v>501</v>
      </c>
      <c r="C1482" s="27" t="n">
        <f aca="false">Assumptions!$M$58</f>
        <v>2</v>
      </c>
    </row>
    <row r="1483" customFormat="false" ht="15" hidden="false" customHeight="false" outlineLevel="0" collapsed="false">
      <c r="A1483" s="23" t="s">
        <v>503</v>
      </c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</row>
    <row r="1484" customFormat="false" ht="15" hidden="false" customHeight="false" outlineLevel="0" collapsed="false">
      <c r="A1484" s="3" t="s">
        <v>499</v>
      </c>
      <c r="C1484" s="35" t="n">
        <f aca="false">Assumptions!$Q$56</f>
        <v>0</v>
      </c>
    </row>
    <row r="1485" customFormat="false" ht="15" hidden="false" customHeight="false" outlineLevel="0" collapsed="false">
      <c r="A1485" s="3" t="s">
        <v>500</v>
      </c>
      <c r="C1485" s="35" t="n">
        <f aca="false">Assumptions!$Q$57</f>
        <v>0</v>
      </c>
    </row>
    <row r="1486" customFormat="false" ht="15" hidden="false" customHeight="false" outlineLevel="0" collapsed="false">
      <c r="A1486" s="3" t="s">
        <v>501</v>
      </c>
      <c r="C1486" s="35" t="n">
        <f aca="false">Assumptions!$Q$58</f>
        <v>0</v>
      </c>
    </row>
    <row r="1487" customFormat="false" ht="15" hidden="false" customHeight="false" outlineLevel="0" collapsed="false">
      <c r="A1487" s="23" t="s">
        <v>504</v>
      </c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</row>
    <row r="1488" customFormat="false" ht="15" hidden="false" customHeight="false" outlineLevel="0" collapsed="false">
      <c r="A1488" s="3" t="s">
        <v>499</v>
      </c>
      <c r="C1488" s="25" t="n">
        <f aca="false">IF(C1484&gt;0,MIN(C1476,C1484*$C$1474),0)</f>
        <v>0</v>
      </c>
    </row>
    <row r="1489" customFormat="false" ht="15" hidden="false" customHeight="false" outlineLevel="0" collapsed="false">
      <c r="A1489" s="3" t="s">
        <v>500</v>
      </c>
      <c r="C1489" s="25" t="n">
        <f aca="false">IF(C1485&gt;0,MIN(C1477,C1485*$C$1474),0)</f>
        <v>0</v>
      </c>
    </row>
    <row r="1490" customFormat="false" ht="15" hidden="false" customHeight="false" outlineLevel="0" collapsed="false">
      <c r="A1490" s="3" t="s">
        <v>501</v>
      </c>
      <c r="C1490" s="25" t="n">
        <f aca="false">IF(C1486&gt;0,MIN(C1478,C1486*$C$1474),0)</f>
        <v>0</v>
      </c>
    </row>
    <row r="1491" customFormat="false" ht="15" hidden="false" customHeight="false" outlineLevel="0" collapsed="false">
      <c r="A1491" s="23" t="s">
        <v>505</v>
      </c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</row>
    <row r="1492" customFormat="false" ht="15" hidden="false" customHeight="false" outlineLevel="0" collapsed="false">
      <c r="A1492" s="3" t="s">
        <v>499</v>
      </c>
      <c r="C1492" s="25" t="n">
        <f aca="false">IF(C1484&gt;0,C1476-C1488,0)</f>
        <v>0</v>
      </c>
      <c r="G1492" s="20" t="n">
        <f aca="false">IF(AND(G1346=1,G1343=1),1,0)</f>
        <v>0</v>
      </c>
      <c r="H1492" s="20" t="n">
        <f aca="false">IF(G1492=1,1,IF(AND(H1346=1,H1343=1),1,0))</f>
        <v>0</v>
      </c>
      <c r="I1492" s="20" t="n">
        <f aca="false">IF(H1492=1,1,IF(AND(I1346=1,I1343=1),1,0))</f>
        <v>0</v>
      </c>
      <c r="J1492" s="20" t="n">
        <f aca="false">IF(I1492=1,1,IF(AND(J1346=1,J1343=1),1,0))</f>
        <v>0</v>
      </c>
      <c r="K1492" s="20" t="n">
        <f aca="false">IF(J1492=1,1,IF(AND(K1346=1,K1343=1),1,0))</f>
        <v>0</v>
      </c>
    </row>
    <row r="1493" customFormat="false" ht="15" hidden="false" customHeight="false" outlineLevel="0" collapsed="false">
      <c r="A1493" s="3" t="s">
        <v>500</v>
      </c>
      <c r="C1493" s="25" t="n">
        <f aca="false">IF(C1485&gt;0,C1477-C1489,0)</f>
        <v>0</v>
      </c>
      <c r="G1493" s="20" t="n">
        <f aca="false">IF(AND(G1359=1,G1343=1),1,0)</f>
        <v>0</v>
      </c>
      <c r="H1493" s="20" t="n">
        <f aca="false">IF(G1493=1,1,IF(AND(H1359=1,H1343=1),1,0))</f>
        <v>0</v>
      </c>
      <c r="I1493" s="20" t="n">
        <f aca="false">IF(H1493=1,1,IF(AND(I1359=1,I1343=1),1,0))</f>
        <v>1</v>
      </c>
      <c r="J1493" s="20" t="n">
        <f aca="false">IF(I1493=1,1,IF(AND(J1359=1,J1343=1),1,0))</f>
        <v>1</v>
      </c>
      <c r="K1493" s="20" t="n">
        <f aca="false">IF(J1493=1,1,IF(AND(K1359=1,K1343=1),1,0))</f>
        <v>1</v>
      </c>
    </row>
    <row r="1494" customFormat="false" ht="15" hidden="false" customHeight="false" outlineLevel="0" collapsed="false">
      <c r="A1494" s="3" t="s">
        <v>501</v>
      </c>
      <c r="C1494" s="25" t="n">
        <f aca="false">IF(C1486&gt;0,C1478-C1490,0)</f>
        <v>0</v>
      </c>
      <c r="G1494" s="20" t="n">
        <f aca="false">IF(AND(G1372=1,G1343=1),1,0)</f>
        <v>0</v>
      </c>
      <c r="H1494" s="20" t="n">
        <f aca="false">IF(G1494=1,1,IF(AND(H1372=1,H1343=1),1,0))</f>
        <v>0</v>
      </c>
      <c r="I1494" s="20" t="n">
        <f aca="false">IF(H1494=1,1,IF(AND(I1372=1,I1343=1),1,0))</f>
        <v>1</v>
      </c>
      <c r="J1494" s="20" t="n">
        <f aca="false">IF(I1494=1,1,IF(AND(J1372=1,J1343=1),1,0))</f>
        <v>1</v>
      </c>
      <c r="K1494" s="20" t="n">
        <f aca="false">IF(J1494=1,1,IF(AND(K1372=1,K1343=1),1,0))</f>
        <v>1</v>
      </c>
    </row>
    <row r="1495" customFormat="false" ht="15" hidden="false" customHeight="false" outlineLevel="0" collapsed="false">
      <c r="A1495" s="23" t="s">
        <v>506</v>
      </c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</row>
    <row r="1496" customFormat="false" ht="15" hidden="false" customHeight="false" outlineLevel="0" collapsed="false">
      <c r="A1496" s="3" t="s">
        <v>499</v>
      </c>
      <c r="C1496" s="25" t="n">
        <f aca="false">IF(C1484&gt;0,C1492,C1476)</f>
        <v>1349.6193225</v>
      </c>
    </row>
    <row r="1497" customFormat="false" ht="15" hidden="false" customHeight="false" outlineLevel="0" collapsed="false">
      <c r="A1497" s="3" t="s">
        <v>500</v>
      </c>
      <c r="C1497" s="25" t="n">
        <f aca="false">IF(C1485&gt;0,C1493,C1477)</f>
        <v>0</v>
      </c>
    </row>
    <row r="1498" customFormat="false" ht="15" hidden="false" customHeight="false" outlineLevel="0" collapsed="false">
      <c r="A1498" s="3" t="s">
        <v>501</v>
      </c>
      <c r="C1498" s="25" t="n">
        <f aca="false">IF(C1486&gt;0,C1494,C1478)</f>
        <v>0</v>
      </c>
    </row>
    <row r="1499" customFormat="false" ht="15" hidden="false" customHeight="false" outlineLevel="0" collapsed="false">
      <c r="A1499" s="23" t="s">
        <v>507</v>
      </c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</row>
    <row r="1500" customFormat="false" ht="15" hidden="false" customHeight="false" outlineLevel="0" collapsed="false">
      <c r="A1500" s="3" t="s">
        <v>499</v>
      </c>
      <c r="C1500" s="20" t="n">
        <f aca="false">IF(C1484&gt;0,Assumptions!$C$17,C1480)</f>
        <v>1</v>
      </c>
    </row>
    <row r="1501" customFormat="false" ht="15" hidden="false" customHeight="false" outlineLevel="0" collapsed="false">
      <c r="A1501" s="3" t="s">
        <v>500</v>
      </c>
      <c r="C1501" s="20" t="n">
        <f aca="false">IF(C1485&gt;0,Assumptions!$C$17,C1481)</f>
        <v>2</v>
      </c>
    </row>
    <row r="1502" customFormat="false" ht="15" hidden="false" customHeight="false" outlineLevel="0" collapsed="false">
      <c r="A1502" s="3" t="s">
        <v>501</v>
      </c>
      <c r="C1502" s="20" t="n">
        <f aca="false">IF(C1486&gt;0,Assumptions!$C$17,C1482)</f>
        <v>2</v>
      </c>
    </row>
    <row r="1503" customFormat="false" ht="15" hidden="false" customHeight="false" outlineLevel="0" collapsed="false">
      <c r="A1503" s="23" t="s">
        <v>508</v>
      </c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</row>
    <row r="1504" customFormat="false" ht="15" hidden="false" customHeight="false" outlineLevel="0" collapsed="false">
      <c r="A1504" s="3" t="s">
        <v>499</v>
      </c>
      <c r="C1504" s="25" t="n">
        <f aca="false">SUMPRODUCT(($C$1500:$C$1502&lt;C1500)*$C$1496:$C$1498)</f>
        <v>0</v>
      </c>
    </row>
    <row r="1505" customFormat="false" ht="15" hidden="false" customHeight="false" outlineLevel="0" collapsed="false">
      <c r="A1505" s="3" t="s">
        <v>500</v>
      </c>
      <c r="C1505" s="25" t="n">
        <f aca="false">SUMPRODUCT(($C$1500:$C$1502&lt;C1501)*$C$1496:$C$1498)</f>
        <v>1349.6193225</v>
      </c>
    </row>
    <row r="1506" customFormat="false" ht="15" hidden="false" customHeight="false" outlineLevel="0" collapsed="false">
      <c r="A1506" s="3" t="s">
        <v>501</v>
      </c>
      <c r="C1506" s="25" t="n">
        <f aca="false">SUMPRODUCT(($C$1500:$C$1502&lt;C1502)*$C$1496:$C$1498)</f>
        <v>1349.6193225</v>
      </c>
    </row>
    <row r="1507" customFormat="false" ht="15" hidden="false" customHeight="false" outlineLevel="0" collapsed="false">
      <c r="A1507" s="23" t="s">
        <v>509</v>
      </c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</row>
    <row r="1508" customFormat="false" ht="15" hidden="false" customHeight="false" outlineLevel="0" collapsed="false">
      <c r="A1508" s="3" t="s">
        <v>499</v>
      </c>
      <c r="C1508" s="25" t="n">
        <f aca="false">SUMPRODUCT(($C$1500:$C$1502=C1500)*$C$1496:$C$1498)</f>
        <v>1349.6193225</v>
      </c>
    </row>
    <row r="1509" customFormat="false" ht="15" hidden="false" customHeight="false" outlineLevel="0" collapsed="false">
      <c r="A1509" s="3" t="s">
        <v>500</v>
      </c>
      <c r="C1509" s="25" t="n">
        <f aca="false">SUMPRODUCT(($C$1500:$C$1502=C1501)*$C$1496:$C$1498)</f>
        <v>0</v>
      </c>
    </row>
    <row r="1510" customFormat="false" ht="15" hidden="false" customHeight="false" outlineLevel="0" collapsed="false">
      <c r="A1510" s="3" t="s">
        <v>501</v>
      </c>
      <c r="C1510" s="25" t="n">
        <f aca="false">SUMPRODUCT(($C$1500:$C$1502=C1502)*$C$1496:$C$1498)</f>
        <v>0</v>
      </c>
    </row>
    <row r="1511" customFormat="false" ht="15" hidden="false" customHeight="false" outlineLevel="0" collapsed="false">
      <c r="A1511" s="23" t="s">
        <v>510</v>
      </c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</row>
    <row r="1512" customFormat="false" ht="15" hidden="false" customHeight="false" outlineLevel="0" collapsed="false">
      <c r="A1512" s="3" t="s">
        <v>499</v>
      </c>
      <c r="C1512" s="25" t="n">
        <f aca="false">IF(C1508=0,0,C1496/C1508*MAX(0,MIN(C1508,$C$1474-SUM($C$1488:$C$1490)-C1504)))</f>
        <v>1349.6193225</v>
      </c>
    </row>
    <row r="1513" customFormat="false" ht="15" hidden="false" customHeight="false" outlineLevel="0" collapsed="false">
      <c r="A1513" s="3" t="s">
        <v>500</v>
      </c>
      <c r="C1513" s="25" t="n">
        <f aca="false">IF(C1509=0,0,C1497/C1509*MAX(0,MIN(C1509,$C$1474-SUM($C$1488:$C$1490)-C1505)))</f>
        <v>0</v>
      </c>
    </row>
    <row r="1514" customFormat="false" ht="15" hidden="false" customHeight="false" outlineLevel="0" collapsed="false">
      <c r="A1514" s="3" t="s">
        <v>501</v>
      </c>
      <c r="C1514" s="25" t="n">
        <f aca="false">IF(C1510=0,0,C1498/C1510*MAX(0,MIN(C1510,$C$1474-SUM($C$1488:$C$1490)-C1506)))</f>
        <v>0</v>
      </c>
    </row>
    <row r="1515" customFormat="false" ht="15" hidden="false" customHeight="false" outlineLevel="0" collapsed="false">
      <c r="A1515" s="23" t="s">
        <v>511</v>
      </c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</row>
    <row r="1516" customFormat="false" ht="15" hidden="false" customHeight="false" outlineLevel="0" collapsed="false">
      <c r="A1516" s="2" t="s">
        <v>499</v>
      </c>
      <c r="C1516" s="16" t="n">
        <f aca="false">C1488+C1512</f>
        <v>1349.6193225</v>
      </c>
    </row>
    <row r="1517" customFormat="false" ht="15" hidden="false" customHeight="false" outlineLevel="0" collapsed="false">
      <c r="A1517" s="2" t="s">
        <v>500</v>
      </c>
      <c r="C1517" s="16" t="n">
        <f aca="false">C1489+C1513</f>
        <v>0</v>
      </c>
    </row>
    <row r="1518" customFormat="false" ht="15" hidden="false" customHeight="false" outlineLevel="0" collapsed="false">
      <c r="A1518" s="2" t="s">
        <v>501</v>
      </c>
      <c r="C1518" s="16" t="n">
        <f aca="false">C1490+C1514</f>
        <v>0</v>
      </c>
    </row>
    <row r="1519" customFormat="false" ht="15" hidden="false" customHeight="false" outlineLevel="0" collapsed="false">
      <c r="A1519" s="23" t="s">
        <v>512</v>
      </c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</row>
    <row r="1520" customFormat="false" ht="15" hidden="false" customHeight="false" outlineLevel="0" collapsed="false">
      <c r="A1520" s="3" t="s">
        <v>499</v>
      </c>
      <c r="C1520" s="21" t="n">
        <f aca="false">IF(C1476=0,1,C1516/C1476)</f>
        <v>1</v>
      </c>
    </row>
    <row r="1521" customFormat="false" ht="15" hidden="false" customHeight="false" outlineLevel="0" collapsed="false">
      <c r="A1521" s="3" t="s">
        <v>500</v>
      </c>
      <c r="C1521" s="21" t="n">
        <f aca="false">IF(C1477=0,1,C1517/C1477)</f>
        <v>1</v>
      </c>
    </row>
    <row r="1522" customFormat="false" ht="15" hidden="false" customHeight="false" outlineLevel="0" collapsed="false">
      <c r="A1522" s="3" t="s">
        <v>501</v>
      </c>
      <c r="C1522" s="21" t="n">
        <f aca="false">IF(C1478=0,1,C1518/C1478)</f>
        <v>1</v>
      </c>
    </row>
    <row r="1523" customFormat="false" ht="15" hidden="false" customHeight="false" outlineLevel="0" collapsed="false">
      <c r="A1523" s="23" t="s">
        <v>513</v>
      </c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</row>
    <row r="1524" customFormat="false" ht="15" hidden="false" customHeight="false" outlineLevel="0" collapsed="false">
      <c r="A1524" s="3" t="s">
        <v>499</v>
      </c>
      <c r="C1524" s="25" t="n">
        <f aca="false">C1476-C1516</f>
        <v>0</v>
      </c>
    </row>
    <row r="1525" customFormat="false" ht="15" hidden="false" customHeight="false" outlineLevel="0" collapsed="false">
      <c r="A1525" s="3" t="s">
        <v>500</v>
      </c>
      <c r="C1525" s="25" t="n">
        <f aca="false">C1477-C1517</f>
        <v>0</v>
      </c>
    </row>
    <row r="1526" customFormat="false" ht="15" hidden="false" customHeight="false" outlineLevel="0" collapsed="false">
      <c r="A1526" s="3" t="s">
        <v>501</v>
      </c>
      <c r="C1526" s="25" t="n">
        <f aca="false">C1478-C1518</f>
        <v>0</v>
      </c>
    </row>
    <row r="1527" customFormat="false" ht="15" hidden="false" customHeight="false" outlineLevel="0" collapsed="false">
      <c r="A1527" s="23" t="s">
        <v>514</v>
      </c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</row>
    <row r="1528" customFormat="false" ht="15" hidden="false" customHeight="false" outlineLevel="0" collapsed="false">
      <c r="A1528" s="3" t="s">
        <v>499</v>
      </c>
      <c r="C1528" s="21" t="n">
        <f aca="false">IF(C1476=0,0,C1524/C1476)</f>
        <v>0</v>
      </c>
    </row>
    <row r="1529" customFormat="false" ht="15" hidden="false" customHeight="false" outlineLevel="0" collapsed="false">
      <c r="A1529" s="3" t="s">
        <v>500</v>
      </c>
      <c r="C1529" s="21" t="n">
        <f aca="false">IF(C1477=0,0,C1525/C1477)</f>
        <v>0</v>
      </c>
    </row>
    <row r="1530" customFormat="false" ht="15" hidden="false" customHeight="false" outlineLevel="0" collapsed="false">
      <c r="A1530" s="3" t="s">
        <v>501</v>
      </c>
      <c r="C1530" s="21" t="n">
        <f aca="false">IF(C1478=0,0,C1526/C1478)</f>
        <v>0</v>
      </c>
    </row>
    <row r="1531" customFormat="false" ht="15" hidden="false" customHeight="false" outlineLevel="0" collapsed="false">
      <c r="A1531" s="2" t="s">
        <v>515</v>
      </c>
      <c r="C1531" s="16" t="n">
        <f aca="false">MAX(0,$C$1474-SUM($C$1488:$C$1490)-SUM($C$1496:$C$1498))</f>
        <v>91.4232272670895</v>
      </c>
    </row>
    <row r="1532" customFormat="false" ht="15" hidden="false" customHeight="false" outlineLevel="0" collapsed="false">
      <c r="A1532" s="3" t="s">
        <v>516</v>
      </c>
      <c r="C1532" s="25" t="n">
        <f aca="false">SUM($C$1516:$C$1518)+C1531+C1473-C1472</f>
        <v>0</v>
      </c>
    </row>
    <row r="1534" customFormat="false" ht="15" hidden="false" customHeight="false" outlineLevel="0" collapsed="false">
      <c r="A1534" s="23" t="s">
        <v>519</v>
      </c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</row>
    <row r="1535" customFormat="false" ht="15" hidden="false" customHeight="false" outlineLevel="0" collapsed="false">
      <c r="A1535" s="3" t="s">
        <v>520</v>
      </c>
      <c r="C1535" s="27" t="n">
        <f aca="false">Assumptions!$C$33</f>
        <v>1</v>
      </c>
    </row>
    <row r="1536" customFormat="false" ht="15" hidden="false" customHeight="false" outlineLevel="0" collapsed="false">
      <c r="A1536" s="3" t="s">
        <v>521</v>
      </c>
      <c r="C1536" s="29" t="n">
        <f aca="false">Assumptions!$C$34</f>
        <v>100</v>
      </c>
    </row>
    <row r="1537" customFormat="false" ht="15" hidden="false" customHeight="false" outlineLevel="0" collapsed="false">
      <c r="A1537" s="3" t="s">
        <v>522</v>
      </c>
      <c r="C1537" s="40" t="n">
        <f aca="false">Assumptions!$C$35</f>
        <v>95</v>
      </c>
    </row>
    <row r="1538" customFormat="false" ht="15" hidden="false" customHeight="false" outlineLevel="0" collapsed="false">
      <c r="A1538" s="3" t="s">
        <v>523</v>
      </c>
      <c r="C1538" s="25" t="n">
        <f aca="false">C1536*C1537/100*(1+Assumptions!$C$36)</f>
        <v>95</v>
      </c>
    </row>
    <row r="1539" customFormat="false" ht="15" hidden="false" customHeight="false" outlineLevel="0" collapsed="false">
      <c r="A1539" s="3" t="s">
        <v>524</v>
      </c>
      <c r="C1539" s="27" t="n">
        <f aca="false">Assumptions!$C$37</f>
        <v>3</v>
      </c>
    </row>
    <row r="1540" customFormat="false" ht="15" hidden="false" customHeight="false" outlineLevel="0" collapsed="false">
      <c r="A1540" s="3" t="s">
        <v>525</v>
      </c>
      <c r="C1540" s="20" t="n">
        <f aca="false">IF(C1465=1,SUMPRODUCT($G$1417:$K$1417,$G$1310:$K$1310),0)</f>
        <v>0</v>
      </c>
    </row>
    <row r="1541" customFormat="false" ht="15" hidden="false" customHeight="false" outlineLevel="0" collapsed="false">
      <c r="A1541" s="3" t="s">
        <v>526</v>
      </c>
      <c r="C1541" s="21" t="n">
        <f aca="false">IFERROR(C1536/CHOOSE(C1535,SUMPRODUCT($G$1464:$K$1464,$G$1356:$K$1356),SUMPRODUCT($G$1464:$K$1464,$G$1369:$K$1369),SUMPRODUCT($G$1464:$K$1464,$G$1382:$K$1382)),0)</f>
        <v>0.0760399605200525</v>
      </c>
    </row>
    <row r="1542" customFormat="false" ht="15" hidden="false" customHeight="false" outlineLevel="0" collapsed="false">
      <c r="A1542" s="3" t="s">
        <v>527</v>
      </c>
      <c r="C1542" s="25" t="n">
        <f aca="false">CHOOSE(C1535,C1516,C1517,C1518)*C1541</f>
        <v>102.625</v>
      </c>
    </row>
    <row r="1543" customFormat="false" ht="15" hidden="false" customHeight="false" outlineLevel="0" collapsed="false">
      <c r="A1543" s="3" t="s">
        <v>528</v>
      </c>
      <c r="C1543" s="21" t="n">
        <f aca="false">CHOOSE(C1535,C1520,C1521,C1522)</f>
        <v>1</v>
      </c>
    </row>
    <row r="1544" customFormat="false" ht="15" hidden="false" customHeight="false" outlineLevel="0" collapsed="false">
      <c r="A1544" s="3" t="s">
        <v>529</v>
      </c>
      <c r="C1544" s="20" t="n">
        <f aca="false">IF(C1465=1,C1540,C1539)</f>
        <v>3</v>
      </c>
    </row>
    <row r="1545" customFormat="false" ht="15" hidden="false" customHeight="false" outlineLevel="0" collapsed="false">
      <c r="A1545" s="3" t="s">
        <v>530</v>
      </c>
      <c r="C1545" s="34" t="n">
        <f aca="false">CHOOSE($C$1302,Assumptions!$C$83,Assumptions!$C$102,Assumptions!$C$121)</f>
        <v>100</v>
      </c>
    </row>
    <row r="1546" customFormat="false" ht="15" hidden="false" customHeight="false" outlineLevel="0" collapsed="false">
      <c r="A1546" s="3" t="s">
        <v>531</v>
      </c>
      <c r="C1546" s="25" t="n">
        <f aca="false">INDEX($G$1319:$K$1319,C1539)*CHOOSE($C$1302,Assumptions!$C$82,Assumptions!$C$101,Assumptions!$C$120)+MAX(0,INDEX($G$1414:$K$1414,C1539))</f>
        <v>1579.6245590093</v>
      </c>
    </row>
    <row r="1547" customFormat="false" ht="15" hidden="false" customHeight="false" outlineLevel="0" collapsed="false">
      <c r="A1547" s="23" t="s">
        <v>532</v>
      </c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</row>
    <row r="1548" customFormat="false" ht="15" hidden="false" customHeight="false" outlineLevel="0" collapsed="false">
      <c r="A1548" s="3" t="s">
        <v>499</v>
      </c>
      <c r="C1548" s="25" t="n">
        <f aca="false">INDEX($G$1356:$K$1356,C1539)</f>
        <v>1315.098</v>
      </c>
    </row>
    <row r="1549" customFormat="false" ht="15" hidden="false" customHeight="false" outlineLevel="0" collapsed="false">
      <c r="A1549" s="3" t="s">
        <v>500</v>
      </c>
      <c r="C1549" s="25" t="n">
        <f aca="false">INDEX($G$1369:$K$1369,C1539)</f>
        <v>0</v>
      </c>
    </row>
    <row r="1550" customFormat="false" ht="15" hidden="false" customHeight="false" outlineLevel="0" collapsed="false">
      <c r="A1550" s="3" t="s">
        <v>501</v>
      </c>
      <c r="C1550" s="25" t="n">
        <f aca="false">INDEX($G$1382:$K$1382,C1539)</f>
        <v>0</v>
      </c>
    </row>
    <row r="1551" customFormat="false" ht="15" hidden="false" customHeight="false" outlineLevel="0" collapsed="false">
      <c r="A1551" s="23" t="s">
        <v>502</v>
      </c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</row>
    <row r="1552" customFormat="false" ht="15" hidden="false" customHeight="false" outlineLevel="0" collapsed="false">
      <c r="A1552" s="3" t="s">
        <v>499</v>
      </c>
      <c r="C1552" s="27" t="n">
        <f aca="false">Assumptions!$M$56</f>
        <v>1</v>
      </c>
    </row>
    <row r="1553" customFormat="false" ht="15" hidden="false" customHeight="false" outlineLevel="0" collapsed="false">
      <c r="A1553" s="3" t="s">
        <v>500</v>
      </c>
      <c r="C1553" s="27" t="n">
        <f aca="false">Assumptions!$M$57</f>
        <v>2</v>
      </c>
    </row>
    <row r="1554" customFormat="false" ht="15" hidden="false" customHeight="false" outlineLevel="0" collapsed="false">
      <c r="A1554" s="3" t="s">
        <v>501</v>
      </c>
      <c r="C1554" s="27" t="n">
        <f aca="false">Assumptions!$M$58</f>
        <v>2</v>
      </c>
    </row>
    <row r="1555" customFormat="false" ht="15" hidden="false" customHeight="false" outlineLevel="0" collapsed="false">
      <c r="A1555" s="23" t="s">
        <v>503</v>
      </c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</row>
    <row r="1556" customFormat="false" ht="15" hidden="false" customHeight="false" outlineLevel="0" collapsed="false">
      <c r="A1556" s="3" t="s">
        <v>499</v>
      </c>
      <c r="C1556" s="35" t="n">
        <f aca="false">Assumptions!$Q$56</f>
        <v>0</v>
      </c>
    </row>
    <row r="1557" customFormat="false" ht="15" hidden="false" customHeight="false" outlineLevel="0" collapsed="false">
      <c r="A1557" s="3" t="s">
        <v>500</v>
      </c>
      <c r="C1557" s="35" t="n">
        <f aca="false">Assumptions!$Q$57</f>
        <v>0</v>
      </c>
    </row>
    <row r="1558" customFormat="false" ht="15" hidden="false" customHeight="false" outlineLevel="0" collapsed="false">
      <c r="A1558" s="3" t="s">
        <v>501</v>
      </c>
      <c r="C1558" s="35" t="n">
        <f aca="false">Assumptions!$Q$58</f>
        <v>0</v>
      </c>
    </row>
    <row r="1559" customFormat="false" ht="15" hidden="false" customHeight="false" outlineLevel="0" collapsed="false">
      <c r="A1559" s="23" t="s">
        <v>504</v>
      </c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</row>
    <row r="1560" customFormat="false" ht="15" hidden="false" customHeight="false" outlineLevel="0" collapsed="false">
      <c r="A1560" s="3" t="s">
        <v>499</v>
      </c>
      <c r="C1560" s="25" t="n">
        <f aca="false">IF(C1556&gt;0,MIN(C1548,C1556*$C$1546),0)</f>
        <v>0</v>
      </c>
    </row>
    <row r="1561" customFormat="false" ht="15" hidden="false" customHeight="false" outlineLevel="0" collapsed="false">
      <c r="A1561" s="3" t="s">
        <v>500</v>
      </c>
      <c r="C1561" s="25" t="n">
        <f aca="false">IF(C1557&gt;0,MIN(C1549,C1557*$C$1546),0)</f>
        <v>0</v>
      </c>
    </row>
    <row r="1562" customFormat="false" ht="15" hidden="false" customHeight="false" outlineLevel="0" collapsed="false">
      <c r="A1562" s="3" t="s">
        <v>501</v>
      </c>
      <c r="C1562" s="25" t="n">
        <f aca="false">IF(C1558&gt;0,MIN(C1550,C1558*$C$1546),0)</f>
        <v>0</v>
      </c>
    </row>
    <row r="1563" customFormat="false" ht="15" hidden="false" customHeight="false" outlineLevel="0" collapsed="false">
      <c r="A1563" s="23" t="s">
        <v>505</v>
      </c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</row>
    <row r="1564" customFormat="false" ht="15" hidden="false" customHeight="false" outlineLevel="0" collapsed="false">
      <c r="A1564" s="3" t="s">
        <v>499</v>
      </c>
      <c r="C1564" s="25" t="n">
        <f aca="false">IF(C1556&gt;0,C1548-C1560,0)</f>
        <v>0</v>
      </c>
    </row>
    <row r="1565" customFormat="false" ht="15" hidden="false" customHeight="false" outlineLevel="0" collapsed="false">
      <c r="A1565" s="3" t="s">
        <v>500</v>
      </c>
      <c r="C1565" s="25" t="n">
        <f aca="false">IF(C1557&gt;0,C1549-C1561,0)</f>
        <v>0</v>
      </c>
    </row>
    <row r="1566" customFormat="false" ht="15" hidden="false" customHeight="false" outlineLevel="0" collapsed="false">
      <c r="A1566" s="3" t="s">
        <v>501</v>
      </c>
      <c r="C1566" s="25" t="n">
        <f aca="false">IF(C1558&gt;0,C1550-C1562,0)</f>
        <v>0</v>
      </c>
    </row>
    <row r="1567" customFormat="false" ht="15" hidden="false" customHeight="false" outlineLevel="0" collapsed="false">
      <c r="A1567" s="23" t="s">
        <v>506</v>
      </c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</row>
    <row r="1568" customFormat="false" ht="15" hidden="false" customHeight="false" outlineLevel="0" collapsed="false">
      <c r="A1568" s="3" t="s">
        <v>499</v>
      </c>
      <c r="C1568" s="25" t="n">
        <f aca="false">IF(C1556&gt;0,C1564,C1548)</f>
        <v>1315.098</v>
      </c>
    </row>
    <row r="1569" customFormat="false" ht="15" hidden="false" customHeight="false" outlineLevel="0" collapsed="false">
      <c r="A1569" s="3" t="s">
        <v>500</v>
      </c>
      <c r="C1569" s="25" t="n">
        <f aca="false">IF(C1557&gt;0,C1565,C1549)</f>
        <v>0</v>
      </c>
    </row>
    <row r="1570" customFormat="false" ht="15" hidden="false" customHeight="false" outlineLevel="0" collapsed="false">
      <c r="A1570" s="3" t="s">
        <v>501</v>
      </c>
      <c r="C1570" s="25" t="n">
        <f aca="false">IF(C1558&gt;0,C1566,C1550)</f>
        <v>0</v>
      </c>
    </row>
    <row r="1571" customFormat="false" ht="15" hidden="false" customHeight="false" outlineLevel="0" collapsed="false">
      <c r="A1571" s="23" t="s">
        <v>507</v>
      </c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</row>
    <row r="1572" customFormat="false" ht="15" hidden="false" customHeight="false" outlineLevel="0" collapsed="false">
      <c r="A1572" s="3" t="s">
        <v>499</v>
      </c>
      <c r="C1572" s="20" t="n">
        <f aca="false">IF(C1556&gt;0,Assumptions!$C$17,C1552)</f>
        <v>1</v>
      </c>
    </row>
    <row r="1573" customFormat="false" ht="15" hidden="false" customHeight="false" outlineLevel="0" collapsed="false">
      <c r="A1573" s="3" t="s">
        <v>500</v>
      </c>
      <c r="C1573" s="20" t="n">
        <f aca="false">IF(C1557&gt;0,Assumptions!$C$17,C1553)</f>
        <v>2</v>
      </c>
    </row>
    <row r="1574" customFormat="false" ht="15" hidden="false" customHeight="false" outlineLevel="0" collapsed="false">
      <c r="A1574" s="3" t="s">
        <v>501</v>
      </c>
      <c r="C1574" s="20" t="n">
        <f aca="false">IF(C1558&gt;0,Assumptions!$C$17,C1554)</f>
        <v>2</v>
      </c>
    </row>
    <row r="1575" customFormat="false" ht="15" hidden="false" customHeight="false" outlineLevel="0" collapsed="false">
      <c r="A1575" s="23" t="s">
        <v>508</v>
      </c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</row>
    <row r="1576" customFormat="false" ht="15" hidden="false" customHeight="false" outlineLevel="0" collapsed="false">
      <c r="A1576" s="3" t="s">
        <v>499</v>
      </c>
      <c r="C1576" s="25" t="n">
        <f aca="false">SUMPRODUCT(($C$1572:$C$1574&lt;C1572)*$C$1568:$C$1570)</f>
        <v>0</v>
      </c>
    </row>
    <row r="1577" customFormat="false" ht="15" hidden="false" customHeight="false" outlineLevel="0" collapsed="false">
      <c r="A1577" s="3" t="s">
        <v>500</v>
      </c>
      <c r="C1577" s="25" t="n">
        <f aca="false">SUMPRODUCT(($C$1572:$C$1574&lt;C1573)*$C$1568:$C$1570)</f>
        <v>1315.098</v>
      </c>
    </row>
    <row r="1578" customFormat="false" ht="15" hidden="false" customHeight="false" outlineLevel="0" collapsed="false">
      <c r="A1578" s="3" t="s">
        <v>501</v>
      </c>
      <c r="C1578" s="25" t="n">
        <f aca="false">SUMPRODUCT(($C$1572:$C$1574&lt;C1574)*$C$1568:$C$1570)</f>
        <v>1315.098</v>
      </c>
    </row>
    <row r="1579" customFormat="false" ht="15" hidden="false" customHeight="false" outlineLevel="0" collapsed="false">
      <c r="A1579" s="23" t="s">
        <v>509</v>
      </c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</row>
    <row r="1580" customFormat="false" ht="15" hidden="false" customHeight="false" outlineLevel="0" collapsed="false">
      <c r="A1580" s="3" t="s">
        <v>499</v>
      </c>
      <c r="C1580" s="25" t="n">
        <f aca="false">SUMPRODUCT(($C$1572:$C$1574=C1572)*$C$1568:$C$1570)</f>
        <v>1315.098</v>
      </c>
    </row>
    <row r="1581" customFormat="false" ht="15" hidden="false" customHeight="false" outlineLevel="0" collapsed="false">
      <c r="A1581" s="3" t="s">
        <v>500</v>
      </c>
      <c r="C1581" s="25" t="n">
        <f aca="false">SUMPRODUCT(($C$1572:$C$1574=C1573)*$C$1568:$C$1570)</f>
        <v>0</v>
      </c>
    </row>
    <row r="1582" customFormat="false" ht="15" hidden="false" customHeight="false" outlineLevel="0" collapsed="false">
      <c r="A1582" s="3" t="s">
        <v>501</v>
      </c>
      <c r="C1582" s="25" t="n">
        <f aca="false">SUMPRODUCT(($C$1572:$C$1574=C1574)*$C$1568:$C$1570)</f>
        <v>0</v>
      </c>
    </row>
    <row r="1583" customFormat="false" ht="15" hidden="false" customHeight="false" outlineLevel="0" collapsed="false">
      <c r="A1583" s="23" t="s">
        <v>510</v>
      </c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</row>
    <row r="1584" customFormat="false" ht="15" hidden="false" customHeight="false" outlineLevel="0" collapsed="false">
      <c r="A1584" s="3" t="s">
        <v>499</v>
      </c>
      <c r="C1584" s="25" t="n">
        <f aca="false">IF(C1580=0,0,C1568/C1580*MAX(0,MIN(C1580,$C$1546-SUM($C$1560:$C$1562)-C1576)))</f>
        <v>1315.098</v>
      </c>
    </row>
    <row r="1585" customFormat="false" ht="15" hidden="false" customHeight="false" outlineLevel="0" collapsed="false">
      <c r="A1585" s="3" t="s">
        <v>500</v>
      </c>
      <c r="C1585" s="25" t="n">
        <f aca="false">IF(C1581=0,0,C1569/C1581*MAX(0,MIN(C1581,$C$1546-SUM($C$1560:$C$1562)-C1577)))</f>
        <v>0</v>
      </c>
    </row>
    <row r="1586" customFormat="false" ht="15" hidden="false" customHeight="false" outlineLevel="0" collapsed="false">
      <c r="A1586" s="3" t="s">
        <v>501</v>
      </c>
      <c r="C1586" s="25" t="n">
        <f aca="false">IF(C1582=0,0,C1570/C1582*MAX(0,MIN(C1582,$C$1546-SUM($C$1560:$C$1562)-C1578)))</f>
        <v>0</v>
      </c>
    </row>
    <row r="1587" customFormat="false" ht="15" hidden="false" customHeight="false" outlineLevel="0" collapsed="false">
      <c r="A1587" s="23" t="s">
        <v>511</v>
      </c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</row>
    <row r="1588" customFormat="false" ht="15" hidden="false" customHeight="false" outlineLevel="0" collapsed="false">
      <c r="A1588" s="2" t="s">
        <v>499</v>
      </c>
      <c r="C1588" s="16" t="n">
        <f aca="false">C1560+C1584</f>
        <v>1315.098</v>
      </c>
    </row>
    <row r="1589" customFormat="false" ht="15" hidden="false" customHeight="false" outlineLevel="0" collapsed="false">
      <c r="A1589" s="2" t="s">
        <v>500</v>
      </c>
      <c r="C1589" s="16" t="n">
        <f aca="false">C1561+C1585</f>
        <v>0</v>
      </c>
    </row>
    <row r="1590" customFormat="false" ht="15" hidden="false" customHeight="false" outlineLevel="0" collapsed="false">
      <c r="A1590" s="2" t="s">
        <v>501</v>
      </c>
      <c r="C1590" s="16" t="n">
        <f aca="false">C1562+C1586</f>
        <v>0</v>
      </c>
    </row>
    <row r="1591" customFormat="false" ht="15" hidden="false" customHeight="false" outlineLevel="0" collapsed="false">
      <c r="A1591" s="23" t="s">
        <v>512</v>
      </c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</row>
    <row r="1592" customFormat="false" ht="15" hidden="false" customHeight="false" outlineLevel="0" collapsed="false">
      <c r="A1592" s="3" t="s">
        <v>499</v>
      </c>
      <c r="C1592" s="21" t="n">
        <f aca="false">IF(C1548=0,1,C1588/C1548)</f>
        <v>1</v>
      </c>
    </row>
    <row r="1593" customFormat="false" ht="15" hidden="false" customHeight="false" outlineLevel="0" collapsed="false">
      <c r="A1593" s="3" t="s">
        <v>500</v>
      </c>
      <c r="C1593" s="21" t="n">
        <f aca="false">IF(C1549=0,1,C1589/C1549)</f>
        <v>1</v>
      </c>
    </row>
    <row r="1594" customFormat="false" ht="15" hidden="false" customHeight="false" outlineLevel="0" collapsed="false">
      <c r="A1594" s="3" t="s">
        <v>501</v>
      </c>
      <c r="C1594" s="21" t="n">
        <f aca="false">IF(C1550=0,1,C1590/C1550)</f>
        <v>1</v>
      </c>
    </row>
    <row r="1595" customFormat="false" ht="15" hidden="false" customHeight="false" outlineLevel="0" collapsed="false">
      <c r="A1595" s="23" t="s">
        <v>513</v>
      </c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</row>
    <row r="1596" customFormat="false" ht="15" hidden="false" customHeight="false" outlineLevel="0" collapsed="false">
      <c r="A1596" s="3" t="s">
        <v>499</v>
      </c>
      <c r="C1596" s="25" t="n">
        <f aca="false">C1548-C1588</f>
        <v>0</v>
      </c>
    </row>
    <row r="1597" customFormat="false" ht="15" hidden="false" customHeight="false" outlineLevel="0" collapsed="false">
      <c r="A1597" s="3" t="s">
        <v>500</v>
      </c>
      <c r="C1597" s="25" t="n">
        <f aca="false">C1549-C1589</f>
        <v>0</v>
      </c>
    </row>
    <row r="1598" customFormat="false" ht="15" hidden="false" customHeight="false" outlineLevel="0" collapsed="false">
      <c r="A1598" s="3" t="s">
        <v>501</v>
      </c>
      <c r="C1598" s="25" t="n">
        <f aca="false">C1550-C1590</f>
        <v>0</v>
      </c>
    </row>
    <row r="1599" customFormat="false" ht="15" hidden="false" customHeight="false" outlineLevel="0" collapsed="false">
      <c r="A1599" s="23" t="s">
        <v>514</v>
      </c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</row>
    <row r="1600" customFormat="false" ht="15" hidden="false" customHeight="false" outlineLevel="0" collapsed="false">
      <c r="A1600" s="3" t="s">
        <v>499</v>
      </c>
      <c r="C1600" s="21" t="n">
        <f aca="false">IF(C1548=0,0,C1596/C1548)</f>
        <v>0</v>
      </c>
    </row>
    <row r="1601" customFormat="false" ht="15" hidden="false" customHeight="false" outlineLevel="0" collapsed="false">
      <c r="A1601" s="3" t="s">
        <v>500</v>
      </c>
      <c r="C1601" s="21" t="n">
        <f aca="false">IF(C1549=0,0,C1597/C1549)</f>
        <v>0</v>
      </c>
    </row>
    <row r="1602" customFormat="false" ht="15" hidden="false" customHeight="false" outlineLevel="0" collapsed="false">
      <c r="A1602" s="3" t="s">
        <v>501</v>
      </c>
      <c r="C1602" s="21" t="n">
        <f aca="false">IF(C1550=0,0,C1598/C1550)</f>
        <v>0</v>
      </c>
    </row>
    <row r="1603" customFormat="false" ht="15" hidden="false" customHeight="false" outlineLevel="0" collapsed="false">
      <c r="A1603" s="2" t="s">
        <v>515</v>
      </c>
      <c r="C1603" s="16" t="n">
        <f aca="false">MAX(0,$C$1546-SUM($C$1560:$C$1562)-SUM($C$1568:$C$1570))</f>
        <v>264.526559009296</v>
      </c>
    </row>
    <row r="1604" customFormat="false" ht="15" hidden="false" customHeight="false" outlineLevel="0" collapsed="false">
      <c r="A1604" s="3" t="s">
        <v>533</v>
      </c>
      <c r="C1604" s="34" t="n">
        <f aca="false">MIN(C1545,100*CHOOSE(C1535,C1592,C1593,C1594))</f>
        <v>100</v>
      </c>
    </row>
    <row r="1605" customFormat="false" ht="15" hidden="false" customHeight="false" outlineLevel="0" collapsed="false">
      <c r="A1605" s="3" t="s">
        <v>534</v>
      </c>
      <c r="C1605" s="20" t="n">
        <f aca="false">IF(C1465=1,C1540+Assumptions!$C$39,C1539)</f>
        <v>3</v>
      </c>
    </row>
    <row r="1606" customFormat="false" ht="15" hidden="false" customHeight="false" outlineLevel="0" collapsed="false">
      <c r="A1606" s="23" t="s">
        <v>535</v>
      </c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</row>
    <row r="1607" customFormat="false" ht="15" hidden="false" customHeight="false" outlineLevel="0" collapsed="false">
      <c r="A1607" s="3" t="s">
        <v>536</v>
      </c>
      <c r="C1607" s="20" t="n">
        <f aca="false">COLUMN()-COLUMN($C$1)</f>
        <v>0</v>
      </c>
      <c r="D1607" s="20" t="n">
        <f aca="false">COLUMN()-COLUMN($C$1)</f>
        <v>1</v>
      </c>
      <c r="E1607" s="20" t="n">
        <f aca="false">COLUMN()-COLUMN($C$1)</f>
        <v>2</v>
      </c>
      <c r="F1607" s="20" t="n">
        <f aca="false">COLUMN()-COLUMN($C$1)</f>
        <v>3</v>
      </c>
      <c r="G1607" s="20" t="n">
        <f aca="false">COLUMN()-COLUMN($C$1)</f>
        <v>4</v>
      </c>
      <c r="H1607" s="20" t="n">
        <f aca="false">COLUMN()-COLUMN($C$1)</f>
        <v>5</v>
      </c>
      <c r="I1607" s="20" t="n">
        <f aca="false">COLUMN()-COLUMN($C$1)</f>
        <v>6</v>
      </c>
    </row>
    <row r="1608" customFormat="false" ht="15" hidden="false" customHeight="false" outlineLevel="0" collapsed="false">
      <c r="A1608" s="3" t="s">
        <v>537</v>
      </c>
      <c r="D1608" s="31" t="n">
        <f aca="false">CHOOSE($C$1535,G1348,G1361,G1374)</f>
        <v>0.105</v>
      </c>
      <c r="E1608" s="31" t="n">
        <f aca="false">CHOOSE($C$1535,H1348,H1361,H1374)</f>
        <v>0.105</v>
      </c>
      <c r="F1608" s="31" t="n">
        <f aca="false">CHOOSE($C$1535,I1348,I1361,I1374)</f>
        <v>0.105</v>
      </c>
      <c r="G1608" s="31" t="n">
        <f aca="false">CHOOSE($C$1535,J1348,J1361,J1374)</f>
        <v>0.105</v>
      </c>
      <c r="H1608" s="31" t="n">
        <f aca="false">CHOOSE($C$1535,K1348,K1361,K1374)</f>
        <v>0.105</v>
      </c>
    </row>
    <row r="1609" customFormat="false" ht="15" hidden="false" customHeight="false" outlineLevel="0" collapsed="false">
      <c r="A1609" s="3" t="s">
        <v>538</v>
      </c>
      <c r="D1609" s="25" t="n">
        <f aca="false">IF(D1607&lt;=$C$1544,$C$1536*D1608,0)</f>
        <v>10.5</v>
      </c>
      <c r="E1609" s="25" t="n">
        <f aca="false">IF(E1607&lt;=$C$1544,$C$1536*E1608,0)</f>
        <v>10.5</v>
      </c>
      <c r="F1609" s="25" t="n">
        <f aca="false">IF(F1607&lt;=$C$1544,$C$1536*F1608,0)</f>
        <v>10.5</v>
      </c>
      <c r="G1609" s="25" t="n">
        <f aca="false">IF(G1607&lt;=$C$1544,$C$1536*G1608,0)</f>
        <v>0</v>
      </c>
      <c r="H1609" s="25" t="n">
        <f aca="false">IF(H1607&lt;=$C$1544,$C$1536*H1608,0)</f>
        <v>0</v>
      </c>
    </row>
    <row r="1610" customFormat="false" ht="15" hidden="false" customHeight="false" outlineLevel="0" collapsed="false">
      <c r="A1610" s="3" t="s">
        <v>539</v>
      </c>
      <c r="D1610" s="25" t="n">
        <f aca="false">IF(AND($C$1465=0,D1607=$C$1539),$C$1536*$C$1604/100,0)+IF(AND($C$1465=1,D1607=$C$1605),$C$1542,0)</f>
        <v>0</v>
      </c>
      <c r="E1610" s="25" t="n">
        <f aca="false">IF(AND($C$1465=0,E1607=$C$1539),$C$1536*$C$1604/100,0)+IF(AND($C$1465=1,E1607=$C$1605),$C$1542,0)</f>
        <v>0</v>
      </c>
      <c r="F1610" s="25" t="n">
        <f aca="false">IF(AND($C$1465=0,F1607=$C$1539),$C$1536*$C$1604/100,0)+IF(AND($C$1465=1,F1607=$C$1605),$C$1542,0)</f>
        <v>100</v>
      </c>
      <c r="G1610" s="25" t="n">
        <f aca="false">IF(AND($C$1465=0,G1607=$C$1539),$C$1536*$C$1604/100,0)+IF(AND($C$1465=1,G1607=$C$1605),$C$1542,0)</f>
        <v>0</v>
      </c>
      <c r="H1610" s="25" t="n">
        <f aca="false">IF(AND($C$1465=0,H1607=$C$1539),$C$1536*$C$1604/100,0)+IF(AND($C$1465=1,H1607=$C$1605),$C$1542,0)</f>
        <v>0</v>
      </c>
      <c r="I1610" s="25" t="n">
        <f aca="false">IF(AND($C$1465=0,I1607=$C$1539),$C$1536*$C$1604/100,0)+IF(AND($C$1465=1,I1607=$C$1605),$C$1542,0)</f>
        <v>0</v>
      </c>
    </row>
    <row r="1611" customFormat="false" ht="15" hidden="false" customHeight="false" outlineLevel="0" collapsed="false">
      <c r="A1611" s="2" t="s">
        <v>540</v>
      </c>
      <c r="C1611" s="16" t="n">
        <f aca="false">-$C$1538</f>
        <v>-95</v>
      </c>
      <c r="D1611" s="16" t="n">
        <f aca="false">D1609+D1610</f>
        <v>10.5</v>
      </c>
      <c r="E1611" s="16" t="n">
        <f aca="false">E1609+E1610</f>
        <v>10.5</v>
      </c>
      <c r="F1611" s="16" t="n">
        <f aca="false">F1609+F1610</f>
        <v>110.5</v>
      </c>
      <c r="G1611" s="16" t="n">
        <f aca="false">G1609+G1610</f>
        <v>0</v>
      </c>
      <c r="H1611" s="16" t="n">
        <f aca="false">H1609+H1610</f>
        <v>0</v>
      </c>
      <c r="I1611" s="16" t="n">
        <f aca="false">I1609+I1610</f>
        <v>0</v>
      </c>
    </row>
    <row r="1612" customFormat="false" ht="15" hidden="false" customHeight="false" outlineLevel="0" collapsed="false">
      <c r="A1612" s="3" t="s">
        <v>541</v>
      </c>
      <c r="C1612" s="25" t="n">
        <f aca="false">SUM($C$1609:$I$1609)</f>
        <v>31.5</v>
      </c>
    </row>
    <row r="1613" customFormat="false" ht="15" hidden="false" customHeight="false" outlineLevel="0" collapsed="false">
      <c r="A1613" s="3" t="s">
        <v>542</v>
      </c>
      <c r="C1613" s="25" t="n">
        <f aca="false">SUM($C$1610:$I$1610)</f>
        <v>100</v>
      </c>
    </row>
    <row r="1614" customFormat="false" ht="15" hidden="false" customHeight="false" outlineLevel="0" collapsed="false">
      <c r="A1614" s="3" t="s">
        <v>543</v>
      </c>
      <c r="C1614" s="25" t="n">
        <f aca="false">C1612+C1613</f>
        <v>131.5</v>
      </c>
    </row>
    <row r="1615" customFormat="false" ht="15" hidden="false" customHeight="false" outlineLevel="0" collapsed="false">
      <c r="A1615" s="3" t="s">
        <v>544</v>
      </c>
      <c r="C1615" s="25" t="n">
        <f aca="false">C1613-C1536*C1537/100</f>
        <v>5</v>
      </c>
    </row>
    <row r="1616" customFormat="false" ht="15" hidden="false" customHeight="false" outlineLevel="0" collapsed="false">
      <c r="A1616" s="3" t="s">
        <v>545</v>
      </c>
      <c r="C1616" s="25" t="n">
        <f aca="false">C1614-C1538</f>
        <v>36.5</v>
      </c>
    </row>
    <row r="1617" customFormat="false" ht="15" hidden="false" customHeight="false" outlineLevel="0" collapsed="false">
      <c r="A1617" s="2" t="s">
        <v>427</v>
      </c>
      <c r="C1617" s="44" t="n">
        <f aca="false">C1614/C1538</f>
        <v>1.38421052631579</v>
      </c>
    </row>
    <row r="1618" customFormat="false" ht="15" hidden="false" customHeight="false" outlineLevel="0" collapsed="false">
      <c r="A1618" s="2" t="s">
        <v>426</v>
      </c>
      <c r="C1618" s="42" t="n">
        <f aca="false">IF(C1614&lt;=0,-1,IFERROR(IRR($C$1611:$I$1611,MAX(-0.9,C1617^(1/C1605)-1)),IRR($C$1611:$I$1611,0.1)))</f>
        <v>0.126033624615204</v>
      </c>
    </row>
    <row r="1619" customFormat="false" ht="15" hidden="false" customHeight="false" outlineLevel="0" collapsed="false">
      <c r="A1619" s="3" t="s">
        <v>546</v>
      </c>
      <c r="C1619" s="32" t="n">
        <f aca="false">MAX($G$1425:$K$1425)</f>
        <v>4.5789967175232</v>
      </c>
    </row>
    <row r="1620" customFormat="false" ht="15" hidden="false" customHeight="false" outlineLevel="0" collapsed="false">
      <c r="A1620" s="3" t="s">
        <v>547</v>
      </c>
      <c r="C1620" s="32" t="n">
        <f aca="false">MIN($G$1426:$K$1426)</f>
        <v>1.50358294288113</v>
      </c>
    </row>
    <row r="1621" customFormat="false" ht="15" hidden="false" customHeight="false" outlineLevel="0" collapsed="false">
      <c r="A1621" s="3" t="s">
        <v>548</v>
      </c>
      <c r="C1621" s="25" t="n">
        <f aca="false">SUM($G$1332:$K$1332)</f>
        <v>391.779424999365</v>
      </c>
    </row>
    <row r="1625" customFormat="false" ht="15" hidden="false" customHeight="false" outlineLevel="0" collapsed="false">
      <c r="A1625" s="9" t="s">
        <v>1019</v>
      </c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</row>
    <row r="1626" customFormat="false" ht="15" hidden="false" customHeight="false" outlineLevel="0" collapsed="false">
      <c r="A1626" s="3" t="s">
        <v>1010</v>
      </c>
      <c r="C1626" s="11" t="n">
        <v>1</v>
      </c>
    </row>
    <row r="1627" customFormat="false" ht="15" hidden="false" customHeight="false" outlineLevel="0" collapsed="false">
      <c r="A1627" s="3" t="s">
        <v>1011</v>
      </c>
      <c r="C1627" s="18" t="n">
        <v>0</v>
      </c>
    </row>
    <row r="1628" customFormat="false" ht="15" hidden="false" customHeight="false" outlineLevel="0" collapsed="false">
      <c r="A1628" s="3" t="s">
        <v>1012</v>
      </c>
      <c r="C1628" s="30" t="n">
        <f aca="false">Sensitivities!$A$32</f>
        <v>0</v>
      </c>
    </row>
    <row r="1629" customFormat="false" ht="15" hidden="false" customHeight="false" outlineLevel="0" collapsed="false">
      <c r="A1629" s="3" t="s">
        <v>1013</v>
      </c>
      <c r="C1629" s="18" t="n">
        <v>0</v>
      </c>
    </row>
    <row r="1630" customFormat="false" ht="15" hidden="false" customHeight="false" outlineLevel="0" collapsed="false">
      <c r="A1630" s="3" t="s">
        <v>1014</v>
      </c>
      <c r="C1630" s="15" t="n">
        <v>0</v>
      </c>
    </row>
    <row r="1632" customFormat="false" ht="15" hidden="false" customHeight="false" outlineLevel="0" collapsed="false">
      <c r="A1632" s="23" t="s">
        <v>281</v>
      </c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</row>
    <row r="1633" customFormat="false" ht="15" hidden="false" customHeight="false" outlineLevel="0" collapsed="false">
      <c r="A1633" s="3" t="s">
        <v>282</v>
      </c>
      <c r="F1633" s="27" t="n">
        <f aca="false">Assumptions!$C$6</f>
        <v>2026</v>
      </c>
      <c r="G1633" s="20" t="n">
        <f aca="false">F1633+1</f>
        <v>2027</v>
      </c>
      <c r="H1633" s="20" t="n">
        <f aca="false">G1633+1</f>
        <v>2028</v>
      </c>
      <c r="I1633" s="20" t="n">
        <f aca="false">H1633+1</f>
        <v>2029</v>
      </c>
      <c r="J1633" s="20" t="n">
        <f aca="false">I1633+1</f>
        <v>2030</v>
      </c>
      <c r="K1633" s="20" t="n">
        <f aca="false">J1633+1</f>
        <v>2031</v>
      </c>
    </row>
    <row r="1634" customFormat="false" ht="15" hidden="false" customHeight="false" outlineLevel="0" collapsed="false">
      <c r="A1634" s="3" t="s">
        <v>283</v>
      </c>
      <c r="G1634" s="20" t="n">
        <f aca="false">G1633-Assumptions!$C$6</f>
        <v>1</v>
      </c>
      <c r="H1634" s="20" t="n">
        <f aca="false">H1633-Assumptions!$C$6</f>
        <v>2</v>
      </c>
      <c r="I1634" s="20" t="n">
        <f aca="false">I1633-Assumptions!$C$6</f>
        <v>3</v>
      </c>
      <c r="J1634" s="20" t="n">
        <f aca="false">J1633-Assumptions!$C$6</f>
        <v>4</v>
      </c>
      <c r="K1634" s="20" t="n">
        <f aca="false">K1633-Assumptions!$C$6</f>
        <v>5</v>
      </c>
    </row>
    <row r="1635" customFormat="false" ht="15" hidden="false" customHeight="false" outlineLevel="0" collapsed="false">
      <c r="A1635" s="3" t="s">
        <v>165</v>
      </c>
      <c r="G1635" s="21" t="n">
        <f aca="false">CHOOSE($C$1626,Assumptions!$G$71,Assumptions!$G$90,Assumptions!$G$109)+$C$1627</f>
        <v>-0.045</v>
      </c>
      <c r="H1635" s="21" t="n">
        <f aca="false">CHOOSE($C$1626,Assumptions!$H$71,Assumptions!$H$90,Assumptions!$H$109)+$C$1627</f>
        <v>-0.04</v>
      </c>
      <c r="I1635" s="21" t="n">
        <f aca="false">CHOOSE($C$1626,Assumptions!$I$71,Assumptions!$I$90,Assumptions!$I$109)+$C$1627</f>
        <v>-0.035</v>
      </c>
      <c r="J1635" s="21" t="n">
        <f aca="false">CHOOSE($C$1626,Assumptions!$J$71,Assumptions!$J$90,Assumptions!$J$109)+$C$1627</f>
        <v>-0.03</v>
      </c>
      <c r="K1635" s="21" t="n">
        <f aca="false">CHOOSE($C$1626,Assumptions!$K$71,Assumptions!$K$90,Assumptions!$K$109)+$C$1627</f>
        <v>-0.03</v>
      </c>
    </row>
    <row r="1636" customFormat="false" ht="15" hidden="false" customHeight="false" outlineLevel="0" collapsed="false">
      <c r="A1636" s="3" t="s">
        <v>166</v>
      </c>
      <c r="G1636" s="21" t="n">
        <f aca="false">CHOOSE($C$1626,Assumptions!$G$72,Assumptions!$G$91,Assumptions!$G$110)</f>
        <v>0.483246670103635</v>
      </c>
      <c r="H1636" s="21" t="n">
        <f aca="false">CHOOSE($C$1626,Assumptions!$H$72,Assumptions!$H$91,Assumptions!$H$110)</f>
        <v>0.483246670103635</v>
      </c>
      <c r="I1636" s="21" t="n">
        <f aca="false">CHOOSE($C$1626,Assumptions!$I$72,Assumptions!$I$91,Assumptions!$I$110)</f>
        <v>0.481246670103635</v>
      </c>
      <c r="J1636" s="21" t="n">
        <f aca="false">CHOOSE($C$1626,Assumptions!$J$72,Assumptions!$J$91,Assumptions!$J$110)</f>
        <v>0.479246670103635</v>
      </c>
      <c r="K1636" s="21" t="n">
        <f aca="false">CHOOSE($C$1626,Assumptions!$K$72,Assumptions!$K$91,Assumptions!$K$110)</f>
        <v>0.477246670103635</v>
      </c>
    </row>
    <row r="1637" customFormat="false" ht="15" hidden="false" customHeight="false" outlineLevel="0" collapsed="false">
      <c r="A1637" s="3" t="s">
        <v>167</v>
      </c>
      <c r="G1637" s="21" t="n">
        <f aca="false">CHOOSE($C$1626,Assumptions!$G$73,Assumptions!$G$92,Assumptions!$G$111)+$C$1628</f>
        <v>0.14</v>
      </c>
      <c r="H1637" s="21" t="n">
        <f aca="false">CHOOSE($C$1626,Assumptions!$H$73,Assumptions!$H$92,Assumptions!$H$111)+$C$1628</f>
        <v>0.14</v>
      </c>
      <c r="I1637" s="21" t="n">
        <f aca="false">CHOOSE($C$1626,Assumptions!$I$73,Assumptions!$I$92,Assumptions!$I$111)+$C$1628</f>
        <v>0.138</v>
      </c>
      <c r="J1637" s="21" t="n">
        <f aca="false">CHOOSE($C$1626,Assumptions!$J$73,Assumptions!$J$92,Assumptions!$J$111)+$C$1628</f>
        <v>0.136</v>
      </c>
      <c r="K1637" s="21" t="n">
        <f aca="false">CHOOSE($C$1626,Assumptions!$K$73,Assumptions!$K$92,Assumptions!$K$111)+$C$1628</f>
        <v>0.134</v>
      </c>
    </row>
    <row r="1638" customFormat="false" ht="15" hidden="false" customHeight="false" outlineLevel="0" collapsed="false">
      <c r="A1638" s="23" t="s">
        <v>284</v>
      </c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</row>
    <row r="1639" customFormat="false" ht="15" hidden="false" customHeight="false" outlineLevel="0" collapsed="false">
      <c r="A1639" s="2" t="s">
        <v>256</v>
      </c>
      <c r="F1639" s="28" t="n">
        <f aca="false">'Historical Financials'!G23</f>
        <v>2246.166</v>
      </c>
      <c r="G1639" s="16" t="n">
        <f aca="false">F1639*(1+G1635)</f>
        <v>2145.08853</v>
      </c>
      <c r="H1639" s="16" t="n">
        <f aca="false">G1639*(1+H1635)</f>
        <v>2059.2849888</v>
      </c>
      <c r="I1639" s="16" t="n">
        <f aca="false">H1639*(1+I1635)</f>
        <v>1987.210014192</v>
      </c>
      <c r="J1639" s="16" t="n">
        <f aca="false">I1639*(1+J1635)</f>
        <v>1927.59371376624</v>
      </c>
      <c r="K1639" s="16" t="n">
        <f aca="false">J1639*(1+K1635)</f>
        <v>1869.76590235325</v>
      </c>
    </row>
    <row r="1640" customFormat="false" ht="15" hidden="false" customHeight="false" outlineLevel="0" collapsed="false">
      <c r="A1640" s="3" t="s">
        <v>257</v>
      </c>
      <c r="G1640" s="25" t="n">
        <f aca="false">G1639*(1-G1636)</f>
        <v>1108.4816408</v>
      </c>
      <c r="H1640" s="25" t="n">
        <f aca="false">H1639*(1-H1636)</f>
        <v>1064.142375168</v>
      </c>
      <c r="I1640" s="25" t="n">
        <f aca="false">I1639*(1-I1636)</f>
        <v>1030.8718120655</v>
      </c>
      <c r="J1640" s="25" t="n">
        <f aca="false">J1639*(1-J1636)</f>
        <v>1003.80084513107</v>
      </c>
      <c r="K1640" s="25" t="n">
        <f aca="false">K1639*(1-K1636)</f>
        <v>977.426351581845</v>
      </c>
    </row>
    <row r="1641" customFormat="false" ht="15" hidden="false" customHeight="false" outlineLevel="0" collapsed="false">
      <c r="A1641" s="2" t="s">
        <v>258</v>
      </c>
      <c r="G1641" s="16" t="n">
        <f aca="false">G1639-G1640</f>
        <v>1036.6068892</v>
      </c>
      <c r="H1641" s="16" t="n">
        <f aca="false">H1639-H1640</f>
        <v>995.142613632</v>
      </c>
      <c r="I1641" s="16" t="n">
        <f aca="false">I1639-I1640</f>
        <v>956.338202126496</v>
      </c>
      <c r="J1641" s="16" t="n">
        <f aca="false">J1639-J1640</f>
        <v>923.792868635169</v>
      </c>
      <c r="K1641" s="16" t="n">
        <f aca="false">K1639-K1640</f>
        <v>892.339550771407</v>
      </c>
    </row>
    <row r="1642" customFormat="false" ht="15" hidden="false" customHeight="false" outlineLevel="0" collapsed="false">
      <c r="A1642" s="3" t="s">
        <v>285</v>
      </c>
      <c r="G1642" s="25" t="n">
        <f aca="false">G1641-G1643</f>
        <v>736.294495</v>
      </c>
      <c r="H1642" s="25" t="n">
        <f aca="false">H1641-H1643</f>
        <v>706.8427152</v>
      </c>
      <c r="I1642" s="25" t="n">
        <f aca="false">I1641-I1643</f>
        <v>682.103220168</v>
      </c>
      <c r="J1642" s="25" t="n">
        <f aca="false">J1641-J1643</f>
        <v>661.64012356296</v>
      </c>
      <c r="K1642" s="25" t="n">
        <f aca="false">K1641-K1643</f>
        <v>641.790919856071</v>
      </c>
    </row>
    <row r="1643" customFormat="false" ht="15" hidden="false" customHeight="false" outlineLevel="0" collapsed="false">
      <c r="A1643" s="2" t="s">
        <v>286</v>
      </c>
      <c r="G1643" s="16" t="n">
        <f aca="false">G1639*G1637</f>
        <v>300.3123942</v>
      </c>
      <c r="H1643" s="16" t="n">
        <f aca="false">H1639*H1637</f>
        <v>288.299898432</v>
      </c>
      <c r="I1643" s="16" t="n">
        <f aca="false">I1639*I1637</f>
        <v>274.234981958496</v>
      </c>
      <c r="J1643" s="16" t="n">
        <f aca="false">J1639*J1637</f>
        <v>262.152745072209</v>
      </c>
      <c r="K1643" s="16" t="n">
        <f aca="false">K1639*K1637</f>
        <v>250.548630915336</v>
      </c>
    </row>
    <row r="1644" customFormat="false" ht="15" hidden="false" customHeight="false" outlineLevel="0" collapsed="false">
      <c r="A1644" s="3" t="s">
        <v>287</v>
      </c>
      <c r="G1644" s="25" t="n">
        <f aca="false">G1639*'Historical Financials'!G28/'Historical Financials'!G23</f>
        <v>81.45768</v>
      </c>
      <c r="H1644" s="25" t="n">
        <f aca="false">H1639*'Historical Financials'!G28/'Historical Financials'!G23</f>
        <v>78.1993728</v>
      </c>
      <c r="I1644" s="25" t="n">
        <f aca="false">I1639*'Historical Financials'!G28/'Historical Financials'!G23</f>
        <v>75.462394752</v>
      </c>
      <c r="J1644" s="25" t="n">
        <f aca="false">J1639*'Historical Financials'!G28/'Historical Financials'!G23</f>
        <v>73.19852290944</v>
      </c>
      <c r="K1644" s="25" t="n">
        <f aca="false">K1639*'Historical Financials'!G28/'Historical Financials'!G23</f>
        <v>71.0025672221568</v>
      </c>
    </row>
    <row r="1645" customFormat="false" ht="15" hidden="false" customHeight="false" outlineLevel="0" collapsed="false">
      <c r="A1645" s="3" t="s">
        <v>288</v>
      </c>
      <c r="G1645" s="25" t="n">
        <f aca="false">G1639*'Historical Financials'!G29/'Historical Financials'!G23</f>
        <v>23.25998</v>
      </c>
      <c r="H1645" s="25" t="n">
        <f aca="false">H1639*'Historical Financials'!G29/'Historical Financials'!G23</f>
        <v>22.3295808</v>
      </c>
      <c r="I1645" s="25" t="n">
        <f aca="false">I1639*'Historical Financials'!G29/'Historical Financials'!G23</f>
        <v>21.548045472</v>
      </c>
      <c r="J1645" s="25" t="n">
        <f aca="false">J1639*'Historical Financials'!G29/'Historical Financials'!G23</f>
        <v>20.90160410784</v>
      </c>
      <c r="K1645" s="25" t="n">
        <f aca="false">K1639*'Historical Financials'!G29/'Historical Financials'!G23</f>
        <v>20.2745559846048</v>
      </c>
    </row>
    <row r="1646" customFormat="false" ht="15" hidden="false" customHeight="false" outlineLevel="0" collapsed="false">
      <c r="A1646" s="2" t="s">
        <v>289</v>
      </c>
      <c r="G1646" s="16" t="n">
        <f aca="false">G1643-G1644-G1645</f>
        <v>195.5947342</v>
      </c>
      <c r="H1646" s="16" t="n">
        <f aca="false">H1643-H1644-H1645</f>
        <v>187.770944832</v>
      </c>
      <c r="I1646" s="16" t="n">
        <f aca="false">I1643-I1644-I1645</f>
        <v>177.224541734496</v>
      </c>
      <c r="J1646" s="16" t="n">
        <f aca="false">J1643-J1644-J1645</f>
        <v>168.052618054929</v>
      </c>
      <c r="K1646" s="16" t="n">
        <f aca="false">K1643-K1644-K1645</f>
        <v>159.271507708574</v>
      </c>
    </row>
    <row r="1647" customFormat="false" ht="15" hidden="false" customHeight="false" outlineLevel="0" collapsed="false">
      <c r="A1647" s="3" t="s">
        <v>290</v>
      </c>
      <c r="G1647" s="25" t="n">
        <f aca="false">G1673+G1686+G1699</f>
        <v>155.95467</v>
      </c>
      <c r="H1647" s="25" t="n">
        <f aca="false">H1673+H1686+H1699</f>
        <v>155.95467</v>
      </c>
      <c r="I1647" s="25" t="n">
        <f aca="false">I1673+I1686+I1699</f>
        <v>155.95467</v>
      </c>
      <c r="J1647" s="25" t="n">
        <f aca="false">J1673+J1686+J1699</f>
        <v>138.08529</v>
      </c>
      <c r="K1647" s="25" t="n">
        <f aca="false">K1673+K1686+K1699</f>
        <v>138.08529</v>
      </c>
    </row>
    <row r="1648" customFormat="false" ht="15" hidden="false" customHeight="false" outlineLevel="0" collapsed="false">
      <c r="A1648" s="3" t="s">
        <v>291</v>
      </c>
      <c r="G1648" s="25" t="n">
        <f aca="false">G1674+G1687+G1700</f>
        <v>0</v>
      </c>
      <c r="H1648" s="25" t="n">
        <f aca="false">H1674+H1687+H1700</f>
        <v>0</v>
      </c>
      <c r="I1648" s="25" t="n">
        <f aca="false">I1674+I1687+I1700</f>
        <v>0</v>
      </c>
      <c r="J1648" s="25" t="n">
        <f aca="false">J1674+J1687+J1700</f>
        <v>0</v>
      </c>
      <c r="K1648" s="25" t="n">
        <f aca="false">K1674+K1687+K1700</f>
        <v>0</v>
      </c>
    </row>
    <row r="1649" customFormat="false" ht="15" hidden="false" customHeight="false" outlineLevel="0" collapsed="false">
      <c r="A1649" s="3" t="s">
        <v>239</v>
      </c>
      <c r="G1649" s="25" t="n">
        <f aca="false">G1647+G1648</f>
        <v>155.95467</v>
      </c>
      <c r="H1649" s="25" t="n">
        <f aca="false">H1647+H1648</f>
        <v>155.95467</v>
      </c>
      <c r="I1649" s="25" t="n">
        <f aca="false">I1647+I1648</f>
        <v>155.95467</v>
      </c>
      <c r="J1649" s="25" t="n">
        <f aca="false">J1647+J1648</f>
        <v>138.08529</v>
      </c>
      <c r="K1649" s="25" t="n">
        <f aca="false">K1647+K1648</f>
        <v>138.08529</v>
      </c>
    </row>
    <row r="1650" customFormat="false" ht="15" hidden="false" customHeight="false" outlineLevel="0" collapsed="false">
      <c r="A1650" s="2" t="s">
        <v>264</v>
      </c>
      <c r="G1650" s="16" t="n">
        <f aca="false">G1646-G1649</f>
        <v>39.6400642</v>
      </c>
      <c r="H1650" s="16" t="n">
        <f aca="false">H1646-H1649</f>
        <v>31.816274832</v>
      </c>
      <c r="I1650" s="16" t="n">
        <f aca="false">I1646-I1649</f>
        <v>21.269871734496</v>
      </c>
      <c r="J1650" s="16" t="n">
        <f aca="false">J1646-J1649</f>
        <v>29.9673280549286</v>
      </c>
      <c r="K1650" s="16" t="n">
        <f aca="false">K1646-K1649</f>
        <v>21.1862177085742</v>
      </c>
    </row>
    <row r="1651" customFormat="false" ht="15" hidden="false" customHeight="false" outlineLevel="0" collapsed="false">
      <c r="A1651" s="3" t="s">
        <v>292</v>
      </c>
      <c r="G1651" s="25" t="n">
        <f aca="false">MAX(0,G1650)*Assumptions!$C$9</f>
        <v>9.91001604999999</v>
      </c>
      <c r="H1651" s="25" t="n">
        <f aca="false">MAX(0,H1650)*Assumptions!$C$9</f>
        <v>7.95406870799999</v>
      </c>
      <c r="I1651" s="25" t="n">
        <f aca="false">MAX(0,I1650)*Assumptions!$C$9</f>
        <v>5.317467933624</v>
      </c>
      <c r="J1651" s="25" t="n">
        <f aca="false">MAX(0,J1650)*Assumptions!$C$9</f>
        <v>7.49183201373215</v>
      </c>
      <c r="K1651" s="25" t="n">
        <f aca="false">MAX(0,K1650)*Assumptions!$C$9</f>
        <v>5.29655442714356</v>
      </c>
    </row>
    <row r="1652" customFormat="false" ht="15" hidden="false" customHeight="false" outlineLevel="0" collapsed="false">
      <c r="A1652" s="2" t="s">
        <v>293</v>
      </c>
      <c r="G1652" s="16" t="n">
        <f aca="false">G1650-G1651</f>
        <v>29.73004815</v>
      </c>
      <c r="H1652" s="16" t="n">
        <f aca="false">H1650-H1651</f>
        <v>23.862206124</v>
      </c>
      <c r="I1652" s="16" t="n">
        <f aca="false">I1650-I1651</f>
        <v>15.952403800872</v>
      </c>
      <c r="J1652" s="16" t="n">
        <f aca="false">J1650-J1651</f>
        <v>22.4754960411965</v>
      </c>
      <c r="K1652" s="16" t="n">
        <f aca="false">K1650-K1651</f>
        <v>15.8896632814307</v>
      </c>
    </row>
    <row r="1653" customFormat="false" ht="15" hidden="false" customHeight="false" outlineLevel="0" collapsed="false">
      <c r="A1653" s="23" t="s">
        <v>294</v>
      </c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</row>
    <row r="1654" customFormat="false" ht="15" hidden="false" customHeight="false" outlineLevel="0" collapsed="false">
      <c r="A1654" s="3" t="s">
        <v>169</v>
      </c>
      <c r="G1654" s="25" t="n">
        <f aca="false">G1639*CHOOSE($C$1626,Assumptions!$C$75,Assumptions!$C$94,Assumptions!$C$113)</f>
        <v>30.03123942</v>
      </c>
      <c r="H1654" s="25" t="n">
        <f aca="false">H1639*CHOOSE($C$1626,Assumptions!$C$75,Assumptions!$C$94,Assumptions!$C$113)</f>
        <v>28.8299898432</v>
      </c>
      <c r="I1654" s="25" t="n">
        <f aca="false">I1639*CHOOSE($C$1626,Assumptions!$C$75,Assumptions!$C$94,Assumptions!$C$113)</f>
        <v>27.820940198688</v>
      </c>
      <c r="J1654" s="25" t="n">
        <f aca="false">J1639*CHOOSE($C$1626,Assumptions!$C$75,Assumptions!$C$94,Assumptions!$C$113)</f>
        <v>26.9863119927274</v>
      </c>
      <c r="K1654" s="25" t="n">
        <f aca="false">K1639*CHOOSE($C$1626,Assumptions!$C$75,Assumptions!$C$94,Assumptions!$C$113)</f>
        <v>26.1767226329455</v>
      </c>
    </row>
    <row r="1655" customFormat="false" ht="15" hidden="false" customHeight="false" outlineLevel="0" collapsed="false">
      <c r="A1655" s="3" t="s">
        <v>295</v>
      </c>
      <c r="G1655" s="25" t="n">
        <f aca="false">CHOOSE($C$1626,Assumptions!$C$76,Assumptions!$C$95,Assumptions!$C$114)*(G1639-F1639)+CHOOSE($C$1626,Assumptions!$C$77,Assumptions!$C$96,Assumptions!$C$115)*G1639</f>
        <v>-21.4508853</v>
      </c>
      <c r="H1655" s="25" t="n">
        <f aca="false">CHOOSE($C$1626,Assumptions!$C$76,Assumptions!$C$95,Assumptions!$C$114)*(H1639-G1639)+CHOOSE($C$1626,Assumptions!$C$77,Assumptions!$C$96,Assumptions!$C$115)*H1639</f>
        <v>-20.592849888</v>
      </c>
      <c r="I1655" s="25" t="n">
        <f aca="false">CHOOSE($C$1626,Assumptions!$C$76,Assumptions!$C$95,Assumptions!$C$114)*(I1639-H1639)+CHOOSE($C$1626,Assumptions!$C$77,Assumptions!$C$96,Assumptions!$C$115)*I1639</f>
        <v>-19.87210014192</v>
      </c>
      <c r="J1655" s="25" t="n">
        <f aca="false">CHOOSE($C$1626,Assumptions!$C$76,Assumptions!$C$95,Assumptions!$C$114)*(J1639-I1639)+CHOOSE($C$1626,Assumptions!$C$77,Assumptions!$C$96,Assumptions!$C$115)*J1639</f>
        <v>-19.2759371376624</v>
      </c>
      <c r="K1655" s="25" t="n">
        <f aca="false">CHOOSE($C$1626,Assumptions!$C$76,Assumptions!$C$95,Assumptions!$C$114)*(K1639-J1639)+CHOOSE($C$1626,Assumptions!$C$77,Assumptions!$C$96,Assumptions!$C$115)*K1639</f>
        <v>-18.6976590235325</v>
      </c>
    </row>
    <row r="1656" customFormat="false" ht="15" hidden="false" customHeight="false" outlineLevel="0" collapsed="false">
      <c r="A1656" s="2" t="s">
        <v>296</v>
      </c>
      <c r="G1656" s="16" t="n">
        <f aca="false">G1652+G1644+G1645+G1648-G1654-G1655</f>
        <v>125.86735403</v>
      </c>
      <c r="H1656" s="16" t="n">
        <f aca="false">H1652+H1644+H1645+H1648-H1654-H1655</f>
        <v>116.1540197688</v>
      </c>
      <c r="I1656" s="16" t="n">
        <f aca="false">I1652+I1644+I1645+I1648-I1654-I1655</f>
        <v>105.014003968104</v>
      </c>
      <c r="J1656" s="16" t="n">
        <f aca="false">J1652+J1644+J1645+J1648-J1654-J1655</f>
        <v>108.865248203412</v>
      </c>
      <c r="K1656" s="16" t="n">
        <f aca="false">K1652+K1644+K1645+K1648-K1654-K1655</f>
        <v>99.6877228787792</v>
      </c>
    </row>
    <row r="1658" customFormat="false" ht="15" hidden="false" customHeight="false" outlineLevel="0" collapsed="false">
      <c r="A1658" s="23" t="s">
        <v>298</v>
      </c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</row>
    <row r="1659" customFormat="false" ht="15" hidden="false" customHeight="false" outlineLevel="0" collapsed="false">
      <c r="A1659" s="3" t="s">
        <v>299</v>
      </c>
      <c r="G1659" s="30" t="n">
        <f aca="false">Assumptions!$G$52</f>
        <v>0.039</v>
      </c>
      <c r="H1659" s="30" t="n">
        <f aca="false">Assumptions!$H$52</f>
        <v>0.0375</v>
      </c>
      <c r="I1659" s="30" t="n">
        <f aca="false">Assumptions!$I$52</f>
        <v>0.035</v>
      </c>
      <c r="J1659" s="30" t="n">
        <f aca="false">Assumptions!$J$52</f>
        <v>0.035</v>
      </c>
      <c r="K1659" s="30" t="n">
        <f aca="false">Assumptions!$K$52</f>
        <v>0.035</v>
      </c>
    </row>
    <row r="1660" customFormat="false" ht="15" hidden="false" customHeight="false" outlineLevel="0" collapsed="false">
      <c r="A1660" s="3" t="s">
        <v>300</v>
      </c>
      <c r="C1660" s="31" t="n">
        <f aca="false">CHOOSE($C$1626,Assumptions!$C$78,Assumptions!$C$97,Assumptions!$C$116)+$C$1629</f>
        <v>0</v>
      </c>
    </row>
    <row r="1661" customFormat="false" ht="15" hidden="false" customHeight="false" outlineLevel="0" collapsed="false">
      <c r="A1661" s="3" t="s">
        <v>301</v>
      </c>
      <c r="C1661" s="31" t="n">
        <f aca="false">CHOOSE($C$1626,Assumptions!$C$79,Assumptions!$C$98,Assumptions!$C$117)</f>
        <v>0.11</v>
      </c>
    </row>
    <row r="1662" customFormat="false" ht="15" hidden="false" customHeight="false" outlineLevel="0" collapsed="false">
      <c r="A1662" s="3" t="s">
        <v>302</v>
      </c>
      <c r="C1662" s="32" t="n">
        <f aca="false">CHOOSE($C$1626,Assumptions!$C$80,Assumptions!$C$99,Assumptions!$C$118)</f>
        <v>6</v>
      </c>
    </row>
    <row r="1663" customFormat="false" ht="15" hidden="false" customHeight="false" outlineLevel="0" collapsed="false">
      <c r="A1663" s="3" t="s">
        <v>303</v>
      </c>
      <c r="C1663" s="32" t="n">
        <f aca="false">CHOOSE($C$1626,Assumptions!$C$81,Assumptions!$C$100,Assumptions!$C$119)</f>
        <v>1.25</v>
      </c>
    </row>
    <row r="1664" customFormat="false" ht="15" hidden="false" customHeight="false" outlineLevel="0" collapsed="false">
      <c r="A1664" s="3" t="s">
        <v>304</v>
      </c>
      <c r="G1664" s="25" t="n">
        <f aca="false">G1669+G1682+G1695</f>
        <v>1735.554</v>
      </c>
      <c r="H1664" s="25" t="n">
        <f aca="false">H1669+H1682+H1695</f>
        <v>1735.554</v>
      </c>
      <c r="I1664" s="25" t="n">
        <f aca="false">I1669+I1682+I1695</f>
        <v>1735.554</v>
      </c>
      <c r="J1664" s="25" t="n">
        <f aca="false">J1669+J1682+J1695</f>
        <v>1315.098</v>
      </c>
      <c r="K1664" s="25" t="n">
        <f aca="false">K1669+K1682+K1695</f>
        <v>1315.098</v>
      </c>
    </row>
    <row r="1665" customFormat="false" ht="15" hidden="false" customHeight="false" outlineLevel="0" collapsed="false">
      <c r="A1665" s="3" t="s">
        <v>305</v>
      </c>
      <c r="G1665" s="25" t="n">
        <f aca="false">F1738</f>
        <v>463.996</v>
      </c>
      <c r="H1665" s="25" t="n">
        <f aca="false">G1738</f>
        <v>589.86335403</v>
      </c>
      <c r="I1665" s="25" t="n">
        <f aca="false">H1738</f>
        <v>706.0173737988</v>
      </c>
      <c r="J1665" s="25" t="n">
        <f aca="false">I1738</f>
        <v>390.575377766904</v>
      </c>
      <c r="K1665" s="25" t="n">
        <f aca="false">J1738</f>
        <v>499.440625970316</v>
      </c>
    </row>
    <row r="1666" customFormat="false" ht="15" hidden="false" customHeight="false" outlineLevel="0" collapsed="false">
      <c r="A1666" s="3" t="s">
        <v>306</v>
      </c>
      <c r="G1666" s="25" t="n">
        <f aca="false">G1669*IF(G1670=1,$C$1661,IF(Assumptions!$I$56=1,MAX(G1659,Assumptions!$G$56)+Assumptions!$F$56+$C$1660,Assumptions!$E$56))+G1682*IF(G1683=1,$C$1661,IF(Assumptions!$I$57=1,MAX(G1659,Assumptions!$G$57)+Assumptions!$F$57+$C$1660,Assumptions!$E$57))+G1695*IF(G1696=1,$C$1661,IF(Assumptions!$I$58=1,MAX(G1659,Assumptions!$G$58)+Assumptions!$F$58+$C$1660,Assumptions!$E$58))</f>
        <v>155.95467</v>
      </c>
      <c r="H1666" s="25" t="n">
        <f aca="false">H1669*IF(OR(H1670=1,G1816=1),$C$1661,IF(Assumptions!$I$56=1,MAX(H1659,Assumptions!$G$56)+Assumptions!$F$56+$C$1660,Assumptions!$E$56))+H1682*IF(OR(H1683=1,G1817=1),$C$1661,IF(Assumptions!$I$57=1,MAX(H1659,Assumptions!$G$57)+Assumptions!$F$57+$C$1660,Assumptions!$E$57))+H1695*IF(OR(H1696=1,G1818=1),$C$1661,IF(Assumptions!$I$58=1,MAX(H1659,Assumptions!$G$58)+Assumptions!$F$58+$C$1660,Assumptions!$E$58))</f>
        <v>155.95467</v>
      </c>
      <c r="I1666" s="25" t="n">
        <f aca="false">I1669*IF(OR(I1670=1,H1816=1),$C$1661,IF(Assumptions!$I$56=1,MAX(I1659,Assumptions!$G$56)+Assumptions!$F$56+$C$1660,Assumptions!$E$56))+I1682*IF(OR(I1683=1,H1817=1),$C$1661,IF(Assumptions!$I$57=1,MAX(I1659,Assumptions!$G$57)+Assumptions!$F$57+$C$1660,Assumptions!$E$57))+I1695*IF(OR(I1696=1,H1818=1),$C$1661,IF(Assumptions!$I$58=1,MAX(I1659,Assumptions!$G$58)+Assumptions!$F$58+$C$1660,Assumptions!$E$58))</f>
        <v>184.33545</v>
      </c>
      <c r="J1666" s="25" t="n">
        <f aca="false">J1669*IF(OR(J1670=1,I1816=1),$C$1661,IF(Assumptions!$I$56=1,MAX(J1659,Assumptions!$G$56)+Assumptions!$F$56+$C$1660,Assumptions!$E$56))+J1682*IF(OR(J1683=1,I1817=1),$C$1661,IF(Assumptions!$I$57=1,MAX(J1659,Assumptions!$G$57)+Assumptions!$F$57+$C$1660,Assumptions!$E$57))+J1695*IF(OR(J1696=1,I1818=1),$C$1661,IF(Assumptions!$I$58=1,MAX(J1659,Assumptions!$G$58)+Assumptions!$F$58+$C$1660,Assumptions!$E$58))</f>
        <v>138.08529</v>
      </c>
      <c r="K1666" s="25" t="n">
        <f aca="false">K1669*IF(OR(K1670=1,J1816=1),$C$1661,IF(Assumptions!$I$56=1,MAX(K1659,Assumptions!$G$56)+Assumptions!$F$56+$C$1660,Assumptions!$E$56))+K1682*IF(OR(K1683=1,J1817=1),$C$1661,IF(Assumptions!$I$57=1,MAX(K1659,Assumptions!$G$57)+Assumptions!$F$57+$C$1660,Assumptions!$E$57))+K1695*IF(OR(K1696=1,J1818=1),$C$1661,IF(Assumptions!$I$58=1,MAX(K1659,Assumptions!$G$58)+Assumptions!$F$58+$C$1660,Assumptions!$E$58))</f>
        <v>138.08529</v>
      </c>
    </row>
    <row r="1667" customFormat="false" ht="15" hidden="false" customHeight="false" outlineLevel="0" collapsed="false">
      <c r="A1667" s="3" t="s">
        <v>307</v>
      </c>
      <c r="G1667" s="20" t="n">
        <f aca="false">IF(G1643&lt;=0,0,IF(AND((G1664-G1665)/G1643&lt;=$C$1662,G1643/G1666&gt;=$C$1663),1,0))</f>
        <v>1</v>
      </c>
      <c r="H1667" s="20" t="n">
        <f aca="false">IF(H1643&lt;=0,0,IF(AND((H1664-H1665)/H1643&lt;=$C$1662,H1643/H1666&gt;=$C$1663),1,0))</f>
        <v>1</v>
      </c>
      <c r="I1667" s="20" t="n">
        <f aca="false">IF(I1643&lt;=0,0,IF(AND((I1664-I1665)/I1643&lt;=$C$1662,I1643/I1666&gt;=$C$1663),1,0))</f>
        <v>1</v>
      </c>
      <c r="J1667" s="20" t="n">
        <f aca="false">IF(J1643&lt;=0,0,IF(AND((J1664-J1665)/J1643&lt;=$C$1662,J1643/J1666&gt;=$C$1663),1,0))</f>
        <v>1</v>
      </c>
      <c r="K1667" s="20" t="n">
        <f aca="false">IF(K1643&lt;=0,0,IF(AND((K1664-K1665)/K1643&lt;=$C$1662,K1643/K1666&gt;=$C$1663),1,0))</f>
        <v>1</v>
      </c>
    </row>
    <row r="1668" customFormat="false" ht="15" hidden="false" customHeight="false" outlineLevel="0" collapsed="false">
      <c r="A1668" s="23" t="s">
        <v>308</v>
      </c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</row>
    <row r="1669" customFormat="false" ht="15" hidden="false" customHeight="false" outlineLevel="0" collapsed="false">
      <c r="A1669" s="3" t="s">
        <v>309</v>
      </c>
      <c r="G1669" s="25" t="n">
        <f aca="false">F1680</f>
        <v>1315.098</v>
      </c>
      <c r="H1669" s="25" t="n">
        <f aca="false">G1680</f>
        <v>1315.098</v>
      </c>
      <c r="I1669" s="25" t="n">
        <f aca="false">H1680</f>
        <v>1315.098</v>
      </c>
      <c r="J1669" s="25" t="n">
        <f aca="false">I1680</f>
        <v>1315.098</v>
      </c>
      <c r="K1669" s="25" t="n">
        <f aca="false">J1680</f>
        <v>1315.098</v>
      </c>
    </row>
    <row r="1670" customFormat="false" ht="15" hidden="false" customHeight="false" outlineLevel="0" collapsed="false">
      <c r="A1670" s="3" t="s">
        <v>310</v>
      </c>
      <c r="G1670" s="20" t="n">
        <f aca="false">IF(G1633=Assumptions!$K$56,1,0)</f>
        <v>0</v>
      </c>
      <c r="H1670" s="20" t="n">
        <f aca="false">IF(H1633=Assumptions!$K$56,1,0)</f>
        <v>0</v>
      </c>
      <c r="I1670" s="20" t="n">
        <f aca="false">IF(I1633=Assumptions!$K$56,1,0)</f>
        <v>0</v>
      </c>
      <c r="J1670" s="20" t="n">
        <f aca="false">IF(J1633=Assumptions!$K$56,1,0)</f>
        <v>0</v>
      </c>
      <c r="K1670" s="20" t="n">
        <f aca="false">IF(K1633=Assumptions!$K$56,1,0)</f>
        <v>0</v>
      </c>
    </row>
    <row r="1672" customFormat="false" ht="15" hidden="false" customHeight="false" outlineLevel="0" collapsed="false">
      <c r="A1672" s="3" t="s">
        <v>311</v>
      </c>
      <c r="G1672" s="31" t="n">
        <f aca="false">IF(Assumptions!$I$56=1,MAX(G1659,Assumptions!$G$56)+Assumptions!$F$56+$C$1660,Assumptions!$E$56)</f>
        <v>0.105</v>
      </c>
      <c r="H1672" s="31" t="n">
        <f aca="false">IF(G1816=1,$C$1661,IF(Assumptions!$I$56=1,MAX(H1659,Assumptions!$G$56)+Assumptions!$F$56+$C$1660,Assumptions!$E$56))</f>
        <v>0.105</v>
      </c>
      <c r="I1672" s="31" t="n">
        <f aca="false">IF(H1816=1,$C$1661,IF(Assumptions!$I$56=1,MAX(I1659,Assumptions!$G$56)+Assumptions!$F$56+$C$1660,Assumptions!$E$56))</f>
        <v>0.105</v>
      </c>
      <c r="J1672" s="31" t="n">
        <f aca="false">IF(I1816=1,$C$1661,IF(Assumptions!$I$56=1,MAX(J1659,Assumptions!$G$56)+Assumptions!$F$56+$C$1660,Assumptions!$E$56))</f>
        <v>0.105</v>
      </c>
      <c r="K1672" s="31" t="n">
        <f aca="false">IF(J1816=1,$C$1661,IF(Assumptions!$I$56=1,MAX(K1659,Assumptions!$G$56)+Assumptions!$F$56+$C$1660,Assumptions!$E$56))</f>
        <v>0.105</v>
      </c>
    </row>
    <row r="1673" customFormat="false" ht="15" hidden="false" customHeight="false" outlineLevel="0" collapsed="false">
      <c r="A1673" s="3" t="s">
        <v>312</v>
      </c>
      <c r="G1673" s="25" t="n">
        <f aca="false">G1669*G1672</f>
        <v>138.08529</v>
      </c>
      <c r="H1673" s="25" t="n">
        <f aca="false">H1669*H1672</f>
        <v>138.08529</v>
      </c>
      <c r="I1673" s="25" t="n">
        <f aca="false">I1669*I1672</f>
        <v>138.08529</v>
      </c>
      <c r="J1673" s="25" t="n">
        <f aca="false">J1669*J1672</f>
        <v>138.08529</v>
      </c>
      <c r="K1673" s="25" t="n">
        <f aca="false">K1669*K1672</f>
        <v>138.08529</v>
      </c>
    </row>
    <row r="1674" customFormat="false" ht="15" hidden="false" customHeight="false" outlineLevel="0" collapsed="false">
      <c r="A1674" s="3" t="s">
        <v>313</v>
      </c>
      <c r="G1674" s="25" t="n">
        <f aca="false">G1669*Assumptions!$H$56</f>
        <v>0</v>
      </c>
      <c r="H1674" s="25" t="n">
        <f aca="false">H1669*Assumptions!$H$56</f>
        <v>0</v>
      </c>
      <c r="I1674" s="25" t="n">
        <f aca="false">I1669*Assumptions!$H$56</f>
        <v>0</v>
      </c>
      <c r="J1674" s="25" t="n">
        <f aca="false">J1669*Assumptions!$H$56</f>
        <v>0</v>
      </c>
      <c r="K1674" s="25" t="n">
        <f aca="false">K1669*Assumptions!$H$56</f>
        <v>0</v>
      </c>
    </row>
    <row r="1675" customFormat="false" ht="15" hidden="false" customHeight="false" outlineLevel="0" collapsed="false">
      <c r="A1675" s="3" t="s">
        <v>314</v>
      </c>
      <c r="G1675" s="25" t="n">
        <f aca="false">MIN(G1669,Assumptions!$L$56*Assumptions!$C$56)</f>
        <v>0</v>
      </c>
      <c r="H1675" s="25" t="n">
        <f aca="false">MIN(H1669,Assumptions!$L$56*Assumptions!$C$56)</f>
        <v>0</v>
      </c>
      <c r="I1675" s="25" t="n">
        <f aca="false">MIN(I1669,Assumptions!$L$56*Assumptions!$C$56)</f>
        <v>0</v>
      </c>
      <c r="J1675" s="25" t="n">
        <f aca="false">MIN(J1669,Assumptions!$L$56*Assumptions!$C$56)</f>
        <v>0</v>
      </c>
      <c r="K1675" s="25" t="n">
        <f aca="false">MIN(K1669,Assumptions!$L$56*Assumptions!$C$56)</f>
        <v>0</v>
      </c>
    </row>
    <row r="1676" customFormat="false" ht="15" hidden="false" customHeight="false" outlineLevel="0" collapsed="false">
      <c r="A1676" s="3" t="s">
        <v>315</v>
      </c>
      <c r="G1676" s="25" t="n">
        <f aca="false">IF(AND(Assumptions!$P$56=1,G1633&lt;Assumptions!$K$56),MIN(MAX(0,-G1730),MAX(0,Assumptions!$D$56-G1669)),0)</f>
        <v>0</v>
      </c>
      <c r="H1676" s="25" t="n">
        <f aca="false">IF(AND(Assumptions!$P$56=1,OR(H1633&lt;Assumptions!$K$56,G1816=1)),MIN(MAX(0,-H1730),MAX(0,Assumptions!$D$56-H1669)),0)</f>
        <v>0</v>
      </c>
      <c r="I1676" s="25" t="n">
        <f aca="false">IF(AND(Assumptions!$P$56=1,OR(I1633&lt;Assumptions!$K$56,H1816=1)),MIN(MAX(0,-I1730),MAX(0,Assumptions!$D$56-I1669)),0)</f>
        <v>0</v>
      </c>
      <c r="J1676" s="25" t="n">
        <f aca="false">IF(AND(Assumptions!$P$56=1,OR(J1633&lt;Assumptions!$K$56,I1816=1)),MIN(MAX(0,-J1730),MAX(0,Assumptions!$D$56-J1669)),0)</f>
        <v>0</v>
      </c>
      <c r="K1676" s="25" t="n">
        <f aca="false">IF(AND(Assumptions!$P$56=1,OR(K1633&lt;Assumptions!$K$56,J1816=1)),MIN(MAX(0,-K1730),MAX(0,Assumptions!$D$56-K1669)),0)</f>
        <v>0</v>
      </c>
    </row>
    <row r="1677" customFormat="false" ht="15" hidden="false" customHeight="false" outlineLevel="0" collapsed="false">
      <c r="A1677" s="3" t="s">
        <v>316</v>
      </c>
      <c r="G1677" s="25" t="n">
        <f aca="false">G1670*MIN(G1669-G1675+G1674,MAX(0,G1732-Assumptions!$C$12*G1667))</f>
        <v>0</v>
      </c>
      <c r="H1677" s="25" t="n">
        <f aca="false">H1670*MIN(H1669-H1675+H1674,MAX(0,H1732-Assumptions!$C$12*H1667))</f>
        <v>0</v>
      </c>
      <c r="I1677" s="25" t="n">
        <f aca="false">I1670*MIN(I1669-I1675+I1674,MAX(0,I1732-Assumptions!$C$12*I1667))</f>
        <v>0</v>
      </c>
      <c r="J1677" s="25" t="n">
        <f aca="false">J1670*MIN(J1669-J1675+J1674,MAX(0,J1732-Assumptions!$C$12*J1667))</f>
        <v>0</v>
      </c>
      <c r="K1677" s="25" t="n">
        <f aca="false">K1670*MIN(K1669-K1675+K1674,MAX(0,K1732-Assumptions!$C$12*K1667))</f>
        <v>0</v>
      </c>
    </row>
    <row r="1678" customFormat="false" ht="15" hidden="false" customHeight="false" outlineLevel="0" collapsed="false">
      <c r="A1678" s="3" t="s">
        <v>317</v>
      </c>
      <c r="G1678" s="25" t="n">
        <f aca="false">Assumptions!$N$56*MIN(G1669+G1676+G1674-G1675-G1677,MAX(0,G1736))</f>
        <v>0</v>
      </c>
      <c r="H1678" s="25" t="n">
        <f aca="false">Assumptions!$N$56*MIN(H1669+H1676+H1674-H1675-H1677,MAX(0,H1736))</f>
        <v>0</v>
      </c>
      <c r="I1678" s="25" t="n">
        <f aca="false">Assumptions!$N$56*MIN(I1669+I1676+I1674-I1675-I1677,MAX(0,I1736))</f>
        <v>0</v>
      </c>
      <c r="J1678" s="25" t="n">
        <f aca="false">Assumptions!$N$56*MIN(J1669+J1676+J1674-J1675-J1677,MAX(0,J1736))</f>
        <v>0</v>
      </c>
      <c r="K1678" s="25" t="n">
        <f aca="false">Assumptions!$N$56*MIN(K1669+K1676+K1674-K1675-K1677,MAX(0,K1736))</f>
        <v>0</v>
      </c>
    </row>
    <row r="1679" customFormat="false" ht="15" hidden="false" customHeight="false" outlineLevel="0" collapsed="false">
      <c r="A1679" s="3" t="s">
        <v>318</v>
      </c>
      <c r="G1679" s="25" t="n">
        <f aca="false">G1670*(1-G1667)*(G1669-G1675+G1674-G1677)</f>
        <v>0</v>
      </c>
      <c r="H1679" s="25" t="n">
        <f aca="false">H1670*(1-H1667)*(H1669-H1675+H1674-H1677)</f>
        <v>0</v>
      </c>
      <c r="I1679" s="25" t="n">
        <f aca="false">I1670*(1-I1667)*(I1669-I1675+I1674-I1677)</f>
        <v>0</v>
      </c>
      <c r="J1679" s="25" t="n">
        <f aca="false">J1670*(1-J1667)*(J1669-J1675+J1674-J1677)</f>
        <v>0</v>
      </c>
      <c r="K1679" s="25" t="n">
        <f aca="false">K1670*(1-K1667)*(K1669-K1675+K1674-K1677)</f>
        <v>0</v>
      </c>
    </row>
    <row r="1680" customFormat="false" ht="15" hidden="false" customHeight="false" outlineLevel="0" collapsed="false">
      <c r="A1680" s="2" t="s">
        <v>319</v>
      </c>
      <c r="F1680" s="28" t="n">
        <f aca="false">Assumptions!$C$56</f>
        <v>1315.098</v>
      </c>
      <c r="G1680" s="16" t="n">
        <f aca="false">G1669+G1676+G1674-G1675-G1677-G1678</f>
        <v>1315.098</v>
      </c>
      <c r="H1680" s="16" t="n">
        <f aca="false">H1669+H1676+H1674-H1675-H1677-H1678</f>
        <v>1315.098</v>
      </c>
      <c r="I1680" s="16" t="n">
        <f aca="false">I1669+I1676+I1674-I1675-I1677-I1678</f>
        <v>1315.098</v>
      </c>
      <c r="J1680" s="16" t="n">
        <f aca="false">J1669+J1676+J1674-J1675-J1677-J1678</f>
        <v>1315.098</v>
      </c>
      <c r="K1680" s="16" t="n">
        <f aca="false">K1669+K1676+K1674-K1675-K1677-K1678</f>
        <v>1315.098</v>
      </c>
    </row>
    <row r="1681" customFormat="false" ht="15" hidden="false" customHeight="false" outlineLevel="0" collapsed="false">
      <c r="A1681" s="23" t="s">
        <v>320</v>
      </c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</row>
    <row r="1682" customFormat="false" ht="15" hidden="false" customHeight="false" outlineLevel="0" collapsed="false">
      <c r="A1682" s="3" t="s">
        <v>309</v>
      </c>
      <c r="G1682" s="25" t="n">
        <f aca="false">F1693</f>
        <v>276.706</v>
      </c>
      <c r="H1682" s="25" t="n">
        <f aca="false">G1693</f>
        <v>276.706</v>
      </c>
      <c r="I1682" s="25" t="n">
        <f aca="false">H1693</f>
        <v>276.706</v>
      </c>
      <c r="J1682" s="25" t="n">
        <f aca="false">I1693</f>
        <v>0</v>
      </c>
      <c r="K1682" s="25" t="n">
        <f aca="false">J1693</f>
        <v>0</v>
      </c>
    </row>
    <row r="1683" customFormat="false" ht="15" hidden="false" customHeight="false" outlineLevel="0" collapsed="false">
      <c r="A1683" s="3" t="s">
        <v>310</v>
      </c>
      <c r="G1683" s="20" t="n">
        <f aca="false">IF(G1633=Assumptions!$K$57,1,0)</f>
        <v>0</v>
      </c>
      <c r="H1683" s="20" t="n">
        <f aca="false">IF(H1633=Assumptions!$K$57,1,0)</f>
        <v>0</v>
      </c>
      <c r="I1683" s="20" t="n">
        <f aca="false">IF(I1633=Assumptions!$K$57,1,0)</f>
        <v>1</v>
      </c>
      <c r="J1683" s="20" t="n">
        <f aca="false">IF(J1633=Assumptions!$K$57,1,0)</f>
        <v>0</v>
      </c>
      <c r="K1683" s="20" t="n">
        <f aca="false">IF(K1633=Assumptions!$K$57,1,0)</f>
        <v>0</v>
      </c>
    </row>
    <row r="1685" customFormat="false" ht="15" hidden="false" customHeight="false" outlineLevel="0" collapsed="false">
      <c r="A1685" s="3" t="s">
        <v>311</v>
      </c>
      <c r="G1685" s="31" t="n">
        <f aca="false">IF(Assumptions!$I$57=1,MAX(G1659,Assumptions!$G$57)+Assumptions!$F$57+$C$1660,Assumptions!$E$57)</f>
        <v>0.0425</v>
      </c>
      <c r="H1685" s="31" t="n">
        <f aca="false">IF(G1817=1,$C$1661,IF(Assumptions!$I$57=1,MAX(H1659,Assumptions!$G$57)+Assumptions!$F$57+$C$1660,Assumptions!$E$57))</f>
        <v>0.0425</v>
      </c>
      <c r="I1685" s="31" t="n">
        <f aca="false">IF(H1817=1,$C$1661,IF(Assumptions!$I$57=1,MAX(I1659,Assumptions!$G$57)+Assumptions!$F$57+$C$1660,Assumptions!$E$57))</f>
        <v>0.0425</v>
      </c>
      <c r="J1685" s="31" t="n">
        <f aca="false">IF(I1817=1,$C$1661,IF(Assumptions!$I$57=1,MAX(J1659,Assumptions!$G$57)+Assumptions!$F$57+$C$1660,Assumptions!$E$57))</f>
        <v>0.11</v>
      </c>
      <c r="K1685" s="31" t="n">
        <f aca="false">IF(J1817=1,$C$1661,IF(Assumptions!$I$57=1,MAX(K1659,Assumptions!$G$57)+Assumptions!$F$57+$C$1660,Assumptions!$E$57))</f>
        <v>0.11</v>
      </c>
    </row>
    <row r="1686" customFormat="false" ht="15" hidden="false" customHeight="false" outlineLevel="0" collapsed="false">
      <c r="A1686" s="3" t="s">
        <v>312</v>
      </c>
      <c r="G1686" s="25" t="n">
        <f aca="false">G1682*G1685</f>
        <v>11.760005</v>
      </c>
      <c r="H1686" s="25" t="n">
        <f aca="false">H1682*H1685</f>
        <v>11.760005</v>
      </c>
      <c r="I1686" s="25" t="n">
        <f aca="false">I1682*I1685</f>
        <v>11.760005</v>
      </c>
      <c r="J1686" s="25" t="n">
        <f aca="false">J1682*J1685</f>
        <v>0</v>
      </c>
      <c r="K1686" s="25" t="n">
        <f aca="false">K1682*K1685</f>
        <v>0</v>
      </c>
    </row>
    <row r="1687" customFormat="false" ht="15" hidden="false" customHeight="false" outlineLevel="0" collapsed="false">
      <c r="A1687" s="3" t="s">
        <v>313</v>
      </c>
      <c r="G1687" s="25" t="n">
        <f aca="false">G1682*Assumptions!$H$57</f>
        <v>0</v>
      </c>
      <c r="H1687" s="25" t="n">
        <f aca="false">H1682*Assumptions!$H$57</f>
        <v>0</v>
      </c>
      <c r="I1687" s="25" t="n">
        <f aca="false">I1682*Assumptions!$H$57</f>
        <v>0</v>
      </c>
      <c r="J1687" s="25" t="n">
        <f aca="false">J1682*Assumptions!$H$57</f>
        <v>0</v>
      </c>
      <c r="K1687" s="25" t="n">
        <f aca="false">K1682*Assumptions!$H$57</f>
        <v>0</v>
      </c>
    </row>
    <row r="1688" customFormat="false" ht="15" hidden="false" customHeight="false" outlineLevel="0" collapsed="false">
      <c r="A1688" s="3" t="s">
        <v>314</v>
      </c>
      <c r="G1688" s="25" t="n">
        <f aca="false">MIN(G1682,Assumptions!$L$57*Assumptions!$C$57)</f>
        <v>0</v>
      </c>
      <c r="H1688" s="25" t="n">
        <f aca="false">MIN(H1682,Assumptions!$L$57*Assumptions!$C$57)</f>
        <v>0</v>
      </c>
      <c r="I1688" s="25" t="n">
        <f aca="false">MIN(I1682,Assumptions!$L$57*Assumptions!$C$57)</f>
        <v>0</v>
      </c>
      <c r="J1688" s="25" t="n">
        <f aca="false">MIN(J1682,Assumptions!$L$57*Assumptions!$C$57)</f>
        <v>0</v>
      </c>
      <c r="K1688" s="25" t="n">
        <f aca="false">MIN(K1682,Assumptions!$L$57*Assumptions!$C$57)</f>
        <v>0</v>
      </c>
    </row>
    <row r="1689" customFormat="false" ht="15" hidden="false" customHeight="false" outlineLevel="0" collapsed="false">
      <c r="A1689" s="3" t="s">
        <v>315</v>
      </c>
      <c r="G1689" s="25" t="n">
        <f aca="false">IF(AND(Assumptions!$P$57=1,G1633&lt;Assumptions!$K$57),MIN(MAX(0,-G1730),MAX(0,Assumptions!$D$57-G1682)),0)</f>
        <v>0</v>
      </c>
      <c r="H1689" s="25" t="n">
        <f aca="false">IF(AND(Assumptions!$P$57=1,OR(H1633&lt;Assumptions!$K$57,G1817=1)),MIN(MAX(0,-H1730),MAX(0,Assumptions!$D$57-H1682)),0)</f>
        <v>0</v>
      </c>
      <c r="I1689" s="25" t="n">
        <f aca="false">IF(AND(Assumptions!$P$57=1,OR(I1633&lt;Assumptions!$K$57,H1817=1)),MIN(MAX(0,-I1730),MAX(0,Assumptions!$D$57-I1682)),0)</f>
        <v>0</v>
      </c>
      <c r="J1689" s="25" t="n">
        <f aca="false">IF(AND(Assumptions!$P$57=1,OR(J1633&lt;Assumptions!$K$57,I1817=1)),MIN(MAX(0,-J1730),MAX(0,Assumptions!$D$57-J1682)),0)</f>
        <v>0</v>
      </c>
      <c r="K1689" s="25" t="n">
        <f aca="false">IF(AND(Assumptions!$P$57=1,OR(K1633&lt;Assumptions!$K$57,J1817=1)),MIN(MAX(0,-K1730),MAX(0,Assumptions!$D$57-K1682)),0)</f>
        <v>0</v>
      </c>
    </row>
    <row r="1690" customFormat="false" ht="15" hidden="false" customHeight="false" outlineLevel="0" collapsed="false">
      <c r="A1690" s="3" t="s">
        <v>316</v>
      </c>
      <c r="G1690" s="25" t="n">
        <f aca="false">G1683*MIN(G1682-G1688+G1687,MAX(0,G1732-Assumptions!$C$12*G1667-G1677))</f>
        <v>0</v>
      </c>
      <c r="H1690" s="25" t="n">
        <f aca="false">H1683*MIN(H1682-H1688+H1687,MAX(0,H1732-Assumptions!$C$12*H1667-H1677))</f>
        <v>0</v>
      </c>
      <c r="I1690" s="25" t="n">
        <f aca="false">I1683*MIN(I1682-I1688+I1687,MAX(0,I1732-Assumptions!$C$12*I1667-I1677))</f>
        <v>276.706</v>
      </c>
      <c r="J1690" s="25" t="n">
        <f aca="false">J1683*MIN(J1682-J1688+J1687,MAX(0,J1732-Assumptions!$C$12*J1667-J1677))</f>
        <v>0</v>
      </c>
      <c r="K1690" s="25" t="n">
        <f aca="false">K1683*MIN(K1682-K1688+K1687,MAX(0,K1732-Assumptions!$C$12*K1667-K1677))</f>
        <v>0</v>
      </c>
    </row>
    <row r="1691" customFormat="false" ht="15" hidden="false" customHeight="false" outlineLevel="0" collapsed="false">
      <c r="A1691" s="3" t="s">
        <v>317</v>
      </c>
      <c r="G1691" s="25" t="n">
        <f aca="false">Assumptions!$N$57*MIN(G1682+G1689+G1687-G1688-G1690,MAX(0,G1736-G1678))</f>
        <v>0</v>
      </c>
      <c r="H1691" s="25" t="n">
        <f aca="false">Assumptions!$N$57*MIN(H1682+H1689+H1687-H1688-H1690,MAX(0,H1736-H1678))</f>
        <v>0</v>
      </c>
      <c r="I1691" s="25" t="n">
        <f aca="false">Assumptions!$N$57*MIN(I1682+I1689+I1687-I1688-I1690,MAX(0,I1736-I1678))</f>
        <v>0</v>
      </c>
      <c r="J1691" s="25" t="n">
        <f aca="false">Assumptions!$N$57*MIN(J1682+J1689+J1687-J1688-J1690,MAX(0,J1736-J1678))</f>
        <v>0</v>
      </c>
      <c r="K1691" s="25" t="n">
        <f aca="false">Assumptions!$N$57*MIN(K1682+K1689+K1687-K1688-K1690,MAX(0,K1736-K1678))</f>
        <v>0</v>
      </c>
    </row>
    <row r="1692" customFormat="false" ht="15" hidden="false" customHeight="false" outlineLevel="0" collapsed="false">
      <c r="A1692" s="3" t="s">
        <v>318</v>
      </c>
      <c r="G1692" s="25" t="n">
        <f aca="false">G1683*(1-G1667)*(G1682-G1688+G1687-G1690)</f>
        <v>0</v>
      </c>
      <c r="H1692" s="25" t="n">
        <f aca="false">H1683*(1-H1667)*(H1682-H1688+H1687-H1690)</f>
        <v>0</v>
      </c>
      <c r="I1692" s="25" t="n">
        <f aca="false">I1683*(1-I1667)*(I1682-I1688+I1687-I1690)</f>
        <v>0</v>
      </c>
      <c r="J1692" s="25" t="n">
        <f aca="false">J1683*(1-J1667)*(J1682-J1688+J1687-J1690)</f>
        <v>0</v>
      </c>
      <c r="K1692" s="25" t="n">
        <f aca="false">K1683*(1-K1667)*(K1682-K1688+K1687-K1690)</f>
        <v>0</v>
      </c>
    </row>
    <row r="1693" customFormat="false" ht="15" hidden="false" customHeight="false" outlineLevel="0" collapsed="false">
      <c r="A1693" s="2" t="s">
        <v>319</v>
      </c>
      <c r="F1693" s="28" t="n">
        <f aca="false">Assumptions!$C$57</f>
        <v>276.706</v>
      </c>
      <c r="G1693" s="16" t="n">
        <f aca="false">G1682+G1689+G1687-G1688-G1690-G1691</f>
        <v>276.706</v>
      </c>
      <c r="H1693" s="16" t="n">
        <f aca="false">H1682+H1689+H1687-H1688-H1690-H1691</f>
        <v>276.706</v>
      </c>
      <c r="I1693" s="16" t="n">
        <f aca="false">I1682+I1689+I1687-I1688-I1690-I1691</f>
        <v>0</v>
      </c>
      <c r="J1693" s="16" t="n">
        <f aca="false">J1682+J1689+J1687-J1688-J1690-J1691</f>
        <v>0</v>
      </c>
      <c r="K1693" s="16" t="n">
        <f aca="false">K1682+K1689+K1687-K1688-K1690-K1691</f>
        <v>0</v>
      </c>
    </row>
    <row r="1694" customFormat="false" ht="15" hidden="false" customHeight="false" outlineLevel="0" collapsed="false">
      <c r="A1694" s="23" t="s">
        <v>321</v>
      </c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</row>
    <row r="1695" customFormat="false" ht="15" hidden="false" customHeight="false" outlineLevel="0" collapsed="false">
      <c r="A1695" s="3" t="s">
        <v>309</v>
      </c>
      <c r="G1695" s="25" t="n">
        <f aca="false">F1706</f>
        <v>143.75</v>
      </c>
      <c r="H1695" s="25" t="n">
        <f aca="false">G1706</f>
        <v>143.75</v>
      </c>
      <c r="I1695" s="25" t="n">
        <f aca="false">H1706</f>
        <v>143.75</v>
      </c>
      <c r="J1695" s="25" t="n">
        <f aca="false">I1706</f>
        <v>0</v>
      </c>
      <c r="K1695" s="25" t="n">
        <f aca="false">J1706</f>
        <v>0</v>
      </c>
    </row>
    <row r="1696" customFormat="false" ht="15" hidden="false" customHeight="false" outlineLevel="0" collapsed="false">
      <c r="A1696" s="3" t="s">
        <v>310</v>
      </c>
      <c r="G1696" s="20" t="n">
        <f aca="false">IF(G1633=Assumptions!$K$58,1,0)</f>
        <v>0</v>
      </c>
      <c r="H1696" s="20" t="n">
        <f aca="false">IF(H1633=Assumptions!$K$58,1,0)</f>
        <v>0</v>
      </c>
      <c r="I1696" s="20" t="n">
        <f aca="false">IF(I1633=Assumptions!$K$58,1,0)</f>
        <v>1</v>
      </c>
      <c r="J1696" s="20" t="n">
        <f aca="false">IF(J1633=Assumptions!$K$58,1,0)</f>
        <v>0</v>
      </c>
      <c r="K1696" s="20" t="n">
        <f aca="false">IF(K1633=Assumptions!$K$58,1,0)</f>
        <v>0</v>
      </c>
    </row>
    <row r="1698" customFormat="false" ht="15" hidden="false" customHeight="false" outlineLevel="0" collapsed="false">
      <c r="A1698" s="3" t="s">
        <v>311</v>
      </c>
      <c r="G1698" s="31" t="n">
        <f aca="false">IF(Assumptions!$I$58=1,MAX(G1659,Assumptions!$G$58)+Assumptions!$F$58+$C$1660,Assumptions!$E$58)</f>
        <v>0.0425</v>
      </c>
      <c r="H1698" s="31" t="n">
        <f aca="false">IF(G1818=1,$C$1661,IF(Assumptions!$I$58=1,MAX(H1659,Assumptions!$G$58)+Assumptions!$F$58+$C$1660,Assumptions!$E$58))</f>
        <v>0.0425</v>
      </c>
      <c r="I1698" s="31" t="n">
        <f aca="false">IF(H1818=1,$C$1661,IF(Assumptions!$I$58=1,MAX(I1659,Assumptions!$G$58)+Assumptions!$F$58+$C$1660,Assumptions!$E$58))</f>
        <v>0.0425</v>
      </c>
      <c r="J1698" s="31" t="n">
        <f aca="false">IF(I1818=1,$C$1661,IF(Assumptions!$I$58=1,MAX(J1659,Assumptions!$G$58)+Assumptions!$F$58+$C$1660,Assumptions!$E$58))</f>
        <v>0.11</v>
      </c>
      <c r="K1698" s="31" t="n">
        <f aca="false">IF(J1818=1,$C$1661,IF(Assumptions!$I$58=1,MAX(K1659,Assumptions!$G$58)+Assumptions!$F$58+$C$1660,Assumptions!$E$58))</f>
        <v>0.11</v>
      </c>
    </row>
    <row r="1699" customFormat="false" ht="15" hidden="false" customHeight="false" outlineLevel="0" collapsed="false">
      <c r="A1699" s="3" t="s">
        <v>312</v>
      </c>
      <c r="G1699" s="25" t="n">
        <f aca="false">G1695*G1698</f>
        <v>6.109375</v>
      </c>
      <c r="H1699" s="25" t="n">
        <f aca="false">H1695*H1698</f>
        <v>6.109375</v>
      </c>
      <c r="I1699" s="25" t="n">
        <f aca="false">I1695*I1698</f>
        <v>6.109375</v>
      </c>
      <c r="J1699" s="25" t="n">
        <f aca="false">J1695*J1698</f>
        <v>0</v>
      </c>
      <c r="K1699" s="25" t="n">
        <f aca="false">K1695*K1698</f>
        <v>0</v>
      </c>
    </row>
    <row r="1700" customFormat="false" ht="15" hidden="false" customHeight="false" outlineLevel="0" collapsed="false">
      <c r="A1700" s="3" t="s">
        <v>313</v>
      </c>
      <c r="G1700" s="25" t="n">
        <f aca="false">G1695*Assumptions!$H$58</f>
        <v>0</v>
      </c>
      <c r="H1700" s="25" t="n">
        <f aca="false">H1695*Assumptions!$H$58</f>
        <v>0</v>
      </c>
      <c r="I1700" s="25" t="n">
        <f aca="false">I1695*Assumptions!$H$58</f>
        <v>0</v>
      </c>
      <c r="J1700" s="25" t="n">
        <f aca="false">J1695*Assumptions!$H$58</f>
        <v>0</v>
      </c>
      <c r="K1700" s="25" t="n">
        <f aca="false">K1695*Assumptions!$H$58</f>
        <v>0</v>
      </c>
    </row>
    <row r="1701" customFormat="false" ht="15" hidden="false" customHeight="false" outlineLevel="0" collapsed="false">
      <c r="A1701" s="3" t="s">
        <v>314</v>
      </c>
      <c r="G1701" s="25" t="n">
        <f aca="false">MIN(G1695,Assumptions!$L$58*Assumptions!$C$58)</f>
        <v>0</v>
      </c>
      <c r="H1701" s="25" t="n">
        <f aca="false">MIN(H1695,Assumptions!$L$58*Assumptions!$C$58)</f>
        <v>0</v>
      </c>
      <c r="I1701" s="25" t="n">
        <f aca="false">MIN(I1695,Assumptions!$L$58*Assumptions!$C$58)</f>
        <v>0</v>
      </c>
      <c r="J1701" s="25" t="n">
        <f aca="false">MIN(J1695,Assumptions!$L$58*Assumptions!$C$58)</f>
        <v>0</v>
      </c>
      <c r="K1701" s="25" t="n">
        <f aca="false">MIN(K1695,Assumptions!$L$58*Assumptions!$C$58)</f>
        <v>0</v>
      </c>
    </row>
    <row r="1702" customFormat="false" ht="15" hidden="false" customHeight="false" outlineLevel="0" collapsed="false">
      <c r="A1702" s="3" t="s">
        <v>315</v>
      </c>
      <c r="G1702" s="25" t="n">
        <f aca="false">IF(AND(Assumptions!$P$58=1,G1633&lt;Assumptions!$K$58),MIN(MAX(0,-G1730),MAX(0,Assumptions!$D$58-G1695)),0)</f>
        <v>0</v>
      </c>
      <c r="H1702" s="25" t="n">
        <f aca="false">IF(AND(Assumptions!$P$58=1,OR(H1633&lt;Assumptions!$K$58,G1818=1)),MIN(MAX(0,-H1730),MAX(0,Assumptions!$D$58-H1695)),0)</f>
        <v>0</v>
      </c>
      <c r="I1702" s="25" t="n">
        <f aca="false">IF(AND(Assumptions!$P$58=1,OR(I1633&lt;Assumptions!$K$58,H1818=1)),MIN(MAX(0,-I1730),MAX(0,Assumptions!$D$58-I1695)),0)</f>
        <v>0</v>
      </c>
      <c r="J1702" s="25" t="n">
        <f aca="false">IF(AND(Assumptions!$P$58=1,OR(J1633&lt;Assumptions!$K$58,I1818=1)),MIN(MAX(0,-J1730),MAX(0,Assumptions!$D$58-J1695)),0)</f>
        <v>0</v>
      </c>
      <c r="K1702" s="25" t="n">
        <f aca="false">IF(AND(Assumptions!$P$58=1,OR(K1633&lt;Assumptions!$K$58,J1818=1)),MIN(MAX(0,-K1730),MAX(0,Assumptions!$D$58-K1695)),0)</f>
        <v>0</v>
      </c>
    </row>
    <row r="1703" customFormat="false" ht="15" hidden="false" customHeight="false" outlineLevel="0" collapsed="false">
      <c r="A1703" s="3" t="s">
        <v>316</v>
      </c>
      <c r="G1703" s="25" t="n">
        <f aca="false">G1696*MIN(G1695-G1701+G1700,MAX(0,G1732-Assumptions!$C$12*G1667-G1677-G1690))</f>
        <v>0</v>
      </c>
      <c r="H1703" s="25" t="n">
        <f aca="false">H1696*MIN(H1695-H1701+H1700,MAX(0,H1732-Assumptions!$C$12*H1667-H1677-H1690))</f>
        <v>0</v>
      </c>
      <c r="I1703" s="25" t="n">
        <f aca="false">I1696*MIN(I1695-I1701+I1700,MAX(0,I1732-Assumptions!$C$12*I1667-I1677-I1690))</f>
        <v>143.75</v>
      </c>
      <c r="J1703" s="25" t="n">
        <f aca="false">J1696*MIN(J1695-J1701+J1700,MAX(0,J1732-Assumptions!$C$12*J1667-J1677-J1690))</f>
        <v>0</v>
      </c>
      <c r="K1703" s="25" t="n">
        <f aca="false">K1696*MIN(K1695-K1701+K1700,MAX(0,K1732-Assumptions!$C$12*K1667-K1677-K1690))</f>
        <v>0</v>
      </c>
    </row>
    <row r="1704" customFormat="false" ht="15" hidden="false" customHeight="false" outlineLevel="0" collapsed="false">
      <c r="A1704" s="3" t="s">
        <v>317</v>
      </c>
      <c r="G1704" s="25" t="n">
        <f aca="false">Assumptions!$N$58*MIN(G1695+G1702+G1700-G1701-G1703,MAX(0,G1736-G1678-G1691))</f>
        <v>0</v>
      </c>
      <c r="H1704" s="25" t="n">
        <f aca="false">Assumptions!$N$58*MIN(H1695+H1702+H1700-H1701-H1703,MAX(0,H1736-H1678-H1691))</f>
        <v>0</v>
      </c>
      <c r="I1704" s="25" t="n">
        <f aca="false">Assumptions!$N$58*MIN(I1695+I1702+I1700-I1701-I1703,MAX(0,I1736-I1678-I1691))</f>
        <v>0</v>
      </c>
      <c r="J1704" s="25" t="n">
        <f aca="false">Assumptions!$N$58*MIN(J1695+J1702+J1700-J1701-J1703,MAX(0,J1736-J1678-J1691))</f>
        <v>0</v>
      </c>
      <c r="K1704" s="25" t="n">
        <f aca="false">Assumptions!$N$58*MIN(K1695+K1702+K1700-K1701-K1703,MAX(0,K1736-K1678-K1691))</f>
        <v>0</v>
      </c>
    </row>
    <row r="1705" customFormat="false" ht="15" hidden="false" customHeight="false" outlineLevel="0" collapsed="false">
      <c r="A1705" s="3" t="s">
        <v>318</v>
      </c>
      <c r="G1705" s="25" t="n">
        <f aca="false">G1696*(1-G1667)*(G1695-G1701+G1700-G1703)</f>
        <v>0</v>
      </c>
      <c r="H1705" s="25" t="n">
        <f aca="false">H1696*(1-H1667)*(H1695-H1701+H1700-H1703)</f>
        <v>0</v>
      </c>
      <c r="I1705" s="25" t="n">
        <f aca="false">I1696*(1-I1667)*(I1695-I1701+I1700-I1703)</f>
        <v>0</v>
      </c>
      <c r="J1705" s="25" t="n">
        <f aca="false">J1696*(1-J1667)*(J1695-J1701+J1700-J1703)</f>
        <v>0</v>
      </c>
      <c r="K1705" s="25" t="n">
        <f aca="false">K1696*(1-K1667)*(K1695-K1701+K1700-K1703)</f>
        <v>0</v>
      </c>
    </row>
    <row r="1706" customFormat="false" ht="15" hidden="false" customHeight="false" outlineLevel="0" collapsed="false">
      <c r="A1706" s="2" t="s">
        <v>319</v>
      </c>
      <c r="F1706" s="28" t="n">
        <f aca="false">Assumptions!$C$58</f>
        <v>143.75</v>
      </c>
      <c r="G1706" s="16" t="n">
        <f aca="false">G1695+G1702+G1700-G1701-G1703-G1704</f>
        <v>143.75</v>
      </c>
      <c r="H1706" s="16" t="n">
        <f aca="false">H1695+H1702+H1700-H1701-H1703-H1704</f>
        <v>143.75</v>
      </c>
      <c r="I1706" s="16" t="n">
        <f aca="false">I1695+I1702+I1700-I1701-I1703-I1704</f>
        <v>0</v>
      </c>
      <c r="J1706" s="16" t="n">
        <f aca="false">J1695+J1702+J1700-J1701-J1703-J1704</f>
        <v>0</v>
      </c>
      <c r="K1706" s="16" t="n">
        <f aca="false">K1695+K1702+K1700-K1701-K1703-K1704</f>
        <v>0</v>
      </c>
    </row>
    <row r="1707" customFormat="false" ht="15" hidden="false" customHeight="false" outlineLevel="0" collapsed="false">
      <c r="A1707" s="23" t="s">
        <v>322</v>
      </c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</row>
    <row r="1708" customFormat="false" ht="15" hidden="false" customHeight="false" outlineLevel="0" collapsed="false">
      <c r="A1708" s="2" t="s">
        <v>323</v>
      </c>
      <c r="F1708" s="16" t="n">
        <f aca="false">F1680+F1693+F1706</f>
        <v>1735.554</v>
      </c>
      <c r="G1708" s="16" t="n">
        <f aca="false">G1680+G1693+G1706</f>
        <v>1735.554</v>
      </c>
      <c r="H1708" s="16" t="n">
        <f aca="false">H1680+H1693+H1706</f>
        <v>1735.554</v>
      </c>
      <c r="I1708" s="16" t="n">
        <f aca="false">I1680+I1693+I1706</f>
        <v>1315.098</v>
      </c>
      <c r="J1708" s="16" t="n">
        <f aca="false">J1680+J1693+J1706</f>
        <v>1315.098</v>
      </c>
      <c r="K1708" s="16" t="n">
        <f aca="false">K1680+K1693+K1706</f>
        <v>1315.098</v>
      </c>
    </row>
    <row r="1709" customFormat="false" ht="15" hidden="false" customHeight="false" outlineLevel="0" collapsed="false">
      <c r="A1709" s="3" t="s">
        <v>324</v>
      </c>
      <c r="G1709" s="25" t="n">
        <f aca="false">G1670*Assumptions!$C$56+G1683*Assumptions!$C$57+G1696*Assumptions!$C$58</f>
        <v>0</v>
      </c>
      <c r="H1709" s="25" t="n">
        <f aca="false">H1670*Assumptions!$C$56+H1683*Assumptions!$C$57+H1696*Assumptions!$C$58</f>
        <v>0</v>
      </c>
      <c r="I1709" s="25" t="n">
        <f aca="false">I1670*Assumptions!$C$56+I1683*Assumptions!$C$57+I1696*Assumptions!$C$58</f>
        <v>420.456</v>
      </c>
      <c r="J1709" s="25" t="n">
        <f aca="false">J1670*Assumptions!$C$56+J1683*Assumptions!$C$57+J1696*Assumptions!$C$58</f>
        <v>0</v>
      </c>
      <c r="K1709" s="25" t="n">
        <f aca="false">K1670*Assumptions!$C$56+K1683*Assumptions!$C$57+K1696*Assumptions!$C$58</f>
        <v>0</v>
      </c>
    </row>
    <row r="1710" customFormat="false" ht="15" hidden="false" customHeight="false" outlineLevel="0" collapsed="false">
      <c r="A1710" s="23" t="s">
        <v>325</v>
      </c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</row>
    <row r="1711" customFormat="false" ht="15" hidden="false" customHeight="false" outlineLevel="0" collapsed="false">
      <c r="A1711" s="3" t="s">
        <v>326</v>
      </c>
      <c r="C1711" s="25" t="n">
        <f aca="false">SUMPRODUCT($G$1670:$K$1670,$G$1669:$K$1669-$G$1675:$K$1675+$G$1674:$K$1674)</f>
        <v>0</v>
      </c>
    </row>
    <row r="1712" customFormat="false" ht="15" hidden="false" customHeight="false" outlineLevel="0" collapsed="false">
      <c r="A1712" s="3" t="s">
        <v>327</v>
      </c>
      <c r="C1712" s="25" t="n">
        <f aca="false">SUMPRODUCT($G$1670:$K$1670,$G$1677:$K$1677)</f>
        <v>0</v>
      </c>
    </row>
    <row r="1713" customFormat="false" ht="15" hidden="false" customHeight="false" outlineLevel="0" collapsed="false">
      <c r="A1713" s="3" t="s">
        <v>328</v>
      </c>
      <c r="C1713" s="3" t="str">
        <f aca="false">IF(SUM($G$1670:$K$1670)=0,"n/a (beyond horizon)",IF(SUMPRODUCT($G$1670:$K$1670,$G$1667:$K$1667)&gt;0,"REFINANCING PASS","REFINANCING FAILURE"))</f>
        <v>n/a (beyond horizon)</v>
      </c>
    </row>
    <row r="1714" customFormat="false" ht="15" hidden="false" customHeight="false" outlineLevel="0" collapsed="false">
      <c r="A1714" s="3" t="s">
        <v>329</v>
      </c>
      <c r="C1714" s="3" t="str">
        <f aca="false">IF(SUM($G$1670:$K$1670)=0,"n/a",IF(C1712&gt;=C1711-0.001,"Repaid from cash",IF(SUMPRODUCT($G$1670:$K$1670,$G$1667:$K$1667)&gt;0,IF(C1712&gt;0,"Partly repaid; remainder refinanced","Refinanced"),IF(SUM($G$1679:$K$1679)&gt;0.001,IF(C1712&gt;0,"Partial repayment; PAYMENT DEFAULT","PAYMENT DEFAULT"),"Repaid from cash"))))</f>
        <v>n/a</v>
      </c>
    </row>
    <row r="1715" customFormat="false" ht="15" hidden="false" customHeight="false" outlineLevel="0" collapsed="false">
      <c r="A1715" s="3" t="s">
        <v>330</v>
      </c>
      <c r="C1715" s="25" t="n">
        <f aca="false">SUMPRODUCT($G$1683:$K$1683,$G$1682:$K$1682-$G$1688:$K$1688+$G$1687:$K$1687)</f>
        <v>276.706</v>
      </c>
    </row>
    <row r="1716" customFormat="false" ht="15" hidden="false" customHeight="false" outlineLevel="0" collapsed="false">
      <c r="A1716" s="3" t="s">
        <v>331</v>
      </c>
      <c r="C1716" s="25" t="n">
        <f aca="false">SUMPRODUCT($G$1683:$K$1683,$G$1690:$K$1690)</f>
        <v>276.706</v>
      </c>
    </row>
    <row r="1717" customFormat="false" ht="15" hidden="false" customHeight="false" outlineLevel="0" collapsed="false">
      <c r="A1717" s="3" t="s">
        <v>332</v>
      </c>
      <c r="C1717" s="3" t="str">
        <f aca="false">IF(SUM($G$1683:$K$1683)=0,"n/a (beyond horizon)",IF(SUMPRODUCT($G$1683:$K$1683,$G$1667:$K$1667)&gt;0,"REFINANCING PASS","REFINANCING FAILURE"))</f>
        <v>REFINANCING PASS</v>
      </c>
    </row>
    <row r="1718" customFormat="false" ht="15" hidden="false" customHeight="false" outlineLevel="0" collapsed="false">
      <c r="A1718" s="3" t="s">
        <v>333</v>
      </c>
      <c r="C1718" s="3" t="str">
        <f aca="false">IF(SUM($G$1683:$K$1683)=0,"n/a",IF(C1716&gt;=C1715-0.001,"Repaid from cash",IF(SUMPRODUCT($G$1683:$K$1683,$G$1667:$K$1667)&gt;0,IF(C1716&gt;0,"Partly repaid; remainder refinanced","Refinanced"),IF(SUM($G$1692:$K$1692)&gt;0.001,IF(C1716&gt;0,"Partial repayment; PAYMENT DEFAULT","PAYMENT DEFAULT"),"Repaid from cash"))))</f>
        <v>Repaid from cash</v>
      </c>
    </row>
    <row r="1719" customFormat="false" ht="15" hidden="false" customHeight="false" outlineLevel="0" collapsed="false">
      <c r="A1719" s="3" t="s">
        <v>334</v>
      </c>
      <c r="C1719" s="25" t="n">
        <f aca="false">SUMPRODUCT($G$1696:$K$1696,$G$1695:$K$1695-$G$1701:$K$1701+$G$1700:$K$1700)</f>
        <v>143.75</v>
      </c>
    </row>
    <row r="1720" customFormat="false" ht="15" hidden="false" customHeight="false" outlineLevel="0" collapsed="false">
      <c r="A1720" s="3" t="s">
        <v>335</v>
      </c>
      <c r="C1720" s="25" t="n">
        <f aca="false">SUMPRODUCT($G$1696:$K$1696,$G$1703:$K$1703)</f>
        <v>143.75</v>
      </c>
    </row>
    <row r="1721" customFormat="false" ht="15" hidden="false" customHeight="false" outlineLevel="0" collapsed="false">
      <c r="A1721" s="3" t="s">
        <v>336</v>
      </c>
      <c r="C1721" s="3" t="str">
        <f aca="false">IF(SUM($G$1696:$K$1696)=0,"n/a (beyond horizon)",IF(SUMPRODUCT($G$1696:$K$1696,$G$1667:$K$1667)&gt;0,"REFINANCING PASS","REFINANCING FAILURE"))</f>
        <v>REFINANCING PASS</v>
      </c>
    </row>
    <row r="1722" customFormat="false" ht="15" hidden="false" customHeight="false" outlineLevel="0" collapsed="false">
      <c r="A1722" s="3" t="s">
        <v>337</v>
      </c>
      <c r="C1722" s="3" t="str">
        <f aca="false">IF(SUM($G$1696:$K$1696)=0,"n/a",IF(C1720&gt;=C1719-0.001,"Repaid from cash",IF(SUMPRODUCT($G$1696:$K$1696,$G$1667:$K$1667)&gt;0,IF(C1720&gt;0,"Partly repaid; remainder refinanced","Refinanced"),IF(SUM($G$1705:$K$1705)&gt;0.001,IF(C1720&gt;0,"Partial repayment; PAYMENT DEFAULT","PAYMENT DEFAULT"),"Repaid from cash"))))</f>
        <v>Repaid from cash</v>
      </c>
    </row>
    <row r="1723" customFormat="false" ht="15" hidden="false" customHeight="false" outlineLevel="0" collapsed="false">
      <c r="A1723" s="3" t="s">
        <v>338</v>
      </c>
      <c r="C1723" s="20" t="n">
        <f aca="false">IF(C1713="REFINANCING FAILURE",1,0)+IF(C1717="REFINANCING FAILURE",1,0)+IF(C1721="REFINANCING FAILURE",1,0)</f>
        <v>0</v>
      </c>
    </row>
    <row r="1725" customFormat="false" ht="15" hidden="false" customHeight="false" outlineLevel="0" collapsed="false">
      <c r="A1725" s="23" t="s">
        <v>340</v>
      </c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</row>
    <row r="1726" customFormat="false" ht="15" hidden="false" customHeight="false" outlineLevel="0" collapsed="false">
      <c r="A1726" s="3" t="s">
        <v>305</v>
      </c>
      <c r="G1726" s="25" t="n">
        <f aca="false">F1738</f>
        <v>463.996</v>
      </c>
      <c r="H1726" s="25" t="n">
        <f aca="false">G1738</f>
        <v>589.86335403</v>
      </c>
      <c r="I1726" s="25" t="n">
        <f aca="false">H1738</f>
        <v>706.0173737988</v>
      </c>
      <c r="J1726" s="25" t="n">
        <f aca="false">I1738</f>
        <v>390.575377766904</v>
      </c>
      <c r="K1726" s="25" t="n">
        <f aca="false">J1738</f>
        <v>499.440625970316</v>
      </c>
    </row>
    <row r="1727" customFormat="false" ht="15" hidden="false" customHeight="false" outlineLevel="0" collapsed="false">
      <c r="A1727" s="3" t="s">
        <v>341</v>
      </c>
      <c r="G1727" s="25" t="n">
        <f aca="false">G1656</f>
        <v>125.86735403</v>
      </c>
      <c r="H1727" s="25" t="n">
        <f aca="false">H1656</f>
        <v>116.1540197688</v>
      </c>
      <c r="I1727" s="25" t="n">
        <f aca="false">I1656</f>
        <v>105.014003968104</v>
      </c>
      <c r="J1727" s="25" t="n">
        <f aca="false">J1656</f>
        <v>108.865248203412</v>
      </c>
      <c r="K1727" s="25" t="n">
        <f aca="false">K1656</f>
        <v>99.6877228787792</v>
      </c>
    </row>
    <row r="1728" customFormat="false" ht="15" hidden="false" customHeight="false" outlineLevel="0" collapsed="false">
      <c r="A1728" s="3" t="s">
        <v>342</v>
      </c>
      <c r="G1728" s="25" t="n">
        <f aca="false">CHOOSE($C$1626,Assumptions!$G$74,Assumptions!$G$93,Assumptions!$G$112)</f>
        <v>0</v>
      </c>
      <c r="H1728" s="25" t="n">
        <f aca="false">CHOOSE($C$1626,Assumptions!$H$74,Assumptions!$H$93,Assumptions!$H$112)</f>
        <v>0</v>
      </c>
      <c r="I1728" s="25" t="n">
        <f aca="false">CHOOSE($C$1626,Assumptions!$I$74,Assumptions!$I$93,Assumptions!$I$112)</f>
        <v>0</v>
      </c>
      <c r="J1728" s="25" t="n">
        <f aca="false">CHOOSE($C$1626,Assumptions!$J$74,Assumptions!$J$93,Assumptions!$J$112)</f>
        <v>0</v>
      </c>
      <c r="K1728" s="25" t="n">
        <f aca="false">CHOOSE($C$1626,Assumptions!$K$74,Assumptions!$K$93,Assumptions!$K$112)</f>
        <v>0</v>
      </c>
    </row>
    <row r="1729" customFormat="false" ht="15" hidden="false" customHeight="false" outlineLevel="0" collapsed="false">
      <c r="A1729" s="3" t="s">
        <v>343</v>
      </c>
      <c r="G1729" s="25" t="n">
        <f aca="false">G1675+G1688+G1701</f>
        <v>0</v>
      </c>
      <c r="H1729" s="25" t="n">
        <f aca="false">H1675+H1688+H1701</f>
        <v>0</v>
      </c>
      <c r="I1729" s="25" t="n">
        <f aca="false">I1675+I1688+I1701</f>
        <v>0</v>
      </c>
      <c r="J1729" s="25" t="n">
        <f aca="false">J1675+J1688+J1701</f>
        <v>0</v>
      </c>
      <c r="K1729" s="25" t="n">
        <f aca="false">K1675+K1688+K1701</f>
        <v>0</v>
      </c>
    </row>
    <row r="1730" customFormat="false" ht="15" hidden="false" customHeight="false" outlineLevel="0" collapsed="false">
      <c r="A1730" s="2" t="s">
        <v>344</v>
      </c>
      <c r="G1730" s="16" t="n">
        <f aca="false">G1726+G1727+G1728-G1729</f>
        <v>589.86335403</v>
      </c>
      <c r="H1730" s="16" t="n">
        <f aca="false">H1726+H1727+H1728-H1729</f>
        <v>706.0173737988</v>
      </c>
      <c r="I1730" s="16" t="n">
        <f aca="false">I1726+I1727+I1728-I1729</f>
        <v>811.031377766904</v>
      </c>
      <c r="J1730" s="16" t="n">
        <f aca="false">J1726+J1727+J1728-J1729</f>
        <v>499.440625970316</v>
      </c>
      <c r="K1730" s="16" t="n">
        <f aca="false">K1726+K1727+K1728-K1729</f>
        <v>599.128348849095</v>
      </c>
    </row>
    <row r="1731" customFormat="false" ht="15" hidden="false" customHeight="false" outlineLevel="0" collapsed="false">
      <c r="A1731" s="3" t="s">
        <v>345</v>
      </c>
      <c r="G1731" s="25" t="n">
        <f aca="false">G1676+G1689+G1702</f>
        <v>0</v>
      </c>
      <c r="H1731" s="25" t="n">
        <f aca="false">H1676+H1689+H1702</f>
        <v>0</v>
      </c>
      <c r="I1731" s="25" t="n">
        <f aca="false">I1676+I1689+I1702</f>
        <v>0</v>
      </c>
      <c r="J1731" s="25" t="n">
        <f aca="false">J1676+J1689+J1702</f>
        <v>0</v>
      </c>
      <c r="K1731" s="25" t="n">
        <f aca="false">K1676+K1689+K1702</f>
        <v>0</v>
      </c>
    </row>
    <row r="1732" customFormat="false" ht="15" hidden="false" customHeight="false" outlineLevel="0" collapsed="false">
      <c r="A1732" s="2" t="s">
        <v>346</v>
      </c>
      <c r="G1732" s="16" t="n">
        <f aca="false">G1730+G1731</f>
        <v>589.86335403</v>
      </c>
      <c r="H1732" s="16" t="n">
        <f aca="false">H1730+H1731</f>
        <v>706.0173737988</v>
      </c>
      <c r="I1732" s="16" t="n">
        <f aca="false">I1730+I1731</f>
        <v>811.031377766904</v>
      </c>
      <c r="J1732" s="16" t="n">
        <f aca="false">J1730+J1731</f>
        <v>499.440625970316</v>
      </c>
      <c r="K1732" s="16" t="n">
        <f aca="false">K1730+K1731</f>
        <v>599.128348849095</v>
      </c>
    </row>
    <row r="1733" customFormat="false" ht="15" hidden="false" customHeight="false" outlineLevel="0" collapsed="false">
      <c r="A1733" s="3" t="s">
        <v>347</v>
      </c>
      <c r="G1733" s="25" t="n">
        <f aca="false">G1677+G1690+G1703</f>
        <v>0</v>
      </c>
      <c r="H1733" s="25" t="n">
        <f aca="false">H1677+H1690+H1703</f>
        <v>0</v>
      </c>
      <c r="I1733" s="25" t="n">
        <f aca="false">I1677+I1690+I1703</f>
        <v>420.456</v>
      </c>
      <c r="J1733" s="25" t="n">
        <f aca="false">J1677+J1690+J1703</f>
        <v>0</v>
      </c>
      <c r="K1733" s="25" t="n">
        <f aca="false">K1677+K1690+K1703</f>
        <v>0</v>
      </c>
    </row>
    <row r="1734" customFormat="false" ht="15" hidden="false" customHeight="false" outlineLevel="0" collapsed="false">
      <c r="A1734" s="2" t="s">
        <v>348</v>
      </c>
      <c r="G1734" s="16" t="n">
        <f aca="false">G1732-G1733</f>
        <v>589.86335403</v>
      </c>
      <c r="H1734" s="16" t="n">
        <f aca="false">H1732-H1733</f>
        <v>706.0173737988</v>
      </c>
      <c r="I1734" s="16" t="n">
        <f aca="false">I1732-I1733</f>
        <v>390.575377766904</v>
      </c>
      <c r="J1734" s="16" t="n">
        <f aca="false">J1732-J1733</f>
        <v>499.440625970316</v>
      </c>
      <c r="K1734" s="16" t="n">
        <f aca="false">K1732-K1733</f>
        <v>599.128348849095</v>
      </c>
    </row>
    <row r="1735" customFormat="false" ht="15" hidden="false" customHeight="false" outlineLevel="0" collapsed="false">
      <c r="A1735" s="3" t="s">
        <v>349</v>
      </c>
      <c r="G1735" s="25" t="n">
        <f aca="false">MAX(0,-G1734)</f>
        <v>0</v>
      </c>
      <c r="H1735" s="25" t="n">
        <f aca="false">MAX(0,-H1734)</f>
        <v>0</v>
      </c>
      <c r="I1735" s="25" t="n">
        <f aca="false">MAX(0,-I1734)</f>
        <v>0</v>
      </c>
      <c r="J1735" s="25" t="n">
        <f aca="false">MAX(0,-J1734)</f>
        <v>0</v>
      </c>
      <c r="K1735" s="25" t="n">
        <f aca="false">MAX(0,-K1734)</f>
        <v>0</v>
      </c>
    </row>
    <row r="1736" customFormat="false" ht="15" hidden="false" customHeight="false" outlineLevel="0" collapsed="false">
      <c r="A1736" s="3" t="s">
        <v>350</v>
      </c>
      <c r="G1736" s="25" t="n">
        <f aca="false">MAX(0,G1734-Assumptions!$C$12)*Assumptions!$C$13</f>
        <v>0</v>
      </c>
      <c r="H1736" s="25" t="n">
        <f aca="false">MAX(0,H1734-Assumptions!$C$12)*Assumptions!$C$13</f>
        <v>0</v>
      </c>
      <c r="I1736" s="25" t="n">
        <f aca="false">MAX(0,I1734-Assumptions!$C$12)*Assumptions!$C$13</f>
        <v>0</v>
      </c>
      <c r="J1736" s="25" t="n">
        <f aca="false">MAX(0,J1734-Assumptions!$C$12)*Assumptions!$C$13</f>
        <v>0</v>
      </c>
      <c r="K1736" s="25" t="n">
        <f aca="false">MAX(0,K1734-Assumptions!$C$12)*Assumptions!$C$13</f>
        <v>0</v>
      </c>
    </row>
    <row r="1737" customFormat="false" ht="15" hidden="false" customHeight="false" outlineLevel="0" collapsed="false">
      <c r="A1737" s="3" t="s">
        <v>351</v>
      </c>
      <c r="G1737" s="25" t="n">
        <f aca="false">G1678+G1691+G1704</f>
        <v>0</v>
      </c>
      <c r="H1737" s="25" t="n">
        <f aca="false">H1678+H1691+H1704</f>
        <v>0</v>
      </c>
      <c r="I1737" s="25" t="n">
        <f aca="false">I1678+I1691+I1704</f>
        <v>0</v>
      </c>
      <c r="J1737" s="25" t="n">
        <f aca="false">J1678+J1691+J1704</f>
        <v>0</v>
      </c>
      <c r="K1737" s="25" t="n">
        <f aca="false">K1678+K1691+K1704</f>
        <v>0</v>
      </c>
    </row>
    <row r="1738" customFormat="false" ht="15" hidden="false" customHeight="false" outlineLevel="0" collapsed="false">
      <c r="A1738" s="2" t="s">
        <v>352</v>
      </c>
      <c r="F1738" s="28" t="n">
        <f aca="false">Assumptions!$C$11</f>
        <v>463.996</v>
      </c>
      <c r="G1738" s="16" t="n">
        <f aca="false">G1734-G1737</f>
        <v>589.86335403</v>
      </c>
      <c r="H1738" s="16" t="n">
        <f aca="false">H1734-H1737</f>
        <v>706.0173737988</v>
      </c>
      <c r="I1738" s="16" t="n">
        <f aca="false">I1734-I1737</f>
        <v>390.575377766904</v>
      </c>
      <c r="J1738" s="16" t="n">
        <f aca="false">J1734-J1737</f>
        <v>499.440625970316</v>
      </c>
      <c r="K1738" s="16" t="n">
        <f aca="false">K1734-K1737</f>
        <v>599.128348849095</v>
      </c>
    </row>
    <row r="1739" customFormat="false" ht="15" hidden="false" customHeight="false" outlineLevel="0" collapsed="false">
      <c r="A1739" s="3" t="s">
        <v>353</v>
      </c>
      <c r="G1739" s="25" t="n">
        <f aca="false">G1679+G1692+G1705</f>
        <v>0</v>
      </c>
      <c r="H1739" s="25" t="n">
        <f aca="false">H1679+H1692+H1705</f>
        <v>0</v>
      </c>
      <c r="I1739" s="25" t="n">
        <f aca="false">I1679+I1692+I1705</f>
        <v>0</v>
      </c>
      <c r="J1739" s="25" t="n">
        <f aca="false">J1679+J1692+J1705</f>
        <v>0</v>
      </c>
      <c r="K1739" s="25" t="n">
        <f aca="false">K1679+K1692+K1705</f>
        <v>0</v>
      </c>
    </row>
    <row r="1740" customFormat="false" ht="15" hidden="false" customHeight="false" outlineLevel="0" collapsed="false">
      <c r="A1740" s="3" t="s">
        <v>354</v>
      </c>
      <c r="G1740" s="20" t="n">
        <f aca="false">IF(OR(G1735&gt;0.001,G1739&gt;0.001),1,0)</f>
        <v>0</v>
      </c>
      <c r="H1740" s="20" t="n">
        <f aca="false">IF(OR(H1735&gt;0.001,H1739&gt;0.001),1,0)</f>
        <v>0</v>
      </c>
      <c r="I1740" s="20" t="n">
        <f aca="false">IF(OR(I1735&gt;0.001,I1739&gt;0.001),1,0)</f>
        <v>0</v>
      </c>
      <c r="J1740" s="20" t="n">
        <f aca="false">IF(OR(J1735&gt;0.001,J1739&gt;0.001),1,0)</f>
        <v>0</v>
      </c>
      <c r="K1740" s="20" t="n">
        <f aca="false">IF(OR(K1735&gt;0.001,K1739&gt;0.001),1,0)</f>
        <v>0</v>
      </c>
    </row>
    <row r="1741" customFormat="false" ht="15" hidden="false" customHeight="false" outlineLevel="0" collapsed="false">
      <c r="A1741" s="3" t="s">
        <v>355</v>
      </c>
      <c r="G1741" s="20" t="n">
        <f aca="false">IF(G1740=1,1,0)</f>
        <v>0</v>
      </c>
      <c r="H1741" s="20" t="n">
        <f aca="false">IF(AND(H1740=1,SUM($G$1740:G1740)=0),1,0)</f>
        <v>0</v>
      </c>
      <c r="I1741" s="20" t="n">
        <f aca="false">IF(AND(I1740=1,SUM($G$1740:H1740)=0),1,0)</f>
        <v>0</v>
      </c>
      <c r="J1741" s="20" t="n">
        <f aca="false">IF(AND(J1740=1,SUM($G$1740:I1740)=0),1,0)</f>
        <v>0</v>
      </c>
      <c r="K1741" s="20" t="n">
        <f aca="false">IF(AND(K1740=1,SUM($G$1740:J1740)=0),1,0)</f>
        <v>0</v>
      </c>
    </row>
    <row r="1742" customFormat="false" ht="15" hidden="false" customHeight="false" outlineLevel="0" collapsed="false">
      <c r="A1742" s="3" t="s">
        <v>356</v>
      </c>
      <c r="G1742" s="25" t="n">
        <f aca="false">(G1708-F1708)-(G1731+G1648-G1729-G1733-G1737)</f>
        <v>0</v>
      </c>
      <c r="H1742" s="25" t="n">
        <f aca="false">(H1708-G1708)-(H1731+H1648-H1729-H1733-H1737)</f>
        <v>0</v>
      </c>
      <c r="I1742" s="25" t="n">
        <f aca="false">(I1708-H1708)-(I1731+I1648-I1729-I1733-I1737)</f>
        <v>0</v>
      </c>
      <c r="J1742" s="25" t="n">
        <f aca="false">(J1708-I1708)-(J1731+J1648-J1729-J1733-J1737)</f>
        <v>0</v>
      </c>
      <c r="K1742" s="25" t="n">
        <f aca="false">(K1708-J1708)-(K1731+K1648-K1729-K1733-K1737)</f>
        <v>0</v>
      </c>
    </row>
    <row r="1744" customFormat="false" ht="15" hidden="false" customHeight="false" outlineLevel="0" collapsed="false">
      <c r="A1744" s="23" t="s">
        <v>358</v>
      </c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</row>
    <row r="1745" customFormat="false" ht="15" hidden="false" customHeight="false" outlineLevel="0" collapsed="false">
      <c r="A1745" s="3" t="s">
        <v>359</v>
      </c>
      <c r="G1745" s="25" t="n">
        <f aca="false">G1708</f>
        <v>1735.554</v>
      </c>
      <c r="H1745" s="25" t="n">
        <f aca="false">H1708</f>
        <v>1735.554</v>
      </c>
      <c r="I1745" s="25" t="n">
        <f aca="false">I1708</f>
        <v>1315.098</v>
      </c>
      <c r="J1745" s="25" t="n">
        <f aca="false">J1708</f>
        <v>1315.098</v>
      </c>
      <c r="K1745" s="25" t="n">
        <f aca="false">K1708</f>
        <v>1315.098</v>
      </c>
    </row>
    <row r="1746" customFormat="false" ht="15" hidden="false" customHeight="false" outlineLevel="0" collapsed="false">
      <c r="A1746" s="3" t="s">
        <v>360</v>
      </c>
      <c r="G1746" s="25" t="n">
        <f aca="false">Assumptions!$O$56*G1680+Assumptions!$O$57*G1693+Assumptions!$O$58*G1706</f>
        <v>1315.098</v>
      </c>
      <c r="H1746" s="25" t="n">
        <f aca="false">Assumptions!$O$56*H1680+Assumptions!$O$57*H1693+Assumptions!$O$58*H1706</f>
        <v>1315.098</v>
      </c>
      <c r="I1746" s="25" t="n">
        <f aca="false">Assumptions!$O$56*I1680+Assumptions!$O$57*I1693+Assumptions!$O$58*I1706</f>
        <v>1315.098</v>
      </c>
      <c r="J1746" s="25" t="n">
        <f aca="false">Assumptions!$O$56*J1680+Assumptions!$O$57*J1693+Assumptions!$O$58*J1706</f>
        <v>1315.098</v>
      </c>
      <c r="K1746" s="25" t="n">
        <f aca="false">Assumptions!$O$56*K1680+Assumptions!$O$57*K1693+Assumptions!$O$58*K1706</f>
        <v>1315.098</v>
      </c>
    </row>
    <row r="1747" customFormat="false" ht="15" hidden="false" customHeight="false" outlineLevel="0" collapsed="false">
      <c r="A1747" s="3" t="s">
        <v>361</v>
      </c>
      <c r="G1747" s="25" t="n">
        <f aca="false">G1745-G1738</f>
        <v>1145.69064597</v>
      </c>
      <c r="H1747" s="25" t="n">
        <f aca="false">H1745-H1738</f>
        <v>1029.5366262012</v>
      </c>
      <c r="I1747" s="25" t="n">
        <f aca="false">I1745-I1738</f>
        <v>924.522622233096</v>
      </c>
      <c r="J1747" s="25" t="n">
        <f aca="false">J1745-J1738</f>
        <v>815.657374029684</v>
      </c>
      <c r="K1747" s="25" t="n">
        <f aca="false">K1745-K1738</f>
        <v>715.969651150905</v>
      </c>
    </row>
    <row r="1748" customFormat="false" ht="15" hidden="false" customHeight="false" outlineLevel="0" collapsed="false">
      <c r="A1748" s="3" t="s">
        <v>362</v>
      </c>
      <c r="G1748" s="32" t="n">
        <f aca="false">IF(G1643&gt;0,G1745/G1643,0)</f>
        <v>5.77916207762031</v>
      </c>
      <c r="H1748" s="32" t="n">
        <f aca="false">IF(H1643&gt;0,H1745/H1643,0)</f>
        <v>6.01996049752115</v>
      </c>
      <c r="I1748" s="32" t="n">
        <f aca="false">IF(I1643&gt;0,I1745/I1643,0)</f>
        <v>4.79551511119407</v>
      </c>
      <c r="J1748" s="32" t="n">
        <f aca="false">IF(J1643&gt;0,J1745/J1643,0)</f>
        <v>5.01653339406293</v>
      </c>
      <c r="K1748" s="32" t="n">
        <f aca="false">IF(K1643&gt;0,K1745/K1643,0)</f>
        <v>5.2488732235156</v>
      </c>
    </row>
    <row r="1749" customFormat="false" ht="15" hidden="false" customHeight="false" outlineLevel="0" collapsed="false">
      <c r="A1749" s="3" t="s">
        <v>363</v>
      </c>
      <c r="G1749" s="32" t="n">
        <f aca="false">IF(G1643&gt;0,G1747/G1643,0)</f>
        <v>3.81499621093561</v>
      </c>
      <c r="H1749" s="32" t="n">
        <f aca="false">IF(H1643&gt;0,H1747/H1643,0)</f>
        <v>3.57106135590274</v>
      </c>
      <c r="I1749" s="32" t="n">
        <f aca="false">IF(I1643&gt;0,I1747/I1643,0)</f>
        <v>3.37127895073947</v>
      </c>
      <c r="J1749" s="32" t="n">
        <f aca="false">IF(J1643&gt;0,J1747/J1643,0)</f>
        <v>3.11138215930188</v>
      </c>
      <c r="K1749" s="32" t="n">
        <f aca="false">IF(K1643&gt;0,K1747/K1643,0)</f>
        <v>2.85760751729209</v>
      </c>
    </row>
    <row r="1750" customFormat="false" ht="15" hidden="false" customHeight="false" outlineLevel="0" collapsed="false">
      <c r="A1750" s="3" t="s">
        <v>364</v>
      </c>
      <c r="G1750" s="32" t="n">
        <f aca="false">IF(G1647&gt;0,G1643/G1647,0)</f>
        <v>1.92563899625449</v>
      </c>
      <c r="H1750" s="32" t="n">
        <f aca="false">IF(H1647&gt;0,H1643/H1647,0)</f>
        <v>1.84861343640431</v>
      </c>
      <c r="I1750" s="32" t="n">
        <f aca="false">IF(I1647&gt;0,I1643/I1647,0)</f>
        <v>1.75842750947116</v>
      </c>
      <c r="J1750" s="32" t="n">
        <f aca="false">IF(J1647&gt;0,J1643/J1647,0)</f>
        <v>1.89848422719182</v>
      </c>
      <c r="K1750" s="32" t="n">
        <f aca="false">IF(K1647&gt;0,K1643/K1647,0)</f>
        <v>1.81444838125289</v>
      </c>
    </row>
    <row r="1751" customFormat="false" ht="15" hidden="false" customHeight="false" outlineLevel="0" collapsed="false">
      <c r="A1751" s="3" t="s">
        <v>365</v>
      </c>
      <c r="G1751" s="32" t="n">
        <f aca="false">IF(G1647&gt;0,G1646/G1647,0)</f>
        <v>1.25417683356324</v>
      </c>
      <c r="H1751" s="32" t="n">
        <f aca="false">IF(H1647&gt;0,H1646/H1647,0)</f>
        <v>1.20400976022071</v>
      </c>
      <c r="I1751" s="32" t="n">
        <f aca="false">IF(I1647&gt;0,I1646/I1647,0)</f>
        <v>1.13638496195398</v>
      </c>
      <c r="J1751" s="32" t="n">
        <f aca="false">IF(J1647&gt;0,J1646/J1647,0)</f>
        <v>1.21702042306555</v>
      </c>
      <c r="K1751" s="32" t="n">
        <f aca="false">IF(K1647&gt;0,K1646/K1647,0)</f>
        <v>1.1534284912504</v>
      </c>
    </row>
    <row r="1752" customFormat="false" ht="15" hidden="false" customHeight="false" outlineLevel="0" collapsed="false">
      <c r="A1752" s="3" t="s">
        <v>198</v>
      </c>
      <c r="G1752" s="21" t="n">
        <f aca="false">IF(G1745&gt;0,G1656/G1745,0)</f>
        <v>0.0725228682196002</v>
      </c>
      <c r="H1752" s="21" t="n">
        <f aca="false">IF(H1745&gt;0,H1656/H1745,0)</f>
        <v>0.0669261917340515</v>
      </c>
      <c r="I1752" s="21" t="n">
        <f aca="false">IF(I1745&gt;0,I1656/I1745,0)</f>
        <v>0.0798526071578726</v>
      </c>
      <c r="J1752" s="21" t="n">
        <f aca="false">IF(J1745&gt;0,J1656/J1745,0)</f>
        <v>0.0827810917539313</v>
      </c>
      <c r="K1752" s="21" t="n">
        <f aca="false">IF(K1745&gt;0,K1656/K1745,0)</f>
        <v>0.0758025051203631</v>
      </c>
    </row>
    <row r="1753" customFormat="false" ht="15" hidden="false" customHeight="false" outlineLevel="0" collapsed="false">
      <c r="A1753" s="3" t="s">
        <v>366</v>
      </c>
      <c r="G1753" s="32" t="n">
        <f aca="false">IF(G1647+G1729&gt;0,(G1643-G1654-G1651)/(G1647+G1729),0)</f>
        <v>1.66953088823823</v>
      </c>
      <c r="H1753" s="32" t="n">
        <f aca="false">IF(H1647+H1729&gt;0,(H1643-H1654-H1651)/(H1647+H1729),0)</f>
        <v>1.6127496527087</v>
      </c>
      <c r="I1753" s="32" t="n">
        <f aca="false">IF(I1647+I1729&gt;0,(I1643-I1654-I1651)/(I1647+I1729),0)</f>
        <v>1.54594007236964</v>
      </c>
      <c r="J1753" s="32" t="n">
        <f aca="false">IF(J1647+J1729&gt;0,(J1643-J1654-J1651)/(J1647+J1729),0)</f>
        <v>1.64879692156745</v>
      </c>
      <c r="K1753" s="32" t="n">
        <f aca="false">IF(K1647+K1729&gt;0,(K1643-K1654-K1651)/(K1647+K1729),0)</f>
        <v>1.58652202457805</v>
      </c>
    </row>
    <row r="1754" customFormat="false" ht="15" hidden="false" customHeight="false" outlineLevel="0" collapsed="false">
      <c r="A1754" s="3" t="s">
        <v>367</v>
      </c>
      <c r="G1754" s="25" t="n">
        <f aca="false">MAX(0,G1738)+Assumptions!$P$56*MAX(0,Assumptions!$D$56-G1680)+Assumptions!$P$57*MAX(0,Assumptions!$D$57-G1693)+Assumptions!$P$58*MAX(0,Assumptions!$D$58-G1706)</f>
        <v>589.86335403</v>
      </c>
      <c r="H1754" s="25" t="n">
        <f aca="false">MAX(0,H1738)+Assumptions!$P$56*MAX(0,Assumptions!$D$56-H1680)+Assumptions!$P$57*MAX(0,Assumptions!$D$57-H1693)+Assumptions!$P$58*MAX(0,Assumptions!$D$58-H1706)</f>
        <v>706.0173737988</v>
      </c>
      <c r="I1754" s="25" t="n">
        <f aca="false">MAX(0,I1738)+Assumptions!$P$56*MAX(0,Assumptions!$D$56-I1680)+Assumptions!$P$57*MAX(0,Assumptions!$D$57-I1693)+Assumptions!$P$58*MAX(0,Assumptions!$D$58-I1706)</f>
        <v>390.575377766904</v>
      </c>
      <c r="J1754" s="25" t="n">
        <f aca="false">MAX(0,J1738)+Assumptions!$P$56*MAX(0,Assumptions!$D$56-J1680)+Assumptions!$P$57*MAX(0,Assumptions!$D$57-J1693)+Assumptions!$P$58*MAX(0,Assumptions!$D$58-J1706)</f>
        <v>499.440625970316</v>
      </c>
      <c r="K1754" s="25" t="n">
        <f aca="false">MAX(0,K1738)+Assumptions!$P$56*MAX(0,Assumptions!$D$56-K1680)+Assumptions!$P$57*MAX(0,Assumptions!$D$57-K1693)+Assumptions!$P$58*MAX(0,Assumptions!$D$58-K1706)</f>
        <v>599.128348849095</v>
      </c>
    </row>
    <row r="1755" customFormat="false" ht="15" hidden="false" customHeight="false" outlineLevel="0" collapsed="false">
      <c r="A1755" s="3" t="s">
        <v>368</v>
      </c>
      <c r="G1755" s="21" t="n">
        <f aca="false">IF(G1745&gt;0,G1745/(G1745+MAX(0,G1643*CHOOSE($C$1626,Assumptions!$C$82,Assumptions!$C$101,Assumptions!$C$120)-G1747)),0)</f>
        <v>0.774254240974845</v>
      </c>
      <c r="H1755" s="21" t="n">
        <f aca="false">IF(H1745&gt;0,H1745/(H1745+MAX(0,H1643*CHOOSE($C$1626,Assumptions!$C$82,Assumptions!$C$101,Assumptions!$C$120)-H1747)),0)</f>
        <v>0.757332605467614</v>
      </c>
      <c r="I1755" s="21" t="n">
        <f aca="false">IF(I1745&gt;0,I1745/(I1745+MAX(0,I1643*CHOOSE($C$1626,Assumptions!$C$82,Assumptions!$C$101,Assumptions!$C$120)-I1747)),0)</f>
        <v>0.692569548476987</v>
      </c>
      <c r="J1755" s="21" t="n">
        <f aca="false">IF(J1745&gt;0,J1745/(J1745+MAX(0,J1643*CHOOSE($C$1626,Assumptions!$C$82,Assumptions!$C$101,Assumptions!$C$120)-J1747)),0)</f>
        <v>0.677438344609961</v>
      </c>
      <c r="K1755" s="21" t="n">
        <f aca="false">IF(K1745&gt;0,K1745/(K1745+MAX(0,K1643*CHOOSE($C$1626,Assumptions!$C$82,Assumptions!$C$101,Assumptions!$C$120)-K1747)),0)</f>
        <v>0.665149726155595</v>
      </c>
    </row>
    <row r="1756" customFormat="false" ht="15" hidden="false" customHeight="false" outlineLevel="0" collapsed="false">
      <c r="A1756" s="3" t="s">
        <v>369</v>
      </c>
      <c r="G1756" s="21" t="n">
        <f aca="false">IF(G1745&gt;0,MAX(0,G1738)/G1745,0)</f>
        <v>0.339870354958705</v>
      </c>
      <c r="H1756" s="21" t="n">
        <f aca="false">IF(H1745&gt;0,MAX(0,H1738)/H1745,0)</f>
        <v>0.406796546692756</v>
      </c>
      <c r="I1756" s="21" t="n">
        <f aca="false">IF(I1745&gt;0,MAX(0,I1738)/I1745,0)</f>
        <v>0.296993363055</v>
      </c>
      <c r="J1756" s="21" t="n">
        <f aca="false">IF(J1745&gt;0,MAX(0,J1738)/J1745,0)</f>
        <v>0.379774454808931</v>
      </c>
      <c r="K1756" s="21" t="n">
        <f aca="false">IF(K1745&gt;0,MAX(0,K1738)/K1745,0)</f>
        <v>0.455576959929294</v>
      </c>
    </row>
    <row r="1757" customFormat="false" ht="15" hidden="false" customHeight="false" outlineLevel="0" collapsed="false">
      <c r="A1757" s="3" t="s">
        <v>370</v>
      </c>
      <c r="G1757" s="25" t="n">
        <f aca="false">Assumptions!$C$30*(1-CHOOSE($C$1626,Assumptions!$C$85,Assumptions!$C$104,Assumptions!$C$123))</f>
        <v>2454.971</v>
      </c>
      <c r="H1757" s="25" t="n">
        <f aca="false">Assumptions!$C$30*(1-CHOOSE($C$1626,Assumptions!$C$85,Assumptions!$C$104,Assumptions!$C$123))</f>
        <v>2454.971</v>
      </c>
      <c r="I1757" s="25" t="n">
        <f aca="false">Assumptions!$C$30*(1-CHOOSE($C$1626,Assumptions!$C$85,Assumptions!$C$104,Assumptions!$C$123))</f>
        <v>2454.971</v>
      </c>
      <c r="J1757" s="25" t="n">
        <f aca="false">Assumptions!$C$30*(1-CHOOSE($C$1626,Assumptions!$C$85,Assumptions!$C$104,Assumptions!$C$123))</f>
        <v>2454.971</v>
      </c>
      <c r="K1757" s="25" t="n">
        <f aca="false">Assumptions!$C$30*(1-CHOOSE($C$1626,Assumptions!$C$85,Assumptions!$C$104,Assumptions!$C$123))</f>
        <v>2454.971</v>
      </c>
    </row>
    <row r="1758" customFormat="false" ht="15" hidden="false" customHeight="false" outlineLevel="0" collapsed="false">
      <c r="A1758" s="23" t="s">
        <v>371</v>
      </c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</row>
    <row r="1759" customFormat="false" ht="15" hidden="false" customHeight="false" outlineLevel="0" collapsed="false">
      <c r="A1759" s="23" t="s">
        <v>372</v>
      </c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</row>
    <row r="1760" customFormat="false" ht="15" hidden="false" customHeight="false" outlineLevel="0" collapsed="false">
      <c r="A1760" s="3" t="s">
        <v>373</v>
      </c>
      <c r="G1760" s="32" t="n">
        <f aca="false">IF(G1643&gt;0,G1747/G1643,99)</f>
        <v>3.81499621093561</v>
      </c>
      <c r="H1760" s="32" t="n">
        <f aca="false">IF(H1643&gt;0,H1747/H1643,99)</f>
        <v>3.57106135590274</v>
      </c>
      <c r="I1760" s="32" t="n">
        <f aca="false">IF(I1643&gt;0,I1747/I1643,99)</f>
        <v>3.37127895073947</v>
      </c>
      <c r="J1760" s="32" t="n">
        <f aca="false">IF(J1643&gt;0,J1747/J1643,99)</f>
        <v>3.11138215930188</v>
      </c>
      <c r="K1760" s="32" t="n">
        <f aca="false">IF(K1643&gt;0,K1747/K1643,99)</f>
        <v>2.85760751729209</v>
      </c>
    </row>
    <row r="1761" customFormat="false" ht="15" hidden="false" customHeight="false" outlineLevel="0" collapsed="false">
      <c r="A1761" s="3" t="s">
        <v>374</v>
      </c>
      <c r="G1761" s="33" t="n">
        <f aca="false">Assumptions!$G$65</f>
        <v>5.25</v>
      </c>
      <c r="H1761" s="33" t="n">
        <f aca="false">Assumptions!$H$65</f>
        <v>5.25</v>
      </c>
      <c r="I1761" s="33" t="n">
        <f aca="false">Assumptions!$I$65</f>
        <v>5</v>
      </c>
      <c r="J1761" s="33" t="n">
        <f aca="false">Assumptions!$J$65</f>
        <v>5</v>
      </c>
      <c r="K1761" s="33" t="n">
        <f aca="false">Assumptions!$K$65</f>
        <v>5</v>
      </c>
    </row>
    <row r="1762" customFormat="false" ht="15" hidden="false" customHeight="false" outlineLevel="0" collapsed="false">
      <c r="A1762" s="3" t="s">
        <v>375</v>
      </c>
      <c r="G1762" s="32" t="n">
        <f aca="false">G1761-G1760</f>
        <v>1.43500378906439</v>
      </c>
      <c r="H1762" s="32" t="n">
        <f aca="false">H1761-H1760</f>
        <v>1.67893864409726</v>
      </c>
      <c r="I1762" s="32" t="n">
        <f aca="false">I1761-I1760</f>
        <v>1.62872104926053</v>
      </c>
      <c r="J1762" s="32" t="n">
        <f aca="false">J1761-J1760</f>
        <v>1.88861784069812</v>
      </c>
      <c r="K1762" s="32" t="n">
        <f aca="false">K1761-K1760</f>
        <v>2.14239248270791</v>
      </c>
    </row>
    <row r="1763" customFormat="false" ht="15" hidden="false" customHeight="false" outlineLevel="0" collapsed="false">
      <c r="A1763" s="3" t="s">
        <v>376</v>
      </c>
      <c r="G1763" s="21" t="n">
        <f aca="false">IF(G1761=0,0,G1762/ABS(G1761))</f>
        <v>0.273334055059884</v>
      </c>
      <c r="H1763" s="21" t="n">
        <f aca="false">IF(H1761=0,0,H1762/ABS(H1761))</f>
        <v>0.319797836970907</v>
      </c>
      <c r="I1763" s="21" t="n">
        <f aca="false">IF(I1761=0,0,I1762/ABS(I1761))</f>
        <v>0.325744209852106</v>
      </c>
      <c r="J1763" s="21" t="n">
        <f aca="false">IF(J1761=0,0,J1762/ABS(J1761))</f>
        <v>0.377723568139623</v>
      </c>
      <c r="K1763" s="21" t="n">
        <f aca="false">IF(K1761=0,0,K1762/ABS(K1761))</f>
        <v>0.428478496541582</v>
      </c>
    </row>
    <row r="1764" customFormat="false" ht="15" hidden="false" customHeight="false" outlineLevel="0" collapsed="false">
      <c r="A1764" s="3" t="s">
        <v>377</v>
      </c>
      <c r="G1764" s="20" t="n">
        <f aca="false">IF(G1762&lt;0,1,0)</f>
        <v>0</v>
      </c>
      <c r="H1764" s="20" t="n">
        <f aca="false">IF(H1762&lt;0,1,0)</f>
        <v>0</v>
      </c>
      <c r="I1764" s="20" t="n">
        <f aca="false">IF(I1762&lt;0,1,0)</f>
        <v>0</v>
      </c>
      <c r="J1764" s="20" t="n">
        <f aca="false">IF(J1762&lt;0,1,0)</f>
        <v>0</v>
      </c>
      <c r="K1764" s="20" t="n">
        <f aca="false">IF(K1762&lt;0,1,0)</f>
        <v>0</v>
      </c>
    </row>
    <row r="1765" customFormat="false" ht="15" hidden="false" customHeight="false" outlineLevel="0" collapsed="false">
      <c r="A1765" s="3" t="s">
        <v>378</v>
      </c>
      <c r="C1765" s="20" t="n">
        <f aca="false">IFERROR(INDEX($G$1633:$K$1633,MATCH(1,$G$1764:$K$1764,0)),0)</f>
        <v>0</v>
      </c>
    </row>
    <row r="1766" customFormat="false" ht="15" hidden="false" customHeight="false" outlineLevel="0" collapsed="false">
      <c r="A1766" s="3" t="s">
        <v>379</v>
      </c>
      <c r="C1766" s="21" t="n">
        <f aca="false">MIN($G$1763:$K$1763)</f>
        <v>0.273334055059884</v>
      </c>
    </row>
    <row r="1767" customFormat="false" ht="15" hidden="false" customHeight="false" outlineLevel="0" collapsed="false">
      <c r="A1767" s="23" t="s">
        <v>380</v>
      </c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</row>
    <row r="1768" customFormat="false" ht="15" hidden="false" customHeight="false" outlineLevel="0" collapsed="false">
      <c r="A1768" s="3" t="s">
        <v>373</v>
      </c>
      <c r="G1768" s="32" t="n">
        <f aca="false">IF(G1647&gt;0,G1643/G1647,99)</f>
        <v>1.92563899625449</v>
      </c>
      <c r="H1768" s="32" t="n">
        <f aca="false">IF(H1647&gt;0,H1643/H1647,99)</f>
        <v>1.84861343640431</v>
      </c>
      <c r="I1768" s="32" t="n">
        <f aca="false">IF(I1647&gt;0,I1643/I1647,99)</f>
        <v>1.75842750947116</v>
      </c>
      <c r="J1768" s="32" t="n">
        <f aca="false">IF(J1647&gt;0,J1643/J1647,99)</f>
        <v>1.89848422719182</v>
      </c>
      <c r="K1768" s="32" t="n">
        <f aca="false">IF(K1647&gt;0,K1643/K1647,99)</f>
        <v>1.81444838125289</v>
      </c>
    </row>
    <row r="1769" customFormat="false" ht="15" hidden="false" customHeight="false" outlineLevel="0" collapsed="false">
      <c r="A1769" s="3" t="s">
        <v>374</v>
      </c>
      <c r="G1769" s="33" t="n">
        <f aca="false">Assumptions!$G$66</f>
        <v>1.4</v>
      </c>
      <c r="H1769" s="33" t="n">
        <f aca="false">Assumptions!$H$66</f>
        <v>1.4</v>
      </c>
      <c r="I1769" s="33" t="n">
        <f aca="false">Assumptions!$I$66</f>
        <v>1.4</v>
      </c>
      <c r="J1769" s="33" t="n">
        <f aca="false">Assumptions!$J$66</f>
        <v>1.5</v>
      </c>
      <c r="K1769" s="33" t="n">
        <f aca="false">Assumptions!$K$66</f>
        <v>1.5</v>
      </c>
    </row>
    <row r="1770" customFormat="false" ht="15" hidden="false" customHeight="false" outlineLevel="0" collapsed="false">
      <c r="A1770" s="3" t="s">
        <v>375</v>
      </c>
      <c r="G1770" s="32" t="n">
        <f aca="false">G1768-G1769</f>
        <v>0.525638996254489</v>
      </c>
      <c r="H1770" s="32" t="n">
        <f aca="false">H1768-H1769</f>
        <v>0.448613436404309</v>
      </c>
      <c r="I1770" s="32" t="n">
        <f aca="false">I1768-I1769</f>
        <v>0.358427509471156</v>
      </c>
      <c r="J1770" s="32" t="n">
        <f aca="false">J1768-J1769</f>
        <v>0.398484227191822</v>
      </c>
      <c r="K1770" s="32" t="n">
        <f aca="false">K1768-K1769</f>
        <v>0.31444838125289</v>
      </c>
    </row>
    <row r="1771" customFormat="false" ht="15" hidden="false" customHeight="false" outlineLevel="0" collapsed="false">
      <c r="A1771" s="3" t="s">
        <v>376</v>
      </c>
      <c r="G1771" s="21" t="n">
        <f aca="false">IF(G1769=0,0,G1770/ABS(G1769))</f>
        <v>0.375456425896063</v>
      </c>
      <c r="H1771" s="21" t="n">
        <f aca="false">IF(H1769=0,0,H1770/ABS(H1769))</f>
        <v>0.320438168860221</v>
      </c>
      <c r="I1771" s="21" t="n">
        <f aca="false">IF(I1769=0,0,I1770/ABS(I1769))</f>
        <v>0.256019649622254</v>
      </c>
      <c r="J1771" s="21" t="n">
        <f aca="false">IF(J1769=0,0,J1770/ABS(J1769))</f>
        <v>0.265656151461215</v>
      </c>
      <c r="K1771" s="21" t="n">
        <f aca="false">IF(K1769=0,0,K1770/ABS(K1769))</f>
        <v>0.209632254168593</v>
      </c>
    </row>
    <row r="1772" customFormat="false" ht="15" hidden="false" customHeight="false" outlineLevel="0" collapsed="false">
      <c r="A1772" s="3" t="s">
        <v>377</v>
      </c>
      <c r="G1772" s="20" t="n">
        <f aca="false">IF(G1770&lt;0,1,0)</f>
        <v>0</v>
      </c>
      <c r="H1772" s="20" t="n">
        <f aca="false">IF(H1770&lt;0,1,0)</f>
        <v>0</v>
      </c>
      <c r="I1772" s="20" t="n">
        <f aca="false">IF(I1770&lt;0,1,0)</f>
        <v>0</v>
      </c>
      <c r="J1772" s="20" t="n">
        <f aca="false">IF(J1770&lt;0,1,0)</f>
        <v>0</v>
      </c>
      <c r="K1772" s="20" t="n">
        <f aca="false">IF(K1770&lt;0,1,0)</f>
        <v>0</v>
      </c>
    </row>
    <row r="1773" customFormat="false" ht="15" hidden="false" customHeight="false" outlineLevel="0" collapsed="false">
      <c r="A1773" s="3" t="s">
        <v>378</v>
      </c>
      <c r="C1773" s="20" t="n">
        <f aca="false">IFERROR(INDEX($G$1633:$K$1633,MATCH(1,$G$1772:$K$1772,0)),0)</f>
        <v>0</v>
      </c>
    </row>
    <row r="1774" customFormat="false" ht="15" hidden="false" customHeight="false" outlineLevel="0" collapsed="false">
      <c r="A1774" s="3" t="s">
        <v>379</v>
      </c>
      <c r="C1774" s="21" t="n">
        <f aca="false">MIN($G$1771:$K$1771)</f>
        <v>0.209632254168593</v>
      </c>
    </row>
    <row r="1775" customFormat="false" ht="15" hidden="false" customHeight="false" outlineLevel="0" collapsed="false">
      <c r="A1775" s="23" t="s">
        <v>381</v>
      </c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</row>
    <row r="1776" customFormat="false" ht="15" hidden="false" customHeight="false" outlineLevel="0" collapsed="false">
      <c r="A1776" s="3" t="s">
        <v>373</v>
      </c>
      <c r="G1776" s="25" t="n">
        <f aca="false">G1754</f>
        <v>589.86335403</v>
      </c>
      <c r="H1776" s="25" t="n">
        <f aca="false">H1754</f>
        <v>706.0173737988</v>
      </c>
      <c r="I1776" s="25" t="n">
        <f aca="false">I1754</f>
        <v>390.575377766904</v>
      </c>
      <c r="J1776" s="25" t="n">
        <f aca="false">J1754</f>
        <v>499.440625970316</v>
      </c>
      <c r="K1776" s="25" t="n">
        <f aca="false">K1754</f>
        <v>599.128348849095</v>
      </c>
    </row>
    <row r="1777" customFormat="false" ht="15" hidden="false" customHeight="false" outlineLevel="0" collapsed="false">
      <c r="A1777" s="3" t="s">
        <v>374</v>
      </c>
      <c r="G1777" s="29" t="n">
        <f aca="false">Assumptions!$G$67</f>
        <v>200</v>
      </c>
      <c r="H1777" s="29" t="n">
        <f aca="false">Assumptions!$H$67</f>
        <v>200</v>
      </c>
      <c r="I1777" s="29" t="n">
        <f aca="false">Assumptions!$I$67</f>
        <v>200</v>
      </c>
      <c r="J1777" s="29" t="n">
        <f aca="false">Assumptions!$J$67</f>
        <v>200</v>
      </c>
      <c r="K1777" s="29" t="n">
        <f aca="false">Assumptions!$K$67</f>
        <v>200</v>
      </c>
    </row>
    <row r="1778" customFormat="false" ht="15" hidden="false" customHeight="false" outlineLevel="0" collapsed="false">
      <c r="A1778" s="3" t="s">
        <v>375</v>
      </c>
      <c r="G1778" s="25" t="n">
        <f aca="false">G1776-G1777</f>
        <v>389.86335403</v>
      </c>
      <c r="H1778" s="25" t="n">
        <f aca="false">H1776-H1777</f>
        <v>506.0173737988</v>
      </c>
      <c r="I1778" s="25" t="n">
        <f aca="false">I1776-I1777</f>
        <v>190.575377766904</v>
      </c>
      <c r="J1778" s="25" t="n">
        <f aca="false">J1776-J1777</f>
        <v>299.440625970316</v>
      </c>
      <c r="K1778" s="25" t="n">
        <f aca="false">K1776-K1777</f>
        <v>399.128348849095</v>
      </c>
    </row>
    <row r="1779" customFormat="false" ht="15" hidden="false" customHeight="false" outlineLevel="0" collapsed="false">
      <c r="A1779" s="3" t="s">
        <v>376</v>
      </c>
      <c r="G1779" s="21" t="n">
        <f aca="false">IF(G1777=0,0,G1778/ABS(G1777))</f>
        <v>1.94931677015</v>
      </c>
      <c r="H1779" s="21" t="n">
        <f aca="false">IF(H1777=0,0,H1778/ABS(H1777))</f>
        <v>2.530086868994</v>
      </c>
      <c r="I1779" s="21" t="n">
        <f aca="false">IF(I1777=0,0,I1778/ABS(I1777))</f>
        <v>0.95287688883452</v>
      </c>
      <c r="J1779" s="21" t="n">
        <f aca="false">IF(J1777=0,0,J1778/ABS(J1777))</f>
        <v>1.49720312985158</v>
      </c>
      <c r="K1779" s="21" t="n">
        <f aca="false">IF(K1777=0,0,K1778/ABS(K1777))</f>
        <v>1.99564174424547</v>
      </c>
    </row>
    <row r="1780" customFormat="false" ht="15" hidden="false" customHeight="false" outlineLevel="0" collapsed="false">
      <c r="A1780" s="3" t="s">
        <v>377</v>
      </c>
      <c r="G1780" s="20" t="n">
        <f aca="false">IF(G1778&lt;0,1,0)</f>
        <v>0</v>
      </c>
      <c r="H1780" s="20" t="n">
        <f aca="false">IF(H1778&lt;0,1,0)</f>
        <v>0</v>
      </c>
      <c r="I1780" s="20" t="n">
        <f aca="false">IF(I1778&lt;0,1,0)</f>
        <v>0</v>
      </c>
      <c r="J1780" s="20" t="n">
        <f aca="false">IF(J1778&lt;0,1,0)</f>
        <v>0</v>
      </c>
      <c r="K1780" s="20" t="n">
        <f aca="false">IF(K1778&lt;0,1,0)</f>
        <v>0</v>
      </c>
    </row>
    <row r="1781" customFormat="false" ht="15" hidden="false" customHeight="false" outlineLevel="0" collapsed="false">
      <c r="A1781" s="3" t="s">
        <v>378</v>
      </c>
      <c r="C1781" s="20" t="n">
        <f aca="false">IFERROR(INDEX($G$1633:$K$1633,MATCH(1,$G$1780:$K$1780,0)),0)</f>
        <v>0</v>
      </c>
    </row>
    <row r="1782" customFormat="false" ht="15" hidden="false" customHeight="false" outlineLevel="0" collapsed="false">
      <c r="A1782" s="3" t="s">
        <v>379</v>
      </c>
      <c r="C1782" s="21" t="n">
        <f aca="false">MIN($G$1779:$K$1779)</f>
        <v>0.95287688883452</v>
      </c>
    </row>
    <row r="1783" customFormat="false" ht="15" hidden="false" customHeight="false" outlineLevel="0" collapsed="false">
      <c r="A1783" s="3" t="s">
        <v>382</v>
      </c>
      <c r="G1783" s="20" t="n">
        <f aca="false">G1764+G1772+G1780</f>
        <v>0</v>
      </c>
      <c r="H1783" s="20" t="n">
        <f aca="false">H1764+H1772+H1780</f>
        <v>0</v>
      </c>
      <c r="I1783" s="20" t="n">
        <f aca="false">I1764+I1772+I1780</f>
        <v>0</v>
      </c>
      <c r="J1783" s="20" t="n">
        <f aca="false">J1764+J1772+J1780</f>
        <v>0</v>
      </c>
      <c r="K1783" s="20" t="n">
        <f aca="false">K1764+K1772+K1780</f>
        <v>0</v>
      </c>
    </row>
    <row r="1784" customFormat="false" ht="15" hidden="false" customHeight="false" outlineLevel="0" collapsed="false">
      <c r="A1784" s="3" t="s">
        <v>383</v>
      </c>
      <c r="C1784" s="20" t="n">
        <f aca="false">SUM($G$1783:$K$1783)</f>
        <v>0</v>
      </c>
    </row>
    <row r="1785" customFormat="false" ht="15" hidden="false" customHeight="false" outlineLevel="0" collapsed="false">
      <c r="A1785" s="3" t="s">
        <v>384</v>
      </c>
      <c r="C1785" s="21" t="n">
        <f aca="false">MIN(C1766,C1774,C1782)</f>
        <v>0.209632254168593</v>
      </c>
    </row>
    <row r="1787" customFormat="false" ht="15" hidden="false" customHeight="false" outlineLevel="0" collapsed="false">
      <c r="A1787" s="23" t="s">
        <v>486</v>
      </c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</row>
    <row r="1788" customFormat="false" ht="15" hidden="false" customHeight="false" outlineLevel="0" collapsed="false">
      <c r="A1788" s="3" t="s">
        <v>487</v>
      </c>
      <c r="G1788" s="20" t="n">
        <f aca="false">IF($C$1789=1,G1741,IF(G1643=MIN($G$1643:$K$1643),1,0))</f>
        <v>0</v>
      </c>
      <c r="H1788" s="20" t="n">
        <f aca="false">IF($C$1789=1,H1741,IF(AND(H1643=MIN($G$1643:$K$1643),SUM($G$1788:G1788)=0),1,0))</f>
        <v>0</v>
      </c>
      <c r="I1788" s="20" t="n">
        <f aca="false">IF($C$1789=1,I1741,IF(AND(I1643=MIN($G$1643:$K$1643),SUM($G$1788:H1788)=0),1,0))</f>
        <v>0</v>
      </c>
      <c r="J1788" s="20" t="n">
        <f aca="false">IF($C$1789=1,J1741,IF(AND(J1643=MIN($G$1643:$K$1643),SUM($G$1788:I1788)=0),1,0))</f>
        <v>0</v>
      </c>
      <c r="K1788" s="20" t="n">
        <f aca="false">IF($C$1789=1,K1741,IF(AND(K1643=MIN($G$1643:$K$1643),SUM($G$1788:J1788)=0),1,0))</f>
        <v>1</v>
      </c>
    </row>
    <row r="1789" customFormat="false" ht="15" hidden="false" customHeight="false" outlineLevel="0" collapsed="false">
      <c r="A1789" s="3" t="s">
        <v>488</v>
      </c>
      <c r="C1789" s="20" t="n">
        <f aca="false">IF(SUM($G$1741:$K$1741)&gt;0,1,0)</f>
        <v>0</v>
      </c>
    </row>
    <row r="1790" customFormat="false" ht="15" hidden="false" customHeight="false" outlineLevel="0" collapsed="false">
      <c r="A1790" s="3" t="s">
        <v>489</v>
      </c>
      <c r="C1790" s="20" t="n">
        <f aca="false">SUMPRODUCT($G$1788:$K$1788,$G$1633:$K$1633)</f>
        <v>2031</v>
      </c>
    </row>
    <row r="1791" customFormat="false" ht="15" hidden="false" customHeight="false" outlineLevel="0" collapsed="false">
      <c r="A1791" s="3" t="s">
        <v>490</v>
      </c>
      <c r="C1791" s="25" t="n">
        <f aca="false">SUMPRODUCT($G$1788:$K$1788,$G$1643:$K$1643)</f>
        <v>250.548630915336</v>
      </c>
    </row>
    <row r="1792" customFormat="false" ht="15" hidden="false" customHeight="false" outlineLevel="0" collapsed="false">
      <c r="A1792" s="3" t="s">
        <v>491</v>
      </c>
      <c r="C1792" s="25" t="n">
        <f aca="false">MAX(0,SUMPRODUCT($G$1788:$K$1788,$G$1738:$K$1738))</f>
        <v>599.128348849095</v>
      </c>
    </row>
    <row r="1793" customFormat="false" ht="15" hidden="false" customHeight="false" outlineLevel="0" collapsed="false">
      <c r="A1793" s="3" t="s">
        <v>492</v>
      </c>
      <c r="C1793" s="25" t="n">
        <f aca="false">(CHOOSE($C$1626,Assumptions!$C$84,Assumptions!$C$103,Assumptions!$C$122)+$C$1630)*C1791</f>
        <v>1252.74315457668</v>
      </c>
    </row>
    <row r="1794" customFormat="false" ht="15" hidden="false" customHeight="false" outlineLevel="0" collapsed="false">
      <c r="A1794" s="3" t="s">
        <v>493</v>
      </c>
      <c r="C1794" s="25" t="n">
        <f aca="false">Assumptions!$C$30*(1-CHOOSE($C$1626,Assumptions!$C$85,Assumptions!$C$104,Assumptions!$C$123))*CHOOSE($C$1626,Assumptions!$C$86,Assumptions!$C$105,Assumptions!$C$124)</f>
        <v>736.4913</v>
      </c>
    </row>
    <row r="1795" customFormat="false" ht="15" hidden="false" customHeight="false" outlineLevel="0" collapsed="false">
      <c r="A1795" s="3" t="s">
        <v>494</v>
      </c>
      <c r="C1795" s="25" t="n">
        <f aca="false">MAX(C1793,C1794)+C1792</f>
        <v>1851.87150342577</v>
      </c>
    </row>
    <row r="1796" customFormat="false" ht="15" hidden="false" customHeight="false" outlineLevel="0" collapsed="false">
      <c r="A1796" s="2" t="s">
        <v>495</v>
      </c>
      <c r="C1796" s="16" t="n">
        <f aca="false">IF(ISNUMBER(Assumptions!$C$14),Assumptions!$C$14,C1795)</f>
        <v>1851.87150342577</v>
      </c>
    </row>
    <row r="1797" customFormat="false" ht="15" hidden="false" customHeight="false" outlineLevel="0" collapsed="false">
      <c r="A1797" s="3" t="s">
        <v>496</v>
      </c>
      <c r="C1797" s="25" t="n">
        <f aca="false">C1796*Assumptions!$C$15</f>
        <v>74.074860137031</v>
      </c>
    </row>
    <row r="1798" customFormat="false" ht="15" hidden="false" customHeight="false" outlineLevel="0" collapsed="false">
      <c r="A1798" s="2" t="s">
        <v>497</v>
      </c>
      <c r="C1798" s="16" t="n">
        <f aca="false">C1796-C1797</f>
        <v>1777.79664328874</v>
      </c>
    </row>
    <row r="1799" customFormat="false" ht="15" hidden="false" customHeight="false" outlineLevel="0" collapsed="false">
      <c r="A1799" s="23" t="s">
        <v>498</v>
      </c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</row>
    <row r="1800" customFormat="false" ht="15" hidden="false" customHeight="false" outlineLevel="0" collapsed="false">
      <c r="A1800" s="3" t="s">
        <v>499</v>
      </c>
      <c r="C1800" s="25" t="n">
        <f aca="false">SUMPRODUCT($G$1788:$K$1788,$G$1680:$K$1680)*(1+SUMPRODUCT($G$1788:$K$1788,$G$1672:$K$1672)*Assumptions!$C$16/12)</f>
        <v>1349.6193225</v>
      </c>
    </row>
    <row r="1801" customFormat="false" ht="15" hidden="false" customHeight="false" outlineLevel="0" collapsed="false">
      <c r="A1801" s="3" t="s">
        <v>500</v>
      </c>
      <c r="C1801" s="25" t="n">
        <f aca="false">SUMPRODUCT($G$1788:$K$1788,$G$1693:$K$1693)*(1+SUMPRODUCT($G$1788:$K$1788,$G$1685:$K$1685)*Assumptions!$C$16/12)</f>
        <v>0</v>
      </c>
    </row>
    <row r="1802" customFormat="false" ht="15" hidden="false" customHeight="false" outlineLevel="0" collapsed="false">
      <c r="A1802" s="3" t="s">
        <v>501</v>
      </c>
      <c r="C1802" s="25" t="n">
        <f aca="false">SUMPRODUCT($G$1788:$K$1788,$G$1706:$K$1706)*(1+SUMPRODUCT($G$1788:$K$1788,$G$1698:$K$1698)*Assumptions!$C$16/12)</f>
        <v>0</v>
      </c>
    </row>
    <row r="1803" customFormat="false" ht="15" hidden="false" customHeight="false" outlineLevel="0" collapsed="false">
      <c r="A1803" s="23" t="s">
        <v>502</v>
      </c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</row>
    <row r="1804" customFormat="false" ht="15" hidden="false" customHeight="false" outlineLevel="0" collapsed="false">
      <c r="A1804" s="3" t="s">
        <v>499</v>
      </c>
      <c r="C1804" s="27" t="n">
        <f aca="false">Assumptions!$M$56</f>
        <v>1</v>
      </c>
    </row>
    <row r="1805" customFormat="false" ht="15" hidden="false" customHeight="false" outlineLevel="0" collapsed="false">
      <c r="A1805" s="3" t="s">
        <v>500</v>
      </c>
      <c r="C1805" s="27" t="n">
        <f aca="false">Assumptions!$M$57</f>
        <v>2</v>
      </c>
    </row>
    <row r="1806" customFormat="false" ht="15" hidden="false" customHeight="false" outlineLevel="0" collapsed="false">
      <c r="A1806" s="3" t="s">
        <v>501</v>
      </c>
      <c r="C1806" s="27" t="n">
        <f aca="false">Assumptions!$M$58</f>
        <v>2</v>
      </c>
    </row>
    <row r="1807" customFormat="false" ht="15" hidden="false" customHeight="false" outlineLevel="0" collapsed="false">
      <c r="A1807" s="23" t="s">
        <v>503</v>
      </c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</row>
    <row r="1808" customFormat="false" ht="15" hidden="false" customHeight="false" outlineLevel="0" collapsed="false">
      <c r="A1808" s="3" t="s">
        <v>499</v>
      </c>
      <c r="C1808" s="35" t="n">
        <f aca="false">Assumptions!$Q$56</f>
        <v>0</v>
      </c>
    </row>
    <row r="1809" customFormat="false" ht="15" hidden="false" customHeight="false" outlineLevel="0" collapsed="false">
      <c r="A1809" s="3" t="s">
        <v>500</v>
      </c>
      <c r="C1809" s="35" t="n">
        <f aca="false">Assumptions!$Q$57</f>
        <v>0</v>
      </c>
    </row>
    <row r="1810" customFormat="false" ht="15" hidden="false" customHeight="false" outlineLevel="0" collapsed="false">
      <c r="A1810" s="3" t="s">
        <v>501</v>
      </c>
      <c r="C1810" s="35" t="n">
        <f aca="false">Assumptions!$Q$58</f>
        <v>0</v>
      </c>
    </row>
    <row r="1811" customFormat="false" ht="15" hidden="false" customHeight="false" outlineLevel="0" collapsed="false">
      <c r="A1811" s="23" t="s">
        <v>504</v>
      </c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</row>
    <row r="1812" customFormat="false" ht="15" hidden="false" customHeight="false" outlineLevel="0" collapsed="false">
      <c r="A1812" s="3" t="s">
        <v>499</v>
      </c>
      <c r="C1812" s="25" t="n">
        <f aca="false">IF(C1808&gt;0,MIN(C1800,C1808*$C$1798),0)</f>
        <v>0</v>
      </c>
    </row>
    <row r="1813" customFormat="false" ht="15" hidden="false" customHeight="false" outlineLevel="0" collapsed="false">
      <c r="A1813" s="3" t="s">
        <v>500</v>
      </c>
      <c r="C1813" s="25" t="n">
        <f aca="false">IF(C1809&gt;0,MIN(C1801,C1809*$C$1798),0)</f>
        <v>0</v>
      </c>
    </row>
    <row r="1814" customFormat="false" ht="15" hidden="false" customHeight="false" outlineLevel="0" collapsed="false">
      <c r="A1814" s="3" t="s">
        <v>501</v>
      </c>
      <c r="C1814" s="25" t="n">
        <f aca="false">IF(C1810&gt;0,MIN(C1802,C1810*$C$1798),0)</f>
        <v>0</v>
      </c>
    </row>
    <row r="1815" customFormat="false" ht="15" hidden="false" customHeight="false" outlineLevel="0" collapsed="false">
      <c r="A1815" s="23" t="s">
        <v>505</v>
      </c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</row>
    <row r="1816" customFormat="false" ht="15" hidden="false" customHeight="false" outlineLevel="0" collapsed="false">
      <c r="A1816" s="3" t="s">
        <v>499</v>
      </c>
      <c r="C1816" s="25" t="n">
        <f aca="false">IF(C1808&gt;0,C1800-C1812,0)</f>
        <v>0</v>
      </c>
      <c r="G1816" s="20" t="n">
        <f aca="false">IF(AND(G1670=1,G1667=1),1,0)</f>
        <v>0</v>
      </c>
      <c r="H1816" s="20" t="n">
        <f aca="false">IF(G1816=1,1,IF(AND(H1670=1,H1667=1),1,0))</f>
        <v>0</v>
      </c>
      <c r="I1816" s="20" t="n">
        <f aca="false">IF(H1816=1,1,IF(AND(I1670=1,I1667=1),1,0))</f>
        <v>0</v>
      </c>
      <c r="J1816" s="20" t="n">
        <f aca="false">IF(I1816=1,1,IF(AND(J1670=1,J1667=1),1,0))</f>
        <v>0</v>
      </c>
      <c r="K1816" s="20" t="n">
        <f aca="false">IF(J1816=1,1,IF(AND(K1670=1,K1667=1),1,0))</f>
        <v>0</v>
      </c>
    </row>
    <row r="1817" customFormat="false" ht="15" hidden="false" customHeight="false" outlineLevel="0" collapsed="false">
      <c r="A1817" s="3" t="s">
        <v>500</v>
      </c>
      <c r="C1817" s="25" t="n">
        <f aca="false">IF(C1809&gt;0,C1801-C1813,0)</f>
        <v>0</v>
      </c>
      <c r="G1817" s="20" t="n">
        <f aca="false">IF(AND(G1683=1,G1667=1),1,0)</f>
        <v>0</v>
      </c>
      <c r="H1817" s="20" t="n">
        <f aca="false">IF(G1817=1,1,IF(AND(H1683=1,H1667=1),1,0))</f>
        <v>0</v>
      </c>
      <c r="I1817" s="20" t="n">
        <f aca="false">IF(H1817=1,1,IF(AND(I1683=1,I1667=1),1,0))</f>
        <v>1</v>
      </c>
      <c r="J1817" s="20" t="n">
        <f aca="false">IF(I1817=1,1,IF(AND(J1683=1,J1667=1),1,0))</f>
        <v>1</v>
      </c>
      <c r="K1817" s="20" t="n">
        <f aca="false">IF(J1817=1,1,IF(AND(K1683=1,K1667=1),1,0))</f>
        <v>1</v>
      </c>
    </row>
    <row r="1818" customFormat="false" ht="15" hidden="false" customHeight="false" outlineLevel="0" collapsed="false">
      <c r="A1818" s="3" t="s">
        <v>501</v>
      </c>
      <c r="C1818" s="25" t="n">
        <f aca="false">IF(C1810&gt;0,C1802-C1814,0)</f>
        <v>0</v>
      </c>
      <c r="G1818" s="20" t="n">
        <f aca="false">IF(AND(G1696=1,G1667=1),1,0)</f>
        <v>0</v>
      </c>
      <c r="H1818" s="20" t="n">
        <f aca="false">IF(G1818=1,1,IF(AND(H1696=1,H1667=1),1,0))</f>
        <v>0</v>
      </c>
      <c r="I1818" s="20" t="n">
        <f aca="false">IF(H1818=1,1,IF(AND(I1696=1,I1667=1),1,0))</f>
        <v>1</v>
      </c>
      <c r="J1818" s="20" t="n">
        <f aca="false">IF(I1818=1,1,IF(AND(J1696=1,J1667=1),1,0))</f>
        <v>1</v>
      </c>
      <c r="K1818" s="20" t="n">
        <f aca="false">IF(J1818=1,1,IF(AND(K1696=1,K1667=1),1,0))</f>
        <v>1</v>
      </c>
    </row>
    <row r="1819" customFormat="false" ht="15" hidden="false" customHeight="false" outlineLevel="0" collapsed="false">
      <c r="A1819" s="23" t="s">
        <v>506</v>
      </c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</row>
    <row r="1820" customFormat="false" ht="15" hidden="false" customHeight="false" outlineLevel="0" collapsed="false">
      <c r="A1820" s="3" t="s">
        <v>499</v>
      </c>
      <c r="C1820" s="25" t="n">
        <f aca="false">IF(C1808&gt;0,C1816,C1800)</f>
        <v>1349.6193225</v>
      </c>
    </row>
    <row r="1821" customFormat="false" ht="15" hidden="false" customHeight="false" outlineLevel="0" collapsed="false">
      <c r="A1821" s="3" t="s">
        <v>500</v>
      </c>
      <c r="C1821" s="25" t="n">
        <f aca="false">IF(C1809&gt;0,C1817,C1801)</f>
        <v>0</v>
      </c>
    </row>
    <row r="1822" customFormat="false" ht="15" hidden="false" customHeight="false" outlineLevel="0" collapsed="false">
      <c r="A1822" s="3" t="s">
        <v>501</v>
      </c>
      <c r="C1822" s="25" t="n">
        <f aca="false">IF(C1810&gt;0,C1818,C1802)</f>
        <v>0</v>
      </c>
    </row>
    <row r="1823" customFormat="false" ht="15" hidden="false" customHeight="false" outlineLevel="0" collapsed="false">
      <c r="A1823" s="23" t="s">
        <v>507</v>
      </c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</row>
    <row r="1824" customFormat="false" ht="15" hidden="false" customHeight="false" outlineLevel="0" collapsed="false">
      <c r="A1824" s="3" t="s">
        <v>499</v>
      </c>
      <c r="C1824" s="20" t="n">
        <f aca="false">IF(C1808&gt;0,Assumptions!$C$17,C1804)</f>
        <v>1</v>
      </c>
    </row>
    <row r="1825" customFormat="false" ht="15" hidden="false" customHeight="false" outlineLevel="0" collapsed="false">
      <c r="A1825" s="3" t="s">
        <v>500</v>
      </c>
      <c r="C1825" s="20" t="n">
        <f aca="false">IF(C1809&gt;0,Assumptions!$C$17,C1805)</f>
        <v>2</v>
      </c>
    </row>
    <row r="1826" customFormat="false" ht="15" hidden="false" customHeight="false" outlineLevel="0" collapsed="false">
      <c r="A1826" s="3" t="s">
        <v>501</v>
      </c>
      <c r="C1826" s="20" t="n">
        <f aca="false">IF(C1810&gt;0,Assumptions!$C$17,C1806)</f>
        <v>2</v>
      </c>
    </row>
    <row r="1827" customFormat="false" ht="15" hidden="false" customHeight="false" outlineLevel="0" collapsed="false">
      <c r="A1827" s="23" t="s">
        <v>508</v>
      </c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</row>
    <row r="1828" customFormat="false" ht="15" hidden="false" customHeight="false" outlineLevel="0" collapsed="false">
      <c r="A1828" s="3" t="s">
        <v>499</v>
      </c>
      <c r="C1828" s="25" t="n">
        <f aca="false">SUMPRODUCT(($C$1824:$C$1826&lt;C1824)*$C$1820:$C$1822)</f>
        <v>0</v>
      </c>
    </row>
    <row r="1829" customFormat="false" ht="15" hidden="false" customHeight="false" outlineLevel="0" collapsed="false">
      <c r="A1829" s="3" t="s">
        <v>500</v>
      </c>
      <c r="C1829" s="25" t="n">
        <f aca="false">SUMPRODUCT(($C$1824:$C$1826&lt;C1825)*$C$1820:$C$1822)</f>
        <v>1349.6193225</v>
      </c>
    </row>
    <row r="1830" customFormat="false" ht="15" hidden="false" customHeight="false" outlineLevel="0" collapsed="false">
      <c r="A1830" s="3" t="s">
        <v>501</v>
      </c>
      <c r="C1830" s="25" t="n">
        <f aca="false">SUMPRODUCT(($C$1824:$C$1826&lt;C1826)*$C$1820:$C$1822)</f>
        <v>1349.6193225</v>
      </c>
    </row>
    <row r="1831" customFormat="false" ht="15" hidden="false" customHeight="false" outlineLevel="0" collapsed="false">
      <c r="A1831" s="23" t="s">
        <v>509</v>
      </c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</row>
    <row r="1832" customFormat="false" ht="15" hidden="false" customHeight="false" outlineLevel="0" collapsed="false">
      <c r="A1832" s="3" t="s">
        <v>499</v>
      </c>
      <c r="C1832" s="25" t="n">
        <f aca="false">SUMPRODUCT(($C$1824:$C$1826=C1824)*$C$1820:$C$1822)</f>
        <v>1349.6193225</v>
      </c>
    </row>
    <row r="1833" customFormat="false" ht="15" hidden="false" customHeight="false" outlineLevel="0" collapsed="false">
      <c r="A1833" s="3" t="s">
        <v>500</v>
      </c>
      <c r="C1833" s="25" t="n">
        <f aca="false">SUMPRODUCT(($C$1824:$C$1826=C1825)*$C$1820:$C$1822)</f>
        <v>0</v>
      </c>
    </row>
    <row r="1834" customFormat="false" ht="15" hidden="false" customHeight="false" outlineLevel="0" collapsed="false">
      <c r="A1834" s="3" t="s">
        <v>501</v>
      </c>
      <c r="C1834" s="25" t="n">
        <f aca="false">SUMPRODUCT(($C$1824:$C$1826=C1826)*$C$1820:$C$1822)</f>
        <v>0</v>
      </c>
    </row>
    <row r="1835" customFormat="false" ht="15" hidden="false" customHeight="false" outlineLevel="0" collapsed="false">
      <c r="A1835" s="23" t="s">
        <v>510</v>
      </c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</row>
    <row r="1836" customFormat="false" ht="15" hidden="false" customHeight="false" outlineLevel="0" collapsed="false">
      <c r="A1836" s="3" t="s">
        <v>499</v>
      </c>
      <c r="C1836" s="25" t="n">
        <f aca="false">IF(C1832=0,0,C1820/C1832*MAX(0,MIN(C1832,$C$1798-SUM($C$1812:$C$1814)-C1828)))</f>
        <v>1349.6193225</v>
      </c>
    </row>
    <row r="1837" customFormat="false" ht="15" hidden="false" customHeight="false" outlineLevel="0" collapsed="false">
      <c r="A1837" s="3" t="s">
        <v>500</v>
      </c>
      <c r="C1837" s="25" t="n">
        <f aca="false">IF(C1833=0,0,C1821/C1833*MAX(0,MIN(C1833,$C$1798-SUM($C$1812:$C$1814)-C1829)))</f>
        <v>0</v>
      </c>
    </row>
    <row r="1838" customFormat="false" ht="15" hidden="false" customHeight="false" outlineLevel="0" collapsed="false">
      <c r="A1838" s="3" t="s">
        <v>501</v>
      </c>
      <c r="C1838" s="25" t="n">
        <f aca="false">IF(C1834=0,0,C1822/C1834*MAX(0,MIN(C1834,$C$1798-SUM($C$1812:$C$1814)-C1830)))</f>
        <v>0</v>
      </c>
    </row>
    <row r="1839" customFormat="false" ht="15" hidden="false" customHeight="false" outlineLevel="0" collapsed="false">
      <c r="A1839" s="23" t="s">
        <v>511</v>
      </c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</row>
    <row r="1840" customFormat="false" ht="15" hidden="false" customHeight="false" outlineLevel="0" collapsed="false">
      <c r="A1840" s="2" t="s">
        <v>499</v>
      </c>
      <c r="C1840" s="16" t="n">
        <f aca="false">C1812+C1836</f>
        <v>1349.6193225</v>
      </c>
    </row>
    <row r="1841" customFormat="false" ht="15" hidden="false" customHeight="false" outlineLevel="0" collapsed="false">
      <c r="A1841" s="2" t="s">
        <v>500</v>
      </c>
      <c r="C1841" s="16" t="n">
        <f aca="false">C1813+C1837</f>
        <v>0</v>
      </c>
    </row>
    <row r="1842" customFormat="false" ht="15" hidden="false" customHeight="false" outlineLevel="0" collapsed="false">
      <c r="A1842" s="2" t="s">
        <v>501</v>
      </c>
      <c r="C1842" s="16" t="n">
        <f aca="false">C1814+C1838</f>
        <v>0</v>
      </c>
    </row>
    <row r="1843" customFormat="false" ht="15" hidden="false" customHeight="false" outlineLevel="0" collapsed="false">
      <c r="A1843" s="23" t="s">
        <v>512</v>
      </c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</row>
    <row r="1844" customFormat="false" ht="15" hidden="false" customHeight="false" outlineLevel="0" collapsed="false">
      <c r="A1844" s="3" t="s">
        <v>499</v>
      </c>
      <c r="C1844" s="21" t="n">
        <f aca="false">IF(C1800=0,1,C1840/C1800)</f>
        <v>1</v>
      </c>
    </row>
    <row r="1845" customFormat="false" ht="15" hidden="false" customHeight="false" outlineLevel="0" collapsed="false">
      <c r="A1845" s="3" t="s">
        <v>500</v>
      </c>
      <c r="C1845" s="21" t="n">
        <f aca="false">IF(C1801=0,1,C1841/C1801)</f>
        <v>1</v>
      </c>
    </row>
    <row r="1846" customFormat="false" ht="15" hidden="false" customHeight="false" outlineLevel="0" collapsed="false">
      <c r="A1846" s="3" t="s">
        <v>501</v>
      </c>
      <c r="C1846" s="21" t="n">
        <f aca="false">IF(C1802=0,1,C1842/C1802)</f>
        <v>1</v>
      </c>
    </row>
    <row r="1847" customFormat="false" ht="15" hidden="false" customHeight="false" outlineLevel="0" collapsed="false">
      <c r="A1847" s="23" t="s">
        <v>513</v>
      </c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</row>
    <row r="1848" customFormat="false" ht="15" hidden="false" customHeight="false" outlineLevel="0" collapsed="false">
      <c r="A1848" s="3" t="s">
        <v>499</v>
      </c>
      <c r="C1848" s="25" t="n">
        <f aca="false">C1800-C1840</f>
        <v>0</v>
      </c>
    </row>
    <row r="1849" customFormat="false" ht="15" hidden="false" customHeight="false" outlineLevel="0" collapsed="false">
      <c r="A1849" s="3" t="s">
        <v>500</v>
      </c>
      <c r="C1849" s="25" t="n">
        <f aca="false">C1801-C1841</f>
        <v>0</v>
      </c>
    </row>
    <row r="1850" customFormat="false" ht="15" hidden="false" customHeight="false" outlineLevel="0" collapsed="false">
      <c r="A1850" s="3" t="s">
        <v>501</v>
      </c>
      <c r="C1850" s="25" t="n">
        <f aca="false">C1802-C1842</f>
        <v>0</v>
      </c>
    </row>
    <row r="1851" customFormat="false" ht="15" hidden="false" customHeight="false" outlineLevel="0" collapsed="false">
      <c r="A1851" s="23" t="s">
        <v>514</v>
      </c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</row>
    <row r="1852" customFormat="false" ht="15" hidden="false" customHeight="false" outlineLevel="0" collapsed="false">
      <c r="A1852" s="3" t="s">
        <v>499</v>
      </c>
      <c r="C1852" s="21" t="n">
        <f aca="false">IF(C1800=0,0,C1848/C1800)</f>
        <v>0</v>
      </c>
    </row>
    <row r="1853" customFormat="false" ht="15" hidden="false" customHeight="false" outlineLevel="0" collapsed="false">
      <c r="A1853" s="3" t="s">
        <v>500</v>
      </c>
      <c r="C1853" s="21" t="n">
        <f aca="false">IF(C1801=0,0,C1849/C1801)</f>
        <v>0</v>
      </c>
    </row>
    <row r="1854" customFormat="false" ht="15" hidden="false" customHeight="false" outlineLevel="0" collapsed="false">
      <c r="A1854" s="3" t="s">
        <v>501</v>
      </c>
      <c r="C1854" s="21" t="n">
        <f aca="false">IF(C1802=0,0,C1850/C1802)</f>
        <v>0</v>
      </c>
    </row>
    <row r="1855" customFormat="false" ht="15" hidden="false" customHeight="false" outlineLevel="0" collapsed="false">
      <c r="A1855" s="2" t="s">
        <v>515</v>
      </c>
      <c r="C1855" s="16" t="n">
        <f aca="false">MAX(0,$C$1798-SUM($C$1812:$C$1814)-SUM($C$1820:$C$1822))</f>
        <v>428.177320788743</v>
      </c>
    </row>
    <row r="1856" customFormat="false" ht="15" hidden="false" customHeight="false" outlineLevel="0" collapsed="false">
      <c r="A1856" s="3" t="s">
        <v>516</v>
      </c>
      <c r="C1856" s="25" t="n">
        <f aca="false">SUM($C$1840:$C$1842)+C1855+C1797-C1796</f>
        <v>0</v>
      </c>
    </row>
    <row r="1858" customFormat="false" ht="15" hidden="false" customHeight="false" outlineLevel="0" collapsed="false">
      <c r="A1858" s="23" t="s">
        <v>519</v>
      </c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</row>
    <row r="1859" customFormat="false" ht="15" hidden="false" customHeight="false" outlineLevel="0" collapsed="false">
      <c r="A1859" s="3" t="s">
        <v>520</v>
      </c>
      <c r="C1859" s="27" t="n">
        <f aca="false">Assumptions!$C$33</f>
        <v>1</v>
      </c>
    </row>
    <row r="1860" customFormat="false" ht="15" hidden="false" customHeight="false" outlineLevel="0" collapsed="false">
      <c r="A1860" s="3" t="s">
        <v>521</v>
      </c>
      <c r="C1860" s="29" t="n">
        <f aca="false">Assumptions!$C$34</f>
        <v>100</v>
      </c>
    </row>
    <row r="1861" customFormat="false" ht="15" hidden="false" customHeight="false" outlineLevel="0" collapsed="false">
      <c r="A1861" s="3" t="s">
        <v>522</v>
      </c>
      <c r="C1861" s="40" t="n">
        <f aca="false">Assumptions!$C$35</f>
        <v>95</v>
      </c>
    </row>
    <row r="1862" customFormat="false" ht="15" hidden="false" customHeight="false" outlineLevel="0" collapsed="false">
      <c r="A1862" s="3" t="s">
        <v>523</v>
      </c>
      <c r="C1862" s="25" t="n">
        <f aca="false">C1860*C1861/100*(1+Assumptions!$C$36)</f>
        <v>95</v>
      </c>
    </row>
    <row r="1863" customFormat="false" ht="15" hidden="false" customHeight="false" outlineLevel="0" collapsed="false">
      <c r="A1863" s="3" t="s">
        <v>524</v>
      </c>
      <c r="C1863" s="27" t="n">
        <f aca="false">Assumptions!$C$37</f>
        <v>3</v>
      </c>
    </row>
    <row r="1864" customFormat="false" ht="15" hidden="false" customHeight="false" outlineLevel="0" collapsed="false">
      <c r="A1864" s="3" t="s">
        <v>525</v>
      </c>
      <c r="C1864" s="20" t="n">
        <f aca="false">IF(C1789=1,SUMPRODUCT($G$1741:$K$1741,$G$1634:$K$1634),0)</f>
        <v>0</v>
      </c>
    </row>
    <row r="1865" customFormat="false" ht="15" hidden="false" customHeight="false" outlineLevel="0" collapsed="false">
      <c r="A1865" s="3" t="s">
        <v>526</v>
      </c>
      <c r="C1865" s="21" t="n">
        <f aca="false">IFERROR(C1860/CHOOSE(C1859,SUMPRODUCT($G$1788:$K$1788,$G$1680:$K$1680),SUMPRODUCT($G$1788:$K$1788,$G$1693:$K$1693),SUMPRODUCT($G$1788:$K$1788,$G$1706:$K$1706)),0)</f>
        <v>0.0760399605200525</v>
      </c>
    </row>
    <row r="1866" customFormat="false" ht="15" hidden="false" customHeight="false" outlineLevel="0" collapsed="false">
      <c r="A1866" s="3" t="s">
        <v>527</v>
      </c>
      <c r="C1866" s="25" t="n">
        <f aca="false">CHOOSE(C1859,C1840,C1841,C1842)*C1865</f>
        <v>102.625</v>
      </c>
    </row>
    <row r="1867" customFormat="false" ht="15" hidden="false" customHeight="false" outlineLevel="0" collapsed="false">
      <c r="A1867" s="3" t="s">
        <v>528</v>
      </c>
      <c r="C1867" s="21" t="n">
        <f aca="false">CHOOSE(C1859,C1844,C1845,C1846)</f>
        <v>1</v>
      </c>
    </row>
    <row r="1868" customFormat="false" ht="15" hidden="false" customHeight="false" outlineLevel="0" collapsed="false">
      <c r="A1868" s="3" t="s">
        <v>529</v>
      </c>
      <c r="C1868" s="20" t="n">
        <f aca="false">IF(C1789=1,C1864,C1863)</f>
        <v>3</v>
      </c>
    </row>
    <row r="1869" customFormat="false" ht="15" hidden="false" customHeight="false" outlineLevel="0" collapsed="false">
      <c r="A1869" s="3" t="s">
        <v>530</v>
      </c>
      <c r="C1869" s="34" t="n">
        <f aca="false">CHOOSE($C$1626,Assumptions!$C$83,Assumptions!$C$102,Assumptions!$C$121)</f>
        <v>100</v>
      </c>
    </row>
    <row r="1870" customFormat="false" ht="15" hidden="false" customHeight="false" outlineLevel="0" collapsed="false">
      <c r="A1870" s="3" t="s">
        <v>531</v>
      </c>
      <c r="C1870" s="25" t="n">
        <f aca="false">INDEX($G$1643:$K$1643,C1863)*CHOOSE($C$1626,Assumptions!$C$82,Assumptions!$C$101,Assumptions!$C$120)+MAX(0,INDEX($G$1738:$K$1738,C1863))</f>
        <v>1898.86777853863</v>
      </c>
    </row>
    <row r="1871" customFormat="false" ht="15" hidden="false" customHeight="false" outlineLevel="0" collapsed="false">
      <c r="A1871" s="23" t="s">
        <v>532</v>
      </c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</row>
    <row r="1872" customFormat="false" ht="15" hidden="false" customHeight="false" outlineLevel="0" collapsed="false">
      <c r="A1872" s="3" t="s">
        <v>499</v>
      </c>
      <c r="C1872" s="25" t="n">
        <f aca="false">INDEX($G$1680:$K$1680,C1863)</f>
        <v>1315.098</v>
      </c>
    </row>
    <row r="1873" customFormat="false" ht="15" hidden="false" customHeight="false" outlineLevel="0" collapsed="false">
      <c r="A1873" s="3" t="s">
        <v>500</v>
      </c>
      <c r="C1873" s="25" t="n">
        <f aca="false">INDEX($G$1693:$K$1693,C1863)</f>
        <v>0</v>
      </c>
    </row>
    <row r="1874" customFormat="false" ht="15" hidden="false" customHeight="false" outlineLevel="0" collapsed="false">
      <c r="A1874" s="3" t="s">
        <v>501</v>
      </c>
      <c r="C1874" s="25" t="n">
        <f aca="false">INDEX($G$1706:$K$1706,C1863)</f>
        <v>0</v>
      </c>
    </row>
    <row r="1875" customFormat="false" ht="15" hidden="false" customHeight="false" outlineLevel="0" collapsed="false">
      <c r="A1875" s="23" t="s">
        <v>502</v>
      </c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</row>
    <row r="1876" customFormat="false" ht="15" hidden="false" customHeight="false" outlineLevel="0" collapsed="false">
      <c r="A1876" s="3" t="s">
        <v>499</v>
      </c>
      <c r="C1876" s="27" t="n">
        <f aca="false">Assumptions!$M$56</f>
        <v>1</v>
      </c>
    </row>
    <row r="1877" customFormat="false" ht="15" hidden="false" customHeight="false" outlineLevel="0" collapsed="false">
      <c r="A1877" s="3" t="s">
        <v>500</v>
      </c>
      <c r="C1877" s="27" t="n">
        <f aca="false">Assumptions!$M$57</f>
        <v>2</v>
      </c>
    </row>
    <row r="1878" customFormat="false" ht="15" hidden="false" customHeight="false" outlineLevel="0" collapsed="false">
      <c r="A1878" s="3" t="s">
        <v>501</v>
      </c>
      <c r="C1878" s="27" t="n">
        <f aca="false">Assumptions!$M$58</f>
        <v>2</v>
      </c>
    </row>
    <row r="1879" customFormat="false" ht="15" hidden="false" customHeight="false" outlineLevel="0" collapsed="false">
      <c r="A1879" s="23" t="s">
        <v>503</v>
      </c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</row>
    <row r="1880" customFormat="false" ht="15" hidden="false" customHeight="false" outlineLevel="0" collapsed="false">
      <c r="A1880" s="3" t="s">
        <v>499</v>
      </c>
      <c r="C1880" s="35" t="n">
        <f aca="false">Assumptions!$Q$56</f>
        <v>0</v>
      </c>
    </row>
    <row r="1881" customFormat="false" ht="15" hidden="false" customHeight="false" outlineLevel="0" collapsed="false">
      <c r="A1881" s="3" t="s">
        <v>500</v>
      </c>
      <c r="C1881" s="35" t="n">
        <f aca="false">Assumptions!$Q$57</f>
        <v>0</v>
      </c>
    </row>
    <row r="1882" customFormat="false" ht="15" hidden="false" customHeight="false" outlineLevel="0" collapsed="false">
      <c r="A1882" s="3" t="s">
        <v>501</v>
      </c>
      <c r="C1882" s="35" t="n">
        <f aca="false">Assumptions!$Q$58</f>
        <v>0</v>
      </c>
    </row>
    <row r="1883" customFormat="false" ht="15" hidden="false" customHeight="false" outlineLevel="0" collapsed="false">
      <c r="A1883" s="23" t="s">
        <v>504</v>
      </c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</row>
    <row r="1884" customFormat="false" ht="15" hidden="false" customHeight="false" outlineLevel="0" collapsed="false">
      <c r="A1884" s="3" t="s">
        <v>499</v>
      </c>
      <c r="C1884" s="25" t="n">
        <f aca="false">IF(C1880&gt;0,MIN(C1872,C1880*$C$1870),0)</f>
        <v>0</v>
      </c>
    </row>
    <row r="1885" customFormat="false" ht="15" hidden="false" customHeight="false" outlineLevel="0" collapsed="false">
      <c r="A1885" s="3" t="s">
        <v>500</v>
      </c>
      <c r="C1885" s="25" t="n">
        <f aca="false">IF(C1881&gt;0,MIN(C1873,C1881*$C$1870),0)</f>
        <v>0</v>
      </c>
    </row>
    <row r="1886" customFormat="false" ht="15" hidden="false" customHeight="false" outlineLevel="0" collapsed="false">
      <c r="A1886" s="3" t="s">
        <v>501</v>
      </c>
      <c r="C1886" s="25" t="n">
        <f aca="false">IF(C1882&gt;0,MIN(C1874,C1882*$C$1870),0)</f>
        <v>0</v>
      </c>
    </row>
    <row r="1887" customFormat="false" ht="15" hidden="false" customHeight="false" outlineLevel="0" collapsed="false">
      <c r="A1887" s="23" t="s">
        <v>505</v>
      </c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</row>
    <row r="1888" customFormat="false" ht="15" hidden="false" customHeight="false" outlineLevel="0" collapsed="false">
      <c r="A1888" s="3" t="s">
        <v>499</v>
      </c>
      <c r="C1888" s="25" t="n">
        <f aca="false">IF(C1880&gt;0,C1872-C1884,0)</f>
        <v>0</v>
      </c>
    </row>
    <row r="1889" customFormat="false" ht="15" hidden="false" customHeight="false" outlineLevel="0" collapsed="false">
      <c r="A1889" s="3" t="s">
        <v>500</v>
      </c>
      <c r="C1889" s="25" t="n">
        <f aca="false">IF(C1881&gt;0,C1873-C1885,0)</f>
        <v>0</v>
      </c>
    </row>
    <row r="1890" customFormat="false" ht="15" hidden="false" customHeight="false" outlineLevel="0" collapsed="false">
      <c r="A1890" s="3" t="s">
        <v>501</v>
      </c>
      <c r="C1890" s="25" t="n">
        <f aca="false">IF(C1882&gt;0,C1874-C1886,0)</f>
        <v>0</v>
      </c>
    </row>
    <row r="1891" customFormat="false" ht="15" hidden="false" customHeight="false" outlineLevel="0" collapsed="false">
      <c r="A1891" s="23" t="s">
        <v>506</v>
      </c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</row>
    <row r="1892" customFormat="false" ht="15" hidden="false" customHeight="false" outlineLevel="0" collapsed="false">
      <c r="A1892" s="3" t="s">
        <v>499</v>
      </c>
      <c r="C1892" s="25" t="n">
        <f aca="false">IF(C1880&gt;0,C1888,C1872)</f>
        <v>1315.098</v>
      </c>
    </row>
    <row r="1893" customFormat="false" ht="15" hidden="false" customHeight="false" outlineLevel="0" collapsed="false">
      <c r="A1893" s="3" t="s">
        <v>500</v>
      </c>
      <c r="C1893" s="25" t="n">
        <f aca="false">IF(C1881&gt;0,C1889,C1873)</f>
        <v>0</v>
      </c>
    </row>
    <row r="1894" customFormat="false" ht="15" hidden="false" customHeight="false" outlineLevel="0" collapsed="false">
      <c r="A1894" s="3" t="s">
        <v>501</v>
      </c>
      <c r="C1894" s="25" t="n">
        <f aca="false">IF(C1882&gt;0,C1890,C1874)</f>
        <v>0</v>
      </c>
    </row>
    <row r="1895" customFormat="false" ht="15" hidden="false" customHeight="false" outlineLevel="0" collapsed="false">
      <c r="A1895" s="23" t="s">
        <v>507</v>
      </c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</row>
    <row r="1896" customFormat="false" ht="15" hidden="false" customHeight="false" outlineLevel="0" collapsed="false">
      <c r="A1896" s="3" t="s">
        <v>499</v>
      </c>
      <c r="C1896" s="20" t="n">
        <f aca="false">IF(C1880&gt;0,Assumptions!$C$17,C1876)</f>
        <v>1</v>
      </c>
    </row>
    <row r="1897" customFormat="false" ht="15" hidden="false" customHeight="false" outlineLevel="0" collapsed="false">
      <c r="A1897" s="3" t="s">
        <v>500</v>
      </c>
      <c r="C1897" s="20" t="n">
        <f aca="false">IF(C1881&gt;0,Assumptions!$C$17,C1877)</f>
        <v>2</v>
      </c>
    </row>
    <row r="1898" customFormat="false" ht="15" hidden="false" customHeight="false" outlineLevel="0" collapsed="false">
      <c r="A1898" s="3" t="s">
        <v>501</v>
      </c>
      <c r="C1898" s="20" t="n">
        <f aca="false">IF(C1882&gt;0,Assumptions!$C$17,C1878)</f>
        <v>2</v>
      </c>
    </row>
    <row r="1899" customFormat="false" ht="15" hidden="false" customHeight="false" outlineLevel="0" collapsed="false">
      <c r="A1899" s="23" t="s">
        <v>508</v>
      </c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</row>
    <row r="1900" customFormat="false" ht="15" hidden="false" customHeight="false" outlineLevel="0" collapsed="false">
      <c r="A1900" s="3" t="s">
        <v>499</v>
      </c>
      <c r="C1900" s="25" t="n">
        <f aca="false">SUMPRODUCT(($C$1896:$C$1898&lt;C1896)*$C$1892:$C$1894)</f>
        <v>0</v>
      </c>
    </row>
    <row r="1901" customFormat="false" ht="15" hidden="false" customHeight="false" outlineLevel="0" collapsed="false">
      <c r="A1901" s="3" t="s">
        <v>500</v>
      </c>
      <c r="C1901" s="25" t="n">
        <f aca="false">SUMPRODUCT(($C$1896:$C$1898&lt;C1897)*$C$1892:$C$1894)</f>
        <v>1315.098</v>
      </c>
    </row>
    <row r="1902" customFormat="false" ht="15" hidden="false" customHeight="false" outlineLevel="0" collapsed="false">
      <c r="A1902" s="3" t="s">
        <v>501</v>
      </c>
      <c r="C1902" s="25" t="n">
        <f aca="false">SUMPRODUCT(($C$1896:$C$1898&lt;C1898)*$C$1892:$C$1894)</f>
        <v>1315.098</v>
      </c>
    </row>
    <row r="1903" customFormat="false" ht="15" hidden="false" customHeight="false" outlineLevel="0" collapsed="false">
      <c r="A1903" s="23" t="s">
        <v>509</v>
      </c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</row>
    <row r="1904" customFormat="false" ht="15" hidden="false" customHeight="false" outlineLevel="0" collapsed="false">
      <c r="A1904" s="3" t="s">
        <v>499</v>
      </c>
      <c r="C1904" s="25" t="n">
        <f aca="false">SUMPRODUCT(($C$1896:$C$1898=C1896)*$C$1892:$C$1894)</f>
        <v>1315.098</v>
      </c>
    </row>
    <row r="1905" customFormat="false" ht="15" hidden="false" customHeight="false" outlineLevel="0" collapsed="false">
      <c r="A1905" s="3" t="s">
        <v>500</v>
      </c>
      <c r="C1905" s="25" t="n">
        <f aca="false">SUMPRODUCT(($C$1896:$C$1898=C1897)*$C$1892:$C$1894)</f>
        <v>0</v>
      </c>
    </row>
    <row r="1906" customFormat="false" ht="15" hidden="false" customHeight="false" outlineLevel="0" collapsed="false">
      <c r="A1906" s="3" t="s">
        <v>501</v>
      </c>
      <c r="C1906" s="25" t="n">
        <f aca="false">SUMPRODUCT(($C$1896:$C$1898=C1898)*$C$1892:$C$1894)</f>
        <v>0</v>
      </c>
    </row>
    <row r="1907" customFormat="false" ht="15" hidden="false" customHeight="false" outlineLevel="0" collapsed="false">
      <c r="A1907" s="23" t="s">
        <v>510</v>
      </c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</row>
    <row r="1908" customFormat="false" ht="15" hidden="false" customHeight="false" outlineLevel="0" collapsed="false">
      <c r="A1908" s="3" t="s">
        <v>499</v>
      </c>
      <c r="C1908" s="25" t="n">
        <f aca="false">IF(C1904=0,0,C1892/C1904*MAX(0,MIN(C1904,$C$1870-SUM($C$1884:$C$1886)-C1900)))</f>
        <v>1315.098</v>
      </c>
    </row>
    <row r="1909" customFormat="false" ht="15" hidden="false" customHeight="false" outlineLevel="0" collapsed="false">
      <c r="A1909" s="3" t="s">
        <v>500</v>
      </c>
      <c r="C1909" s="25" t="n">
        <f aca="false">IF(C1905=0,0,C1893/C1905*MAX(0,MIN(C1905,$C$1870-SUM($C$1884:$C$1886)-C1901)))</f>
        <v>0</v>
      </c>
    </row>
    <row r="1910" customFormat="false" ht="15" hidden="false" customHeight="false" outlineLevel="0" collapsed="false">
      <c r="A1910" s="3" t="s">
        <v>501</v>
      </c>
      <c r="C1910" s="25" t="n">
        <f aca="false">IF(C1906=0,0,C1894/C1906*MAX(0,MIN(C1906,$C$1870-SUM($C$1884:$C$1886)-C1902)))</f>
        <v>0</v>
      </c>
    </row>
    <row r="1911" customFormat="false" ht="15" hidden="false" customHeight="false" outlineLevel="0" collapsed="false">
      <c r="A1911" s="23" t="s">
        <v>511</v>
      </c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</row>
    <row r="1912" customFormat="false" ht="15" hidden="false" customHeight="false" outlineLevel="0" collapsed="false">
      <c r="A1912" s="2" t="s">
        <v>499</v>
      </c>
      <c r="C1912" s="16" t="n">
        <f aca="false">C1884+C1908</f>
        <v>1315.098</v>
      </c>
    </row>
    <row r="1913" customFormat="false" ht="15" hidden="false" customHeight="false" outlineLevel="0" collapsed="false">
      <c r="A1913" s="2" t="s">
        <v>500</v>
      </c>
      <c r="C1913" s="16" t="n">
        <f aca="false">C1885+C1909</f>
        <v>0</v>
      </c>
    </row>
    <row r="1914" customFormat="false" ht="15" hidden="false" customHeight="false" outlineLevel="0" collapsed="false">
      <c r="A1914" s="2" t="s">
        <v>501</v>
      </c>
      <c r="C1914" s="16" t="n">
        <f aca="false">C1886+C1910</f>
        <v>0</v>
      </c>
    </row>
    <row r="1915" customFormat="false" ht="15" hidden="false" customHeight="false" outlineLevel="0" collapsed="false">
      <c r="A1915" s="23" t="s">
        <v>512</v>
      </c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</row>
    <row r="1916" customFormat="false" ht="15" hidden="false" customHeight="false" outlineLevel="0" collapsed="false">
      <c r="A1916" s="3" t="s">
        <v>499</v>
      </c>
      <c r="C1916" s="21" t="n">
        <f aca="false">IF(C1872=0,1,C1912/C1872)</f>
        <v>1</v>
      </c>
    </row>
    <row r="1917" customFormat="false" ht="15" hidden="false" customHeight="false" outlineLevel="0" collapsed="false">
      <c r="A1917" s="3" t="s">
        <v>500</v>
      </c>
      <c r="C1917" s="21" t="n">
        <f aca="false">IF(C1873=0,1,C1913/C1873)</f>
        <v>1</v>
      </c>
    </row>
    <row r="1918" customFormat="false" ht="15" hidden="false" customHeight="false" outlineLevel="0" collapsed="false">
      <c r="A1918" s="3" t="s">
        <v>501</v>
      </c>
      <c r="C1918" s="21" t="n">
        <f aca="false">IF(C1874=0,1,C1914/C1874)</f>
        <v>1</v>
      </c>
    </row>
    <row r="1919" customFormat="false" ht="15" hidden="false" customHeight="false" outlineLevel="0" collapsed="false">
      <c r="A1919" s="23" t="s">
        <v>513</v>
      </c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</row>
    <row r="1920" customFormat="false" ht="15" hidden="false" customHeight="false" outlineLevel="0" collapsed="false">
      <c r="A1920" s="3" t="s">
        <v>499</v>
      </c>
      <c r="C1920" s="25" t="n">
        <f aca="false">C1872-C1912</f>
        <v>0</v>
      </c>
    </row>
    <row r="1921" customFormat="false" ht="15" hidden="false" customHeight="false" outlineLevel="0" collapsed="false">
      <c r="A1921" s="3" t="s">
        <v>500</v>
      </c>
      <c r="C1921" s="25" t="n">
        <f aca="false">C1873-C1913</f>
        <v>0</v>
      </c>
    </row>
    <row r="1922" customFormat="false" ht="15" hidden="false" customHeight="false" outlineLevel="0" collapsed="false">
      <c r="A1922" s="3" t="s">
        <v>501</v>
      </c>
      <c r="C1922" s="25" t="n">
        <f aca="false">C1874-C1914</f>
        <v>0</v>
      </c>
    </row>
    <row r="1923" customFormat="false" ht="15" hidden="false" customHeight="false" outlineLevel="0" collapsed="false">
      <c r="A1923" s="23" t="s">
        <v>514</v>
      </c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</row>
    <row r="1924" customFormat="false" ht="15" hidden="false" customHeight="false" outlineLevel="0" collapsed="false">
      <c r="A1924" s="3" t="s">
        <v>499</v>
      </c>
      <c r="C1924" s="21" t="n">
        <f aca="false">IF(C1872=0,0,C1920/C1872)</f>
        <v>0</v>
      </c>
    </row>
    <row r="1925" customFormat="false" ht="15" hidden="false" customHeight="false" outlineLevel="0" collapsed="false">
      <c r="A1925" s="3" t="s">
        <v>500</v>
      </c>
      <c r="C1925" s="21" t="n">
        <f aca="false">IF(C1873=0,0,C1921/C1873)</f>
        <v>0</v>
      </c>
    </row>
    <row r="1926" customFormat="false" ht="15" hidden="false" customHeight="false" outlineLevel="0" collapsed="false">
      <c r="A1926" s="3" t="s">
        <v>501</v>
      </c>
      <c r="C1926" s="21" t="n">
        <f aca="false">IF(C1874=0,0,C1922/C1874)</f>
        <v>0</v>
      </c>
    </row>
    <row r="1927" customFormat="false" ht="15" hidden="false" customHeight="false" outlineLevel="0" collapsed="false">
      <c r="A1927" s="2" t="s">
        <v>515</v>
      </c>
      <c r="C1927" s="16" t="n">
        <f aca="false">MAX(0,$C$1870-SUM($C$1884:$C$1886)-SUM($C$1892:$C$1894))</f>
        <v>583.769778538632</v>
      </c>
    </row>
    <row r="1928" customFormat="false" ht="15" hidden="false" customHeight="false" outlineLevel="0" collapsed="false">
      <c r="A1928" s="3" t="s">
        <v>533</v>
      </c>
      <c r="C1928" s="34" t="n">
        <f aca="false">MIN(C1869,100*CHOOSE(C1859,C1916,C1917,C1918))</f>
        <v>100</v>
      </c>
    </row>
    <row r="1929" customFormat="false" ht="15" hidden="false" customHeight="false" outlineLevel="0" collapsed="false">
      <c r="A1929" s="3" t="s">
        <v>534</v>
      </c>
      <c r="C1929" s="20" t="n">
        <f aca="false">IF(C1789=1,C1864+Assumptions!$C$39,C1863)</f>
        <v>3</v>
      </c>
    </row>
    <row r="1930" customFormat="false" ht="15" hidden="false" customHeight="false" outlineLevel="0" collapsed="false">
      <c r="A1930" s="23" t="s">
        <v>535</v>
      </c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</row>
    <row r="1931" customFormat="false" ht="15" hidden="false" customHeight="false" outlineLevel="0" collapsed="false">
      <c r="A1931" s="3" t="s">
        <v>536</v>
      </c>
      <c r="C1931" s="20" t="n">
        <f aca="false">COLUMN()-COLUMN($C$1)</f>
        <v>0</v>
      </c>
      <c r="D1931" s="20" t="n">
        <f aca="false">COLUMN()-COLUMN($C$1)</f>
        <v>1</v>
      </c>
      <c r="E1931" s="20" t="n">
        <f aca="false">COLUMN()-COLUMN($C$1)</f>
        <v>2</v>
      </c>
      <c r="F1931" s="20" t="n">
        <f aca="false">COLUMN()-COLUMN($C$1)</f>
        <v>3</v>
      </c>
      <c r="G1931" s="20" t="n">
        <f aca="false">COLUMN()-COLUMN($C$1)</f>
        <v>4</v>
      </c>
      <c r="H1931" s="20" t="n">
        <f aca="false">COLUMN()-COLUMN($C$1)</f>
        <v>5</v>
      </c>
      <c r="I1931" s="20" t="n">
        <f aca="false">COLUMN()-COLUMN($C$1)</f>
        <v>6</v>
      </c>
    </row>
    <row r="1932" customFormat="false" ht="15" hidden="false" customHeight="false" outlineLevel="0" collapsed="false">
      <c r="A1932" s="3" t="s">
        <v>537</v>
      </c>
      <c r="D1932" s="31" t="n">
        <f aca="false">CHOOSE($C$1859,G1672,G1685,G1698)</f>
        <v>0.105</v>
      </c>
      <c r="E1932" s="31" t="n">
        <f aca="false">CHOOSE($C$1859,H1672,H1685,H1698)</f>
        <v>0.105</v>
      </c>
      <c r="F1932" s="31" t="n">
        <f aca="false">CHOOSE($C$1859,I1672,I1685,I1698)</f>
        <v>0.105</v>
      </c>
      <c r="G1932" s="31" t="n">
        <f aca="false">CHOOSE($C$1859,J1672,J1685,J1698)</f>
        <v>0.105</v>
      </c>
      <c r="H1932" s="31" t="n">
        <f aca="false">CHOOSE($C$1859,K1672,K1685,K1698)</f>
        <v>0.105</v>
      </c>
    </row>
    <row r="1933" customFormat="false" ht="15" hidden="false" customHeight="false" outlineLevel="0" collapsed="false">
      <c r="A1933" s="3" t="s">
        <v>538</v>
      </c>
      <c r="D1933" s="25" t="n">
        <f aca="false">IF(D1931&lt;=$C$1868,$C$1860*D1932,0)</f>
        <v>10.5</v>
      </c>
      <c r="E1933" s="25" t="n">
        <f aca="false">IF(E1931&lt;=$C$1868,$C$1860*E1932,0)</f>
        <v>10.5</v>
      </c>
      <c r="F1933" s="25" t="n">
        <f aca="false">IF(F1931&lt;=$C$1868,$C$1860*F1932,0)</f>
        <v>10.5</v>
      </c>
      <c r="G1933" s="25" t="n">
        <f aca="false">IF(G1931&lt;=$C$1868,$C$1860*G1932,0)</f>
        <v>0</v>
      </c>
      <c r="H1933" s="25" t="n">
        <f aca="false">IF(H1931&lt;=$C$1868,$C$1860*H1932,0)</f>
        <v>0</v>
      </c>
    </row>
    <row r="1934" customFormat="false" ht="15" hidden="false" customHeight="false" outlineLevel="0" collapsed="false">
      <c r="A1934" s="3" t="s">
        <v>539</v>
      </c>
      <c r="D1934" s="25" t="n">
        <f aca="false">IF(AND($C$1789=0,D1931=$C$1863),$C$1860*$C$1928/100,0)+IF(AND($C$1789=1,D1931=$C$1929),$C$1866,0)</f>
        <v>0</v>
      </c>
      <c r="E1934" s="25" t="n">
        <f aca="false">IF(AND($C$1789=0,E1931=$C$1863),$C$1860*$C$1928/100,0)+IF(AND($C$1789=1,E1931=$C$1929),$C$1866,0)</f>
        <v>0</v>
      </c>
      <c r="F1934" s="25" t="n">
        <f aca="false">IF(AND($C$1789=0,F1931=$C$1863),$C$1860*$C$1928/100,0)+IF(AND($C$1789=1,F1931=$C$1929),$C$1866,0)</f>
        <v>100</v>
      </c>
      <c r="G1934" s="25" t="n">
        <f aca="false">IF(AND($C$1789=0,G1931=$C$1863),$C$1860*$C$1928/100,0)+IF(AND($C$1789=1,G1931=$C$1929),$C$1866,0)</f>
        <v>0</v>
      </c>
      <c r="H1934" s="25" t="n">
        <f aca="false">IF(AND($C$1789=0,H1931=$C$1863),$C$1860*$C$1928/100,0)+IF(AND($C$1789=1,H1931=$C$1929),$C$1866,0)</f>
        <v>0</v>
      </c>
      <c r="I1934" s="25" t="n">
        <f aca="false">IF(AND($C$1789=0,I1931=$C$1863),$C$1860*$C$1928/100,0)+IF(AND($C$1789=1,I1931=$C$1929),$C$1866,0)</f>
        <v>0</v>
      </c>
    </row>
    <row r="1935" customFormat="false" ht="15" hidden="false" customHeight="false" outlineLevel="0" collapsed="false">
      <c r="A1935" s="2" t="s">
        <v>540</v>
      </c>
      <c r="C1935" s="16" t="n">
        <f aca="false">-$C$1862</f>
        <v>-95</v>
      </c>
      <c r="D1935" s="16" t="n">
        <f aca="false">D1933+D1934</f>
        <v>10.5</v>
      </c>
      <c r="E1935" s="16" t="n">
        <f aca="false">E1933+E1934</f>
        <v>10.5</v>
      </c>
      <c r="F1935" s="16" t="n">
        <f aca="false">F1933+F1934</f>
        <v>110.5</v>
      </c>
      <c r="G1935" s="16" t="n">
        <f aca="false">G1933+G1934</f>
        <v>0</v>
      </c>
      <c r="H1935" s="16" t="n">
        <f aca="false">H1933+H1934</f>
        <v>0</v>
      </c>
      <c r="I1935" s="16" t="n">
        <f aca="false">I1933+I1934</f>
        <v>0</v>
      </c>
    </row>
    <row r="1936" customFormat="false" ht="15" hidden="false" customHeight="false" outlineLevel="0" collapsed="false">
      <c r="A1936" s="3" t="s">
        <v>541</v>
      </c>
      <c r="C1936" s="25" t="n">
        <f aca="false">SUM($C$1933:$I$1933)</f>
        <v>31.5</v>
      </c>
    </row>
    <row r="1937" customFormat="false" ht="15" hidden="false" customHeight="false" outlineLevel="0" collapsed="false">
      <c r="A1937" s="3" t="s">
        <v>542</v>
      </c>
      <c r="C1937" s="25" t="n">
        <f aca="false">SUM($C$1934:$I$1934)</f>
        <v>100</v>
      </c>
    </row>
    <row r="1938" customFormat="false" ht="15" hidden="false" customHeight="false" outlineLevel="0" collapsed="false">
      <c r="A1938" s="3" t="s">
        <v>543</v>
      </c>
      <c r="C1938" s="25" t="n">
        <f aca="false">C1936+C1937</f>
        <v>131.5</v>
      </c>
    </row>
    <row r="1939" customFormat="false" ht="15" hidden="false" customHeight="false" outlineLevel="0" collapsed="false">
      <c r="A1939" s="3" t="s">
        <v>544</v>
      </c>
      <c r="C1939" s="25" t="n">
        <f aca="false">C1937-C1860*C1861/100</f>
        <v>5</v>
      </c>
    </row>
    <row r="1940" customFormat="false" ht="15" hidden="false" customHeight="false" outlineLevel="0" collapsed="false">
      <c r="A1940" s="3" t="s">
        <v>545</v>
      </c>
      <c r="C1940" s="25" t="n">
        <f aca="false">C1938-C1862</f>
        <v>36.5</v>
      </c>
    </row>
    <row r="1941" customFormat="false" ht="15" hidden="false" customHeight="false" outlineLevel="0" collapsed="false">
      <c r="A1941" s="2" t="s">
        <v>427</v>
      </c>
      <c r="C1941" s="44" t="n">
        <f aca="false">C1938/C1862</f>
        <v>1.38421052631579</v>
      </c>
    </row>
    <row r="1942" customFormat="false" ht="15" hidden="false" customHeight="false" outlineLevel="0" collapsed="false">
      <c r="A1942" s="2" t="s">
        <v>426</v>
      </c>
      <c r="C1942" s="42" t="n">
        <f aca="false">IF(C1938&lt;=0,-1,IFERROR(IRR($C$1935:$I$1935,MAX(-0.9,C1941^(1/C1929)-1)),IRR($C$1935:$I$1935,0.1)))</f>
        <v>0.126033624615204</v>
      </c>
    </row>
    <row r="1943" customFormat="false" ht="15" hidden="false" customHeight="false" outlineLevel="0" collapsed="false">
      <c r="A1943" s="3" t="s">
        <v>546</v>
      </c>
      <c r="C1943" s="32" t="n">
        <f aca="false">MAX($G$1749:$K$1749)</f>
        <v>3.81499621093561</v>
      </c>
    </row>
    <row r="1944" customFormat="false" ht="15" hidden="false" customHeight="false" outlineLevel="0" collapsed="false">
      <c r="A1944" s="3" t="s">
        <v>547</v>
      </c>
      <c r="C1944" s="32" t="n">
        <f aca="false">MIN($G$1750:$K$1750)</f>
        <v>1.75842750947116</v>
      </c>
    </row>
    <row r="1945" customFormat="false" ht="15" hidden="false" customHeight="false" outlineLevel="0" collapsed="false">
      <c r="A1945" s="3" t="s">
        <v>548</v>
      </c>
      <c r="C1945" s="25" t="n">
        <f aca="false">SUM($G$1656:$K$1656)</f>
        <v>555.588348849095</v>
      </c>
    </row>
    <row r="1949" customFormat="false" ht="15" hidden="false" customHeight="false" outlineLevel="0" collapsed="false">
      <c r="A1949" s="9" t="s">
        <v>1020</v>
      </c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</row>
    <row r="1950" customFormat="false" ht="15" hidden="false" customHeight="false" outlineLevel="0" collapsed="false">
      <c r="A1950" s="3" t="s">
        <v>1010</v>
      </c>
      <c r="C1950" s="11" t="n">
        <v>1</v>
      </c>
    </row>
    <row r="1951" customFormat="false" ht="15" hidden="false" customHeight="false" outlineLevel="0" collapsed="false">
      <c r="A1951" s="3" t="s">
        <v>1011</v>
      </c>
      <c r="C1951" s="18" t="n">
        <v>0</v>
      </c>
    </row>
    <row r="1952" customFormat="false" ht="15" hidden="false" customHeight="false" outlineLevel="0" collapsed="false">
      <c r="A1952" s="3" t="s">
        <v>1012</v>
      </c>
      <c r="C1952" s="30" t="n">
        <f aca="false">Sensitivities!$A$33</f>
        <v>0.02</v>
      </c>
    </row>
    <row r="1953" customFormat="false" ht="15" hidden="false" customHeight="false" outlineLevel="0" collapsed="false">
      <c r="A1953" s="3" t="s">
        <v>1013</v>
      </c>
      <c r="C1953" s="18" t="n">
        <v>0</v>
      </c>
    </row>
    <row r="1954" customFormat="false" ht="15" hidden="false" customHeight="false" outlineLevel="0" collapsed="false">
      <c r="A1954" s="3" t="s">
        <v>1014</v>
      </c>
      <c r="C1954" s="15" t="n">
        <v>0</v>
      </c>
    </row>
    <row r="1956" customFormat="false" ht="15" hidden="false" customHeight="false" outlineLevel="0" collapsed="false">
      <c r="A1956" s="23" t="s">
        <v>281</v>
      </c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</row>
    <row r="1957" customFormat="false" ht="15" hidden="false" customHeight="false" outlineLevel="0" collapsed="false">
      <c r="A1957" s="3" t="s">
        <v>282</v>
      </c>
      <c r="F1957" s="27" t="n">
        <f aca="false">Assumptions!$C$6</f>
        <v>2026</v>
      </c>
      <c r="G1957" s="20" t="n">
        <f aca="false">F1957+1</f>
        <v>2027</v>
      </c>
      <c r="H1957" s="20" t="n">
        <f aca="false">G1957+1</f>
        <v>2028</v>
      </c>
      <c r="I1957" s="20" t="n">
        <f aca="false">H1957+1</f>
        <v>2029</v>
      </c>
      <c r="J1957" s="20" t="n">
        <f aca="false">I1957+1</f>
        <v>2030</v>
      </c>
      <c r="K1957" s="20" t="n">
        <f aca="false">J1957+1</f>
        <v>2031</v>
      </c>
    </row>
    <row r="1958" customFormat="false" ht="15" hidden="false" customHeight="false" outlineLevel="0" collapsed="false">
      <c r="A1958" s="3" t="s">
        <v>283</v>
      </c>
      <c r="G1958" s="20" t="n">
        <f aca="false">G1957-Assumptions!$C$6</f>
        <v>1</v>
      </c>
      <c r="H1958" s="20" t="n">
        <f aca="false">H1957-Assumptions!$C$6</f>
        <v>2</v>
      </c>
      <c r="I1958" s="20" t="n">
        <f aca="false">I1957-Assumptions!$C$6</f>
        <v>3</v>
      </c>
      <c r="J1958" s="20" t="n">
        <f aca="false">J1957-Assumptions!$C$6</f>
        <v>4</v>
      </c>
      <c r="K1958" s="20" t="n">
        <f aca="false">K1957-Assumptions!$C$6</f>
        <v>5</v>
      </c>
    </row>
    <row r="1959" customFormat="false" ht="15" hidden="false" customHeight="false" outlineLevel="0" collapsed="false">
      <c r="A1959" s="3" t="s">
        <v>165</v>
      </c>
      <c r="G1959" s="21" t="n">
        <f aca="false">CHOOSE($C$1950,Assumptions!$G$71,Assumptions!$G$90,Assumptions!$G$109)+$C$1951</f>
        <v>-0.045</v>
      </c>
      <c r="H1959" s="21" t="n">
        <f aca="false">CHOOSE($C$1950,Assumptions!$H$71,Assumptions!$H$90,Assumptions!$H$109)+$C$1951</f>
        <v>-0.04</v>
      </c>
      <c r="I1959" s="21" t="n">
        <f aca="false">CHOOSE($C$1950,Assumptions!$I$71,Assumptions!$I$90,Assumptions!$I$109)+$C$1951</f>
        <v>-0.035</v>
      </c>
      <c r="J1959" s="21" t="n">
        <f aca="false">CHOOSE($C$1950,Assumptions!$J$71,Assumptions!$J$90,Assumptions!$J$109)+$C$1951</f>
        <v>-0.03</v>
      </c>
      <c r="K1959" s="21" t="n">
        <f aca="false">CHOOSE($C$1950,Assumptions!$K$71,Assumptions!$K$90,Assumptions!$K$109)+$C$1951</f>
        <v>-0.03</v>
      </c>
    </row>
    <row r="1960" customFormat="false" ht="15" hidden="false" customHeight="false" outlineLevel="0" collapsed="false">
      <c r="A1960" s="3" t="s">
        <v>166</v>
      </c>
      <c r="G1960" s="21" t="n">
        <f aca="false">CHOOSE($C$1950,Assumptions!$G$72,Assumptions!$G$91,Assumptions!$G$110)</f>
        <v>0.483246670103635</v>
      </c>
      <c r="H1960" s="21" t="n">
        <f aca="false">CHOOSE($C$1950,Assumptions!$H$72,Assumptions!$H$91,Assumptions!$H$110)</f>
        <v>0.483246670103635</v>
      </c>
      <c r="I1960" s="21" t="n">
        <f aca="false">CHOOSE($C$1950,Assumptions!$I$72,Assumptions!$I$91,Assumptions!$I$110)</f>
        <v>0.481246670103635</v>
      </c>
      <c r="J1960" s="21" t="n">
        <f aca="false">CHOOSE($C$1950,Assumptions!$J$72,Assumptions!$J$91,Assumptions!$J$110)</f>
        <v>0.479246670103635</v>
      </c>
      <c r="K1960" s="21" t="n">
        <f aca="false">CHOOSE($C$1950,Assumptions!$K$72,Assumptions!$K$91,Assumptions!$K$110)</f>
        <v>0.477246670103635</v>
      </c>
    </row>
    <row r="1961" customFormat="false" ht="15" hidden="false" customHeight="false" outlineLevel="0" collapsed="false">
      <c r="A1961" s="3" t="s">
        <v>167</v>
      </c>
      <c r="G1961" s="21" t="n">
        <f aca="false">CHOOSE($C$1950,Assumptions!$G$73,Assumptions!$G$92,Assumptions!$G$111)+$C$1952</f>
        <v>0.16</v>
      </c>
      <c r="H1961" s="21" t="n">
        <f aca="false">CHOOSE($C$1950,Assumptions!$H$73,Assumptions!$H$92,Assumptions!$H$111)+$C$1952</f>
        <v>0.16</v>
      </c>
      <c r="I1961" s="21" t="n">
        <f aca="false">CHOOSE($C$1950,Assumptions!$I$73,Assumptions!$I$92,Assumptions!$I$111)+$C$1952</f>
        <v>0.158</v>
      </c>
      <c r="J1961" s="21" t="n">
        <f aca="false">CHOOSE($C$1950,Assumptions!$J$73,Assumptions!$J$92,Assumptions!$J$111)+$C$1952</f>
        <v>0.156</v>
      </c>
      <c r="K1961" s="21" t="n">
        <f aca="false">CHOOSE($C$1950,Assumptions!$K$73,Assumptions!$K$92,Assumptions!$K$111)+$C$1952</f>
        <v>0.154</v>
      </c>
    </row>
    <row r="1962" customFormat="false" ht="15" hidden="false" customHeight="false" outlineLevel="0" collapsed="false">
      <c r="A1962" s="23" t="s">
        <v>284</v>
      </c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</row>
    <row r="1963" customFormat="false" ht="15" hidden="false" customHeight="false" outlineLevel="0" collapsed="false">
      <c r="A1963" s="2" t="s">
        <v>256</v>
      </c>
      <c r="F1963" s="28" t="n">
        <f aca="false">'Historical Financials'!G23</f>
        <v>2246.166</v>
      </c>
      <c r="G1963" s="16" t="n">
        <f aca="false">F1963*(1+G1959)</f>
        <v>2145.08853</v>
      </c>
      <c r="H1963" s="16" t="n">
        <f aca="false">G1963*(1+H1959)</f>
        <v>2059.2849888</v>
      </c>
      <c r="I1963" s="16" t="n">
        <f aca="false">H1963*(1+I1959)</f>
        <v>1987.210014192</v>
      </c>
      <c r="J1963" s="16" t="n">
        <f aca="false">I1963*(1+J1959)</f>
        <v>1927.59371376624</v>
      </c>
      <c r="K1963" s="16" t="n">
        <f aca="false">J1963*(1+K1959)</f>
        <v>1869.76590235325</v>
      </c>
    </row>
    <row r="1964" customFormat="false" ht="15" hidden="false" customHeight="false" outlineLevel="0" collapsed="false">
      <c r="A1964" s="3" t="s">
        <v>257</v>
      </c>
      <c r="G1964" s="25" t="n">
        <f aca="false">G1963*(1-G1960)</f>
        <v>1108.4816408</v>
      </c>
      <c r="H1964" s="25" t="n">
        <f aca="false">H1963*(1-H1960)</f>
        <v>1064.142375168</v>
      </c>
      <c r="I1964" s="25" t="n">
        <f aca="false">I1963*(1-I1960)</f>
        <v>1030.8718120655</v>
      </c>
      <c r="J1964" s="25" t="n">
        <f aca="false">J1963*(1-J1960)</f>
        <v>1003.80084513107</v>
      </c>
      <c r="K1964" s="25" t="n">
        <f aca="false">K1963*(1-K1960)</f>
        <v>977.426351581845</v>
      </c>
    </row>
    <row r="1965" customFormat="false" ht="15" hidden="false" customHeight="false" outlineLevel="0" collapsed="false">
      <c r="A1965" s="2" t="s">
        <v>258</v>
      </c>
      <c r="G1965" s="16" t="n">
        <f aca="false">G1963-G1964</f>
        <v>1036.6068892</v>
      </c>
      <c r="H1965" s="16" t="n">
        <f aca="false">H1963-H1964</f>
        <v>995.142613632</v>
      </c>
      <c r="I1965" s="16" t="n">
        <f aca="false">I1963-I1964</f>
        <v>956.338202126496</v>
      </c>
      <c r="J1965" s="16" t="n">
        <f aca="false">J1963-J1964</f>
        <v>923.792868635169</v>
      </c>
      <c r="K1965" s="16" t="n">
        <f aca="false">K1963-K1964</f>
        <v>892.339550771407</v>
      </c>
    </row>
    <row r="1966" customFormat="false" ht="15" hidden="false" customHeight="false" outlineLevel="0" collapsed="false">
      <c r="A1966" s="3" t="s">
        <v>285</v>
      </c>
      <c r="G1966" s="25" t="n">
        <f aca="false">G1965-G1967</f>
        <v>693.3927244</v>
      </c>
      <c r="H1966" s="25" t="n">
        <f aca="false">H1965-H1967</f>
        <v>665.657015424</v>
      </c>
      <c r="I1966" s="25" t="n">
        <f aca="false">I1965-I1967</f>
        <v>642.35901988416</v>
      </c>
      <c r="J1966" s="25" t="n">
        <f aca="false">J1965-J1967</f>
        <v>623.088249287635</v>
      </c>
      <c r="K1966" s="25" t="n">
        <f aca="false">K1965-K1967</f>
        <v>604.395601809006</v>
      </c>
    </row>
    <row r="1967" customFormat="false" ht="15" hidden="false" customHeight="false" outlineLevel="0" collapsed="false">
      <c r="A1967" s="2" t="s">
        <v>286</v>
      </c>
      <c r="G1967" s="16" t="n">
        <f aca="false">G1963*G1961</f>
        <v>343.2141648</v>
      </c>
      <c r="H1967" s="16" t="n">
        <f aca="false">H1963*H1961</f>
        <v>329.485598208</v>
      </c>
      <c r="I1967" s="16" t="n">
        <f aca="false">I1963*I1961</f>
        <v>313.979182242336</v>
      </c>
      <c r="J1967" s="16" t="n">
        <f aca="false">J1963*J1961</f>
        <v>300.704619347533</v>
      </c>
      <c r="K1967" s="16" t="n">
        <f aca="false">K1963*K1961</f>
        <v>287.943948962401</v>
      </c>
    </row>
    <row r="1968" customFormat="false" ht="15" hidden="false" customHeight="false" outlineLevel="0" collapsed="false">
      <c r="A1968" s="3" t="s">
        <v>287</v>
      </c>
      <c r="G1968" s="25" t="n">
        <f aca="false">G1963*'Historical Financials'!G28/'Historical Financials'!G23</f>
        <v>81.45768</v>
      </c>
      <c r="H1968" s="25" t="n">
        <f aca="false">H1963*'Historical Financials'!G28/'Historical Financials'!G23</f>
        <v>78.1993728</v>
      </c>
      <c r="I1968" s="25" t="n">
        <f aca="false">I1963*'Historical Financials'!G28/'Historical Financials'!G23</f>
        <v>75.462394752</v>
      </c>
      <c r="J1968" s="25" t="n">
        <f aca="false">J1963*'Historical Financials'!G28/'Historical Financials'!G23</f>
        <v>73.19852290944</v>
      </c>
      <c r="K1968" s="25" t="n">
        <f aca="false">K1963*'Historical Financials'!G28/'Historical Financials'!G23</f>
        <v>71.0025672221568</v>
      </c>
    </row>
    <row r="1969" customFormat="false" ht="15" hidden="false" customHeight="false" outlineLevel="0" collapsed="false">
      <c r="A1969" s="3" t="s">
        <v>288</v>
      </c>
      <c r="G1969" s="25" t="n">
        <f aca="false">G1963*'Historical Financials'!G29/'Historical Financials'!G23</f>
        <v>23.25998</v>
      </c>
      <c r="H1969" s="25" t="n">
        <f aca="false">H1963*'Historical Financials'!G29/'Historical Financials'!G23</f>
        <v>22.3295808</v>
      </c>
      <c r="I1969" s="25" t="n">
        <f aca="false">I1963*'Historical Financials'!G29/'Historical Financials'!G23</f>
        <v>21.548045472</v>
      </c>
      <c r="J1969" s="25" t="n">
        <f aca="false">J1963*'Historical Financials'!G29/'Historical Financials'!G23</f>
        <v>20.90160410784</v>
      </c>
      <c r="K1969" s="25" t="n">
        <f aca="false">K1963*'Historical Financials'!G29/'Historical Financials'!G23</f>
        <v>20.2745559846048</v>
      </c>
    </row>
    <row r="1970" customFormat="false" ht="15" hidden="false" customHeight="false" outlineLevel="0" collapsed="false">
      <c r="A1970" s="2" t="s">
        <v>289</v>
      </c>
      <c r="G1970" s="16" t="n">
        <f aca="false">G1967-G1968-G1969</f>
        <v>238.4965048</v>
      </c>
      <c r="H1970" s="16" t="n">
        <f aca="false">H1967-H1968-H1969</f>
        <v>228.956644608</v>
      </c>
      <c r="I1970" s="16" t="n">
        <f aca="false">I1967-I1968-I1969</f>
        <v>216.968742018336</v>
      </c>
      <c r="J1970" s="16" t="n">
        <f aca="false">J1967-J1968-J1969</f>
        <v>206.604492330253</v>
      </c>
      <c r="K1970" s="16" t="n">
        <f aca="false">K1967-K1968-K1969</f>
        <v>196.666825755639</v>
      </c>
    </row>
    <row r="1971" customFormat="false" ht="15" hidden="false" customHeight="false" outlineLevel="0" collapsed="false">
      <c r="A1971" s="3" t="s">
        <v>290</v>
      </c>
      <c r="G1971" s="25" t="n">
        <f aca="false">G1997+G2010+G2023</f>
        <v>155.95467</v>
      </c>
      <c r="H1971" s="25" t="n">
        <f aca="false">H1997+H2010+H2023</f>
        <v>155.95467</v>
      </c>
      <c r="I1971" s="25" t="n">
        <f aca="false">I1997+I2010+I2023</f>
        <v>155.95467</v>
      </c>
      <c r="J1971" s="25" t="n">
        <f aca="false">J1997+J2010+J2023</f>
        <v>138.08529</v>
      </c>
      <c r="K1971" s="25" t="n">
        <f aca="false">K1997+K2010+K2023</f>
        <v>138.08529</v>
      </c>
    </row>
    <row r="1972" customFormat="false" ht="15" hidden="false" customHeight="false" outlineLevel="0" collapsed="false">
      <c r="A1972" s="3" t="s">
        <v>291</v>
      </c>
      <c r="G1972" s="25" t="n">
        <f aca="false">G1998+G2011+G2024</f>
        <v>0</v>
      </c>
      <c r="H1972" s="25" t="n">
        <f aca="false">H1998+H2011+H2024</f>
        <v>0</v>
      </c>
      <c r="I1972" s="25" t="n">
        <f aca="false">I1998+I2011+I2024</f>
        <v>0</v>
      </c>
      <c r="J1972" s="25" t="n">
        <f aca="false">J1998+J2011+J2024</f>
        <v>0</v>
      </c>
      <c r="K1972" s="25" t="n">
        <f aca="false">K1998+K2011+K2024</f>
        <v>0</v>
      </c>
    </row>
    <row r="1973" customFormat="false" ht="15" hidden="false" customHeight="false" outlineLevel="0" collapsed="false">
      <c r="A1973" s="3" t="s">
        <v>239</v>
      </c>
      <c r="G1973" s="25" t="n">
        <f aca="false">G1971+G1972</f>
        <v>155.95467</v>
      </c>
      <c r="H1973" s="25" t="n">
        <f aca="false">H1971+H1972</f>
        <v>155.95467</v>
      </c>
      <c r="I1973" s="25" t="n">
        <f aca="false">I1971+I1972</f>
        <v>155.95467</v>
      </c>
      <c r="J1973" s="25" t="n">
        <f aca="false">J1971+J1972</f>
        <v>138.08529</v>
      </c>
      <c r="K1973" s="25" t="n">
        <f aca="false">K1971+K1972</f>
        <v>138.08529</v>
      </c>
    </row>
    <row r="1974" customFormat="false" ht="15" hidden="false" customHeight="false" outlineLevel="0" collapsed="false">
      <c r="A1974" s="2" t="s">
        <v>264</v>
      </c>
      <c r="G1974" s="16" t="n">
        <f aca="false">G1970-G1973</f>
        <v>82.5418348</v>
      </c>
      <c r="H1974" s="16" t="n">
        <f aca="false">H1970-H1973</f>
        <v>73.001974608</v>
      </c>
      <c r="I1974" s="16" t="n">
        <f aca="false">I1970-I1973</f>
        <v>61.014072018336</v>
      </c>
      <c r="J1974" s="16" t="n">
        <f aca="false">J1970-J1973</f>
        <v>68.5192023302534</v>
      </c>
      <c r="K1974" s="16" t="n">
        <f aca="false">K1970-K1973</f>
        <v>58.5815357556393</v>
      </c>
    </row>
    <row r="1975" customFormat="false" ht="15" hidden="false" customHeight="false" outlineLevel="0" collapsed="false">
      <c r="A1975" s="3" t="s">
        <v>292</v>
      </c>
      <c r="G1975" s="25" t="n">
        <f aca="false">MAX(0,G1974)*Assumptions!$C$9</f>
        <v>20.6354587</v>
      </c>
      <c r="H1975" s="25" t="n">
        <f aca="false">MAX(0,H1974)*Assumptions!$C$9</f>
        <v>18.250493652</v>
      </c>
      <c r="I1975" s="25" t="n">
        <f aca="false">MAX(0,I1974)*Assumptions!$C$9</f>
        <v>15.253518004584</v>
      </c>
      <c r="J1975" s="25" t="n">
        <f aca="false">MAX(0,J1974)*Assumptions!$C$9</f>
        <v>17.1298005825633</v>
      </c>
      <c r="K1975" s="25" t="n">
        <f aca="false">MAX(0,K1974)*Assumptions!$C$9</f>
        <v>14.6453839389098</v>
      </c>
    </row>
    <row r="1976" customFormat="false" ht="15" hidden="false" customHeight="false" outlineLevel="0" collapsed="false">
      <c r="A1976" s="2" t="s">
        <v>293</v>
      </c>
      <c r="G1976" s="16" t="n">
        <f aca="false">G1974-G1975</f>
        <v>61.9063761</v>
      </c>
      <c r="H1976" s="16" t="n">
        <f aca="false">H1974-H1975</f>
        <v>54.751480956</v>
      </c>
      <c r="I1976" s="16" t="n">
        <f aca="false">I1974-I1975</f>
        <v>45.760554013752</v>
      </c>
      <c r="J1976" s="16" t="n">
        <f aca="false">J1974-J1975</f>
        <v>51.38940174769</v>
      </c>
      <c r="K1976" s="16" t="n">
        <f aca="false">K1974-K1975</f>
        <v>43.9361518167295</v>
      </c>
    </row>
    <row r="1977" customFormat="false" ht="15" hidden="false" customHeight="false" outlineLevel="0" collapsed="false">
      <c r="A1977" s="23" t="s">
        <v>294</v>
      </c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</row>
    <row r="1978" customFormat="false" ht="15" hidden="false" customHeight="false" outlineLevel="0" collapsed="false">
      <c r="A1978" s="3" t="s">
        <v>169</v>
      </c>
      <c r="G1978" s="25" t="n">
        <f aca="false">G1963*CHOOSE($C$1950,Assumptions!$C$75,Assumptions!$C$94,Assumptions!$C$113)</f>
        <v>30.03123942</v>
      </c>
      <c r="H1978" s="25" t="n">
        <f aca="false">H1963*CHOOSE($C$1950,Assumptions!$C$75,Assumptions!$C$94,Assumptions!$C$113)</f>
        <v>28.8299898432</v>
      </c>
      <c r="I1978" s="25" t="n">
        <f aca="false">I1963*CHOOSE($C$1950,Assumptions!$C$75,Assumptions!$C$94,Assumptions!$C$113)</f>
        <v>27.820940198688</v>
      </c>
      <c r="J1978" s="25" t="n">
        <f aca="false">J1963*CHOOSE($C$1950,Assumptions!$C$75,Assumptions!$C$94,Assumptions!$C$113)</f>
        <v>26.9863119927274</v>
      </c>
      <c r="K1978" s="25" t="n">
        <f aca="false">K1963*CHOOSE($C$1950,Assumptions!$C$75,Assumptions!$C$94,Assumptions!$C$113)</f>
        <v>26.1767226329455</v>
      </c>
    </row>
    <row r="1979" customFormat="false" ht="15" hidden="false" customHeight="false" outlineLevel="0" collapsed="false">
      <c r="A1979" s="3" t="s">
        <v>295</v>
      </c>
      <c r="G1979" s="25" t="n">
        <f aca="false">CHOOSE($C$1950,Assumptions!$C$76,Assumptions!$C$95,Assumptions!$C$114)*(G1963-F1963)+CHOOSE($C$1950,Assumptions!$C$77,Assumptions!$C$96,Assumptions!$C$115)*G1963</f>
        <v>-21.4508853</v>
      </c>
      <c r="H1979" s="25" t="n">
        <f aca="false">CHOOSE($C$1950,Assumptions!$C$76,Assumptions!$C$95,Assumptions!$C$114)*(H1963-G1963)+CHOOSE($C$1950,Assumptions!$C$77,Assumptions!$C$96,Assumptions!$C$115)*H1963</f>
        <v>-20.592849888</v>
      </c>
      <c r="I1979" s="25" t="n">
        <f aca="false">CHOOSE($C$1950,Assumptions!$C$76,Assumptions!$C$95,Assumptions!$C$114)*(I1963-H1963)+CHOOSE($C$1950,Assumptions!$C$77,Assumptions!$C$96,Assumptions!$C$115)*I1963</f>
        <v>-19.87210014192</v>
      </c>
      <c r="J1979" s="25" t="n">
        <f aca="false">CHOOSE($C$1950,Assumptions!$C$76,Assumptions!$C$95,Assumptions!$C$114)*(J1963-I1963)+CHOOSE($C$1950,Assumptions!$C$77,Assumptions!$C$96,Assumptions!$C$115)*J1963</f>
        <v>-19.2759371376624</v>
      </c>
      <c r="K1979" s="25" t="n">
        <f aca="false">CHOOSE($C$1950,Assumptions!$C$76,Assumptions!$C$95,Assumptions!$C$114)*(K1963-J1963)+CHOOSE($C$1950,Assumptions!$C$77,Assumptions!$C$96,Assumptions!$C$115)*K1963</f>
        <v>-18.6976590235325</v>
      </c>
    </row>
    <row r="1980" customFormat="false" ht="15" hidden="false" customHeight="false" outlineLevel="0" collapsed="false">
      <c r="A1980" s="2" t="s">
        <v>296</v>
      </c>
      <c r="G1980" s="16" t="n">
        <f aca="false">G1976+G1968+G1969+G1972-G1978-G1979</f>
        <v>158.04368198</v>
      </c>
      <c r="H1980" s="16" t="n">
        <f aca="false">H1976+H1968+H1969+H1972-H1978-H1979</f>
        <v>147.0432946008</v>
      </c>
      <c r="I1980" s="16" t="n">
        <f aca="false">I1976+I1968+I1969+I1972-I1978-I1979</f>
        <v>134.822154180984</v>
      </c>
      <c r="J1980" s="16" t="n">
        <f aca="false">J1976+J1968+J1969+J1972-J1978-J1979</f>
        <v>137.779153909905</v>
      </c>
      <c r="K1980" s="16" t="n">
        <f aca="false">K1976+K1968+K1969+K1972-K1978-K1979</f>
        <v>127.734211414078</v>
      </c>
    </row>
    <row r="1982" customFormat="false" ht="15" hidden="false" customHeight="false" outlineLevel="0" collapsed="false">
      <c r="A1982" s="23" t="s">
        <v>298</v>
      </c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</row>
    <row r="1983" customFormat="false" ht="15" hidden="false" customHeight="false" outlineLevel="0" collapsed="false">
      <c r="A1983" s="3" t="s">
        <v>299</v>
      </c>
      <c r="G1983" s="30" t="n">
        <f aca="false">Assumptions!$G$52</f>
        <v>0.039</v>
      </c>
      <c r="H1983" s="30" t="n">
        <f aca="false">Assumptions!$H$52</f>
        <v>0.0375</v>
      </c>
      <c r="I1983" s="30" t="n">
        <f aca="false">Assumptions!$I$52</f>
        <v>0.035</v>
      </c>
      <c r="J1983" s="30" t="n">
        <f aca="false">Assumptions!$J$52</f>
        <v>0.035</v>
      </c>
      <c r="K1983" s="30" t="n">
        <f aca="false">Assumptions!$K$52</f>
        <v>0.035</v>
      </c>
    </row>
    <row r="1984" customFormat="false" ht="15" hidden="false" customHeight="false" outlineLevel="0" collapsed="false">
      <c r="A1984" s="3" t="s">
        <v>300</v>
      </c>
      <c r="C1984" s="31" t="n">
        <f aca="false">CHOOSE($C$1950,Assumptions!$C$78,Assumptions!$C$97,Assumptions!$C$116)+$C$1953</f>
        <v>0</v>
      </c>
    </row>
    <row r="1985" customFormat="false" ht="15" hidden="false" customHeight="false" outlineLevel="0" collapsed="false">
      <c r="A1985" s="3" t="s">
        <v>301</v>
      </c>
      <c r="C1985" s="31" t="n">
        <f aca="false">CHOOSE($C$1950,Assumptions!$C$79,Assumptions!$C$98,Assumptions!$C$117)</f>
        <v>0.11</v>
      </c>
    </row>
    <row r="1986" customFormat="false" ht="15" hidden="false" customHeight="false" outlineLevel="0" collapsed="false">
      <c r="A1986" s="3" t="s">
        <v>302</v>
      </c>
      <c r="C1986" s="32" t="n">
        <f aca="false">CHOOSE($C$1950,Assumptions!$C$80,Assumptions!$C$99,Assumptions!$C$118)</f>
        <v>6</v>
      </c>
    </row>
    <row r="1987" customFormat="false" ht="15" hidden="false" customHeight="false" outlineLevel="0" collapsed="false">
      <c r="A1987" s="3" t="s">
        <v>303</v>
      </c>
      <c r="C1987" s="32" t="n">
        <f aca="false">CHOOSE($C$1950,Assumptions!$C$81,Assumptions!$C$100,Assumptions!$C$119)</f>
        <v>1.25</v>
      </c>
    </row>
    <row r="1988" customFormat="false" ht="15" hidden="false" customHeight="false" outlineLevel="0" collapsed="false">
      <c r="A1988" s="3" t="s">
        <v>304</v>
      </c>
      <c r="G1988" s="25" t="n">
        <f aca="false">G1993+G2006+G2019</f>
        <v>1735.554</v>
      </c>
      <c r="H1988" s="25" t="n">
        <f aca="false">H1993+H2006+H2019</f>
        <v>1735.554</v>
      </c>
      <c r="I1988" s="25" t="n">
        <f aca="false">I1993+I2006+I2019</f>
        <v>1735.554</v>
      </c>
      <c r="J1988" s="25" t="n">
        <f aca="false">J1993+J2006+J2019</f>
        <v>1315.098</v>
      </c>
      <c r="K1988" s="25" t="n">
        <f aca="false">K1993+K2006+K2019</f>
        <v>1315.098</v>
      </c>
    </row>
    <row r="1989" customFormat="false" ht="15" hidden="false" customHeight="false" outlineLevel="0" collapsed="false">
      <c r="A1989" s="3" t="s">
        <v>305</v>
      </c>
      <c r="G1989" s="25" t="n">
        <f aca="false">F2062</f>
        <v>463.996</v>
      </c>
      <c r="H1989" s="25" t="n">
        <f aca="false">G2062</f>
        <v>622.03968198</v>
      </c>
      <c r="I1989" s="25" t="n">
        <f aca="false">H2062</f>
        <v>769.0829765808</v>
      </c>
      <c r="J1989" s="25" t="n">
        <f aca="false">I2062</f>
        <v>483.449130761784</v>
      </c>
      <c r="K1989" s="25" t="n">
        <f aca="false">J2062</f>
        <v>621.228284671689</v>
      </c>
    </row>
    <row r="1990" customFormat="false" ht="15" hidden="false" customHeight="false" outlineLevel="0" collapsed="false">
      <c r="A1990" s="3" t="s">
        <v>306</v>
      </c>
      <c r="G1990" s="25" t="n">
        <f aca="false">G1993*IF(G1994=1,$C$1985,IF(Assumptions!$I$56=1,MAX(G1983,Assumptions!$G$56)+Assumptions!$F$56+$C$1984,Assumptions!$E$56))+G2006*IF(G2007=1,$C$1985,IF(Assumptions!$I$57=1,MAX(G1983,Assumptions!$G$57)+Assumptions!$F$57+$C$1984,Assumptions!$E$57))+G2019*IF(G2020=1,$C$1985,IF(Assumptions!$I$58=1,MAX(G1983,Assumptions!$G$58)+Assumptions!$F$58+$C$1984,Assumptions!$E$58))</f>
        <v>155.95467</v>
      </c>
      <c r="H1990" s="25" t="n">
        <f aca="false">H1993*IF(OR(H1994=1,G2140=1),$C$1985,IF(Assumptions!$I$56=1,MAX(H1983,Assumptions!$G$56)+Assumptions!$F$56+$C$1984,Assumptions!$E$56))+H2006*IF(OR(H2007=1,G2141=1),$C$1985,IF(Assumptions!$I$57=1,MAX(H1983,Assumptions!$G$57)+Assumptions!$F$57+$C$1984,Assumptions!$E$57))+H2019*IF(OR(H2020=1,G2142=1),$C$1985,IF(Assumptions!$I$58=1,MAX(H1983,Assumptions!$G$58)+Assumptions!$F$58+$C$1984,Assumptions!$E$58))</f>
        <v>155.95467</v>
      </c>
      <c r="I1990" s="25" t="n">
        <f aca="false">I1993*IF(OR(I1994=1,H2140=1),$C$1985,IF(Assumptions!$I$56=1,MAX(I1983,Assumptions!$G$56)+Assumptions!$F$56+$C$1984,Assumptions!$E$56))+I2006*IF(OR(I2007=1,H2141=1),$C$1985,IF(Assumptions!$I$57=1,MAX(I1983,Assumptions!$G$57)+Assumptions!$F$57+$C$1984,Assumptions!$E$57))+I2019*IF(OR(I2020=1,H2142=1),$C$1985,IF(Assumptions!$I$58=1,MAX(I1983,Assumptions!$G$58)+Assumptions!$F$58+$C$1984,Assumptions!$E$58))</f>
        <v>184.33545</v>
      </c>
      <c r="J1990" s="25" t="n">
        <f aca="false">J1993*IF(OR(J1994=1,I2140=1),$C$1985,IF(Assumptions!$I$56=1,MAX(J1983,Assumptions!$G$56)+Assumptions!$F$56+$C$1984,Assumptions!$E$56))+J2006*IF(OR(J2007=1,I2141=1),$C$1985,IF(Assumptions!$I$57=1,MAX(J1983,Assumptions!$G$57)+Assumptions!$F$57+$C$1984,Assumptions!$E$57))+J2019*IF(OR(J2020=1,I2142=1),$C$1985,IF(Assumptions!$I$58=1,MAX(J1983,Assumptions!$G$58)+Assumptions!$F$58+$C$1984,Assumptions!$E$58))</f>
        <v>138.08529</v>
      </c>
      <c r="K1990" s="25" t="n">
        <f aca="false">K1993*IF(OR(K1994=1,J2140=1),$C$1985,IF(Assumptions!$I$56=1,MAX(K1983,Assumptions!$G$56)+Assumptions!$F$56+$C$1984,Assumptions!$E$56))+K2006*IF(OR(K2007=1,J2141=1),$C$1985,IF(Assumptions!$I$57=1,MAX(K1983,Assumptions!$G$57)+Assumptions!$F$57+$C$1984,Assumptions!$E$57))+K2019*IF(OR(K2020=1,J2142=1),$C$1985,IF(Assumptions!$I$58=1,MAX(K1983,Assumptions!$G$58)+Assumptions!$F$58+$C$1984,Assumptions!$E$58))</f>
        <v>138.08529</v>
      </c>
    </row>
    <row r="1991" customFormat="false" ht="15" hidden="false" customHeight="false" outlineLevel="0" collapsed="false">
      <c r="A1991" s="3" t="s">
        <v>307</v>
      </c>
      <c r="G1991" s="20" t="n">
        <f aca="false">IF(G1967&lt;=0,0,IF(AND((G1988-G1989)/G1967&lt;=$C$1986,G1967/G1990&gt;=$C$1987),1,0))</f>
        <v>1</v>
      </c>
      <c r="H1991" s="20" t="n">
        <f aca="false">IF(H1967&lt;=0,0,IF(AND((H1988-H1989)/H1967&lt;=$C$1986,H1967/H1990&gt;=$C$1987),1,0))</f>
        <v>1</v>
      </c>
      <c r="I1991" s="20" t="n">
        <f aca="false">IF(I1967&lt;=0,0,IF(AND((I1988-I1989)/I1967&lt;=$C$1986,I1967/I1990&gt;=$C$1987),1,0))</f>
        <v>1</v>
      </c>
      <c r="J1991" s="20" t="n">
        <f aca="false">IF(J1967&lt;=0,0,IF(AND((J1988-J1989)/J1967&lt;=$C$1986,J1967/J1990&gt;=$C$1987),1,0))</f>
        <v>1</v>
      </c>
      <c r="K1991" s="20" t="n">
        <f aca="false">IF(K1967&lt;=0,0,IF(AND((K1988-K1989)/K1967&lt;=$C$1986,K1967/K1990&gt;=$C$1987),1,0))</f>
        <v>1</v>
      </c>
    </row>
    <row r="1992" customFormat="false" ht="15" hidden="false" customHeight="false" outlineLevel="0" collapsed="false">
      <c r="A1992" s="23" t="s">
        <v>308</v>
      </c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</row>
    <row r="1993" customFormat="false" ht="15" hidden="false" customHeight="false" outlineLevel="0" collapsed="false">
      <c r="A1993" s="3" t="s">
        <v>309</v>
      </c>
      <c r="G1993" s="25" t="n">
        <f aca="false">F2004</f>
        <v>1315.098</v>
      </c>
      <c r="H1993" s="25" t="n">
        <f aca="false">G2004</f>
        <v>1315.098</v>
      </c>
      <c r="I1993" s="25" t="n">
        <f aca="false">H2004</f>
        <v>1315.098</v>
      </c>
      <c r="J1993" s="25" t="n">
        <f aca="false">I2004</f>
        <v>1315.098</v>
      </c>
      <c r="K1993" s="25" t="n">
        <f aca="false">J2004</f>
        <v>1315.098</v>
      </c>
    </row>
    <row r="1994" customFormat="false" ht="15" hidden="false" customHeight="false" outlineLevel="0" collapsed="false">
      <c r="A1994" s="3" t="s">
        <v>310</v>
      </c>
      <c r="G1994" s="20" t="n">
        <f aca="false">IF(G1957=Assumptions!$K$56,1,0)</f>
        <v>0</v>
      </c>
      <c r="H1994" s="20" t="n">
        <f aca="false">IF(H1957=Assumptions!$K$56,1,0)</f>
        <v>0</v>
      </c>
      <c r="I1994" s="20" t="n">
        <f aca="false">IF(I1957=Assumptions!$K$56,1,0)</f>
        <v>0</v>
      </c>
      <c r="J1994" s="20" t="n">
        <f aca="false">IF(J1957=Assumptions!$K$56,1,0)</f>
        <v>0</v>
      </c>
      <c r="K1994" s="20" t="n">
        <f aca="false">IF(K1957=Assumptions!$K$56,1,0)</f>
        <v>0</v>
      </c>
    </row>
    <row r="1996" customFormat="false" ht="15" hidden="false" customHeight="false" outlineLevel="0" collapsed="false">
      <c r="A1996" s="3" t="s">
        <v>311</v>
      </c>
      <c r="G1996" s="31" t="n">
        <f aca="false">IF(Assumptions!$I$56=1,MAX(G1983,Assumptions!$G$56)+Assumptions!$F$56+$C$1984,Assumptions!$E$56)</f>
        <v>0.105</v>
      </c>
      <c r="H1996" s="31" t="n">
        <f aca="false">IF(G2140=1,$C$1985,IF(Assumptions!$I$56=1,MAX(H1983,Assumptions!$G$56)+Assumptions!$F$56+$C$1984,Assumptions!$E$56))</f>
        <v>0.105</v>
      </c>
      <c r="I1996" s="31" t="n">
        <f aca="false">IF(H2140=1,$C$1985,IF(Assumptions!$I$56=1,MAX(I1983,Assumptions!$G$56)+Assumptions!$F$56+$C$1984,Assumptions!$E$56))</f>
        <v>0.105</v>
      </c>
      <c r="J1996" s="31" t="n">
        <f aca="false">IF(I2140=1,$C$1985,IF(Assumptions!$I$56=1,MAX(J1983,Assumptions!$G$56)+Assumptions!$F$56+$C$1984,Assumptions!$E$56))</f>
        <v>0.105</v>
      </c>
      <c r="K1996" s="31" t="n">
        <f aca="false">IF(J2140=1,$C$1985,IF(Assumptions!$I$56=1,MAX(K1983,Assumptions!$G$56)+Assumptions!$F$56+$C$1984,Assumptions!$E$56))</f>
        <v>0.105</v>
      </c>
    </row>
    <row r="1997" customFormat="false" ht="15" hidden="false" customHeight="false" outlineLevel="0" collapsed="false">
      <c r="A1997" s="3" t="s">
        <v>312</v>
      </c>
      <c r="G1997" s="25" t="n">
        <f aca="false">G1993*G1996</f>
        <v>138.08529</v>
      </c>
      <c r="H1997" s="25" t="n">
        <f aca="false">H1993*H1996</f>
        <v>138.08529</v>
      </c>
      <c r="I1997" s="25" t="n">
        <f aca="false">I1993*I1996</f>
        <v>138.08529</v>
      </c>
      <c r="J1997" s="25" t="n">
        <f aca="false">J1993*J1996</f>
        <v>138.08529</v>
      </c>
      <c r="K1997" s="25" t="n">
        <f aca="false">K1993*K1996</f>
        <v>138.08529</v>
      </c>
    </row>
    <row r="1998" customFormat="false" ht="15" hidden="false" customHeight="false" outlineLevel="0" collapsed="false">
      <c r="A1998" s="3" t="s">
        <v>313</v>
      </c>
      <c r="G1998" s="25" t="n">
        <f aca="false">G1993*Assumptions!$H$56</f>
        <v>0</v>
      </c>
      <c r="H1998" s="25" t="n">
        <f aca="false">H1993*Assumptions!$H$56</f>
        <v>0</v>
      </c>
      <c r="I1998" s="25" t="n">
        <f aca="false">I1993*Assumptions!$H$56</f>
        <v>0</v>
      </c>
      <c r="J1998" s="25" t="n">
        <f aca="false">J1993*Assumptions!$H$56</f>
        <v>0</v>
      </c>
      <c r="K1998" s="25" t="n">
        <f aca="false">K1993*Assumptions!$H$56</f>
        <v>0</v>
      </c>
    </row>
    <row r="1999" customFormat="false" ht="15" hidden="false" customHeight="false" outlineLevel="0" collapsed="false">
      <c r="A1999" s="3" t="s">
        <v>314</v>
      </c>
      <c r="G1999" s="25" t="n">
        <f aca="false">MIN(G1993,Assumptions!$L$56*Assumptions!$C$56)</f>
        <v>0</v>
      </c>
      <c r="H1999" s="25" t="n">
        <f aca="false">MIN(H1993,Assumptions!$L$56*Assumptions!$C$56)</f>
        <v>0</v>
      </c>
      <c r="I1999" s="25" t="n">
        <f aca="false">MIN(I1993,Assumptions!$L$56*Assumptions!$C$56)</f>
        <v>0</v>
      </c>
      <c r="J1999" s="25" t="n">
        <f aca="false">MIN(J1993,Assumptions!$L$56*Assumptions!$C$56)</f>
        <v>0</v>
      </c>
      <c r="K1999" s="25" t="n">
        <f aca="false">MIN(K1993,Assumptions!$L$56*Assumptions!$C$56)</f>
        <v>0</v>
      </c>
    </row>
    <row r="2000" customFormat="false" ht="15" hidden="false" customHeight="false" outlineLevel="0" collapsed="false">
      <c r="A2000" s="3" t="s">
        <v>315</v>
      </c>
      <c r="G2000" s="25" t="n">
        <f aca="false">IF(AND(Assumptions!$P$56=1,G1957&lt;Assumptions!$K$56),MIN(MAX(0,-G2054),MAX(0,Assumptions!$D$56-G1993)),0)</f>
        <v>0</v>
      </c>
      <c r="H2000" s="25" t="n">
        <f aca="false">IF(AND(Assumptions!$P$56=1,OR(H1957&lt;Assumptions!$K$56,G2140=1)),MIN(MAX(0,-H2054),MAX(0,Assumptions!$D$56-H1993)),0)</f>
        <v>0</v>
      </c>
      <c r="I2000" s="25" t="n">
        <f aca="false">IF(AND(Assumptions!$P$56=1,OR(I1957&lt;Assumptions!$K$56,H2140=1)),MIN(MAX(0,-I2054),MAX(0,Assumptions!$D$56-I1993)),0)</f>
        <v>0</v>
      </c>
      <c r="J2000" s="25" t="n">
        <f aca="false">IF(AND(Assumptions!$P$56=1,OR(J1957&lt;Assumptions!$K$56,I2140=1)),MIN(MAX(0,-J2054),MAX(0,Assumptions!$D$56-J1993)),0)</f>
        <v>0</v>
      </c>
      <c r="K2000" s="25" t="n">
        <f aca="false">IF(AND(Assumptions!$P$56=1,OR(K1957&lt;Assumptions!$K$56,J2140=1)),MIN(MAX(0,-K2054),MAX(0,Assumptions!$D$56-K1993)),0)</f>
        <v>0</v>
      </c>
    </row>
    <row r="2001" customFormat="false" ht="15" hidden="false" customHeight="false" outlineLevel="0" collapsed="false">
      <c r="A2001" s="3" t="s">
        <v>316</v>
      </c>
      <c r="G2001" s="25" t="n">
        <f aca="false">G1994*MIN(G1993-G1999+G1998,MAX(0,G2056-Assumptions!$C$12*G1991))</f>
        <v>0</v>
      </c>
      <c r="H2001" s="25" t="n">
        <f aca="false">H1994*MIN(H1993-H1999+H1998,MAX(0,H2056-Assumptions!$C$12*H1991))</f>
        <v>0</v>
      </c>
      <c r="I2001" s="25" t="n">
        <f aca="false">I1994*MIN(I1993-I1999+I1998,MAX(0,I2056-Assumptions!$C$12*I1991))</f>
        <v>0</v>
      </c>
      <c r="J2001" s="25" t="n">
        <f aca="false">J1994*MIN(J1993-J1999+J1998,MAX(0,J2056-Assumptions!$C$12*J1991))</f>
        <v>0</v>
      </c>
      <c r="K2001" s="25" t="n">
        <f aca="false">K1994*MIN(K1993-K1999+K1998,MAX(0,K2056-Assumptions!$C$12*K1991))</f>
        <v>0</v>
      </c>
    </row>
    <row r="2002" customFormat="false" ht="15" hidden="false" customHeight="false" outlineLevel="0" collapsed="false">
      <c r="A2002" s="3" t="s">
        <v>317</v>
      </c>
      <c r="G2002" s="25" t="n">
        <f aca="false">Assumptions!$N$56*MIN(G1993+G2000+G1998-G1999-G2001,MAX(0,G2060))</f>
        <v>0</v>
      </c>
      <c r="H2002" s="25" t="n">
        <f aca="false">Assumptions!$N$56*MIN(H1993+H2000+H1998-H1999-H2001,MAX(0,H2060))</f>
        <v>0</v>
      </c>
      <c r="I2002" s="25" t="n">
        <f aca="false">Assumptions!$N$56*MIN(I1993+I2000+I1998-I1999-I2001,MAX(0,I2060))</f>
        <v>0</v>
      </c>
      <c r="J2002" s="25" t="n">
        <f aca="false">Assumptions!$N$56*MIN(J1993+J2000+J1998-J1999-J2001,MAX(0,J2060))</f>
        <v>0</v>
      </c>
      <c r="K2002" s="25" t="n">
        <f aca="false">Assumptions!$N$56*MIN(K1993+K2000+K1998-K1999-K2001,MAX(0,K2060))</f>
        <v>0</v>
      </c>
    </row>
    <row r="2003" customFormat="false" ht="15" hidden="false" customHeight="false" outlineLevel="0" collapsed="false">
      <c r="A2003" s="3" t="s">
        <v>318</v>
      </c>
      <c r="G2003" s="25" t="n">
        <f aca="false">G1994*(1-G1991)*(G1993-G1999+G1998-G2001)</f>
        <v>0</v>
      </c>
      <c r="H2003" s="25" t="n">
        <f aca="false">H1994*(1-H1991)*(H1993-H1999+H1998-H2001)</f>
        <v>0</v>
      </c>
      <c r="I2003" s="25" t="n">
        <f aca="false">I1994*(1-I1991)*(I1993-I1999+I1998-I2001)</f>
        <v>0</v>
      </c>
      <c r="J2003" s="25" t="n">
        <f aca="false">J1994*(1-J1991)*(J1993-J1999+J1998-J2001)</f>
        <v>0</v>
      </c>
      <c r="K2003" s="25" t="n">
        <f aca="false">K1994*(1-K1991)*(K1993-K1999+K1998-K2001)</f>
        <v>0</v>
      </c>
    </row>
    <row r="2004" customFormat="false" ht="15" hidden="false" customHeight="false" outlineLevel="0" collapsed="false">
      <c r="A2004" s="2" t="s">
        <v>319</v>
      </c>
      <c r="F2004" s="28" t="n">
        <f aca="false">Assumptions!$C$56</f>
        <v>1315.098</v>
      </c>
      <c r="G2004" s="16" t="n">
        <f aca="false">G1993+G2000+G1998-G1999-G2001-G2002</f>
        <v>1315.098</v>
      </c>
      <c r="H2004" s="16" t="n">
        <f aca="false">H1993+H2000+H1998-H1999-H2001-H2002</f>
        <v>1315.098</v>
      </c>
      <c r="I2004" s="16" t="n">
        <f aca="false">I1993+I2000+I1998-I1999-I2001-I2002</f>
        <v>1315.098</v>
      </c>
      <c r="J2004" s="16" t="n">
        <f aca="false">J1993+J2000+J1998-J1999-J2001-J2002</f>
        <v>1315.098</v>
      </c>
      <c r="K2004" s="16" t="n">
        <f aca="false">K1993+K2000+K1998-K1999-K2001-K2002</f>
        <v>1315.098</v>
      </c>
    </row>
    <row r="2005" customFormat="false" ht="15" hidden="false" customHeight="false" outlineLevel="0" collapsed="false">
      <c r="A2005" s="23" t="s">
        <v>320</v>
      </c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</row>
    <row r="2006" customFormat="false" ht="15" hidden="false" customHeight="false" outlineLevel="0" collapsed="false">
      <c r="A2006" s="3" t="s">
        <v>309</v>
      </c>
      <c r="G2006" s="25" t="n">
        <f aca="false">F2017</f>
        <v>276.706</v>
      </c>
      <c r="H2006" s="25" t="n">
        <f aca="false">G2017</f>
        <v>276.706</v>
      </c>
      <c r="I2006" s="25" t="n">
        <f aca="false">H2017</f>
        <v>276.706</v>
      </c>
      <c r="J2006" s="25" t="n">
        <f aca="false">I2017</f>
        <v>0</v>
      </c>
      <c r="K2006" s="25" t="n">
        <f aca="false">J2017</f>
        <v>0</v>
      </c>
    </row>
    <row r="2007" customFormat="false" ht="15" hidden="false" customHeight="false" outlineLevel="0" collapsed="false">
      <c r="A2007" s="3" t="s">
        <v>310</v>
      </c>
      <c r="G2007" s="20" t="n">
        <f aca="false">IF(G1957=Assumptions!$K$57,1,0)</f>
        <v>0</v>
      </c>
      <c r="H2007" s="20" t="n">
        <f aca="false">IF(H1957=Assumptions!$K$57,1,0)</f>
        <v>0</v>
      </c>
      <c r="I2007" s="20" t="n">
        <f aca="false">IF(I1957=Assumptions!$K$57,1,0)</f>
        <v>1</v>
      </c>
      <c r="J2007" s="20" t="n">
        <f aca="false">IF(J1957=Assumptions!$K$57,1,0)</f>
        <v>0</v>
      </c>
      <c r="K2007" s="20" t="n">
        <f aca="false">IF(K1957=Assumptions!$K$57,1,0)</f>
        <v>0</v>
      </c>
    </row>
    <row r="2009" customFormat="false" ht="15" hidden="false" customHeight="false" outlineLevel="0" collapsed="false">
      <c r="A2009" s="3" t="s">
        <v>311</v>
      </c>
      <c r="G2009" s="31" t="n">
        <f aca="false">IF(Assumptions!$I$57=1,MAX(G1983,Assumptions!$G$57)+Assumptions!$F$57+$C$1984,Assumptions!$E$57)</f>
        <v>0.0425</v>
      </c>
      <c r="H2009" s="31" t="n">
        <f aca="false">IF(G2141=1,$C$1985,IF(Assumptions!$I$57=1,MAX(H1983,Assumptions!$G$57)+Assumptions!$F$57+$C$1984,Assumptions!$E$57))</f>
        <v>0.0425</v>
      </c>
      <c r="I2009" s="31" t="n">
        <f aca="false">IF(H2141=1,$C$1985,IF(Assumptions!$I$57=1,MAX(I1983,Assumptions!$G$57)+Assumptions!$F$57+$C$1984,Assumptions!$E$57))</f>
        <v>0.0425</v>
      </c>
      <c r="J2009" s="31" t="n">
        <f aca="false">IF(I2141=1,$C$1985,IF(Assumptions!$I$57=1,MAX(J1983,Assumptions!$G$57)+Assumptions!$F$57+$C$1984,Assumptions!$E$57))</f>
        <v>0.11</v>
      </c>
      <c r="K2009" s="31" t="n">
        <f aca="false">IF(J2141=1,$C$1985,IF(Assumptions!$I$57=1,MAX(K1983,Assumptions!$G$57)+Assumptions!$F$57+$C$1984,Assumptions!$E$57))</f>
        <v>0.11</v>
      </c>
    </row>
    <row r="2010" customFormat="false" ht="15" hidden="false" customHeight="false" outlineLevel="0" collapsed="false">
      <c r="A2010" s="3" t="s">
        <v>312</v>
      </c>
      <c r="G2010" s="25" t="n">
        <f aca="false">G2006*G2009</f>
        <v>11.760005</v>
      </c>
      <c r="H2010" s="25" t="n">
        <f aca="false">H2006*H2009</f>
        <v>11.760005</v>
      </c>
      <c r="I2010" s="25" t="n">
        <f aca="false">I2006*I2009</f>
        <v>11.760005</v>
      </c>
      <c r="J2010" s="25" t="n">
        <f aca="false">J2006*J2009</f>
        <v>0</v>
      </c>
      <c r="K2010" s="25" t="n">
        <f aca="false">K2006*K2009</f>
        <v>0</v>
      </c>
    </row>
    <row r="2011" customFormat="false" ht="15" hidden="false" customHeight="false" outlineLevel="0" collapsed="false">
      <c r="A2011" s="3" t="s">
        <v>313</v>
      </c>
      <c r="G2011" s="25" t="n">
        <f aca="false">G2006*Assumptions!$H$57</f>
        <v>0</v>
      </c>
      <c r="H2011" s="25" t="n">
        <f aca="false">H2006*Assumptions!$H$57</f>
        <v>0</v>
      </c>
      <c r="I2011" s="25" t="n">
        <f aca="false">I2006*Assumptions!$H$57</f>
        <v>0</v>
      </c>
      <c r="J2011" s="25" t="n">
        <f aca="false">J2006*Assumptions!$H$57</f>
        <v>0</v>
      </c>
      <c r="K2011" s="25" t="n">
        <f aca="false">K2006*Assumptions!$H$57</f>
        <v>0</v>
      </c>
    </row>
    <row r="2012" customFormat="false" ht="15" hidden="false" customHeight="false" outlineLevel="0" collapsed="false">
      <c r="A2012" s="3" t="s">
        <v>314</v>
      </c>
      <c r="G2012" s="25" t="n">
        <f aca="false">MIN(G2006,Assumptions!$L$57*Assumptions!$C$57)</f>
        <v>0</v>
      </c>
      <c r="H2012" s="25" t="n">
        <f aca="false">MIN(H2006,Assumptions!$L$57*Assumptions!$C$57)</f>
        <v>0</v>
      </c>
      <c r="I2012" s="25" t="n">
        <f aca="false">MIN(I2006,Assumptions!$L$57*Assumptions!$C$57)</f>
        <v>0</v>
      </c>
      <c r="J2012" s="25" t="n">
        <f aca="false">MIN(J2006,Assumptions!$L$57*Assumptions!$C$57)</f>
        <v>0</v>
      </c>
      <c r="K2012" s="25" t="n">
        <f aca="false">MIN(K2006,Assumptions!$L$57*Assumptions!$C$57)</f>
        <v>0</v>
      </c>
    </row>
    <row r="2013" customFormat="false" ht="15" hidden="false" customHeight="false" outlineLevel="0" collapsed="false">
      <c r="A2013" s="3" t="s">
        <v>315</v>
      </c>
      <c r="G2013" s="25" t="n">
        <f aca="false">IF(AND(Assumptions!$P$57=1,G1957&lt;Assumptions!$K$57),MIN(MAX(0,-G2054),MAX(0,Assumptions!$D$57-G2006)),0)</f>
        <v>0</v>
      </c>
      <c r="H2013" s="25" t="n">
        <f aca="false">IF(AND(Assumptions!$P$57=1,OR(H1957&lt;Assumptions!$K$57,G2141=1)),MIN(MAX(0,-H2054),MAX(0,Assumptions!$D$57-H2006)),0)</f>
        <v>0</v>
      </c>
      <c r="I2013" s="25" t="n">
        <f aca="false">IF(AND(Assumptions!$P$57=1,OR(I1957&lt;Assumptions!$K$57,H2141=1)),MIN(MAX(0,-I2054),MAX(0,Assumptions!$D$57-I2006)),0)</f>
        <v>0</v>
      </c>
      <c r="J2013" s="25" t="n">
        <f aca="false">IF(AND(Assumptions!$P$57=1,OR(J1957&lt;Assumptions!$K$57,I2141=1)),MIN(MAX(0,-J2054),MAX(0,Assumptions!$D$57-J2006)),0)</f>
        <v>0</v>
      </c>
      <c r="K2013" s="25" t="n">
        <f aca="false">IF(AND(Assumptions!$P$57=1,OR(K1957&lt;Assumptions!$K$57,J2141=1)),MIN(MAX(0,-K2054),MAX(0,Assumptions!$D$57-K2006)),0)</f>
        <v>0</v>
      </c>
    </row>
    <row r="2014" customFormat="false" ht="15" hidden="false" customHeight="false" outlineLevel="0" collapsed="false">
      <c r="A2014" s="3" t="s">
        <v>316</v>
      </c>
      <c r="G2014" s="25" t="n">
        <f aca="false">G2007*MIN(G2006-G2012+G2011,MAX(0,G2056-Assumptions!$C$12*G1991-G2001))</f>
        <v>0</v>
      </c>
      <c r="H2014" s="25" t="n">
        <f aca="false">H2007*MIN(H2006-H2012+H2011,MAX(0,H2056-Assumptions!$C$12*H1991-H2001))</f>
        <v>0</v>
      </c>
      <c r="I2014" s="25" t="n">
        <f aca="false">I2007*MIN(I2006-I2012+I2011,MAX(0,I2056-Assumptions!$C$12*I1991-I2001))</f>
        <v>276.706</v>
      </c>
      <c r="J2014" s="25" t="n">
        <f aca="false">J2007*MIN(J2006-J2012+J2011,MAX(0,J2056-Assumptions!$C$12*J1991-J2001))</f>
        <v>0</v>
      </c>
      <c r="K2014" s="25" t="n">
        <f aca="false">K2007*MIN(K2006-K2012+K2011,MAX(0,K2056-Assumptions!$C$12*K1991-K2001))</f>
        <v>0</v>
      </c>
    </row>
    <row r="2015" customFormat="false" ht="15" hidden="false" customHeight="false" outlineLevel="0" collapsed="false">
      <c r="A2015" s="3" t="s">
        <v>317</v>
      </c>
      <c r="G2015" s="25" t="n">
        <f aca="false">Assumptions!$N$57*MIN(G2006+G2013+G2011-G2012-G2014,MAX(0,G2060-G2002))</f>
        <v>0</v>
      </c>
      <c r="H2015" s="25" t="n">
        <f aca="false">Assumptions!$N$57*MIN(H2006+H2013+H2011-H2012-H2014,MAX(0,H2060-H2002))</f>
        <v>0</v>
      </c>
      <c r="I2015" s="25" t="n">
        <f aca="false">Assumptions!$N$57*MIN(I2006+I2013+I2011-I2012-I2014,MAX(0,I2060-I2002))</f>
        <v>0</v>
      </c>
      <c r="J2015" s="25" t="n">
        <f aca="false">Assumptions!$N$57*MIN(J2006+J2013+J2011-J2012-J2014,MAX(0,J2060-J2002))</f>
        <v>0</v>
      </c>
      <c r="K2015" s="25" t="n">
        <f aca="false">Assumptions!$N$57*MIN(K2006+K2013+K2011-K2012-K2014,MAX(0,K2060-K2002))</f>
        <v>0</v>
      </c>
    </row>
    <row r="2016" customFormat="false" ht="15" hidden="false" customHeight="false" outlineLevel="0" collapsed="false">
      <c r="A2016" s="3" t="s">
        <v>318</v>
      </c>
      <c r="G2016" s="25" t="n">
        <f aca="false">G2007*(1-G1991)*(G2006-G2012+G2011-G2014)</f>
        <v>0</v>
      </c>
      <c r="H2016" s="25" t="n">
        <f aca="false">H2007*(1-H1991)*(H2006-H2012+H2011-H2014)</f>
        <v>0</v>
      </c>
      <c r="I2016" s="25" t="n">
        <f aca="false">I2007*(1-I1991)*(I2006-I2012+I2011-I2014)</f>
        <v>0</v>
      </c>
      <c r="J2016" s="25" t="n">
        <f aca="false">J2007*(1-J1991)*(J2006-J2012+J2011-J2014)</f>
        <v>0</v>
      </c>
      <c r="K2016" s="25" t="n">
        <f aca="false">K2007*(1-K1991)*(K2006-K2012+K2011-K2014)</f>
        <v>0</v>
      </c>
    </row>
    <row r="2017" customFormat="false" ht="15" hidden="false" customHeight="false" outlineLevel="0" collapsed="false">
      <c r="A2017" s="2" t="s">
        <v>319</v>
      </c>
      <c r="F2017" s="28" t="n">
        <f aca="false">Assumptions!$C$57</f>
        <v>276.706</v>
      </c>
      <c r="G2017" s="16" t="n">
        <f aca="false">G2006+G2013+G2011-G2012-G2014-G2015</f>
        <v>276.706</v>
      </c>
      <c r="H2017" s="16" t="n">
        <f aca="false">H2006+H2013+H2011-H2012-H2014-H2015</f>
        <v>276.706</v>
      </c>
      <c r="I2017" s="16" t="n">
        <f aca="false">I2006+I2013+I2011-I2012-I2014-I2015</f>
        <v>0</v>
      </c>
      <c r="J2017" s="16" t="n">
        <f aca="false">J2006+J2013+J2011-J2012-J2014-J2015</f>
        <v>0</v>
      </c>
      <c r="K2017" s="16" t="n">
        <f aca="false">K2006+K2013+K2011-K2012-K2014-K2015</f>
        <v>0</v>
      </c>
    </row>
    <row r="2018" customFormat="false" ht="15" hidden="false" customHeight="false" outlineLevel="0" collapsed="false">
      <c r="A2018" s="23" t="s">
        <v>321</v>
      </c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</row>
    <row r="2019" customFormat="false" ht="15" hidden="false" customHeight="false" outlineLevel="0" collapsed="false">
      <c r="A2019" s="3" t="s">
        <v>309</v>
      </c>
      <c r="G2019" s="25" t="n">
        <f aca="false">F2030</f>
        <v>143.75</v>
      </c>
      <c r="H2019" s="25" t="n">
        <f aca="false">G2030</f>
        <v>143.75</v>
      </c>
      <c r="I2019" s="25" t="n">
        <f aca="false">H2030</f>
        <v>143.75</v>
      </c>
      <c r="J2019" s="25" t="n">
        <f aca="false">I2030</f>
        <v>0</v>
      </c>
      <c r="K2019" s="25" t="n">
        <f aca="false">J2030</f>
        <v>0</v>
      </c>
    </row>
    <row r="2020" customFormat="false" ht="15" hidden="false" customHeight="false" outlineLevel="0" collapsed="false">
      <c r="A2020" s="3" t="s">
        <v>310</v>
      </c>
      <c r="G2020" s="20" t="n">
        <f aca="false">IF(G1957=Assumptions!$K$58,1,0)</f>
        <v>0</v>
      </c>
      <c r="H2020" s="20" t="n">
        <f aca="false">IF(H1957=Assumptions!$K$58,1,0)</f>
        <v>0</v>
      </c>
      <c r="I2020" s="20" t="n">
        <f aca="false">IF(I1957=Assumptions!$K$58,1,0)</f>
        <v>1</v>
      </c>
      <c r="J2020" s="20" t="n">
        <f aca="false">IF(J1957=Assumptions!$K$58,1,0)</f>
        <v>0</v>
      </c>
      <c r="K2020" s="20" t="n">
        <f aca="false">IF(K1957=Assumptions!$K$58,1,0)</f>
        <v>0</v>
      </c>
    </row>
    <row r="2022" customFormat="false" ht="15" hidden="false" customHeight="false" outlineLevel="0" collapsed="false">
      <c r="A2022" s="3" t="s">
        <v>311</v>
      </c>
      <c r="G2022" s="31" t="n">
        <f aca="false">IF(Assumptions!$I$58=1,MAX(G1983,Assumptions!$G$58)+Assumptions!$F$58+$C$1984,Assumptions!$E$58)</f>
        <v>0.0425</v>
      </c>
      <c r="H2022" s="31" t="n">
        <f aca="false">IF(G2142=1,$C$1985,IF(Assumptions!$I$58=1,MAX(H1983,Assumptions!$G$58)+Assumptions!$F$58+$C$1984,Assumptions!$E$58))</f>
        <v>0.0425</v>
      </c>
      <c r="I2022" s="31" t="n">
        <f aca="false">IF(H2142=1,$C$1985,IF(Assumptions!$I$58=1,MAX(I1983,Assumptions!$G$58)+Assumptions!$F$58+$C$1984,Assumptions!$E$58))</f>
        <v>0.0425</v>
      </c>
      <c r="J2022" s="31" t="n">
        <f aca="false">IF(I2142=1,$C$1985,IF(Assumptions!$I$58=1,MAX(J1983,Assumptions!$G$58)+Assumptions!$F$58+$C$1984,Assumptions!$E$58))</f>
        <v>0.11</v>
      </c>
      <c r="K2022" s="31" t="n">
        <f aca="false">IF(J2142=1,$C$1985,IF(Assumptions!$I$58=1,MAX(K1983,Assumptions!$G$58)+Assumptions!$F$58+$C$1984,Assumptions!$E$58))</f>
        <v>0.11</v>
      </c>
    </row>
    <row r="2023" customFormat="false" ht="15" hidden="false" customHeight="false" outlineLevel="0" collapsed="false">
      <c r="A2023" s="3" t="s">
        <v>312</v>
      </c>
      <c r="G2023" s="25" t="n">
        <f aca="false">G2019*G2022</f>
        <v>6.109375</v>
      </c>
      <c r="H2023" s="25" t="n">
        <f aca="false">H2019*H2022</f>
        <v>6.109375</v>
      </c>
      <c r="I2023" s="25" t="n">
        <f aca="false">I2019*I2022</f>
        <v>6.109375</v>
      </c>
      <c r="J2023" s="25" t="n">
        <f aca="false">J2019*J2022</f>
        <v>0</v>
      </c>
      <c r="K2023" s="25" t="n">
        <f aca="false">K2019*K2022</f>
        <v>0</v>
      </c>
    </row>
    <row r="2024" customFormat="false" ht="15" hidden="false" customHeight="false" outlineLevel="0" collapsed="false">
      <c r="A2024" s="3" t="s">
        <v>313</v>
      </c>
      <c r="G2024" s="25" t="n">
        <f aca="false">G2019*Assumptions!$H$58</f>
        <v>0</v>
      </c>
      <c r="H2024" s="25" t="n">
        <f aca="false">H2019*Assumptions!$H$58</f>
        <v>0</v>
      </c>
      <c r="I2024" s="25" t="n">
        <f aca="false">I2019*Assumptions!$H$58</f>
        <v>0</v>
      </c>
      <c r="J2024" s="25" t="n">
        <f aca="false">J2019*Assumptions!$H$58</f>
        <v>0</v>
      </c>
      <c r="K2024" s="25" t="n">
        <f aca="false">K2019*Assumptions!$H$58</f>
        <v>0</v>
      </c>
    </row>
    <row r="2025" customFormat="false" ht="15" hidden="false" customHeight="false" outlineLevel="0" collapsed="false">
      <c r="A2025" s="3" t="s">
        <v>314</v>
      </c>
      <c r="G2025" s="25" t="n">
        <f aca="false">MIN(G2019,Assumptions!$L$58*Assumptions!$C$58)</f>
        <v>0</v>
      </c>
      <c r="H2025" s="25" t="n">
        <f aca="false">MIN(H2019,Assumptions!$L$58*Assumptions!$C$58)</f>
        <v>0</v>
      </c>
      <c r="I2025" s="25" t="n">
        <f aca="false">MIN(I2019,Assumptions!$L$58*Assumptions!$C$58)</f>
        <v>0</v>
      </c>
      <c r="J2025" s="25" t="n">
        <f aca="false">MIN(J2019,Assumptions!$L$58*Assumptions!$C$58)</f>
        <v>0</v>
      </c>
      <c r="K2025" s="25" t="n">
        <f aca="false">MIN(K2019,Assumptions!$L$58*Assumptions!$C$58)</f>
        <v>0</v>
      </c>
    </row>
    <row r="2026" customFormat="false" ht="15" hidden="false" customHeight="false" outlineLevel="0" collapsed="false">
      <c r="A2026" s="3" t="s">
        <v>315</v>
      </c>
      <c r="G2026" s="25" t="n">
        <f aca="false">IF(AND(Assumptions!$P$58=1,G1957&lt;Assumptions!$K$58),MIN(MAX(0,-G2054),MAX(0,Assumptions!$D$58-G2019)),0)</f>
        <v>0</v>
      </c>
      <c r="H2026" s="25" t="n">
        <f aca="false">IF(AND(Assumptions!$P$58=1,OR(H1957&lt;Assumptions!$K$58,G2142=1)),MIN(MAX(0,-H2054),MAX(0,Assumptions!$D$58-H2019)),0)</f>
        <v>0</v>
      </c>
      <c r="I2026" s="25" t="n">
        <f aca="false">IF(AND(Assumptions!$P$58=1,OR(I1957&lt;Assumptions!$K$58,H2142=1)),MIN(MAX(0,-I2054),MAX(0,Assumptions!$D$58-I2019)),0)</f>
        <v>0</v>
      </c>
      <c r="J2026" s="25" t="n">
        <f aca="false">IF(AND(Assumptions!$P$58=1,OR(J1957&lt;Assumptions!$K$58,I2142=1)),MIN(MAX(0,-J2054),MAX(0,Assumptions!$D$58-J2019)),0)</f>
        <v>0</v>
      </c>
      <c r="K2026" s="25" t="n">
        <f aca="false">IF(AND(Assumptions!$P$58=1,OR(K1957&lt;Assumptions!$K$58,J2142=1)),MIN(MAX(0,-K2054),MAX(0,Assumptions!$D$58-K2019)),0)</f>
        <v>0</v>
      </c>
    </row>
    <row r="2027" customFormat="false" ht="15" hidden="false" customHeight="false" outlineLevel="0" collapsed="false">
      <c r="A2027" s="3" t="s">
        <v>316</v>
      </c>
      <c r="G2027" s="25" t="n">
        <f aca="false">G2020*MIN(G2019-G2025+G2024,MAX(0,G2056-Assumptions!$C$12*G1991-G2001-G2014))</f>
        <v>0</v>
      </c>
      <c r="H2027" s="25" t="n">
        <f aca="false">H2020*MIN(H2019-H2025+H2024,MAX(0,H2056-Assumptions!$C$12*H1991-H2001-H2014))</f>
        <v>0</v>
      </c>
      <c r="I2027" s="25" t="n">
        <f aca="false">I2020*MIN(I2019-I2025+I2024,MAX(0,I2056-Assumptions!$C$12*I1991-I2001-I2014))</f>
        <v>143.75</v>
      </c>
      <c r="J2027" s="25" t="n">
        <f aca="false">J2020*MIN(J2019-J2025+J2024,MAX(0,J2056-Assumptions!$C$12*J1991-J2001-J2014))</f>
        <v>0</v>
      </c>
      <c r="K2027" s="25" t="n">
        <f aca="false">K2020*MIN(K2019-K2025+K2024,MAX(0,K2056-Assumptions!$C$12*K1991-K2001-K2014))</f>
        <v>0</v>
      </c>
    </row>
    <row r="2028" customFormat="false" ht="15" hidden="false" customHeight="false" outlineLevel="0" collapsed="false">
      <c r="A2028" s="3" t="s">
        <v>317</v>
      </c>
      <c r="G2028" s="25" t="n">
        <f aca="false">Assumptions!$N$58*MIN(G2019+G2026+G2024-G2025-G2027,MAX(0,G2060-G2002-G2015))</f>
        <v>0</v>
      </c>
      <c r="H2028" s="25" t="n">
        <f aca="false">Assumptions!$N$58*MIN(H2019+H2026+H2024-H2025-H2027,MAX(0,H2060-H2002-H2015))</f>
        <v>0</v>
      </c>
      <c r="I2028" s="25" t="n">
        <f aca="false">Assumptions!$N$58*MIN(I2019+I2026+I2024-I2025-I2027,MAX(0,I2060-I2002-I2015))</f>
        <v>0</v>
      </c>
      <c r="J2028" s="25" t="n">
        <f aca="false">Assumptions!$N$58*MIN(J2019+J2026+J2024-J2025-J2027,MAX(0,J2060-J2002-J2015))</f>
        <v>0</v>
      </c>
      <c r="K2028" s="25" t="n">
        <f aca="false">Assumptions!$N$58*MIN(K2019+K2026+K2024-K2025-K2027,MAX(0,K2060-K2002-K2015))</f>
        <v>0</v>
      </c>
    </row>
    <row r="2029" customFormat="false" ht="15" hidden="false" customHeight="false" outlineLevel="0" collapsed="false">
      <c r="A2029" s="3" t="s">
        <v>318</v>
      </c>
      <c r="G2029" s="25" t="n">
        <f aca="false">G2020*(1-G1991)*(G2019-G2025+G2024-G2027)</f>
        <v>0</v>
      </c>
      <c r="H2029" s="25" t="n">
        <f aca="false">H2020*(1-H1991)*(H2019-H2025+H2024-H2027)</f>
        <v>0</v>
      </c>
      <c r="I2029" s="25" t="n">
        <f aca="false">I2020*(1-I1991)*(I2019-I2025+I2024-I2027)</f>
        <v>0</v>
      </c>
      <c r="J2029" s="25" t="n">
        <f aca="false">J2020*(1-J1991)*(J2019-J2025+J2024-J2027)</f>
        <v>0</v>
      </c>
      <c r="K2029" s="25" t="n">
        <f aca="false">K2020*(1-K1991)*(K2019-K2025+K2024-K2027)</f>
        <v>0</v>
      </c>
    </row>
    <row r="2030" customFormat="false" ht="15" hidden="false" customHeight="false" outlineLevel="0" collapsed="false">
      <c r="A2030" s="2" t="s">
        <v>319</v>
      </c>
      <c r="F2030" s="28" t="n">
        <f aca="false">Assumptions!$C$58</f>
        <v>143.75</v>
      </c>
      <c r="G2030" s="16" t="n">
        <f aca="false">G2019+G2026+G2024-G2025-G2027-G2028</f>
        <v>143.75</v>
      </c>
      <c r="H2030" s="16" t="n">
        <f aca="false">H2019+H2026+H2024-H2025-H2027-H2028</f>
        <v>143.75</v>
      </c>
      <c r="I2030" s="16" t="n">
        <f aca="false">I2019+I2026+I2024-I2025-I2027-I2028</f>
        <v>0</v>
      </c>
      <c r="J2030" s="16" t="n">
        <f aca="false">J2019+J2026+J2024-J2025-J2027-J2028</f>
        <v>0</v>
      </c>
      <c r="K2030" s="16" t="n">
        <f aca="false">K2019+K2026+K2024-K2025-K2027-K2028</f>
        <v>0</v>
      </c>
    </row>
    <row r="2031" customFormat="false" ht="15" hidden="false" customHeight="false" outlineLevel="0" collapsed="false">
      <c r="A2031" s="23" t="s">
        <v>322</v>
      </c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</row>
    <row r="2032" customFormat="false" ht="15" hidden="false" customHeight="false" outlineLevel="0" collapsed="false">
      <c r="A2032" s="2" t="s">
        <v>323</v>
      </c>
      <c r="F2032" s="16" t="n">
        <f aca="false">F2004+F2017+F2030</f>
        <v>1735.554</v>
      </c>
      <c r="G2032" s="16" t="n">
        <f aca="false">G2004+G2017+G2030</f>
        <v>1735.554</v>
      </c>
      <c r="H2032" s="16" t="n">
        <f aca="false">H2004+H2017+H2030</f>
        <v>1735.554</v>
      </c>
      <c r="I2032" s="16" t="n">
        <f aca="false">I2004+I2017+I2030</f>
        <v>1315.098</v>
      </c>
      <c r="J2032" s="16" t="n">
        <f aca="false">J2004+J2017+J2030</f>
        <v>1315.098</v>
      </c>
      <c r="K2032" s="16" t="n">
        <f aca="false">K2004+K2017+K2030</f>
        <v>1315.098</v>
      </c>
    </row>
    <row r="2033" customFormat="false" ht="15" hidden="false" customHeight="false" outlineLevel="0" collapsed="false">
      <c r="A2033" s="3" t="s">
        <v>324</v>
      </c>
      <c r="G2033" s="25" t="n">
        <f aca="false">G1994*Assumptions!$C$56+G2007*Assumptions!$C$57+G2020*Assumptions!$C$58</f>
        <v>0</v>
      </c>
      <c r="H2033" s="25" t="n">
        <f aca="false">H1994*Assumptions!$C$56+H2007*Assumptions!$C$57+H2020*Assumptions!$C$58</f>
        <v>0</v>
      </c>
      <c r="I2033" s="25" t="n">
        <f aca="false">I1994*Assumptions!$C$56+I2007*Assumptions!$C$57+I2020*Assumptions!$C$58</f>
        <v>420.456</v>
      </c>
      <c r="J2033" s="25" t="n">
        <f aca="false">J1994*Assumptions!$C$56+J2007*Assumptions!$C$57+J2020*Assumptions!$C$58</f>
        <v>0</v>
      </c>
      <c r="K2033" s="25" t="n">
        <f aca="false">K1994*Assumptions!$C$56+K2007*Assumptions!$C$57+K2020*Assumptions!$C$58</f>
        <v>0</v>
      </c>
    </row>
    <row r="2034" customFormat="false" ht="15" hidden="false" customHeight="false" outlineLevel="0" collapsed="false">
      <c r="A2034" s="23" t="s">
        <v>325</v>
      </c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</row>
    <row r="2035" customFormat="false" ht="15" hidden="false" customHeight="false" outlineLevel="0" collapsed="false">
      <c r="A2035" s="3" t="s">
        <v>326</v>
      </c>
      <c r="C2035" s="25" t="n">
        <f aca="false">SUMPRODUCT($G$1994:$K$1994,$G$1993:$K$1993-$G$1999:$K$1999+$G$1998:$K$1998)</f>
        <v>0</v>
      </c>
    </row>
    <row r="2036" customFormat="false" ht="15" hidden="false" customHeight="false" outlineLevel="0" collapsed="false">
      <c r="A2036" s="3" t="s">
        <v>327</v>
      </c>
      <c r="C2036" s="25" t="n">
        <f aca="false">SUMPRODUCT($G$1994:$K$1994,$G$2001:$K$2001)</f>
        <v>0</v>
      </c>
    </row>
    <row r="2037" customFormat="false" ht="15" hidden="false" customHeight="false" outlineLevel="0" collapsed="false">
      <c r="A2037" s="3" t="s">
        <v>328</v>
      </c>
      <c r="C2037" s="3" t="str">
        <f aca="false">IF(SUM($G$1994:$K$1994)=0,"n/a (beyond horizon)",IF(SUMPRODUCT($G$1994:$K$1994,$G$1991:$K$1991)&gt;0,"REFINANCING PASS","REFINANCING FAILURE"))</f>
        <v>n/a (beyond horizon)</v>
      </c>
    </row>
    <row r="2038" customFormat="false" ht="15" hidden="false" customHeight="false" outlineLevel="0" collapsed="false">
      <c r="A2038" s="3" t="s">
        <v>329</v>
      </c>
      <c r="C2038" s="3" t="str">
        <f aca="false">IF(SUM($G$1994:$K$1994)=0,"n/a",IF(C2036&gt;=C2035-0.001,"Repaid from cash",IF(SUMPRODUCT($G$1994:$K$1994,$G$1991:$K$1991)&gt;0,IF(C2036&gt;0,"Partly repaid; remainder refinanced","Refinanced"),IF(SUM($G$2003:$K$2003)&gt;0.001,IF(C2036&gt;0,"Partial repayment; PAYMENT DEFAULT","PAYMENT DEFAULT"),"Repaid from cash"))))</f>
        <v>n/a</v>
      </c>
    </row>
    <row r="2039" customFormat="false" ht="15" hidden="false" customHeight="false" outlineLevel="0" collapsed="false">
      <c r="A2039" s="3" t="s">
        <v>330</v>
      </c>
      <c r="C2039" s="25" t="n">
        <f aca="false">SUMPRODUCT($G$2007:$K$2007,$G$2006:$K$2006-$G$2012:$K$2012+$G$2011:$K$2011)</f>
        <v>276.706</v>
      </c>
    </row>
    <row r="2040" customFormat="false" ht="15" hidden="false" customHeight="false" outlineLevel="0" collapsed="false">
      <c r="A2040" s="3" t="s">
        <v>331</v>
      </c>
      <c r="C2040" s="25" t="n">
        <f aca="false">SUMPRODUCT($G$2007:$K$2007,$G$2014:$K$2014)</f>
        <v>276.706</v>
      </c>
    </row>
    <row r="2041" customFormat="false" ht="15" hidden="false" customHeight="false" outlineLevel="0" collapsed="false">
      <c r="A2041" s="3" t="s">
        <v>332</v>
      </c>
      <c r="C2041" s="3" t="str">
        <f aca="false">IF(SUM($G$2007:$K$2007)=0,"n/a (beyond horizon)",IF(SUMPRODUCT($G$2007:$K$2007,$G$1991:$K$1991)&gt;0,"REFINANCING PASS","REFINANCING FAILURE"))</f>
        <v>REFINANCING PASS</v>
      </c>
    </row>
    <row r="2042" customFormat="false" ht="15" hidden="false" customHeight="false" outlineLevel="0" collapsed="false">
      <c r="A2042" s="3" t="s">
        <v>333</v>
      </c>
      <c r="C2042" s="3" t="str">
        <f aca="false">IF(SUM($G$2007:$K$2007)=0,"n/a",IF(C2040&gt;=C2039-0.001,"Repaid from cash",IF(SUMPRODUCT($G$2007:$K$2007,$G$1991:$K$1991)&gt;0,IF(C2040&gt;0,"Partly repaid; remainder refinanced","Refinanced"),IF(SUM($G$2016:$K$2016)&gt;0.001,IF(C2040&gt;0,"Partial repayment; PAYMENT DEFAULT","PAYMENT DEFAULT"),"Repaid from cash"))))</f>
        <v>Repaid from cash</v>
      </c>
    </row>
    <row r="2043" customFormat="false" ht="15" hidden="false" customHeight="false" outlineLevel="0" collapsed="false">
      <c r="A2043" s="3" t="s">
        <v>334</v>
      </c>
      <c r="C2043" s="25" t="n">
        <f aca="false">SUMPRODUCT($G$2020:$K$2020,$G$2019:$K$2019-$G$2025:$K$2025+$G$2024:$K$2024)</f>
        <v>143.75</v>
      </c>
    </row>
    <row r="2044" customFormat="false" ht="15" hidden="false" customHeight="false" outlineLevel="0" collapsed="false">
      <c r="A2044" s="3" t="s">
        <v>335</v>
      </c>
      <c r="C2044" s="25" t="n">
        <f aca="false">SUMPRODUCT($G$2020:$K$2020,$G$2027:$K$2027)</f>
        <v>143.75</v>
      </c>
    </row>
    <row r="2045" customFormat="false" ht="15" hidden="false" customHeight="false" outlineLevel="0" collapsed="false">
      <c r="A2045" s="3" t="s">
        <v>336</v>
      </c>
      <c r="C2045" s="3" t="str">
        <f aca="false">IF(SUM($G$2020:$K$2020)=0,"n/a (beyond horizon)",IF(SUMPRODUCT($G$2020:$K$2020,$G$1991:$K$1991)&gt;0,"REFINANCING PASS","REFINANCING FAILURE"))</f>
        <v>REFINANCING PASS</v>
      </c>
    </row>
    <row r="2046" customFormat="false" ht="15" hidden="false" customHeight="false" outlineLevel="0" collapsed="false">
      <c r="A2046" s="3" t="s">
        <v>337</v>
      </c>
      <c r="C2046" s="3" t="str">
        <f aca="false">IF(SUM($G$2020:$K$2020)=0,"n/a",IF(C2044&gt;=C2043-0.001,"Repaid from cash",IF(SUMPRODUCT($G$2020:$K$2020,$G$1991:$K$1991)&gt;0,IF(C2044&gt;0,"Partly repaid; remainder refinanced","Refinanced"),IF(SUM($G$2029:$K$2029)&gt;0.001,IF(C2044&gt;0,"Partial repayment; PAYMENT DEFAULT","PAYMENT DEFAULT"),"Repaid from cash"))))</f>
        <v>Repaid from cash</v>
      </c>
    </row>
    <row r="2047" customFormat="false" ht="15" hidden="false" customHeight="false" outlineLevel="0" collapsed="false">
      <c r="A2047" s="3" t="s">
        <v>338</v>
      </c>
      <c r="C2047" s="20" t="n">
        <f aca="false">IF(C2037="REFINANCING FAILURE",1,0)+IF(C2041="REFINANCING FAILURE",1,0)+IF(C2045="REFINANCING FAILURE",1,0)</f>
        <v>0</v>
      </c>
    </row>
    <row r="2049" customFormat="false" ht="15" hidden="false" customHeight="false" outlineLevel="0" collapsed="false">
      <c r="A2049" s="23" t="s">
        <v>340</v>
      </c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</row>
    <row r="2050" customFormat="false" ht="15" hidden="false" customHeight="false" outlineLevel="0" collapsed="false">
      <c r="A2050" s="3" t="s">
        <v>305</v>
      </c>
      <c r="G2050" s="25" t="n">
        <f aca="false">F2062</f>
        <v>463.996</v>
      </c>
      <c r="H2050" s="25" t="n">
        <f aca="false">G2062</f>
        <v>622.03968198</v>
      </c>
      <c r="I2050" s="25" t="n">
        <f aca="false">H2062</f>
        <v>769.0829765808</v>
      </c>
      <c r="J2050" s="25" t="n">
        <f aca="false">I2062</f>
        <v>483.449130761784</v>
      </c>
      <c r="K2050" s="25" t="n">
        <f aca="false">J2062</f>
        <v>621.228284671689</v>
      </c>
    </row>
    <row r="2051" customFormat="false" ht="15" hidden="false" customHeight="false" outlineLevel="0" collapsed="false">
      <c r="A2051" s="3" t="s">
        <v>341</v>
      </c>
      <c r="G2051" s="25" t="n">
        <f aca="false">G1980</f>
        <v>158.04368198</v>
      </c>
      <c r="H2051" s="25" t="n">
        <f aca="false">H1980</f>
        <v>147.0432946008</v>
      </c>
      <c r="I2051" s="25" t="n">
        <f aca="false">I1980</f>
        <v>134.822154180984</v>
      </c>
      <c r="J2051" s="25" t="n">
        <f aca="false">J1980</f>
        <v>137.779153909905</v>
      </c>
      <c r="K2051" s="25" t="n">
        <f aca="false">K1980</f>
        <v>127.734211414078</v>
      </c>
    </row>
    <row r="2052" customFormat="false" ht="15" hidden="false" customHeight="false" outlineLevel="0" collapsed="false">
      <c r="A2052" s="3" t="s">
        <v>342</v>
      </c>
      <c r="G2052" s="25" t="n">
        <f aca="false">CHOOSE($C$1950,Assumptions!$G$74,Assumptions!$G$93,Assumptions!$G$112)</f>
        <v>0</v>
      </c>
      <c r="H2052" s="25" t="n">
        <f aca="false">CHOOSE($C$1950,Assumptions!$H$74,Assumptions!$H$93,Assumptions!$H$112)</f>
        <v>0</v>
      </c>
      <c r="I2052" s="25" t="n">
        <f aca="false">CHOOSE($C$1950,Assumptions!$I$74,Assumptions!$I$93,Assumptions!$I$112)</f>
        <v>0</v>
      </c>
      <c r="J2052" s="25" t="n">
        <f aca="false">CHOOSE($C$1950,Assumptions!$J$74,Assumptions!$J$93,Assumptions!$J$112)</f>
        <v>0</v>
      </c>
      <c r="K2052" s="25" t="n">
        <f aca="false">CHOOSE($C$1950,Assumptions!$K$74,Assumptions!$K$93,Assumptions!$K$112)</f>
        <v>0</v>
      </c>
    </row>
    <row r="2053" customFormat="false" ht="15" hidden="false" customHeight="false" outlineLevel="0" collapsed="false">
      <c r="A2053" s="3" t="s">
        <v>343</v>
      </c>
      <c r="G2053" s="25" t="n">
        <f aca="false">G1999+G2012+G2025</f>
        <v>0</v>
      </c>
      <c r="H2053" s="25" t="n">
        <f aca="false">H1999+H2012+H2025</f>
        <v>0</v>
      </c>
      <c r="I2053" s="25" t="n">
        <f aca="false">I1999+I2012+I2025</f>
        <v>0</v>
      </c>
      <c r="J2053" s="25" t="n">
        <f aca="false">J1999+J2012+J2025</f>
        <v>0</v>
      </c>
      <c r="K2053" s="25" t="n">
        <f aca="false">K1999+K2012+K2025</f>
        <v>0</v>
      </c>
    </row>
    <row r="2054" customFormat="false" ht="15" hidden="false" customHeight="false" outlineLevel="0" collapsed="false">
      <c r="A2054" s="2" t="s">
        <v>344</v>
      </c>
      <c r="G2054" s="16" t="n">
        <f aca="false">G2050+G2051+G2052-G2053</f>
        <v>622.03968198</v>
      </c>
      <c r="H2054" s="16" t="n">
        <f aca="false">H2050+H2051+H2052-H2053</f>
        <v>769.0829765808</v>
      </c>
      <c r="I2054" s="16" t="n">
        <f aca="false">I2050+I2051+I2052-I2053</f>
        <v>903.905130761784</v>
      </c>
      <c r="J2054" s="16" t="n">
        <f aca="false">J2050+J2051+J2052-J2053</f>
        <v>621.228284671689</v>
      </c>
      <c r="K2054" s="16" t="n">
        <f aca="false">K2050+K2051+K2052-K2053</f>
        <v>748.962496085767</v>
      </c>
    </row>
    <row r="2055" customFormat="false" ht="15" hidden="false" customHeight="false" outlineLevel="0" collapsed="false">
      <c r="A2055" s="3" t="s">
        <v>345</v>
      </c>
      <c r="G2055" s="25" t="n">
        <f aca="false">G2000+G2013+G2026</f>
        <v>0</v>
      </c>
      <c r="H2055" s="25" t="n">
        <f aca="false">H2000+H2013+H2026</f>
        <v>0</v>
      </c>
      <c r="I2055" s="25" t="n">
        <f aca="false">I2000+I2013+I2026</f>
        <v>0</v>
      </c>
      <c r="J2055" s="25" t="n">
        <f aca="false">J2000+J2013+J2026</f>
        <v>0</v>
      </c>
      <c r="K2055" s="25" t="n">
        <f aca="false">K2000+K2013+K2026</f>
        <v>0</v>
      </c>
    </row>
    <row r="2056" customFormat="false" ht="15" hidden="false" customHeight="false" outlineLevel="0" collapsed="false">
      <c r="A2056" s="2" t="s">
        <v>346</v>
      </c>
      <c r="G2056" s="16" t="n">
        <f aca="false">G2054+G2055</f>
        <v>622.03968198</v>
      </c>
      <c r="H2056" s="16" t="n">
        <f aca="false">H2054+H2055</f>
        <v>769.0829765808</v>
      </c>
      <c r="I2056" s="16" t="n">
        <f aca="false">I2054+I2055</f>
        <v>903.905130761784</v>
      </c>
      <c r="J2056" s="16" t="n">
        <f aca="false">J2054+J2055</f>
        <v>621.228284671689</v>
      </c>
      <c r="K2056" s="16" t="n">
        <f aca="false">K2054+K2055</f>
        <v>748.962496085767</v>
      </c>
    </row>
    <row r="2057" customFormat="false" ht="15" hidden="false" customHeight="false" outlineLevel="0" collapsed="false">
      <c r="A2057" s="3" t="s">
        <v>347</v>
      </c>
      <c r="G2057" s="25" t="n">
        <f aca="false">G2001+G2014+G2027</f>
        <v>0</v>
      </c>
      <c r="H2057" s="25" t="n">
        <f aca="false">H2001+H2014+H2027</f>
        <v>0</v>
      </c>
      <c r="I2057" s="25" t="n">
        <f aca="false">I2001+I2014+I2027</f>
        <v>420.456</v>
      </c>
      <c r="J2057" s="25" t="n">
        <f aca="false">J2001+J2014+J2027</f>
        <v>0</v>
      </c>
      <c r="K2057" s="25" t="n">
        <f aca="false">K2001+K2014+K2027</f>
        <v>0</v>
      </c>
    </row>
    <row r="2058" customFormat="false" ht="15" hidden="false" customHeight="false" outlineLevel="0" collapsed="false">
      <c r="A2058" s="2" t="s">
        <v>348</v>
      </c>
      <c r="G2058" s="16" t="n">
        <f aca="false">G2056-G2057</f>
        <v>622.03968198</v>
      </c>
      <c r="H2058" s="16" t="n">
        <f aca="false">H2056-H2057</f>
        <v>769.0829765808</v>
      </c>
      <c r="I2058" s="16" t="n">
        <f aca="false">I2056-I2057</f>
        <v>483.449130761784</v>
      </c>
      <c r="J2058" s="16" t="n">
        <f aca="false">J2056-J2057</f>
        <v>621.228284671689</v>
      </c>
      <c r="K2058" s="16" t="n">
        <f aca="false">K2056-K2057</f>
        <v>748.962496085767</v>
      </c>
    </row>
    <row r="2059" customFormat="false" ht="15" hidden="false" customHeight="false" outlineLevel="0" collapsed="false">
      <c r="A2059" s="3" t="s">
        <v>349</v>
      </c>
      <c r="G2059" s="25" t="n">
        <f aca="false">MAX(0,-G2058)</f>
        <v>0</v>
      </c>
      <c r="H2059" s="25" t="n">
        <f aca="false">MAX(0,-H2058)</f>
        <v>0</v>
      </c>
      <c r="I2059" s="25" t="n">
        <f aca="false">MAX(0,-I2058)</f>
        <v>0</v>
      </c>
      <c r="J2059" s="25" t="n">
        <f aca="false">MAX(0,-J2058)</f>
        <v>0</v>
      </c>
      <c r="K2059" s="25" t="n">
        <f aca="false">MAX(0,-K2058)</f>
        <v>0</v>
      </c>
    </row>
    <row r="2060" customFormat="false" ht="15" hidden="false" customHeight="false" outlineLevel="0" collapsed="false">
      <c r="A2060" s="3" t="s">
        <v>350</v>
      </c>
      <c r="G2060" s="25" t="n">
        <f aca="false">MAX(0,G2058-Assumptions!$C$12)*Assumptions!$C$13</f>
        <v>0</v>
      </c>
      <c r="H2060" s="25" t="n">
        <f aca="false">MAX(0,H2058-Assumptions!$C$12)*Assumptions!$C$13</f>
        <v>0</v>
      </c>
      <c r="I2060" s="25" t="n">
        <f aca="false">MAX(0,I2058-Assumptions!$C$12)*Assumptions!$C$13</f>
        <v>0</v>
      </c>
      <c r="J2060" s="25" t="n">
        <f aca="false">MAX(0,J2058-Assumptions!$C$12)*Assumptions!$C$13</f>
        <v>0</v>
      </c>
      <c r="K2060" s="25" t="n">
        <f aca="false">MAX(0,K2058-Assumptions!$C$12)*Assumptions!$C$13</f>
        <v>0</v>
      </c>
    </row>
    <row r="2061" customFormat="false" ht="15" hidden="false" customHeight="false" outlineLevel="0" collapsed="false">
      <c r="A2061" s="3" t="s">
        <v>351</v>
      </c>
      <c r="G2061" s="25" t="n">
        <f aca="false">G2002+G2015+G2028</f>
        <v>0</v>
      </c>
      <c r="H2061" s="25" t="n">
        <f aca="false">H2002+H2015+H2028</f>
        <v>0</v>
      </c>
      <c r="I2061" s="25" t="n">
        <f aca="false">I2002+I2015+I2028</f>
        <v>0</v>
      </c>
      <c r="J2061" s="25" t="n">
        <f aca="false">J2002+J2015+J2028</f>
        <v>0</v>
      </c>
      <c r="K2061" s="25" t="n">
        <f aca="false">K2002+K2015+K2028</f>
        <v>0</v>
      </c>
    </row>
    <row r="2062" customFormat="false" ht="15" hidden="false" customHeight="false" outlineLevel="0" collapsed="false">
      <c r="A2062" s="2" t="s">
        <v>352</v>
      </c>
      <c r="F2062" s="28" t="n">
        <f aca="false">Assumptions!$C$11</f>
        <v>463.996</v>
      </c>
      <c r="G2062" s="16" t="n">
        <f aca="false">G2058-G2061</f>
        <v>622.03968198</v>
      </c>
      <c r="H2062" s="16" t="n">
        <f aca="false">H2058-H2061</f>
        <v>769.0829765808</v>
      </c>
      <c r="I2062" s="16" t="n">
        <f aca="false">I2058-I2061</f>
        <v>483.449130761784</v>
      </c>
      <c r="J2062" s="16" t="n">
        <f aca="false">J2058-J2061</f>
        <v>621.228284671689</v>
      </c>
      <c r="K2062" s="16" t="n">
        <f aca="false">K2058-K2061</f>
        <v>748.962496085767</v>
      </c>
    </row>
    <row r="2063" customFormat="false" ht="15" hidden="false" customHeight="false" outlineLevel="0" collapsed="false">
      <c r="A2063" s="3" t="s">
        <v>353</v>
      </c>
      <c r="G2063" s="25" t="n">
        <f aca="false">G2003+G2016+G2029</f>
        <v>0</v>
      </c>
      <c r="H2063" s="25" t="n">
        <f aca="false">H2003+H2016+H2029</f>
        <v>0</v>
      </c>
      <c r="I2063" s="25" t="n">
        <f aca="false">I2003+I2016+I2029</f>
        <v>0</v>
      </c>
      <c r="J2063" s="25" t="n">
        <f aca="false">J2003+J2016+J2029</f>
        <v>0</v>
      </c>
      <c r="K2063" s="25" t="n">
        <f aca="false">K2003+K2016+K2029</f>
        <v>0</v>
      </c>
    </row>
    <row r="2064" customFormat="false" ht="15" hidden="false" customHeight="false" outlineLevel="0" collapsed="false">
      <c r="A2064" s="3" t="s">
        <v>354</v>
      </c>
      <c r="G2064" s="20" t="n">
        <f aca="false">IF(OR(G2059&gt;0.001,G2063&gt;0.001),1,0)</f>
        <v>0</v>
      </c>
      <c r="H2064" s="20" t="n">
        <f aca="false">IF(OR(H2059&gt;0.001,H2063&gt;0.001),1,0)</f>
        <v>0</v>
      </c>
      <c r="I2064" s="20" t="n">
        <f aca="false">IF(OR(I2059&gt;0.001,I2063&gt;0.001),1,0)</f>
        <v>0</v>
      </c>
      <c r="J2064" s="20" t="n">
        <f aca="false">IF(OR(J2059&gt;0.001,J2063&gt;0.001),1,0)</f>
        <v>0</v>
      </c>
      <c r="K2064" s="20" t="n">
        <f aca="false">IF(OR(K2059&gt;0.001,K2063&gt;0.001),1,0)</f>
        <v>0</v>
      </c>
    </row>
    <row r="2065" customFormat="false" ht="15" hidden="false" customHeight="false" outlineLevel="0" collapsed="false">
      <c r="A2065" s="3" t="s">
        <v>355</v>
      </c>
      <c r="G2065" s="20" t="n">
        <f aca="false">IF(G2064=1,1,0)</f>
        <v>0</v>
      </c>
      <c r="H2065" s="20" t="n">
        <f aca="false">IF(AND(H2064=1,SUM($G$2064:G2064)=0),1,0)</f>
        <v>0</v>
      </c>
      <c r="I2065" s="20" t="n">
        <f aca="false">IF(AND(I2064=1,SUM($G$2064:H2064)=0),1,0)</f>
        <v>0</v>
      </c>
      <c r="J2065" s="20" t="n">
        <f aca="false">IF(AND(J2064=1,SUM($G$2064:I2064)=0),1,0)</f>
        <v>0</v>
      </c>
      <c r="K2065" s="20" t="n">
        <f aca="false">IF(AND(K2064=1,SUM($G$2064:J2064)=0),1,0)</f>
        <v>0</v>
      </c>
    </row>
    <row r="2066" customFormat="false" ht="15" hidden="false" customHeight="false" outlineLevel="0" collapsed="false">
      <c r="A2066" s="3" t="s">
        <v>356</v>
      </c>
      <c r="G2066" s="25" t="n">
        <f aca="false">(G2032-F2032)-(G2055+G1972-G2053-G2057-G2061)</f>
        <v>0</v>
      </c>
      <c r="H2066" s="25" t="n">
        <f aca="false">(H2032-G2032)-(H2055+H1972-H2053-H2057-H2061)</f>
        <v>0</v>
      </c>
      <c r="I2066" s="25" t="n">
        <f aca="false">(I2032-H2032)-(I2055+I1972-I2053-I2057-I2061)</f>
        <v>0</v>
      </c>
      <c r="J2066" s="25" t="n">
        <f aca="false">(J2032-I2032)-(J2055+J1972-J2053-J2057-J2061)</f>
        <v>0</v>
      </c>
      <c r="K2066" s="25" t="n">
        <f aca="false">(K2032-J2032)-(K2055+K1972-K2053-K2057-K2061)</f>
        <v>0</v>
      </c>
    </row>
    <row r="2068" customFormat="false" ht="15" hidden="false" customHeight="false" outlineLevel="0" collapsed="false">
      <c r="A2068" s="23" t="s">
        <v>358</v>
      </c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</row>
    <row r="2069" customFormat="false" ht="15" hidden="false" customHeight="false" outlineLevel="0" collapsed="false">
      <c r="A2069" s="3" t="s">
        <v>359</v>
      </c>
      <c r="G2069" s="25" t="n">
        <f aca="false">G2032</f>
        <v>1735.554</v>
      </c>
      <c r="H2069" s="25" t="n">
        <f aca="false">H2032</f>
        <v>1735.554</v>
      </c>
      <c r="I2069" s="25" t="n">
        <f aca="false">I2032</f>
        <v>1315.098</v>
      </c>
      <c r="J2069" s="25" t="n">
        <f aca="false">J2032</f>
        <v>1315.098</v>
      </c>
      <c r="K2069" s="25" t="n">
        <f aca="false">K2032</f>
        <v>1315.098</v>
      </c>
    </row>
    <row r="2070" customFormat="false" ht="15" hidden="false" customHeight="false" outlineLevel="0" collapsed="false">
      <c r="A2070" s="3" t="s">
        <v>360</v>
      </c>
      <c r="G2070" s="25" t="n">
        <f aca="false">Assumptions!$O$56*G2004+Assumptions!$O$57*G2017+Assumptions!$O$58*G2030</f>
        <v>1315.098</v>
      </c>
      <c r="H2070" s="25" t="n">
        <f aca="false">Assumptions!$O$56*H2004+Assumptions!$O$57*H2017+Assumptions!$O$58*H2030</f>
        <v>1315.098</v>
      </c>
      <c r="I2070" s="25" t="n">
        <f aca="false">Assumptions!$O$56*I2004+Assumptions!$O$57*I2017+Assumptions!$O$58*I2030</f>
        <v>1315.098</v>
      </c>
      <c r="J2070" s="25" t="n">
        <f aca="false">Assumptions!$O$56*J2004+Assumptions!$O$57*J2017+Assumptions!$O$58*J2030</f>
        <v>1315.098</v>
      </c>
      <c r="K2070" s="25" t="n">
        <f aca="false">Assumptions!$O$56*K2004+Assumptions!$O$57*K2017+Assumptions!$O$58*K2030</f>
        <v>1315.098</v>
      </c>
    </row>
    <row r="2071" customFormat="false" ht="15" hidden="false" customHeight="false" outlineLevel="0" collapsed="false">
      <c r="A2071" s="3" t="s">
        <v>361</v>
      </c>
      <c r="G2071" s="25" t="n">
        <f aca="false">G2069-G2062</f>
        <v>1113.51431802</v>
      </c>
      <c r="H2071" s="25" t="n">
        <f aca="false">H2069-H2062</f>
        <v>966.4710234192</v>
      </c>
      <c r="I2071" s="25" t="n">
        <f aca="false">I2069-I2062</f>
        <v>831.648869238216</v>
      </c>
      <c r="J2071" s="25" t="n">
        <f aca="false">J2069-J2062</f>
        <v>693.869715328311</v>
      </c>
      <c r="K2071" s="25" t="n">
        <f aca="false">K2069-K2062</f>
        <v>566.135503914233</v>
      </c>
    </row>
    <row r="2072" customFormat="false" ht="15" hidden="false" customHeight="false" outlineLevel="0" collapsed="false">
      <c r="A2072" s="3" t="s">
        <v>362</v>
      </c>
      <c r="G2072" s="32" t="n">
        <f aca="false">IF(G1967&gt;0,G2069/G1967,0)</f>
        <v>5.05676681791777</v>
      </c>
      <c r="H2072" s="32" t="n">
        <f aca="false">IF(H1967&gt;0,H2069/H1967,0)</f>
        <v>5.26746543533101</v>
      </c>
      <c r="I2072" s="32" t="n">
        <f aca="false">IF(I1967&gt;0,I2069/I1967,0)</f>
        <v>4.188487881929</v>
      </c>
      <c r="J2072" s="32" t="n">
        <f aca="false">IF(J1967&gt;0,J2069/J1967,0)</f>
        <v>4.37338808713178</v>
      </c>
      <c r="K2072" s="32" t="n">
        <f aca="false">IF(K1967&gt;0,K2069/K1967,0)</f>
        <v>4.56720137630579</v>
      </c>
    </row>
    <row r="2073" customFormat="false" ht="15" hidden="false" customHeight="false" outlineLevel="0" collapsed="false">
      <c r="A2073" s="3" t="s">
        <v>363</v>
      </c>
      <c r="G2073" s="32" t="n">
        <f aca="false">IF(G1967&gt;0,G2071/G1967,0)</f>
        <v>3.24437168456866</v>
      </c>
      <c r="H2073" s="32" t="n">
        <f aca="false">IF(H1967&gt;0,H2071/H1967,0)</f>
        <v>2.9332724364149</v>
      </c>
      <c r="I2073" s="32" t="n">
        <f aca="false">IF(I1967&gt;0,I2071/I1967,0)</f>
        <v>2.64873888548551</v>
      </c>
      <c r="J2073" s="32" t="n">
        <f aca="false">IF(J1967&gt;0,J2071/J1967,0)</f>
        <v>2.30747940232466</v>
      </c>
      <c r="K2073" s="32" t="n">
        <f aca="false">IF(K1967&gt;0,K2071/K1967,0)</f>
        <v>1.9661309291419</v>
      </c>
    </row>
    <row r="2074" customFormat="false" ht="15" hidden="false" customHeight="false" outlineLevel="0" collapsed="false">
      <c r="A2074" s="3" t="s">
        <v>364</v>
      </c>
      <c r="G2074" s="32" t="n">
        <f aca="false">IF(G1971&gt;0,G1967/G1971,0)</f>
        <v>2.2007302814337</v>
      </c>
      <c r="H2074" s="32" t="n">
        <f aca="false">IF(H1971&gt;0,H1967/H1971,0)</f>
        <v>2.11270107017635</v>
      </c>
      <c r="I2074" s="32" t="n">
        <f aca="false">IF(I1971&gt;0,I1967/I1971,0)</f>
        <v>2.01327207606118</v>
      </c>
      <c r="J2074" s="32" t="n">
        <f aca="false">IF(J1971&gt;0,J1967/J1971,0)</f>
        <v>2.1776730841318</v>
      </c>
      <c r="K2074" s="32" t="n">
        <f aca="false">IF(K1971&gt;0,K1967/K1971,0)</f>
        <v>2.08526157248466</v>
      </c>
    </row>
    <row r="2075" customFormat="false" ht="15" hidden="false" customHeight="false" outlineLevel="0" collapsed="false">
      <c r="A2075" s="3" t="s">
        <v>365</v>
      </c>
      <c r="G2075" s="32" t="n">
        <f aca="false">IF(G1971&gt;0,G1970/G1971,0)</f>
        <v>1.52926811874245</v>
      </c>
      <c r="H2075" s="32" t="n">
        <f aca="false">IF(H1971&gt;0,H1970/H1971,0)</f>
        <v>1.46809739399275</v>
      </c>
      <c r="I2075" s="32" t="n">
        <f aca="false">IF(I1971&gt;0,I1970/I1971,0)</f>
        <v>1.39122952854401</v>
      </c>
      <c r="J2075" s="32" t="n">
        <f aca="false">IF(J1971&gt;0,J1970/J1971,0)</f>
        <v>1.49620928000552</v>
      </c>
      <c r="K2075" s="32" t="n">
        <f aca="false">IF(K1971&gt;0,K1970/K1971,0)</f>
        <v>1.42424168248218</v>
      </c>
    </row>
    <row r="2076" customFormat="false" ht="15" hidden="false" customHeight="false" outlineLevel="0" collapsed="false">
      <c r="A2076" s="3" t="s">
        <v>198</v>
      </c>
      <c r="G2076" s="21" t="n">
        <f aca="false">IF(G2069&gt;0,G1980/G2069,0)</f>
        <v>0.0910623823747345</v>
      </c>
      <c r="H2076" s="21" t="n">
        <f aca="false">IF(H2069&gt;0,H1980/H2069,0)</f>
        <v>0.0847241253229804</v>
      </c>
      <c r="I2076" s="21" t="n">
        <f aca="false">IF(I2069&gt;0,I1980/I2069,0)</f>
        <v>0.102518712811505</v>
      </c>
      <c r="J2076" s="21" t="n">
        <f aca="false">IF(J2069&gt;0,J1980/J2069,0)</f>
        <v>0.104767214237954</v>
      </c>
      <c r="K2076" s="21" t="n">
        <f aca="false">IF(K2069&gt;0,K1980/K2069,0)</f>
        <v>0.0971290439298653</v>
      </c>
    </row>
    <row r="2077" customFormat="false" ht="15" hidden="false" customHeight="false" outlineLevel="0" collapsed="false">
      <c r="A2077" s="3" t="s">
        <v>366</v>
      </c>
      <c r="G2077" s="32" t="n">
        <f aca="false">IF(G1971+G2053&gt;0,(G1967-G1978-G1975)/(G1971+G2053),0)</f>
        <v>1.87584935212264</v>
      </c>
      <c r="H2077" s="32" t="n">
        <f aca="false">IF(H1971+H2053&gt;0,(H1967-H1978-H1975)/(H1971+H2053),0)</f>
        <v>1.81081537803773</v>
      </c>
      <c r="I2077" s="32" t="n">
        <f aca="false">IF(I1971+I2053&gt;0,(I1967-I1978-I1975)/(I1971+I2053),0)</f>
        <v>1.73707349731216</v>
      </c>
      <c r="J2077" s="32" t="n">
        <f aca="false">IF(J1971+J2053&gt;0,(J1967-J1978-J1975)/(J1971+J2053),0)</f>
        <v>1.85818856427243</v>
      </c>
      <c r="K2077" s="32" t="n">
        <f aca="false">IF(K1971+K2053&gt;0,(K1967-K1978-K1975)/(K1971+K2053),0)</f>
        <v>1.78963191800188</v>
      </c>
    </row>
    <row r="2078" customFormat="false" ht="15" hidden="false" customHeight="false" outlineLevel="0" collapsed="false">
      <c r="A2078" s="3" t="s">
        <v>367</v>
      </c>
      <c r="G2078" s="25" t="n">
        <f aca="false">MAX(0,G2062)+Assumptions!$P$56*MAX(0,Assumptions!$D$56-G2004)+Assumptions!$P$57*MAX(0,Assumptions!$D$57-G2017)+Assumptions!$P$58*MAX(0,Assumptions!$D$58-G2030)</f>
        <v>622.03968198</v>
      </c>
      <c r="H2078" s="25" t="n">
        <f aca="false">MAX(0,H2062)+Assumptions!$P$56*MAX(0,Assumptions!$D$56-H2004)+Assumptions!$P$57*MAX(0,Assumptions!$D$57-H2017)+Assumptions!$P$58*MAX(0,Assumptions!$D$58-H2030)</f>
        <v>769.0829765808</v>
      </c>
      <c r="I2078" s="25" t="n">
        <f aca="false">MAX(0,I2062)+Assumptions!$P$56*MAX(0,Assumptions!$D$56-I2004)+Assumptions!$P$57*MAX(0,Assumptions!$D$57-I2017)+Assumptions!$P$58*MAX(0,Assumptions!$D$58-I2030)</f>
        <v>483.449130761784</v>
      </c>
      <c r="J2078" s="25" t="n">
        <f aca="false">MAX(0,J2062)+Assumptions!$P$56*MAX(0,Assumptions!$D$56-J2004)+Assumptions!$P$57*MAX(0,Assumptions!$D$57-J2017)+Assumptions!$P$58*MAX(0,Assumptions!$D$58-J2030)</f>
        <v>621.228284671689</v>
      </c>
      <c r="K2078" s="25" t="n">
        <f aca="false">MAX(0,K2062)+Assumptions!$P$56*MAX(0,Assumptions!$D$56-K2004)+Assumptions!$P$57*MAX(0,Assumptions!$D$57-K2017)+Assumptions!$P$58*MAX(0,Assumptions!$D$58-K2030)</f>
        <v>748.962496085767</v>
      </c>
    </row>
    <row r="2079" customFormat="false" ht="15" hidden="false" customHeight="false" outlineLevel="0" collapsed="false">
      <c r="A2079" s="3" t="s">
        <v>368</v>
      </c>
      <c r="G2079" s="21" t="n">
        <f aca="false">IF(G2069&gt;0,G2069/(G2069+MAX(0,G1967*CHOOSE($C$1950,Assumptions!$C$82,Assumptions!$C$101,Assumptions!$C$120)-G2071)),0)</f>
        <v>0.691533584509915</v>
      </c>
      <c r="H2079" s="21" t="n">
        <f aca="false">IF(H2069&gt;0,H2069/(H2069+MAX(0,H1967*CHOOSE($C$1950,Assumptions!$C$82,Assumptions!$C$101,Assumptions!$C$120)-H2071)),0)</f>
        <v>0.672368607214525</v>
      </c>
      <c r="I2079" s="21" t="n">
        <f aca="false">IF(I2069&gt;0,I2069/(I2069+MAX(0,I1967*CHOOSE($C$1950,Assumptions!$C$82,Assumptions!$C$101,Assumptions!$C$120)-I2071)),0)</f>
        <v>0.594976878301348</v>
      </c>
      <c r="J2079" s="21" t="n">
        <f aca="false">IF(J2069&gt;0,J2069/(J2069+MAX(0,J1967*CHOOSE($C$1950,Assumptions!$C$82,Assumptions!$C$101,Assumptions!$C$120)-J2071)),0)</f>
        <v>0.578038708808878</v>
      </c>
      <c r="K2079" s="21" t="n">
        <f aca="false">IF(K2069&gt;0,K2069/(K2069+MAX(0,K1967*CHOOSE($C$1950,Assumptions!$C$82,Assumptions!$C$101,Assumptions!$C$120)-K2071)),0)</f>
        <v>0.563777516328688</v>
      </c>
    </row>
    <row r="2080" customFormat="false" ht="15" hidden="false" customHeight="false" outlineLevel="0" collapsed="false">
      <c r="A2080" s="3" t="s">
        <v>369</v>
      </c>
      <c r="G2080" s="21" t="n">
        <f aca="false">IF(G2069&gt;0,MAX(0,G2062)/G2069,0)</f>
        <v>0.358409869113839</v>
      </c>
      <c r="H2080" s="21" t="n">
        <f aca="false">IF(H2069&gt;0,MAX(0,H2062)/H2069,0)</f>
        <v>0.44313399443682</v>
      </c>
      <c r="I2080" s="21" t="n">
        <f aca="false">IF(I2069&gt;0,MAX(0,I2062)/I2069,0)</f>
        <v>0.367614528165798</v>
      </c>
      <c r="J2080" s="21" t="n">
        <f aca="false">IF(J2069&gt;0,MAX(0,J2062)/J2069,0)</f>
        <v>0.472381742403752</v>
      </c>
      <c r="K2080" s="21" t="n">
        <f aca="false">IF(K2069&gt;0,MAX(0,K2062)/K2069,0)</f>
        <v>0.569510786333617</v>
      </c>
    </row>
    <row r="2081" customFormat="false" ht="15" hidden="false" customHeight="false" outlineLevel="0" collapsed="false">
      <c r="A2081" s="3" t="s">
        <v>370</v>
      </c>
      <c r="G2081" s="25" t="n">
        <f aca="false">Assumptions!$C$30*(1-CHOOSE($C$1950,Assumptions!$C$85,Assumptions!$C$104,Assumptions!$C$123))</f>
        <v>2454.971</v>
      </c>
      <c r="H2081" s="25" t="n">
        <f aca="false">Assumptions!$C$30*(1-CHOOSE($C$1950,Assumptions!$C$85,Assumptions!$C$104,Assumptions!$C$123))</f>
        <v>2454.971</v>
      </c>
      <c r="I2081" s="25" t="n">
        <f aca="false">Assumptions!$C$30*(1-CHOOSE($C$1950,Assumptions!$C$85,Assumptions!$C$104,Assumptions!$C$123))</f>
        <v>2454.971</v>
      </c>
      <c r="J2081" s="25" t="n">
        <f aca="false">Assumptions!$C$30*(1-CHOOSE($C$1950,Assumptions!$C$85,Assumptions!$C$104,Assumptions!$C$123))</f>
        <v>2454.971</v>
      </c>
      <c r="K2081" s="25" t="n">
        <f aca="false">Assumptions!$C$30*(1-CHOOSE($C$1950,Assumptions!$C$85,Assumptions!$C$104,Assumptions!$C$123))</f>
        <v>2454.971</v>
      </c>
    </row>
    <row r="2082" customFormat="false" ht="15" hidden="false" customHeight="false" outlineLevel="0" collapsed="false">
      <c r="A2082" s="23" t="s">
        <v>371</v>
      </c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</row>
    <row r="2083" customFormat="false" ht="15" hidden="false" customHeight="false" outlineLevel="0" collapsed="false">
      <c r="A2083" s="23" t="s">
        <v>372</v>
      </c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</row>
    <row r="2084" customFormat="false" ht="15" hidden="false" customHeight="false" outlineLevel="0" collapsed="false">
      <c r="A2084" s="3" t="s">
        <v>373</v>
      </c>
      <c r="G2084" s="32" t="n">
        <f aca="false">IF(G1967&gt;0,G2071/G1967,99)</f>
        <v>3.24437168456866</v>
      </c>
      <c r="H2084" s="32" t="n">
        <f aca="false">IF(H1967&gt;0,H2071/H1967,99)</f>
        <v>2.9332724364149</v>
      </c>
      <c r="I2084" s="32" t="n">
        <f aca="false">IF(I1967&gt;0,I2071/I1967,99)</f>
        <v>2.64873888548551</v>
      </c>
      <c r="J2084" s="32" t="n">
        <f aca="false">IF(J1967&gt;0,J2071/J1967,99)</f>
        <v>2.30747940232466</v>
      </c>
      <c r="K2084" s="32" t="n">
        <f aca="false">IF(K1967&gt;0,K2071/K1967,99)</f>
        <v>1.9661309291419</v>
      </c>
    </row>
    <row r="2085" customFormat="false" ht="15" hidden="false" customHeight="false" outlineLevel="0" collapsed="false">
      <c r="A2085" s="3" t="s">
        <v>374</v>
      </c>
      <c r="G2085" s="33" t="n">
        <f aca="false">Assumptions!$G$65</f>
        <v>5.25</v>
      </c>
      <c r="H2085" s="33" t="n">
        <f aca="false">Assumptions!$H$65</f>
        <v>5.25</v>
      </c>
      <c r="I2085" s="33" t="n">
        <f aca="false">Assumptions!$I$65</f>
        <v>5</v>
      </c>
      <c r="J2085" s="33" t="n">
        <f aca="false">Assumptions!$J$65</f>
        <v>5</v>
      </c>
      <c r="K2085" s="33" t="n">
        <f aca="false">Assumptions!$K$65</f>
        <v>5</v>
      </c>
    </row>
    <row r="2086" customFormat="false" ht="15" hidden="false" customHeight="false" outlineLevel="0" collapsed="false">
      <c r="A2086" s="3" t="s">
        <v>375</v>
      </c>
      <c r="G2086" s="32" t="n">
        <f aca="false">G2085-G2084</f>
        <v>2.00562831543134</v>
      </c>
      <c r="H2086" s="32" t="n">
        <f aca="false">H2085-H2084</f>
        <v>2.3167275635851</v>
      </c>
      <c r="I2086" s="32" t="n">
        <f aca="false">I2085-I2084</f>
        <v>2.35126111451449</v>
      </c>
      <c r="J2086" s="32" t="n">
        <f aca="false">J2085-J2084</f>
        <v>2.69252059767534</v>
      </c>
      <c r="K2086" s="32" t="n">
        <f aca="false">K2085-K2084</f>
        <v>3.0338690708581</v>
      </c>
    </row>
    <row r="2087" customFormat="false" ht="15" hidden="false" customHeight="false" outlineLevel="0" collapsed="false">
      <c r="A2087" s="3" t="s">
        <v>376</v>
      </c>
      <c r="G2087" s="21" t="n">
        <f aca="false">IF(G2085=0,0,G2086/ABS(G2085))</f>
        <v>0.382024441034542</v>
      </c>
      <c r="H2087" s="21" t="n">
        <f aca="false">IF(H2085=0,0,H2086/ABS(H2085))</f>
        <v>0.441281440682877</v>
      </c>
      <c r="I2087" s="21" t="n">
        <f aca="false">IF(I2085=0,0,I2086/ABS(I2085))</f>
        <v>0.470252222902898</v>
      </c>
      <c r="J2087" s="21" t="n">
        <f aca="false">IF(J2085=0,0,J2086/ABS(J2085))</f>
        <v>0.538504119535068</v>
      </c>
      <c r="K2087" s="21" t="n">
        <f aca="false">IF(K2085=0,0,K2086/ABS(K2085))</f>
        <v>0.60677381417162</v>
      </c>
    </row>
    <row r="2088" customFormat="false" ht="15" hidden="false" customHeight="false" outlineLevel="0" collapsed="false">
      <c r="A2088" s="3" t="s">
        <v>377</v>
      </c>
      <c r="G2088" s="20" t="n">
        <f aca="false">IF(G2086&lt;0,1,0)</f>
        <v>0</v>
      </c>
      <c r="H2088" s="20" t="n">
        <f aca="false">IF(H2086&lt;0,1,0)</f>
        <v>0</v>
      </c>
      <c r="I2088" s="20" t="n">
        <f aca="false">IF(I2086&lt;0,1,0)</f>
        <v>0</v>
      </c>
      <c r="J2088" s="20" t="n">
        <f aca="false">IF(J2086&lt;0,1,0)</f>
        <v>0</v>
      </c>
      <c r="K2088" s="20" t="n">
        <f aca="false">IF(K2086&lt;0,1,0)</f>
        <v>0</v>
      </c>
    </row>
    <row r="2089" customFormat="false" ht="15" hidden="false" customHeight="false" outlineLevel="0" collapsed="false">
      <c r="A2089" s="3" t="s">
        <v>378</v>
      </c>
      <c r="C2089" s="20" t="n">
        <f aca="false">IFERROR(INDEX($G$1957:$K$1957,MATCH(1,$G$2088:$K$2088,0)),0)</f>
        <v>0</v>
      </c>
    </row>
    <row r="2090" customFormat="false" ht="15" hidden="false" customHeight="false" outlineLevel="0" collapsed="false">
      <c r="A2090" s="3" t="s">
        <v>379</v>
      </c>
      <c r="C2090" s="21" t="n">
        <f aca="false">MIN($G$2087:$K$2087)</f>
        <v>0.382024441034542</v>
      </c>
    </row>
    <row r="2091" customFormat="false" ht="15" hidden="false" customHeight="false" outlineLevel="0" collapsed="false">
      <c r="A2091" s="23" t="s">
        <v>380</v>
      </c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</row>
    <row r="2092" customFormat="false" ht="15" hidden="false" customHeight="false" outlineLevel="0" collapsed="false">
      <c r="A2092" s="3" t="s">
        <v>373</v>
      </c>
      <c r="G2092" s="32" t="n">
        <f aca="false">IF(G1971&gt;0,G1967/G1971,99)</f>
        <v>2.2007302814337</v>
      </c>
      <c r="H2092" s="32" t="n">
        <f aca="false">IF(H1971&gt;0,H1967/H1971,99)</f>
        <v>2.11270107017635</v>
      </c>
      <c r="I2092" s="32" t="n">
        <f aca="false">IF(I1971&gt;0,I1967/I1971,99)</f>
        <v>2.01327207606118</v>
      </c>
      <c r="J2092" s="32" t="n">
        <f aca="false">IF(J1971&gt;0,J1967/J1971,99)</f>
        <v>2.1776730841318</v>
      </c>
      <c r="K2092" s="32" t="n">
        <f aca="false">IF(K1971&gt;0,K1967/K1971,99)</f>
        <v>2.08526157248466</v>
      </c>
    </row>
    <row r="2093" customFormat="false" ht="15" hidden="false" customHeight="false" outlineLevel="0" collapsed="false">
      <c r="A2093" s="3" t="s">
        <v>374</v>
      </c>
      <c r="G2093" s="33" t="n">
        <f aca="false">Assumptions!$G$66</f>
        <v>1.4</v>
      </c>
      <c r="H2093" s="33" t="n">
        <f aca="false">Assumptions!$H$66</f>
        <v>1.4</v>
      </c>
      <c r="I2093" s="33" t="n">
        <f aca="false">Assumptions!$I$66</f>
        <v>1.4</v>
      </c>
      <c r="J2093" s="33" t="n">
        <f aca="false">Assumptions!$J$66</f>
        <v>1.5</v>
      </c>
      <c r="K2093" s="33" t="n">
        <f aca="false">Assumptions!$K$66</f>
        <v>1.5</v>
      </c>
    </row>
    <row r="2094" customFormat="false" ht="15" hidden="false" customHeight="false" outlineLevel="0" collapsed="false">
      <c r="A2094" s="3" t="s">
        <v>375</v>
      </c>
      <c r="G2094" s="32" t="n">
        <f aca="false">G2092-G2093</f>
        <v>0.800730281433701</v>
      </c>
      <c r="H2094" s="32" t="n">
        <f aca="false">H2092-H2093</f>
        <v>0.712701070176353</v>
      </c>
      <c r="I2094" s="32" t="n">
        <f aca="false">I2092-I2093</f>
        <v>0.613272076061178</v>
      </c>
      <c r="J2094" s="32" t="n">
        <f aca="false">J2092-J2093</f>
        <v>0.677673084131796</v>
      </c>
      <c r="K2094" s="32" t="n">
        <f aca="false">K2092-K2093</f>
        <v>0.585261572484664</v>
      </c>
    </row>
    <row r="2095" customFormat="false" ht="15" hidden="false" customHeight="false" outlineLevel="0" collapsed="false">
      <c r="A2095" s="3" t="s">
        <v>376</v>
      </c>
      <c r="G2095" s="21" t="n">
        <f aca="false">IF(G2093=0,0,G2094/ABS(G2093))</f>
        <v>0.571950201024072</v>
      </c>
      <c r="H2095" s="21" t="n">
        <f aca="false">IF(H2093=0,0,H2094/ABS(H2093))</f>
        <v>0.509072192983109</v>
      </c>
      <c r="I2095" s="21" t="n">
        <f aca="false">IF(I2093=0,0,I2094/ABS(I2093))</f>
        <v>0.438051482900842</v>
      </c>
      <c r="J2095" s="21" t="n">
        <f aca="false">IF(J2093=0,0,J2094/ABS(J2093))</f>
        <v>0.451782056087864</v>
      </c>
      <c r="K2095" s="21" t="n">
        <f aca="false">IF(K2093=0,0,K2094/ABS(K2093))</f>
        <v>0.390174381656443</v>
      </c>
    </row>
    <row r="2096" customFormat="false" ht="15" hidden="false" customHeight="false" outlineLevel="0" collapsed="false">
      <c r="A2096" s="3" t="s">
        <v>377</v>
      </c>
      <c r="G2096" s="20" t="n">
        <f aca="false">IF(G2094&lt;0,1,0)</f>
        <v>0</v>
      </c>
      <c r="H2096" s="20" t="n">
        <f aca="false">IF(H2094&lt;0,1,0)</f>
        <v>0</v>
      </c>
      <c r="I2096" s="20" t="n">
        <f aca="false">IF(I2094&lt;0,1,0)</f>
        <v>0</v>
      </c>
      <c r="J2096" s="20" t="n">
        <f aca="false">IF(J2094&lt;0,1,0)</f>
        <v>0</v>
      </c>
      <c r="K2096" s="20" t="n">
        <f aca="false">IF(K2094&lt;0,1,0)</f>
        <v>0</v>
      </c>
    </row>
    <row r="2097" customFormat="false" ht="15" hidden="false" customHeight="false" outlineLevel="0" collapsed="false">
      <c r="A2097" s="3" t="s">
        <v>378</v>
      </c>
      <c r="C2097" s="20" t="n">
        <f aca="false">IFERROR(INDEX($G$1957:$K$1957,MATCH(1,$G$2096:$K$2096,0)),0)</f>
        <v>0</v>
      </c>
    </row>
    <row r="2098" customFormat="false" ht="15" hidden="false" customHeight="false" outlineLevel="0" collapsed="false">
      <c r="A2098" s="3" t="s">
        <v>379</v>
      </c>
      <c r="C2098" s="21" t="n">
        <f aca="false">MIN($G$2095:$K$2095)</f>
        <v>0.390174381656443</v>
      </c>
    </row>
    <row r="2099" customFormat="false" ht="15" hidden="false" customHeight="false" outlineLevel="0" collapsed="false">
      <c r="A2099" s="23" t="s">
        <v>381</v>
      </c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</row>
    <row r="2100" customFormat="false" ht="15" hidden="false" customHeight="false" outlineLevel="0" collapsed="false">
      <c r="A2100" s="3" t="s">
        <v>373</v>
      </c>
      <c r="G2100" s="25" t="n">
        <f aca="false">G2078</f>
        <v>622.03968198</v>
      </c>
      <c r="H2100" s="25" t="n">
        <f aca="false">H2078</f>
        <v>769.0829765808</v>
      </c>
      <c r="I2100" s="25" t="n">
        <f aca="false">I2078</f>
        <v>483.449130761784</v>
      </c>
      <c r="J2100" s="25" t="n">
        <f aca="false">J2078</f>
        <v>621.228284671689</v>
      </c>
      <c r="K2100" s="25" t="n">
        <f aca="false">K2078</f>
        <v>748.962496085767</v>
      </c>
    </row>
    <row r="2101" customFormat="false" ht="15" hidden="false" customHeight="false" outlineLevel="0" collapsed="false">
      <c r="A2101" s="3" t="s">
        <v>374</v>
      </c>
      <c r="G2101" s="29" t="n">
        <f aca="false">Assumptions!$G$67</f>
        <v>200</v>
      </c>
      <c r="H2101" s="29" t="n">
        <f aca="false">Assumptions!$H$67</f>
        <v>200</v>
      </c>
      <c r="I2101" s="29" t="n">
        <f aca="false">Assumptions!$I$67</f>
        <v>200</v>
      </c>
      <c r="J2101" s="29" t="n">
        <f aca="false">Assumptions!$J$67</f>
        <v>200</v>
      </c>
      <c r="K2101" s="29" t="n">
        <f aca="false">Assumptions!$K$67</f>
        <v>200</v>
      </c>
    </row>
    <row r="2102" customFormat="false" ht="15" hidden="false" customHeight="false" outlineLevel="0" collapsed="false">
      <c r="A2102" s="3" t="s">
        <v>375</v>
      </c>
      <c r="G2102" s="25" t="n">
        <f aca="false">G2100-G2101</f>
        <v>422.03968198</v>
      </c>
      <c r="H2102" s="25" t="n">
        <f aca="false">H2100-H2101</f>
        <v>569.0829765808</v>
      </c>
      <c r="I2102" s="25" t="n">
        <f aca="false">I2100-I2101</f>
        <v>283.449130761784</v>
      </c>
      <c r="J2102" s="25" t="n">
        <f aca="false">J2100-J2101</f>
        <v>421.228284671689</v>
      </c>
      <c r="K2102" s="25" t="n">
        <f aca="false">K2100-K2101</f>
        <v>548.962496085767</v>
      </c>
    </row>
    <row r="2103" customFormat="false" ht="15" hidden="false" customHeight="false" outlineLevel="0" collapsed="false">
      <c r="A2103" s="3" t="s">
        <v>376</v>
      </c>
      <c r="G2103" s="21" t="n">
        <f aca="false">IF(G2101=0,0,G2102/ABS(G2101))</f>
        <v>2.1101984099</v>
      </c>
      <c r="H2103" s="21" t="n">
        <f aca="false">IF(H2101=0,0,H2102/ABS(H2101))</f>
        <v>2.845414882904</v>
      </c>
      <c r="I2103" s="21" t="n">
        <f aca="false">IF(I2101=0,0,I2102/ABS(I2101))</f>
        <v>1.41724565380892</v>
      </c>
      <c r="J2103" s="21" t="n">
        <f aca="false">IF(J2101=0,0,J2102/ABS(J2101))</f>
        <v>2.10614142335845</v>
      </c>
      <c r="K2103" s="21" t="n">
        <f aca="false">IF(K2101=0,0,K2102/ABS(K2101))</f>
        <v>2.74481248042884</v>
      </c>
    </row>
    <row r="2104" customFormat="false" ht="15" hidden="false" customHeight="false" outlineLevel="0" collapsed="false">
      <c r="A2104" s="3" t="s">
        <v>377</v>
      </c>
      <c r="G2104" s="20" t="n">
        <f aca="false">IF(G2102&lt;0,1,0)</f>
        <v>0</v>
      </c>
      <c r="H2104" s="20" t="n">
        <f aca="false">IF(H2102&lt;0,1,0)</f>
        <v>0</v>
      </c>
      <c r="I2104" s="20" t="n">
        <f aca="false">IF(I2102&lt;0,1,0)</f>
        <v>0</v>
      </c>
      <c r="J2104" s="20" t="n">
        <f aca="false">IF(J2102&lt;0,1,0)</f>
        <v>0</v>
      </c>
      <c r="K2104" s="20" t="n">
        <f aca="false">IF(K2102&lt;0,1,0)</f>
        <v>0</v>
      </c>
    </row>
    <row r="2105" customFormat="false" ht="15" hidden="false" customHeight="false" outlineLevel="0" collapsed="false">
      <c r="A2105" s="3" t="s">
        <v>378</v>
      </c>
      <c r="C2105" s="20" t="n">
        <f aca="false">IFERROR(INDEX($G$1957:$K$1957,MATCH(1,$G$2104:$K$2104,0)),0)</f>
        <v>0</v>
      </c>
    </row>
    <row r="2106" customFormat="false" ht="15" hidden="false" customHeight="false" outlineLevel="0" collapsed="false">
      <c r="A2106" s="3" t="s">
        <v>379</v>
      </c>
      <c r="C2106" s="21" t="n">
        <f aca="false">MIN($G$2103:$K$2103)</f>
        <v>1.41724565380892</v>
      </c>
    </row>
    <row r="2107" customFormat="false" ht="15" hidden="false" customHeight="false" outlineLevel="0" collapsed="false">
      <c r="A2107" s="3" t="s">
        <v>382</v>
      </c>
      <c r="G2107" s="20" t="n">
        <f aca="false">G2088+G2096+G2104</f>
        <v>0</v>
      </c>
      <c r="H2107" s="20" t="n">
        <f aca="false">H2088+H2096+H2104</f>
        <v>0</v>
      </c>
      <c r="I2107" s="20" t="n">
        <f aca="false">I2088+I2096+I2104</f>
        <v>0</v>
      </c>
      <c r="J2107" s="20" t="n">
        <f aca="false">J2088+J2096+J2104</f>
        <v>0</v>
      </c>
      <c r="K2107" s="20" t="n">
        <f aca="false">K2088+K2096+K2104</f>
        <v>0</v>
      </c>
    </row>
    <row r="2108" customFormat="false" ht="15" hidden="false" customHeight="false" outlineLevel="0" collapsed="false">
      <c r="A2108" s="3" t="s">
        <v>383</v>
      </c>
      <c r="C2108" s="20" t="n">
        <f aca="false">SUM($G$2107:$K$2107)</f>
        <v>0</v>
      </c>
    </row>
    <row r="2109" customFormat="false" ht="15" hidden="false" customHeight="false" outlineLevel="0" collapsed="false">
      <c r="A2109" s="3" t="s">
        <v>384</v>
      </c>
      <c r="C2109" s="21" t="n">
        <f aca="false">MIN(C2090,C2098,C2106)</f>
        <v>0.382024441034542</v>
      </c>
    </row>
    <row r="2111" customFormat="false" ht="15" hidden="false" customHeight="false" outlineLevel="0" collapsed="false">
      <c r="A2111" s="23" t="s">
        <v>486</v>
      </c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</row>
    <row r="2112" customFormat="false" ht="15" hidden="false" customHeight="false" outlineLevel="0" collapsed="false">
      <c r="A2112" s="3" t="s">
        <v>487</v>
      </c>
      <c r="G2112" s="20" t="n">
        <f aca="false">IF($C$2113=1,G2065,IF(G1967=MIN($G$1967:$K$1967),1,0))</f>
        <v>0</v>
      </c>
      <c r="H2112" s="20" t="n">
        <f aca="false">IF($C$2113=1,H2065,IF(AND(H1967=MIN($G$1967:$K$1967),SUM($G$2112:G2112)=0),1,0))</f>
        <v>0</v>
      </c>
      <c r="I2112" s="20" t="n">
        <f aca="false">IF($C$2113=1,I2065,IF(AND(I1967=MIN($G$1967:$K$1967),SUM($G$2112:H2112)=0),1,0))</f>
        <v>0</v>
      </c>
      <c r="J2112" s="20" t="n">
        <f aca="false">IF($C$2113=1,J2065,IF(AND(J1967=MIN($G$1967:$K$1967),SUM($G$2112:I2112)=0),1,0))</f>
        <v>0</v>
      </c>
      <c r="K2112" s="20" t="n">
        <f aca="false">IF($C$2113=1,K2065,IF(AND(K1967=MIN($G$1967:$K$1967),SUM($G$2112:J2112)=0),1,0))</f>
        <v>1</v>
      </c>
    </row>
    <row r="2113" customFormat="false" ht="15" hidden="false" customHeight="false" outlineLevel="0" collapsed="false">
      <c r="A2113" s="3" t="s">
        <v>488</v>
      </c>
      <c r="C2113" s="20" t="n">
        <f aca="false">IF(SUM($G$2065:$K$2065)&gt;0,1,0)</f>
        <v>0</v>
      </c>
    </row>
    <row r="2114" customFormat="false" ht="15" hidden="false" customHeight="false" outlineLevel="0" collapsed="false">
      <c r="A2114" s="3" t="s">
        <v>489</v>
      </c>
      <c r="C2114" s="20" t="n">
        <f aca="false">SUMPRODUCT($G$2112:$K$2112,$G$1957:$K$1957)</f>
        <v>2031</v>
      </c>
    </row>
    <row r="2115" customFormat="false" ht="15" hidden="false" customHeight="false" outlineLevel="0" collapsed="false">
      <c r="A2115" s="3" t="s">
        <v>490</v>
      </c>
      <c r="C2115" s="25" t="n">
        <f aca="false">SUMPRODUCT($G$2112:$K$2112,$G$1967:$K$1967)</f>
        <v>287.943948962401</v>
      </c>
    </row>
    <row r="2116" customFormat="false" ht="15" hidden="false" customHeight="false" outlineLevel="0" collapsed="false">
      <c r="A2116" s="3" t="s">
        <v>491</v>
      </c>
      <c r="C2116" s="25" t="n">
        <f aca="false">MAX(0,SUMPRODUCT($G$2112:$K$2112,$G$2062:$K$2062))</f>
        <v>748.962496085767</v>
      </c>
    </row>
    <row r="2117" customFormat="false" ht="15" hidden="false" customHeight="false" outlineLevel="0" collapsed="false">
      <c r="A2117" s="3" t="s">
        <v>492</v>
      </c>
      <c r="C2117" s="25" t="n">
        <f aca="false">(CHOOSE($C$1950,Assumptions!$C$84,Assumptions!$C$103,Assumptions!$C$122)+$C$1954)*C2115</f>
        <v>1439.719744812</v>
      </c>
    </row>
    <row r="2118" customFormat="false" ht="15" hidden="false" customHeight="false" outlineLevel="0" collapsed="false">
      <c r="A2118" s="3" t="s">
        <v>493</v>
      </c>
      <c r="C2118" s="25" t="n">
        <f aca="false">Assumptions!$C$30*(1-CHOOSE($C$1950,Assumptions!$C$85,Assumptions!$C$104,Assumptions!$C$123))*CHOOSE($C$1950,Assumptions!$C$86,Assumptions!$C$105,Assumptions!$C$124)</f>
        <v>736.4913</v>
      </c>
    </row>
    <row r="2119" customFormat="false" ht="15" hidden="false" customHeight="false" outlineLevel="0" collapsed="false">
      <c r="A2119" s="3" t="s">
        <v>494</v>
      </c>
      <c r="C2119" s="25" t="n">
        <f aca="false">MAX(C2117,C2118)+C2116</f>
        <v>2188.68224089777</v>
      </c>
    </row>
    <row r="2120" customFormat="false" ht="15" hidden="false" customHeight="false" outlineLevel="0" collapsed="false">
      <c r="A2120" s="2" t="s">
        <v>495</v>
      </c>
      <c r="C2120" s="16" t="n">
        <f aca="false">IF(ISNUMBER(Assumptions!$C$14),Assumptions!$C$14,C2119)</f>
        <v>2188.68224089777</v>
      </c>
    </row>
    <row r="2121" customFormat="false" ht="15" hidden="false" customHeight="false" outlineLevel="0" collapsed="false">
      <c r="A2121" s="3" t="s">
        <v>496</v>
      </c>
      <c r="C2121" s="25" t="n">
        <f aca="false">C2120*Assumptions!$C$15</f>
        <v>87.5472896359109</v>
      </c>
    </row>
    <row r="2122" customFormat="false" ht="15" hidden="false" customHeight="false" outlineLevel="0" collapsed="false">
      <c r="A2122" s="2" t="s">
        <v>497</v>
      </c>
      <c r="C2122" s="16" t="n">
        <f aca="false">C2120-C2121</f>
        <v>2101.13495126186</v>
      </c>
    </row>
    <row r="2123" customFormat="false" ht="15" hidden="false" customHeight="false" outlineLevel="0" collapsed="false">
      <c r="A2123" s="23" t="s">
        <v>498</v>
      </c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</row>
    <row r="2124" customFormat="false" ht="15" hidden="false" customHeight="false" outlineLevel="0" collapsed="false">
      <c r="A2124" s="3" t="s">
        <v>499</v>
      </c>
      <c r="C2124" s="25" t="n">
        <f aca="false">SUMPRODUCT($G$2112:$K$2112,$G$2004:$K$2004)*(1+SUMPRODUCT($G$2112:$K$2112,$G$1996:$K$1996)*Assumptions!$C$16/12)</f>
        <v>1349.6193225</v>
      </c>
    </row>
    <row r="2125" customFormat="false" ht="15" hidden="false" customHeight="false" outlineLevel="0" collapsed="false">
      <c r="A2125" s="3" t="s">
        <v>500</v>
      </c>
      <c r="C2125" s="25" t="n">
        <f aca="false">SUMPRODUCT($G$2112:$K$2112,$G$2017:$K$2017)*(1+SUMPRODUCT($G$2112:$K$2112,$G$2009:$K$2009)*Assumptions!$C$16/12)</f>
        <v>0</v>
      </c>
    </row>
    <row r="2126" customFormat="false" ht="15" hidden="false" customHeight="false" outlineLevel="0" collapsed="false">
      <c r="A2126" s="3" t="s">
        <v>501</v>
      </c>
      <c r="C2126" s="25" t="n">
        <f aca="false">SUMPRODUCT($G$2112:$K$2112,$G$2030:$K$2030)*(1+SUMPRODUCT($G$2112:$K$2112,$G$2022:$K$2022)*Assumptions!$C$16/12)</f>
        <v>0</v>
      </c>
    </row>
    <row r="2127" customFormat="false" ht="15" hidden="false" customHeight="false" outlineLevel="0" collapsed="false">
      <c r="A2127" s="23" t="s">
        <v>502</v>
      </c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</row>
    <row r="2128" customFormat="false" ht="15" hidden="false" customHeight="false" outlineLevel="0" collapsed="false">
      <c r="A2128" s="3" t="s">
        <v>499</v>
      </c>
      <c r="C2128" s="27" t="n">
        <f aca="false">Assumptions!$M$56</f>
        <v>1</v>
      </c>
    </row>
    <row r="2129" customFormat="false" ht="15" hidden="false" customHeight="false" outlineLevel="0" collapsed="false">
      <c r="A2129" s="3" t="s">
        <v>500</v>
      </c>
      <c r="C2129" s="27" t="n">
        <f aca="false">Assumptions!$M$57</f>
        <v>2</v>
      </c>
    </row>
    <row r="2130" customFormat="false" ht="15" hidden="false" customHeight="false" outlineLevel="0" collapsed="false">
      <c r="A2130" s="3" t="s">
        <v>501</v>
      </c>
      <c r="C2130" s="27" t="n">
        <f aca="false">Assumptions!$M$58</f>
        <v>2</v>
      </c>
    </row>
    <row r="2131" customFormat="false" ht="15" hidden="false" customHeight="false" outlineLevel="0" collapsed="false">
      <c r="A2131" s="23" t="s">
        <v>503</v>
      </c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</row>
    <row r="2132" customFormat="false" ht="15" hidden="false" customHeight="false" outlineLevel="0" collapsed="false">
      <c r="A2132" s="3" t="s">
        <v>499</v>
      </c>
      <c r="C2132" s="35" t="n">
        <f aca="false">Assumptions!$Q$56</f>
        <v>0</v>
      </c>
    </row>
    <row r="2133" customFormat="false" ht="15" hidden="false" customHeight="false" outlineLevel="0" collapsed="false">
      <c r="A2133" s="3" t="s">
        <v>500</v>
      </c>
      <c r="C2133" s="35" t="n">
        <f aca="false">Assumptions!$Q$57</f>
        <v>0</v>
      </c>
    </row>
    <row r="2134" customFormat="false" ht="15" hidden="false" customHeight="false" outlineLevel="0" collapsed="false">
      <c r="A2134" s="3" t="s">
        <v>501</v>
      </c>
      <c r="C2134" s="35" t="n">
        <f aca="false">Assumptions!$Q$58</f>
        <v>0</v>
      </c>
    </row>
    <row r="2135" customFormat="false" ht="15" hidden="false" customHeight="false" outlineLevel="0" collapsed="false">
      <c r="A2135" s="23" t="s">
        <v>504</v>
      </c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</row>
    <row r="2136" customFormat="false" ht="15" hidden="false" customHeight="false" outlineLevel="0" collapsed="false">
      <c r="A2136" s="3" t="s">
        <v>499</v>
      </c>
      <c r="C2136" s="25" t="n">
        <f aca="false">IF(C2132&gt;0,MIN(C2124,C2132*$C$2122),0)</f>
        <v>0</v>
      </c>
    </row>
    <row r="2137" customFormat="false" ht="15" hidden="false" customHeight="false" outlineLevel="0" collapsed="false">
      <c r="A2137" s="3" t="s">
        <v>500</v>
      </c>
      <c r="C2137" s="25" t="n">
        <f aca="false">IF(C2133&gt;0,MIN(C2125,C2133*$C$2122),0)</f>
        <v>0</v>
      </c>
    </row>
    <row r="2138" customFormat="false" ht="15" hidden="false" customHeight="false" outlineLevel="0" collapsed="false">
      <c r="A2138" s="3" t="s">
        <v>501</v>
      </c>
      <c r="C2138" s="25" t="n">
        <f aca="false">IF(C2134&gt;0,MIN(C2126,C2134*$C$2122),0)</f>
        <v>0</v>
      </c>
    </row>
    <row r="2139" customFormat="false" ht="15" hidden="false" customHeight="false" outlineLevel="0" collapsed="false">
      <c r="A2139" s="23" t="s">
        <v>505</v>
      </c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</row>
    <row r="2140" customFormat="false" ht="15" hidden="false" customHeight="false" outlineLevel="0" collapsed="false">
      <c r="A2140" s="3" t="s">
        <v>499</v>
      </c>
      <c r="C2140" s="25" t="n">
        <f aca="false">IF(C2132&gt;0,C2124-C2136,0)</f>
        <v>0</v>
      </c>
      <c r="G2140" s="20" t="n">
        <f aca="false">IF(AND(G1994=1,G1991=1),1,0)</f>
        <v>0</v>
      </c>
      <c r="H2140" s="20" t="n">
        <f aca="false">IF(G2140=1,1,IF(AND(H1994=1,H1991=1),1,0))</f>
        <v>0</v>
      </c>
      <c r="I2140" s="20" t="n">
        <f aca="false">IF(H2140=1,1,IF(AND(I1994=1,I1991=1),1,0))</f>
        <v>0</v>
      </c>
      <c r="J2140" s="20" t="n">
        <f aca="false">IF(I2140=1,1,IF(AND(J1994=1,J1991=1),1,0))</f>
        <v>0</v>
      </c>
      <c r="K2140" s="20" t="n">
        <f aca="false">IF(J2140=1,1,IF(AND(K1994=1,K1991=1),1,0))</f>
        <v>0</v>
      </c>
    </row>
    <row r="2141" customFormat="false" ht="15" hidden="false" customHeight="false" outlineLevel="0" collapsed="false">
      <c r="A2141" s="3" t="s">
        <v>500</v>
      </c>
      <c r="C2141" s="25" t="n">
        <f aca="false">IF(C2133&gt;0,C2125-C2137,0)</f>
        <v>0</v>
      </c>
      <c r="G2141" s="20" t="n">
        <f aca="false">IF(AND(G2007=1,G1991=1),1,0)</f>
        <v>0</v>
      </c>
      <c r="H2141" s="20" t="n">
        <f aca="false">IF(G2141=1,1,IF(AND(H2007=1,H1991=1),1,0))</f>
        <v>0</v>
      </c>
      <c r="I2141" s="20" t="n">
        <f aca="false">IF(H2141=1,1,IF(AND(I2007=1,I1991=1),1,0))</f>
        <v>1</v>
      </c>
      <c r="J2141" s="20" t="n">
        <f aca="false">IF(I2141=1,1,IF(AND(J2007=1,J1991=1),1,0))</f>
        <v>1</v>
      </c>
      <c r="K2141" s="20" t="n">
        <f aca="false">IF(J2141=1,1,IF(AND(K2007=1,K1991=1),1,0))</f>
        <v>1</v>
      </c>
    </row>
    <row r="2142" customFormat="false" ht="15" hidden="false" customHeight="false" outlineLevel="0" collapsed="false">
      <c r="A2142" s="3" t="s">
        <v>501</v>
      </c>
      <c r="C2142" s="25" t="n">
        <f aca="false">IF(C2134&gt;0,C2126-C2138,0)</f>
        <v>0</v>
      </c>
      <c r="G2142" s="20" t="n">
        <f aca="false">IF(AND(G2020=1,G1991=1),1,0)</f>
        <v>0</v>
      </c>
      <c r="H2142" s="20" t="n">
        <f aca="false">IF(G2142=1,1,IF(AND(H2020=1,H1991=1),1,0))</f>
        <v>0</v>
      </c>
      <c r="I2142" s="20" t="n">
        <f aca="false">IF(H2142=1,1,IF(AND(I2020=1,I1991=1),1,0))</f>
        <v>1</v>
      </c>
      <c r="J2142" s="20" t="n">
        <f aca="false">IF(I2142=1,1,IF(AND(J2020=1,J1991=1),1,0))</f>
        <v>1</v>
      </c>
      <c r="K2142" s="20" t="n">
        <f aca="false">IF(J2142=1,1,IF(AND(K2020=1,K1991=1),1,0))</f>
        <v>1</v>
      </c>
    </row>
    <row r="2143" customFormat="false" ht="15" hidden="false" customHeight="false" outlineLevel="0" collapsed="false">
      <c r="A2143" s="23" t="s">
        <v>506</v>
      </c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</row>
    <row r="2144" customFormat="false" ht="15" hidden="false" customHeight="false" outlineLevel="0" collapsed="false">
      <c r="A2144" s="3" t="s">
        <v>499</v>
      </c>
      <c r="C2144" s="25" t="n">
        <f aca="false">IF(C2132&gt;0,C2140,C2124)</f>
        <v>1349.6193225</v>
      </c>
    </row>
    <row r="2145" customFormat="false" ht="15" hidden="false" customHeight="false" outlineLevel="0" collapsed="false">
      <c r="A2145" s="3" t="s">
        <v>500</v>
      </c>
      <c r="C2145" s="25" t="n">
        <f aca="false">IF(C2133&gt;0,C2141,C2125)</f>
        <v>0</v>
      </c>
    </row>
    <row r="2146" customFormat="false" ht="15" hidden="false" customHeight="false" outlineLevel="0" collapsed="false">
      <c r="A2146" s="3" t="s">
        <v>501</v>
      </c>
      <c r="C2146" s="25" t="n">
        <f aca="false">IF(C2134&gt;0,C2142,C2126)</f>
        <v>0</v>
      </c>
    </row>
    <row r="2147" customFormat="false" ht="15" hidden="false" customHeight="false" outlineLevel="0" collapsed="false">
      <c r="A2147" s="23" t="s">
        <v>507</v>
      </c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</row>
    <row r="2148" customFormat="false" ht="15" hidden="false" customHeight="false" outlineLevel="0" collapsed="false">
      <c r="A2148" s="3" t="s">
        <v>499</v>
      </c>
      <c r="C2148" s="20" t="n">
        <f aca="false">IF(C2132&gt;0,Assumptions!$C$17,C2128)</f>
        <v>1</v>
      </c>
    </row>
    <row r="2149" customFormat="false" ht="15" hidden="false" customHeight="false" outlineLevel="0" collapsed="false">
      <c r="A2149" s="3" t="s">
        <v>500</v>
      </c>
      <c r="C2149" s="20" t="n">
        <f aca="false">IF(C2133&gt;0,Assumptions!$C$17,C2129)</f>
        <v>2</v>
      </c>
    </row>
    <row r="2150" customFormat="false" ht="15" hidden="false" customHeight="false" outlineLevel="0" collapsed="false">
      <c r="A2150" s="3" t="s">
        <v>501</v>
      </c>
      <c r="C2150" s="20" t="n">
        <f aca="false">IF(C2134&gt;0,Assumptions!$C$17,C2130)</f>
        <v>2</v>
      </c>
    </row>
    <row r="2151" customFormat="false" ht="15" hidden="false" customHeight="false" outlineLevel="0" collapsed="false">
      <c r="A2151" s="23" t="s">
        <v>508</v>
      </c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</row>
    <row r="2152" customFormat="false" ht="15" hidden="false" customHeight="false" outlineLevel="0" collapsed="false">
      <c r="A2152" s="3" t="s">
        <v>499</v>
      </c>
      <c r="C2152" s="25" t="n">
        <f aca="false">SUMPRODUCT(($C$2148:$C$2150&lt;C2148)*$C$2144:$C$2146)</f>
        <v>0</v>
      </c>
    </row>
    <row r="2153" customFormat="false" ht="15" hidden="false" customHeight="false" outlineLevel="0" collapsed="false">
      <c r="A2153" s="3" t="s">
        <v>500</v>
      </c>
      <c r="C2153" s="25" t="n">
        <f aca="false">SUMPRODUCT(($C$2148:$C$2150&lt;C2149)*$C$2144:$C$2146)</f>
        <v>1349.6193225</v>
      </c>
    </row>
    <row r="2154" customFormat="false" ht="15" hidden="false" customHeight="false" outlineLevel="0" collapsed="false">
      <c r="A2154" s="3" t="s">
        <v>501</v>
      </c>
      <c r="C2154" s="25" t="n">
        <f aca="false">SUMPRODUCT(($C$2148:$C$2150&lt;C2150)*$C$2144:$C$2146)</f>
        <v>1349.6193225</v>
      </c>
    </row>
    <row r="2155" customFormat="false" ht="15" hidden="false" customHeight="false" outlineLevel="0" collapsed="false">
      <c r="A2155" s="23" t="s">
        <v>509</v>
      </c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</row>
    <row r="2156" customFormat="false" ht="15" hidden="false" customHeight="false" outlineLevel="0" collapsed="false">
      <c r="A2156" s="3" t="s">
        <v>499</v>
      </c>
      <c r="C2156" s="25" t="n">
        <f aca="false">SUMPRODUCT(($C$2148:$C$2150=C2148)*$C$2144:$C$2146)</f>
        <v>1349.6193225</v>
      </c>
    </row>
    <row r="2157" customFormat="false" ht="15" hidden="false" customHeight="false" outlineLevel="0" collapsed="false">
      <c r="A2157" s="3" t="s">
        <v>500</v>
      </c>
      <c r="C2157" s="25" t="n">
        <f aca="false">SUMPRODUCT(($C$2148:$C$2150=C2149)*$C$2144:$C$2146)</f>
        <v>0</v>
      </c>
    </row>
    <row r="2158" customFormat="false" ht="15" hidden="false" customHeight="false" outlineLevel="0" collapsed="false">
      <c r="A2158" s="3" t="s">
        <v>501</v>
      </c>
      <c r="C2158" s="25" t="n">
        <f aca="false">SUMPRODUCT(($C$2148:$C$2150=C2150)*$C$2144:$C$2146)</f>
        <v>0</v>
      </c>
    </row>
    <row r="2159" customFormat="false" ht="15" hidden="false" customHeight="false" outlineLevel="0" collapsed="false">
      <c r="A2159" s="23" t="s">
        <v>510</v>
      </c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</row>
    <row r="2160" customFormat="false" ht="15" hidden="false" customHeight="false" outlineLevel="0" collapsed="false">
      <c r="A2160" s="3" t="s">
        <v>499</v>
      </c>
      <c r="C2160" s="25" t="n">
        <f aca="false">IF(C2156=0,0,C2144/C2156*MAX(0,MIN(C2156,$C$2122-SUM($C$2136:$C$2138)-C2152)))</f>
        <v>1349.6193225</v>
      </c>
    </row>
    <row r="2161" customFormat="false" ht="15" hidden="false" customHeight="false" outlineLevel="0" collapsed="false">
      <c r="A2161" s="3" t="s">
        <v>500</v>
      </c>
      <c r="C2161" s="25" t="n">
        <f aca="false">IF(C2157=0,0,C2145/C2157*MAX(0,MIN(C2157,$C$2122-SUM($C$2136:$C$2138)-C2153)))</f>
        <v>0</v>
      </c>
    </row>
    <row r="2162" customFormat="false" ht="15" hidden="false" customHeight="false" outlineLevel="0" collapsed="false">
      <c r="A2162" s="3" t="s">
        <v>501</v>
      </c>
      <c r="C2162" s="25" t="n">
        <f aca="false">IF(C2158=0,0,C2146/C2158*MAX(0,MIN(C2158,$C$2122-SUM($C$2136:$C$2138)-C2154)))</f>
        <v>0</v>
      </c>
    </row>
    <row r="2163" customFormat="false" ht="15" hidden="false" customHeight="false" outlineLevel="0" collapsed="false">
      <c r="A2163" s="23" t="s">
        <v>511</v>
      </c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</row>
    <row r="2164" customFormat="false" ht="15" hidden="false" customHeight="false" outlineLevel="0" collapsed="false">
      <c r="A2164" s="2" t="s">
        <v>499</v>
      </c>
      <c r="C2164" s="16" t="n">
        <f aca="false">C2136+C2160</f>
        <v>1349.6193225</v>
      </c>
    </row>
    <row r="2165" customFormat="false" ht="15" hidden="false" customHeight="false" outlineLevel="0" collapsed="false">
      <c r="A2165" s="2" t="s">
        <v>500</v>
      </c>
      <c r="C2165" s="16" t="n">
        <f aca="false">C2137+C2161</f>
        <v>0</v>
      </c>
    </row>
    <row r="2166" customFormat="false" ht="15" hidden="false" customHeight="false" outlineLevel="0" collapsed="false">
      <c r="A2166" s="2" t="s">
        <v>501</v>
      </c>
      <c r="C2166" s="16" t="n">
        <f aca="false">C2138+C2162</f>
        <v>0</v>
      </c>
    </row>
    <row r="2167" customFormat="false" ht="15" hidden="false" customHeight="false" outlineLevel="0" collapsed="false">
      <c r="A2167" s="23" t="s">
        <v>512</v>
      </c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</row>
    <row r="2168" customFormat="false" ht="15" hidden="false" customHeight="false" outlineLevel="0" collapsed="false">
      <c r="A2168" s="3" t="s">
        <v>499</v>
      </c>
      <c r="C2168" s="21" t="n">
        <f aca="false">IF(C2124=0,1,C2164/C2124)</f>
        <v>1</v>
      </c>
    </row>
    <row r="2169" customFormat="false" ht="15" hidden="false" customHeight="false" outlineLevel="0" collapsed="false">
      <c r="A2169" s="3" t="s">
        <v>500</v>
      </c>
      <c r="C2169" s="21" t="n">
        <f aca="false">IF(C2125=0,1,C2165/C2125)</f>
        <v>1</v>
      </c>
    </row>
    <row r="2170" customFormat="false" ht="15" hidden="false" customHeight="false" outlineLevel="0" collapsed="false">
      <c r="A2170" s="3" t="s">
        <v>501</v>
      </c>
      <c r="C2170" s="21" t="n">
        <f aca="false">IF(C2126=0,1,C2166/C2126)</f>
        <v>1</v>
      </c>
    </row>
    <row r="2171" customFormat="false" ht="15" hidden="false" customHeight="false" outlineLevel="0" collapsed="false">
      <c r="A2171" s="23" t="s">
        <v>513</v>
      </c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</row>
    <row r="2172" customFormat="false" ht="15" hidden="false" customHeight="false" outlineLevel="0" collapsed="false">
      <c r="A2172" s="3" t="s">
        <v>499</v>
      </c>
      <c r="C2172" s="25" t="n">
        <f aca="false">C2124-C2164</f>
        <v>0</v>
      </c>
    </row>
    <row r="2173" customFormat="false" ht="15" hidden="false" customHeight="false" outlineLevel="0" collapsed="false">
      <c r="A2173" s="3" t="s">
        <v>500</v>
      </c>
      <c r="C2173" s="25" t="n">
        <f aca="false">C2125-C2165</f>
        <v>0</v>
      </c>
    </row>
    <row r="2174" customFormat="false" ht="15" hidden="false" customHeight="false" outlineLevel="0" collapsed="false">
      <c r="A2174" s="3" t="s">
        <v>501</v>
      </c>
      <c r="C2174" s="25" t="n">
        <f aca="false">C2126-C2166</f>
        <v>0</v>
      </c>
    </row>
    <row r="2175" customFormat="false" ht="15" hidden="false" customHeight="false" outlineLevel="0" collapsed="false">
      <c r="A2175" s="23" t="s">
        <v>514</v>
      </c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</row>
    <row r="2176" customFormat="false" ht="15" hidden="false" customHeight="false" outlineLevel="0" collapsed="false">
      <c r="A2176" s="3" t="s">
        <v>499</v>
      </c>
      <c r="C2176" s="21" t="n">
        <f aca="false">IF(C2124=0,0,C2172/C2124)</f>
        <v>0</v>
      </c>
    </row>
    <row r="2177" customFormat="false" ht="15" hidden="false" customHeight="false" outlineLevel="0" collapsed="false">
      <c r="A2177" s="3" t="s">
        <v>500</v>
      </c>
      <c r="C2177" s="21" t="n">
        <f aca="false">IF(C2125=0,0,C2173/C2125)</f>
        <v>0</v>
      </c>
    </row>
    <row r="2178" customFormat="false" ht="15" hidden="false" customHeight="false" outlineLevel="0" collapsed="false">
      <c r="A2178" s="3" t="s">
        <v>501</v>
      </c>
      <c r="C2178" s="21" t="n">
        <f aca="false">IF(C2126=0,0,C2174/C2126)</f>
        <v>0</v>
      </c>
    </row>
    <row r="2179" customFormat="false" ht="15" hidden="false" customHeight="false" outlineLevel="0" collapsed="false">
      <c r="A2179" s="2" t="s">
        <v>515</v>
      </c>
      <c r="C2179" s="16" t="n">
        <f aca="false">MAX(0,$C$2122-SUM($C$2136:$C$2138)-SUM($C$2144:$C$2146))</f>
        <v>751.51562876186</v>
      </c>
    </row>
    <row r="2180" customFormat="false" ht="15" hidden="false" customHeight="false" outlineLevel="0" collapsed="false">
      <c r="A2180" s="3" t="s">
        <v>516</v>
      </c>
      <c r="C2180" s="25" t="n">
        <f aca="false">SUM($C$2164:$C$2166)+C2179+C2121-C2120</f>
        <v>0</v>
      </c>
    </row>
    <row r="2182" customFormat="false" ht="15" hidden="false" customHeight="false" outlineLevel="0" collapsed="false">
      <c r="A2182" s="23" t="s">
        <v>519</v>
      </c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</row>
    <row r="2183" customFormat="false" ht="15" hidden="false" customHeight="false" outlineLevel="0" collapsed="false">
      <c r="A2183" s="3" t="s">
        <v>520</v>
      </c>
      <c r="C2183" s="27" t="n">
        <f aca="false">Assumptions!$C$33</f>
        <v>1</v>
      </c>
    </row>
    <row r="2184" customFormat="false" ht="15" hidden="false" customHeight="false" outlineLevel="0" collapsed="false">
      <c r="A2184" s="3" t="s">
        <v>521</v>
      </c>
      <c r="C2184" s="29" t="n">
        <f aca="false">Assumptions!$C$34</f>
        <v>100</v>
      </c>
    </row>
    <row r="2185" customFormat="false" ht="15" hidden="false" customHeight="false" outlineLevel="0" collapsed="false">
      <c r="A2185" s="3" t="s">
        <v>522</v>
      </c>
      <c r="C2185" s="40" t="n">
        <f aca="false">Assumptions!$C$35</f>
        <v>95</v>
      </c>
    </row>
    <row r="2186" customFormat="false" ht="15" hidden="false" customHeight="false" outlineLevel="0" collapsed="false">
      <c r="A2186" s="3" t="s">
        <v>523</v>
      </c>
      <c r="C2186" s="25" t="n">
        <f aca="false">C2184*C2185/100*(1+Assumptions!$C$36)</f>
        <v>95</v>
      </c>
    </row>
    <row r="2187" customFormat="false" ht="15" hidden="false" customHeight="false" outlineLevel="0" collapsed="false">
      <c r="A2187" s="3" t="s">
        <v>524</v>
      </c>
      <c r="C2187" s="27" t="n">
        <f aca="false">Assumptions!$C$37</f>
        <v>3</v>
      </c>
    </row>
    <row r="2188" customFormat="false" ht="15" hidden="false" customHeight="false" outlineLevel="0" collapsed="false">
      <c r="A2188" s="3" t="s">
        <v>525</v>
      </c>
      <c r="C2188" s="20" t="n">
        <f aca="false">IF(C2113=1,SUMPRODUCT($G$2065:$K$2065,$G$1958:$K$1958),0)</f>
        <v>0</v>
      </c>
    </row>
    <row r="2189" customFormat="false" ht="15" hidden="false" customHeight="false" outlineLevel="0" collapsed="false">
      <c r="A2189" s="3" t="s">
        <v>526</v>
      </c>
      <c r="C2189" s="21" t="n">
        <f aca="false">IFERROR(C2184/CHOOSE(C2183,SUMPRODUCT($G$2112:$K$2112,$G$2004:$K$2004),SUMPRODUCT($G$2112:$K$2112,$G$2017:$K$2017),SUMPRODUCT($G$2112:$K$2112,$G$2030:$K$2030)),0)</f>
        <v>0.0760399605200525</v>
      </c>
    </row>
    <row r="2190" customFormat="false" ht="15" hidden="false" customHeight="false" outlineLevel="0" collapsed="false">
      <c r="A2190" s="3" t="s">
        <v>527</v>
      </c>
      <c r="C2190" s="25" t="n">
        <f aca="false">CHOOSE(C2183,C2164,C2165,C2166)*C2189</f>
        <v>102.625</v>
      </c>
    </row>
    <row r="2191" customFormat="false" ht="15" hidden="false" customHeight="false" outlineLevel="0" collapsed="false">
      <c r="A2191" s="3" t="s">
        <v>528</v>
      </c>
      <c r="C2191" s="21" t="n">
        <f aca="false">CHOOSE(C2183,C2168,C2169,C2170)</f>
        <v>1</v>
      </c>
    </row>
    <row r="2192" customFormat="false" ht="15" hidden="false" customHeight="false" outlineLevel="0" collapsed="false">
      <c r="A2192" s="3" t="s">
        <v>529</v>
      </c>
      <c r="C2192" s="20" t="n">
        <f aca="false">IF(C2113=1,C2188,C2187)</f>
        <v>3</v>
      </c>
    </row>
    <row r="2193" customFormat="false" ht="15" hidden="false" customHeight="false" outlineLevel="0" collapsed="false">
      <c r="A2193" s="3" t="s">
        <v>530</v>
      </c>
      <c r="C2193" s="34" t="n">
        <f aca="false">CHOOSE($C$1950,Assumptions!$C$83,Assumptions!$C$102,Assumptions!$C$121)</f>
        <v>100</v>
      </c>
    </row>
    <row r="2194" customFormat="false" ht="15" hidden="false" customHeight="false" outlineLevel="0" collapsed="false">
      <c r="A2194" s="3" t="s">
        <v>531</v>
      </c>
      <c r="C2194" s="25" t="n">
        <f aca="false">INDEX($G$1967:$K$1967,C2187)*CHOOSE($C$1950,Assumptions!$C$82,Assumptions!$C$101,Assumptions!$C$120)+MAX(0,INDEX($G$2062:$K$2062,C2187))</f>
        <v>2210.33463309463</v>
      </c>
    </row>
    <row r="2195" customFormat="false" ht="15" hidden="false" customHeight="false" outlineLevel="0" collapsed="false">
      <c r="A2195" s="23" t="s">
        <v>532</v>
      </c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</row>
    <row r="2196" customFormat="false" ht="15" hidden="false" customHeight="false" outlineLevel="0" collapsed="false">
      <c r="A2196" s="3" t="s">
        <v>499</v>
      </c>
      <c r="C2196" s="25" t="n">
        <f aca="false">INDEX($G$2004:$K$2004,C2187)</f>
        <v>1315.098</v>
      </c>
    </row>
    <row r="2197" customFormat="false" ht="15" hidden="false" customHeight="false" outlineLevel="0" collapsed="false">
      <c r="A2197" s="3" t="s">
        <v>500</v>
      </c>
      <c r="C2197" s="25" t="n">
        <f aca="false">INDEX($G$2017:$K$2017,C2187)</f>
        <v>0</v>
      </c>
    </row>
    <row r="2198" customFormat="false" ht="15" hidden="false" customHeight="false" outlineLevel="0" collapsed="false">
      <c r="A2198" s="3" t="s">
        <v>501</v>
      </c>
      <c r="C2198" s="25" t="n">
        <f aca="false">INDEX($G$2030:$K$2030,C2187)</f>
        <v>0</v>
      </c>
    </row>
    <row r="2199" customFormat="false" ht="15" hidden="false" customHeight="false" outlineLevel="0" collapsed="false">
      <c r="A2199" s="23" t="s">
        <v>502</v>
      </c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</row>
    <row r="2200" customFormat="false" ht="15" hidden="false" customHeight="false" outlineLevel="0" collapsed="false">
      <c r="A2200" s="3" t="s">
        <v>499</v>
      </c>
      <c r="C2200" s="27" t="n">
        <f aca="false">Assumptions!$M$56</f>
        <v>1</v>
      </c>
    </row>
    <row r="2201" customFormat="false" ht="15" hidden="false" customHeight="false" outlineLevel="0" collapsed="false">
      <c r="A2201" s="3" t="s">
        <v>500</v>
      </c>
      <c r="C2201" s="27" t="n">
        <f aca="false">Assumptions!$M$57</f>
        <v>2</v>
      </c>
    </row>
    <row r="2202" customFormat="false" ht="15" hidden="false" customHeight="false" outlineLevel="0" collapsed="false">
      <c r="A2202" s="3" t="s">
        <v>501</v>
      </c>
      <c r="C2202" s="27" t="n">
        <f aca="false">Assumptions!$M$58</f>
        <v>2</v>
      </c>
    </row>
    <row r="2203" customFormat="false" ht="15" hidden="false" customHeight="false" outlineLevel="0" collapsed="false">
      <c r="A2203" s="23" t="s">
        <v>503</v>
      </c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</row>
    <row r="2204" customFormat="false" ht="15" hidden="false" customHeight="false" outlineLevel="0" collapsed="false">
      <c r="A2204" s="3" t="s">
        <v>499</v>
      </c>
      <c r="C2204" s="35" t="n">
        <f aca="false">Assumptions!$Q$56</f>
        <v>0</v>
      </c>
    </row>
    <row r="2205" customFormat="false" ht="15" hidden="false" customHeight="false" outlineLevel="0" collapsed="false">
      <c r="A2205" s="3" t="s">
        <v>500</v>
      </c>
      <c r="C2205" s="35" t="n">
        <f aca="false">Assumptions!$Q$57</f>
        <v>0</v>
      </c>
    </row>
    <row r="2206" customFormat="false" ht="15" hidden="false" customHeight="false" outlineLevel="0" collapsed="false">
      <c r="A2206" s="3" t="s">
        <v>501</v>
      </c>
      <c r="C2206" s="35" t="n">
        <f aca="false">Assumptions!$Q$58</f>
        <v>0</v>
      </c>
    </row>
    <row r="2207" customFormat="false" ht="15" hidden="false" customHeight="false" outlineLevel="0" collapsed="false">
      <c r="A2207" s="23" t="s">
        <v>504</v>
      </c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</row>
    <row r="2208" customFormat="false" ht="15" hidden="false" customHeight="false" outlineLevel="0" collapsed="false">
      <c r="A2208" s="3" t="s">
        <v>499</v>
      </c>
      <c r="C2208" s="25" t="n">
        <f aca="false">IF(C2204&gt;0,MIN(C2196,C2204*$C$2194),0)</f>
        <v>0</v>
      </c>
    </row>
    <row r="2209" customFormat="false" ht="15" hidden="false" customHeight="false" outlineLevel="0" collapsed="false">
      <c r="A2209" s="3" t="s">
        <v>500</v>
      </c>
      <c r="C2209" s="25" t="n">
        <f aca="false">IF(C2205&gt;0,MIN(C2197,C2205*$C$2194),0)</f>
        <v>0</v>
      </c>
    </row>
    <row r="2210" customFormat="false" ht="15" hidden="false" customHeight="false" outlineLevel="0" collapsed="false">
      <c r="A2210" s="3" t="s">
        <v>501</v>
      </c>
      <c r="C2210" s="25" t="n">
        <f aca="false">IF(C2206&gt;0,MIN(C2198,C2206*$C$2194),0)</f>
        <v>0</v>
      </c>
    </row>
    <row r="2211" customFormat="false" ht="15" hidden="false" customHeight="false" outlineLevel="0" collapsed="false">
      <c r="A2211" s="23" t="s">
        <v>505</v>
      </c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</row>
    <row r="2212" customFormat="false" ht="15" hidden="false" customHeight="false" outlineLevel="0" collapsed="false">
      <c r="A2212" s="3" t="s">
        <v>499</v>
      </c>
      <c r="C2212" s="25" t="n">
        <f aca="false">IF(C2204&gt;0,C2196-C2208,0)</f>
        <v>0</v>
      </c>
    </row>
    <row r="2213" customFormat="false" ht="15" hidden="false" customHeight="false" outlineLevel="0" collapsed="false">
      <c r="A2213" s="3" t="s">
        <v>500</v>
      </c>
      <c r="C2213" s="25" t="n">
        <f aca="false">IF(C2205&gt;0,C2197-C2209,0)</f>
        <v>0</v>
      </c>
    </row>
    <row r="2214" customFormat="false" ht="15" hidden="false" customHeight="false" outlineLevel="0" collapsed="false">
      <c r="A2214" s="3" t="s">
        <v>501</v>
      </c>
      <c r="C2214" s="25" t="n">
        <f aca="false">IF(C2206&gt;0,C2198-C2210,0)</f>
        <v>0</v>
      </c>
    </row>
    <row r="2215" customFormat="false" ht="15" hidden="false" customHeight="false" outlineLevel="0" collapsed="false">
      <c r="A2215" s="23" t="s">
        <v>506</v>
      </c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</row>
    <row r="2216" customFormat="false" ht="15" hidden="false" customHeight="false" outlineLevel="0" collapsed="false">
      <c r="A2216" s="3" t="s">
        <v>499</v>
      </c>
      <c r="C2216" s="25" t="n">
        <f aca="false">IF(C2204&gt;0,C2212,C2196)</f>
        <v>1315.098</v>
      </c>
    </row>
    <row r="2217" customFormat="false" ht="15" hidden="false" customHeight="false" outlineLevel="0" collapsed="false">
      <c r="A2217" s="3" t="s">
        <v>500</v>
      </c>
      <c r="C2217" s="25" t="n">
        <f aca="false">IF(C2205&gt;0,C2213,C2197)</f>
        <v>0</v>
      </c>
    </row>
    <row r="2218" customFormat="false" ht="15" hidden="false" customHeight="false" outlineLevel="0" collapsed="false">
      <c r="A2218" s="3" t="s">
        <v>501</v>
      </c>
      <c r="C2218" s="25" t="n">
        <f aca="false">IF(C2206&gt;0,C2214,C2198)</f>
        <v>0</v>
      </c>
    </row>
    <row r="2219" customFormat="false" ht="15" hidden="false" customHeight="false" outlineLevel="0" collapsed="false">
      <c r="A2219" s="23" t="s">
        <v>507</v>
      </c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</row>
    <row r="2220" customFormat="false" ht="15" hidden="false" customHeight="false" outlineLevel="0" collapsed="false">
      <c r="A2220" s="3" t="s">
        <v>499</v>
      </c>
      <c r="C2220" s="20" t="n">
        <f aca="false">IF(C2204&gt;0,Assumptions!$C$17,C2200)</f>
        <v>1</v>
      </c>
    </row>
    <row r="2221" customFormat="false" ht="15" hidden="false" customHeight="false" outlineLevel="0" collapsed="false">
      <c r="A2221" s="3" t="s">
        <v>500</v>
      </c>
      <c r="C2221" s="20" t="n">
        <f aca="false">IF(C2205&gt;0,Assumptions!$C$17,C2201)</f>
        <v>2</v>
      </c>
    </row>
    <row r="2222" customFormat="false" ht="15" hidden="false" customHeight="false" outlineLevel="0" collapsed="false">
      <c r="A2222" s="3" t="s">
        <v>501</v>
      </c>
      <c r="C2222" s="20" t="n">
        <f aca="false">IF(C2206&gt;0,Assumptions!$C$17,C2202)</f>
        <v>2</v>
      </c>
    </row>
    <row r="2223" customFormat="false" ht="15" hidden="false" customHeight="false" outlineLevel="0" collapsed="false">
      <c r="A2223" s="23" t="s">
        <v>508</v>
      </c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</row>
    <row r="2224" customFormat="false" ht="15" hidden="false" customHeight="false" outlineLevel="0" collapsed="false">
      <c r="A2224" s="3" t="s">
        <v>499</v>
      </c>
      <c r="C2224" s="25" t="n">
        <f aca="false">SUMPRODUCT(($C$2220:$C$2222&lt;C2220)*$C$2216:$C$2218)</f>
        <v>0</v>
      </c>
    </row>
    <row r="2225" customFormat="false" ht="15" hidden="false" customHeight="false" outlineLevel="0" collapsed="false">
      <c r="A2225" s="3" t="s">
        <v>500</v>
      </c>
      <c r="C2225" s="25" t="n">
        <f aca="false">SUMPRODUCT(($C$2220:$C$2222&lt;C2221)*$C$2216:$C$2218)</f>
        <v>1315.098</v>
      </c>
    </row>
    <row r="2226" customFormat="false" ht="15" hidden="false" customHeight="false" outlineLevel="0" collapsed="false">
      <c r="A2226" s="3" t="s">
        <v>501</v>
      </c>
      <c r="C2226" s="25" t="n">
        <f aca="false">SUMPRODUCT(($C$2220:$C$2222&lt;C2222)*$C$2216:$C$2218)</f>
        <v>1315.098</v>
      </c>
    </row>
    <row r="2227" customFormat="false" ht="15" hidden="false" customHeight="false" outlineLevel="0" collapsed="false">
      <c r="A2227" s="23" t="s">
        <v>509</v>
      </c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</row>
    <row r="2228" customFormat="false" ht="15" hidden="false" customHeight="false" outlineLevel="0" collapsed="false">
      <c r="A2228" s="3" t="s">
        <v>499</v>
      </c>
      <c r="C2228" s="25" t="n">
        <f aca="false">SUMPRODUCT(($C$2220:$C$2222=C2220)*$C$2216:$C$2218)</f>
        <v>1315.098</v>
      </c>
    </row>
    <row r="2229" customFormat="false" ht="15" hidden="false" customHeight="false" outlineLevel="0" collapsed="false">
      <c r="A2229" s="3" t="s">
        <v>500</v>
      </c>
      <c r="C2229" s="25" t="n">
        <f aca="false">SUMPRODUCT(($C$2220:$C$2222=C2221)*$C$2216:$C$2218)</f>
        <v>0</v>
      </c>
    </row>
    <row r="2230" customFormat="false" ht="15" hidden="false" customHeight="false" outlineLevel="0" collapsed="false">
      <c r="A2230" s="3" t="s">
        <v>501</v>
      </c>
      <c r="C2230" s="25" t="n">
        <f aca="false">SUMPRODUCT(($C$2220:$C$2222=C2222)*$C$2216:$C$2218)</f>
        <v>0</v>
      </c>
    </row>
    <row r="2231" customFormat="false" ht="15" hidden="false" customHeight="false" outlineLevel="0" collapsed="false">
      <c r="A2231" s="23" t="s">
        <v>510</v>
      </c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</row>
    <row r="2232" customFormat="false" ht="15" hidden="false" customHeight="false" outlineLevel="0" collapsed="false">
      <c r="A2232" s="3" t="s">
        <v>499</v>
      </c>
      <c r="C2232" s="25" t="n">
        <f aca="false">IF(C2228=0,0,C2216/C2228*MAX(0,MIN(C2228,$C$2194-SUM($C$2208:$C$2210)-C2224)))</f>
        <v>1315.098</v>
      </c>
    </row>
    <row r="2233" customFormat="false" ht="15" hidden="false" customHeight="false" outlineLevel="0" collapsed="false">
      <c r="A2233" s="3" t="s">
        <v>500</v>
      </c>
      <c r="C2233" s="25" t="n">
        <f aca="false">IF(C2229=0,0,C2217/C2229*MAX(0,MIN(C2229,$C$2194-SUM($C$2208:$C$2210)-C2225)))</f>
        <v>0</v>
      </c>
    </row>
    <row r="2234" customFormat="false" ht="15" hidden="false" customHeight="false" outlineLevel="0" collapsed="false">
      <c r="A2234" s="3" t="s">
        <v>501</v>
      </c>
      <c r="C2234" s="25" t="n">
        <f aca="false">IF(C2230=0,0,C2218/C2230*MAX(0,MIN(C2230,$C$2194-SUM($C$2208:$C$2210)-C2226)))</f>
        <v>0</v>
      </c>
    </row>
    <row r="2235" customFormat="false" ht="15" hidden="false" customHeight="false" outlineLevel="0" collapsed="false">
      <c r="A2235" s="23" t="s">
        <v>511</v>
      </c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</row>
    <row r="2236" customFormat="false" ht="15" hidden="false" customHeight="false" outlineLevel="0" collapsed="false">
      <c r="A2236" s="2" t="s">
        <v>499</v>
      </c>
      <c r="C2236" s="16" t="n">
        <f aca="false">C2208+C2232</f>
        <v>1315.098</v>
      </c>
    </row>
    <row r="2237" customFormat="false" ht="15" hidden="false" customHeight="false" outlineLevel="0" collapsed="false">
      <c r="A2237" s="2" t="s">
        <v>500</v>
      </c>
      <c r="C2237" s="16" t="n">
        <f aca="false">C2209+C2233</f>
        <v>0</v>
      </c>
    </row>
    <row r="2238" customFormat="false" ht="15" hidden="false" customHeight="false" outlineLevel="0" collapsed="false">
      <c r="A2238" s="2" t="s">
        <v>501</v>
      </c>
      <c r="C2238" s="16" t="n">
        <f aca="false">C2210+C2234</f>
        <v>0</v>
      </c>
    </row>
    <row r="2239" customFormat="false" ht="15" hidden="false" customHeight="false" outlineLevel="0" collapsed="false">
      <c r="A2239" s="23" t="s">
        <v>512</v>
      </c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</row>
    <row r="2240" customFormat="false" ht="15" hidden="false" customHeight="false" outlineLevel="0" collapsed="false">
      <c r="A2240" s="3" t="s">
        <v>499</v>
      </c>
      <c r="C2240" s="21" t="n">
        <f aca="false">IF(C2196=0,1,C2236/C2196)</f>
        <v>1</v>
      </c>
    </row>
    <row r="2241" customFormat="false" ht="15" hidden="false" customHeight="false" outlineLevel="0" collapsed="false">
      <c r="A2241" s="3" t="s">
        <v>500</v>
      </c>
      <c r="C2241" s="21" t="n">
        <f aca="false">IF(C2197=0,1,C2237/C2197)</f>
        <v>1</v>
      </c>
    </row>
    <row r="2242" customFormat="false" ht="15" hidden="false" customHeight="false" outlineLevel="0" collapsed="false">
      <c r="A2242" s="3" t="s">
        <v>501</v>
      </c>
      <c r="C2242" s="21" t="n">
        <f aca="false">IF(C2198=0,1,C2238/C2198)</f>
        <v>1</v>
      </c>
    </row>
    <row r="2243" customFormat="false" ht="15" hidden="false" customHeight="false" outlineLevel="0" collapsed="false">
      <c r="A2243" s="23" t="s">
        <v>513</v>
      </c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</row>
    <row r="2244" customFormat="false" ht="15" hidden="false" customHeight="false" outlineLevel="0" collapsed="false">
      <c r="A2244" s="3" t="s">
        <v>499</v>
      </c>
      <c r="C2244" s="25" t="n">
        <f aca="false">C2196-C2236</f>
        <v>0</v>
      </c>
    </row>
    <row r="2245" customFormat="false" ht="15" hidden="false" customHeight="false" outlineLevel="0" collapsed="false">
      <c r="A2245" s="3" t="s">
        <v>500</v>
      </c>
      <c r="C2245" s="25" t="n">
        <f aca="false">C2197-C2237</f>
        <v>0</v>
      </c>
    </row>
    <row r="2246" customFormat="false" ht="15" hidden="false" customHeight="false" outlineLevel="0" collapsed="false">
      <c r="A2246" s="3" t="s">
        <v>501</v>
      </c>
      <c r="C2246" s="25" t="n">
        <f aca="false">C2198-C2238</f>
        <v>0</v>
      </c>
    </row>
    <row r="2247" customFormat="false" ht="15" hidden="false" customHeight="false" outlineLevel="0" collapsed="false">
      <c r="A2247" s="23" t="s">
        <v>514</v>
      </c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</row>
    <row r="2248" customFormat="false" ht="15" hidden="false" customHeight="false" outlineLevel="0" collapsed="false">
      <c r="A2248" s="3" t="s">
        <v>499</v>
      </c>
      <c r="C2248" s="21" t="n">
        <f aca="false">IF(C2196=0,0,C2244/C2196)</f>
        <v>0</v>
      </c>
    </row>
    <row r="2249" customFormat="false" ht="15" hidden="false" customHeight="false" outlineLevel="0" collapsed="false">
      <c r="A2249" s="3" t="s">
        <v>500</v>
      </c>
      <c r="C2249" s="21" t="n">
        <f aca="false">IF(C2197=0,0,C2245/C2197)</f>
        <v>0</v>
      </c>
    </row>
    <row r="2250" customFormat="false" ht="15" hidden="false" customHeight="false" outlineLevel="0" collapsed="false">
      <c r="A2250" s="3" t="s">
        <v>501</v>
      </c>
      <c r="C2250" s="21" t="n">
        <f aca="false">IF(C2198=0,0,C2246/C2198)</f>
        <v>0</v>
      </c>
    </row>
    <row r="2251" customFormat="false" ht="15" hidden="false" customHeight="false" outlineLevel="0" collapsed="false">
      <c r="A2251" s="2" t="s">
        <v>515</v>
      </c>
      <c r="C2251" s="16" t="n">
        <f aca="false">MAX(0,$C$2194-SUM($C$2208:$C$2210)-SUM($C$2216:$C$2218))</f>
        <v>895.236633094632</v>
      </c>
    </row>
    <row r="2252" customFormat="false" ht="15" hidden="false" customHeight="false" outlineLevel="0" collapsed="false">
      <c r="A2252" s="3" t="s">
        <v>533</v>
      </c>
      <c r="C2252" s="34" t="n">
        <f aca="false">MIN(C2193,100*CHOOSE(C2183,C2240,C2241,C2242))</f>
        <v>100</v>
      </c>
    </row>
    <row r="2253" customFormat="false" ht="15" hidden="false" customHeight="false" outlineLevel="0" collapsed="false">
      <c r="A2253" s="3" t="s">
        <v>534</v>
      </c>
      <c r="C2253" s="20" t="n">
        <f aca="false">IF(C2113=1,C2188+Assumptions!$C$39,C2187)</f>
        <v>3</v>
      </c>
    </row>
    <row r="2254" customFormat="false" ht="15" hidden="false" customHeight="false" outlineLevel="0" collapsed="false">
      <c r="A2254" s="23" t="s">
        <v>535</v>
      </c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</row>
    <row r="2255" customFormat="false" ht="15" hidden="false" customHeight="false" outlineLevel="0" collapsed="false">
      <c r="A2255" s="3" t="s">
        <v>536</v>
      </c>
      <c r="C2255" s="20" t="n">
        <f aca="false">COLUMN()-COLUMN($C$1)</f>
        <v>0</v>
      </c>
      <c r="D2255" s="20" t="n">
        <f aca="false">COLUMN()-COLUMN($C$1)</f>
        <v>1</v>
      </c>
      <c r="E2255" s="20" t="n">
        <f aca="false">COLUMN()-COLUMN($C$1)</f>
        <v>2</v>
      </c>
      <c r="F2255" s="20" t="n">
        <f aca="false">COLUMN()-COLUMN($C$1)</f>
        <v>3</v>
      </c>
      <c r="G2255" s="20" t="n">
        <f aca="false">COLUMN()-COLUMN($C$1)</f>
        <v>4</v>
      </c>
      <c r="H2255" s="20" t="n">
        <f aca="false">COLUMN()-COLUMN($C$1)</f>
        <v>5</v>
      </c>
      <c r="I2255" s="20" t="n">
        <f aca="false">COLUMN()-COLUMN($C$1)</f>
        <v>6</v>
      </c>
    </row>
    <row r="2256" customFormat="false" ht="15" hidden="false" customHeight="false" outlineLevel="0" collapsed="false">
      <c r="A2256" s="3" t="s">
        <v>537</v>
      </c>
      <c r="D2256" s="31" t="n">
        <f aca="false">CHOOSE($C$2183,G1996,G2009,G2022)</f>
        <v>0.105</v>
      </c>
      <c r="E2256" s="31" t="n">
        <f aca="false">CHOOSE($C$2183,H1996,H2009,H2022)</f>
        <v>0.105</v>
      </c>
      <c r="F2256" s="31" t="n">
        <f aca="false">CHOOSE($C$2183,I1996,I2009,I2022)</f>
        <v>0.105</v>
      </c>
      <c r="G2256" s="31" t="n">
        <f aca="false">CHOOSE($C$2183,J1996,J2009,J2022)</f>
        <v>0.105</v>
      </c>
      <c r="H2256" s="31" t="n">
        <f aca="false">CHOOSE($C$2183,K1996,K2009,K2022)</f>
        <v>0.105</v>
      </c>
    </row>
    <row r="2257" customFormat="false" ht="15" hidden="false" customHeight="false" outlineLevel="0" collapsed="false">
      <c r="A2257" s="3" t="s">
        <v>538</v>
      </c>
      <c r="D2257" s="25" t="n">
        <f aca="false">IF(D2255&lt;=$C$2192,$C$2184*D2256,0)</f>
        <v>10.5</v>
      </c>
      <c r="E2257" s="25" t="n">
        <f aca="false">IF(E2255&lt;=$C$2192,$C$2184*E2256,0)</f>
        <v>10.5</v>
      </c>
      <c r="F2257" s="25" t="n">
        <f aca="false">IF(F2255&lt;=$C$2192,$C$2184*F2256,0)</f>
        <v>10.5</v>
      </c>
      <c r="G2257" s="25" t="n">
        <f aca="false">IF(G2255&lt;=$C$2192,$C$2184*G2256,0)</f>
        <v>0</v>
      </c>
      <c r="H2257" s="25" t="n">
        <f aca="false">IF(H2255&lt;=$C$2192,$C$2184*H2256,0)</f>
        <v>0</v>
      </c>
    </row>
    <row r="2258" customFormat="false" ht="15" hidden="false" customHeight="false" outlineLevel="0" collapsed="false">
      <c r="A2258" s="3" t="s">
        <v>539</v>
      </c>
      <c r="D2258" s="25" t="n">
        <f aca="false">IF(AND($C$2113=0,D2255=$C$2187),$C$2184*$C$2252/100,0)+IF(AND($C$2113=1,D2255=$C$2253),$C$2190,0)</f>
        <v>0</v>
      </c>
      <c r="E2258" s="25" t="n">
        <f aca="false">IF(AND($C$2113=0,E2255=$C$2187),$C$2184*$C$2252/100,0)+IF(AND($C$2113=1,E2255=$C$2253),$C$2190,0)</f>
        <v>0</v>
      </c>
      <c r="F2258" s="25" t="n">
        <f aca="false">IF(AND($C$2113=0,F2255=$C$2187),$C$2184*$C$2252/100,0)+IF(AND($C$2113=1,F2255=$C$2253),$C$2190,0)</f>
        <v>100</v>
      </c>
      <c r="G2258" s="25" t="n">
        <f aca="false">IF(AND($C$2113=0,G2255=$C$2187),$C$2184*$C$2252/100,0)+IF(AND($C$2113=1,G2255=$C$2253),$C$2190,0)</f>
        <v>0</v>
      </c>
      <c r="H2258" s="25" t="n">
        <f aca="false">IF(AND($C$2113=0,H2255=$C$2187),$C$2184*$C$2252/100,0)+IF(AND($C$2113=1,H2255=$C$2253),$C$2190,0)</f>
        <v>0</v>
      </c>
      <c r="I2258" s="25" t="n">
        <f aca="false">IF(AND($C$2113=0,I2255=$C$2187),$C$2184*$C$2252/100,0)+IF(AND($C$2113=1,I2255=$C$2253),$C$2190,0)</f>
        <v>0</v>
      </c>
    </row>
    <row r="2259" customFormat="false" ht="15" hidden="false" customHeight="false" outlineLevel="0" collapsed="false">
      <c r="A2259" s="2" t="s">
        <v>540</v>
      </c>
      <c r="C2259" s="16" t="n">
        <f aca="false">-$C$2186</f>
        <v>-95</v>
      </c>
      <c r="D2259" s="16" t="n">
        <f aca="false">D2257+D2258</f>
        <v>10.5</v>
      </c>
      <c r="E2259" s="16" t="n">
        <f aca="false">E2257+E2258</f>
        <v>10.5</v>
      </c>
      <c r="F2259" s="16" t="n">
        <f aca="false">F2257+F2258</f>
        <v>110.5</v>
      </c>
      <c r="G2259" s="16" t="n">
        <f aca="false">G2257+G2258</f>
        <v>0</v>
      </c>
      <c r="H2259" s="16" t="n">
        <f aca="false">H2257+H2258</f>
        <v>0</v>
      </c>
      <c r="I2259" s="16" t="n">
        <f aca="false">I2257+I2258</f>
        <v>0</v>
      </c>
    </row>
    <row r="2260" customFormat="false" ht="15" hidden="false" customHeight="false" outlineLevel="0" collapsed="false">
      <c r="A2260" s="3" t="s">
        <v>541</v>
      </c>
      <c r="C2260" s="25" t="n">
        <f aca="false">SUM($C$2257:$I$2257)</f>
        <v>31.5</v>
      </c>
    </row>
    <row r="2261" customFormat="false" ht="15" hidden="false" customHeight="false" outlineLevel="0" collapsed="false">
      <c r="A2261" s="3" t="s">
        <v>542</v>
      </c>
      <c r="C2261" s="25" t="n">
        <f aca="false">SUM($C$2258:$I$2258)</f>
        <v>100</v>
      </c>
    </row>
    <row r="2262" customFormat="false" ht="15" hidden="false" customHeight="false" outlineLevel="0" collapsed="false">
      <c r="A2262" s="3" t="s">
        <v>543</v>
      </c>
      <c r="C2262" s="25" t="n">
        <f aca="false">C2260+C2261</f>
        <v>131.5</v>
      </c>
    </row>
    <row r="2263" customFormat="false" ht="15" hidden="false" customHeight="false" outlineLevel="0" collapsed="false">
      <c r="A2263" s="3" t="s">
        <v>544</v>
      </c>
      <c r="C2263" s="25" t="n">
        <f aca="false">C2261-C2184*C2185/100</f>
        <v>5</v>
      </c>
    </row>
    <row r="2264" customFormat="false" ht="15" hidden="false" customHeight="false" outlineLevel="0" collapsed="false">
      <c r="A2264" s="3" t="s">
        <v>545</v>
      </c>
      <c r="C2264" s="25" t="n">
        <f aca="false">C2262-C2186</f>
        <v>36.5</v>
      </c>
    </row>
    <row r="2265" customFormat="false" ht="15" hidden="false" customHeight="false" outlineLevel="0" collapsed="false">
      <c r="A2265" s="2" t="s">
        <v>427</v>
      </c>
      <c r="C2265" s="44" t="n">
        <f aca="false">C2262/C2186</f>
        <v>1.38421052631579</v>
      </c>
    </row>
    <row r="2266" customFormat="false" ht="15" hidden="false" customHeight="false" outlineLevel="0" collapsed="false">
      <c r="A2266" s="2" t="s">
        <v>426</v>
      </c>
      <c r="C2266" s="42" t="n">
        <f aca="false">IF(C2262&lt;=0,-1,IFERROR(IRR($C$2259:$I$2259,MAX(-0.9,C2265^(1/C2253)-1)),IRR($C$2259:$I$2259,0.1)))</f>
        <v>0.126033624615204</v>
      </c>
    </row>
    <row r="2267" customFormat="false" ht="15" hidden="false" customHeight="false" outlineLevel="0" collapsed="false">
      <c r="A2267" s="3" t="s">
        <v>546</v>
      </c>
      <c r="C2267" s="32" t="n">
        <f aca="false">MAX($G$2073:$K$2073)</f>
        <v>3.24437168456866</v>
      </c>
    </row>
    <row r="2268" customFormat="false" ht="15" hidden="false" customHeight="false" outlineLevel="0" collapsed="false">
      <c r="A2268" s="3" t="s">
        <v>547</v>
      </c>
      <c r="C2268" s="32" t="n">
        <f aca="false">MIN($G$2074:$K$2074)</f>
        <v>2.01327207606118</v>
      </c>
    </row>
    <row r="2269" customFormat="false" ht="15" hidden="false" customHeight="false" outlineLevel="0" collapsed="false">
      <c r="A2269" s="3" t="s">
        <v>548</v>
      </c>
      <c r="C2269" s="25" t="n">
        <f aca="false">SUM($G$1980:$K$1980)</f>
        <v>705.422496085767</v>
      </c>
    </row>
    <row r="2273" customFormat="false" ht="15" hidden="false" customHeight="false" outlineLevel="0" collapsed="false">
      <c r="A2273" s="9" t="s">
        <v>1021</v>
      </c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</row>
    <row r="2274" customFormat="false" ht="15" hidden="false" customHeight="false" outlineLevel="0" collapsed="false">
      <c r="A2274" s="3" t="s">
        <v>1010</v>
      </c>
      <c r="C2274" s="11" t="n">
        <v>1</v>
      </c>
    </row>
    <row r="2275" customFormat="false" ht="15" hidden="false" customHeight="false" outlineLevel="0" collapsed="false">
      <c r="A2275" s="3" t="s">
        <v>1011</v>
      </c>
      <c r="C2275" s="18" t="n">
        <v>0</v>
      </c>
    </row>
    <row r="2276" customFormat="false" ht="15" hidden="false" customHeight="false" outlineLevel="0" collapsed="false">
      <c r="A2276" s="3" t="s">
        <v>1012</v>
      </c>
      <c r="C2276" s="30" t="n">
        <f aca="false">Sensitivities!$A$34</f>
        <v>0.04</v>
      </c>
    </row>
    <row r="2277" customFormat="false" ht="15" hidden="false" customHeight="false" outlineLevel="0" collapsed="false">
      <c r="A2277" s="3" t="s">
        <v>1013</v>
      </c>
      <c r="C2277" s="18" t="n">
        <v>0</v>
      </c>
    </row>
    <row r="2278" customFormat="false" ht="15" hidden="false" customHeight="false" outlineLevel="0" collapsed="false">
      <c r="A2278" s="3" t="s">
        <v>1014</v>
      </c>
      <c r="C2278" s="15" t="n">
        <v>0</v>
      </c>
    </row>
    <row r="2280" customFormat="false" ht="15" hidden="false" customHeight="false" outlineLevel="0" collapsed="false">
      <c r="A2280" s="23" t="s">
        <v>281</v>
      </c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</row>
    <row r="2281" customFormat="false" ht="15" hidden="false" customHeight="false" outlineLevel="0" collapsed="false">
      <c r="A2281" s="3" t="s">
        <v>282</v>
      </c>
      <c r="F2281" s="27" t="n">
        <f aca="false">Assumptions!$C$6</f>
        <v>2026</v>
      </c>
      <c r="G2281" s="20" t="n">
        <f aca="false">F2281+1</f>
        <v>2027</v>
      </c>
      <c r="H2281" s="20" t="n">
        <f aca="false">G2281+1</f>
        <v>2028</v>
      </c>
      <c r="I2281" s="20" t="n">
        <f aca="false">H2281+1</f>
        <v>2029</v>
      </c>
      <c r="J2281" s="20" t="n">
        <f aca="false">I2281+1</f>
        <v>2030</v>
      </c>
      <c r="K2281" s="20" t="n">
        <f aca="false">J2281+1</f>
        <v>2031</v>
      </c>
    </row>
    <row r="2282" customFormat="false" ht="15" hidden="false" customHeight="false" outlineLevel="0" collapsed="false">
      <c r="A2282" s="3" t="s">
        <v>283</v>
      </c>
      <c r="G2282" s="20" t="n">
        <f aca="false">G2281-Assumptions!$C$6</f>
        <v>1</v>
      </c>
      <c r="H2282" s="20" t="n">
        <f aca="false">H2281-Assumptions!$C$6</f>
        <v>2</v>
      </c>
      <c r="I2282" s="20" t="n">
        <f aca="false">I2281-Assumptions!$C$6</f>
        <v>3</v>
      </c>
      <c r="J2282" s="20" t="n">
        <f aca="false">J2281-Assumptions!$C$6</f>
        <v>4</v>
      </c>
      <c r="K2282" s="20" t="n">
        <f aca="false">K2281-Assumptions!$C$6</f>
        <v>5</v>
      </c>
    </row>
    <row r="2283" customFormat="false" ht="15" hidden="false" customHeight="false" outlineLevel="0" collapsed="false">
      <c r="A2283" s="3" t="s">
        <v>165</v>
      </c>
      <c r="G2283" s="21" t="n">
        <f aca="false">CHOOSE($C$2274,Assumptions!$G$71,Assumptions!$G$90,Assumptions!$G$109)+$C$2275</f>
        <v>-0.045</v>
      </c>
      <c r="H2283" s="21" t="n">
        <f aca="false">CHOOSE($C$2274,Assumptions!$H$71,Assumptions!$H$90,Assumptions!$H$109)+$C$2275</f>
        <v>-0.04</v>
      </c>
      <c r="I2283" s="21" t="n">
        <f aca="false">CHOOSE($C$2274,Assumptions!$I$71,Assumptions!$I$90,Assumptions!$I$109)+$C$2275</f>
        <v>-0.035</v>
      </c>
      <c r="J2283" s="21" t="n">
        <f aca="false">CHOOSE($C$2274,Assumptions!$J$71,Assumptions!$J$90,Assumptions!$J$109)+$C$2275</f>
        <v>-0.03</v>
      </c>
      <c r="K2283" s="21" t="n">
        <f aca="false">CHOOSE($C$2274,Assumptions!$K$71,Assumptions!$K$90,Assumptions!$K$109)+$C$2275</f>
        <v>-0.03</v>
      </c>
    </row>
    <row r="2284" customFormat="false" ht="15" hidden="false" customHeight="false" outlineLevel="0" collapsed="false">
      <c r="A2284" s="3" t="s">
        <v>166</v>
      </c>
      <c r="G2284" s="21" t="n">
        <f aca="false">CHOOSE($C$2274,Assumptions!$G$72,Assumptions!$G$91,Assumptions!$G$110)</f>
        <v>0.483246670103635</v>
      </c>
      <c r="H2284" s="21" t="n">
        <f aca="false">CHOOSE($C$2274,Assumptions!$H$72,Assumptions!$H$91,Assumptions!$H$110)</f>
        <v>0.483246670103635</v>
      </c>
      <c r="I2284" s="21" t="n">
        <f aca="false">CHOOSE($C$2274,Assumptions!$I$72,Assumptions!$I$91,Assumptions!$I$110)</f>
        <v>0.481246670103635</v>
      </c>
      <c r="J2284" s="21" t="n">
        <f aca="false">CHOOSE($C$2274,Assumptions!$J$72,Assumptions!$J$91,Assumptions!$J$110)</f>
        <v>0.479246670103635</v>
      </c>
      <c r="K2284" s="21" t="n">
        <f aca="false">CHOOSE($C$2274,Assumptions!$K$72,Assumptions!$K$91,Assumptions!$K$110)</f>
        <v>0.477246670103635</v>
      </c>
    </row>
    <row r="2285" customFormat="false" ht="15" hidden="false" customHeight="false" outlineLevel="0" collapsed="false">
      <c r="A2285" s="3" t="s">
        <v>167</v>
      </c>
      <c r="G2285" s="21" t="n">
        <f aca="false">CHOOSE($C$2274,Assumptions!$G$73,Assumptions!$G$92,Assumptions!$G$111)+$C$2276</f>
        <v>0.18</v>
      </c>
      <c r="H2285" s="21" t="n">
        <f aca="false">CHOOSE($C$2274,Assumptions!$H$73,Assumptions!$H$92,Assumptions!$H$111)+$C$2276</f>
        <v>0.18</v>
      </c>
      <c r="I2285" s="21" t="n">
        <f aca="false">CHOOSE($C$2274,Assumptions!$I$73,Assumptions!$I$92,Assumptions!$I$111)+$C$2276</f>
        <v>0.178</v>
      </c>
      <c r="J2285" s="21" t="n">
        <f aca="false">CHOOSE($C$2274,Assumptions!$J$73,Assumptions!$J$92,Assumptions!$J$111)+$C$2276</f>
        <v>0.176</v>
      </c>
      <c r="K2285" s="21" t="n">
        <f aca="false">CHOOSE($C$2274,Assumptions!$K$73,Assumptions!$K$92,Assumptions!$K$111)+$C$2276</f>
        <v>0.174</v>
      </c>
    </row>
    <row r="2286" customFormat="false" ht="15" hidden="false" customHeight="false" outlineLevel="0" collapsed="false">
      <c r="A2286" s="23" t="s">
        <v>284</v>
      </c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</row>
    <row r="2287" customFormat="false" ht="15" hidden="false" customHeight="false" outlineLevel="0" collapsed="false">
      <c r="A2287" s="2" t="s">
        <v>256</v>
      </c>
      <c r="F2287" s="28" t="n">
        <f aca="false">'Historical Financials'!G23</f>
        <v>2246.166</v>
      </c>
      <c r="G2287" s="16" t="n">
        <f aca="false">F2287*(1+G2283)</f>
        <v>2145.08853</v>
      </c>
      <c r="H2287" s="16" t="n">
        <f aca="false">G2287*(1+H2283)</f>
        <v>2059.2849888</v>
      </c>
      <c r="I2287" s="16" t="n">
        <f aca="false">H2287*(1+I2283)</f>
        <v>1987.210014192</v>
      </c>
      <c r="J2287" s="16" t="n">
        <f aca="false">I2287*(1+J2283)</f>
        <v>1927.59371376624</v>
      </c>
      <c r="K2287" s="16" t="n">
        <f aca="false">J2287*(1+K2283)</f>
        <v>1869.76590235325</v>
      </c>
    </row>
    <row r="2288" customFormat="false" ht="15" hidden="false" customHeight="false" outlineLevel="0" collapsed="false">
      <c r="A2288" s="3" t="s">
        <v>257</v>
      </c>
      <c r="G2288" s="25" t="n">
        <f aca="false">G2287*(1-G2284)</f>
        <v>1108.4816408</v>
      </c>
      <c r="H2288" s="25" t="n">
        <f aca="false">H2287*(1-H2284)</f>
        <v>1064.142375168</v>
      </c>
      <c r="I2288" s="25" t="n">
        <f aca="false">I2287*(1-I2284)</f>
        <v>1030.8718120655</v>
      </c>
      <c r="J2288" s="25" t="n">
        <f aca="false">J2287*(1-J2284)</f>
        <v>1003.80084513107</v>
      </c>
      <c r="K2288" s="25" t="n">
        <f aca="false">K2287*(1-K2284)</f>
        <v>977.426351581845</v>
      </c>
    </row>
    <row r="2289" customFormat="false" ht="15" hidden="false" customHeight="false" outlineLevel="0" collapsed="false">
      <c r="A2289" s="2" t="s">
        <v>258</v>
      </c>
      <c r="G2289" s="16" t="n">
        <f aca="false">G2287-G2288</f>
        <v>1036.6068892</v>
      </c>
      <c r="H2289" s="16" t="n">
        <f aca="false">H2287-H2288</f>
        <v>995.142613632</v>
      </c>
      <c r="I2289" s="16" t="n">
        <f aca="false">I2287-I2288</f>
        <v>956.338202126496</v>
      </c>
      <c r="J2289" s="16" t="n">
        <f aca="false">J2287-J2288</f>
        <v>923.792868635169</v>
      </c>
      <c r="K2289" s="16" t="n">
        <f aca="false">K2287-K2288</f>
        <v>892.339550771407</v>
      </c>
    </row>
    <row r="2290" customFormat="false" ht="15" hidden="false" customHeight="false" outlineLevel="0" collapsed="false">
      <c r="A2290" s="3" t="s">
        <v>285</v>
      </c>
      <c r="G2290" s="25" t="n">
        <f aca="false">G2289-G2291</f>
        <v>650.4909538</v>
      </c>
      <c r="H2290" s="25" t="n">
        <f aca="false">H2289-H2291</f>
        <v>624.471315648</v>
      </c>
      <c r="I2290" s="25" t="n">
        <f aca="false">I2289-I2291</f>
        <v>602.61481960032</v>
      </c>
      <c r="J2290" s="25" t="n">
        <f aca="false">J2289-J2291</f>
        <v>584.53637501231</v>
      </c>
      <c r="K2290" s="25" t="n">
        <f aca="false">K2289-K2291</f>
        <v>567.000283761941</v>
      </c>
    </row>
    <row r="2291" customFormat="false" ht="15" hidden="false" customHeight="false" outlineLevel="0" collapsed="false">
      <c r="A2291" s="2" t="s">
        <v>286</v>
      </c>
      <c r="G2291" s="16" t="n">
        <f aca="false">G2287*G2285</f>
        <v>386.1159354</v>
      </c>
      <c r="H2291" s="16" t="n">
        <f aca="false">H2287*H2285</f>
        <v>370.671297984</v>
      </c>
      <c r="I2291" s="16" t="n">
        <f aca="false">I2287*I2285</f>
        <v>353.723382526176</v>
      </c>
      <c r="J2291" s="16" t="n">
        <f aca="false">J2287*J2285</f>
        <v>339.256493622858</v>
      </c>
      <c r="K2291" s="16" t="n">
        <f aca="false">K2287*K2285</f>
        <v>325.339267009466</v>
      </c>
    </row>
    <row r="2292" customFormat="false" ht="15" hidden="false" customHeight="false" outlineLevel="0" collapsed="false">
      <c r="A2292" s="3" t="s">
        <v>287</v>
      </c>
      <c r="G2292" s="25" t="n">
        <f aca="false">G2287*'Historical Financials'!G28/'Historical Financials'!G23</f>
        <v>81.45768</v>
      </c>
      <c r="H2292" s="25" t="n">
        <f aca="false">H2287*'Historical Financials'!G28/'Historical Financials'!G23</f>
        <v>78.1993728</v>
      </c>
      <c r="I2292" s="25" t="n">
        <f aca="false">I2287*'Historical Financials'!G28/'Historical Financials'!G23</f>
        <v>75.462394752</v>
      </c>
      <c r="J2292" s="25" t="n">
        <f aca="false">J2287*'Historical Financials'!G28/'Historical Financials'!G23</f>
        <v>73.19852290944</v>
      </c>
      <c r="K2292" s="25" t="n">
        <f aca="false">K2287*'Historical Financials'!G28/'Historical Financials'!G23</f>
        <v>71.0025672221568</v>
      </c>
    </row>
    <row r="2293" customFormat="false" ht="15" hidden="false" customHeight="false" outlineLevel="0" collapsed="false">
      <c r="A2293" s="3" t="s">
        <v>288</v>
      </c>
      <c r="G2293" s="25" t="n">
        <f aca="false">G2287*'Historical Financials'!G29/'Historical Financials'!G23</f>
        <v>23.25998</v>
      </c>
      <c r="H2293" s="25" t="n">
        <f aca="false">H2287*'Historical Financials'!G29/'Historical Financials'!G23</f>
        <v>22.3295808</v>
      </c>
      <c r="I2293" s="25" t="n">
        <f aca="false">I2287*'Historical Financials'!G29/'Historical Financials'!G23</f>
        <v>21.548045472</v>
      </c>
      <c r="J2293" s="25" t="n">
        <f aca="false">J2287*'Historical Financials'!G29/'Historical Financials'!G23</f>
        <v>20.90160410784</v>
      </c>
      <c r="K2293" s="25" t="n">
        <f aca="false">K2287*'Historical Financials'!G29/'Historical Financials'!G23</f>
        <v>20.2745559846048</v>
      </c>
    </row>
    <row r="2294" customFormat="false" ht="15" hidden="false" customHeight="false" outlineLevel="0" collapsed="false">
      <c r="A2294" s="2" t="s">
        <v>289</v>
      </c>
      <c r="G2294" s="16" t="n">
        <f aca="false">G2291-G2292-G2293</f>
        <v>281.3982754</v>
      </c>
      <c r="H2294" s="16" t="n">
        <f aca="false">H2291-H2292-H2293</f>
        <v>270.142344384</v>
      </c>
      <c r="I2294" s="16" t="n">
        <f aca="false">I2291-I2292-I2293</f>
        <v>256.712942302176</v>
      </c>
      <c r="J2294" s="16" t="n">
        <f aca="false">J2291-J2292-J2293</f>
        <v>245.156366605578</v>
      </c>
      <c r="K2294" s="16" t="n">
        <f aca="false">K2291-K2292-K2293</f>
        <v>234.062143802704</v>
      </c>
    </row>
    <row r="2295" customFormat="false" ht="15" hidden="false" customHeight="false" outlineLevel="0" collapsed="false">
      <c r="A2295" s="3" t="s">
        <v>290</v>
      </c>
      <c r="G2295" s="25" t="n">
        <f aca="false">G2321+G2334+G2347</f>
        <v>155.95467</v>
      </c>
      <c r="H2295" s="25" t="n">
        <f aca="false">H2321+H2334+H2347</f>
        <v>155.95467</v>
      </c>
      <c r="I2295" s="25" t="n">
        <f aca="false">I2321+I2334+I2347</f>
        <v>155.95467</v>
      </c>
      <c r="J2295" s="25" t="n">
        <f aca="false">J2321+J2334+J2347</f>
        <v>138.08529</v>
      </c>
      <c r="K2295" s="25" t="n">
        <f aca="false">K2321+K2334+K2347</f>
        <v>138.08529</v>
      </c>
    </row>
    <row r="2296" customFormat="false" ht="15" hidden="false" customHeight="false" outlineLevel="0" collapsed="false">
      <c r="A2296" s="3" t="s">
        <v>291</v>
      </c>
      <c r="G2296" s="25" t="n">
        <f aca="false">G2322+G2335+G2348</f>
        <v>0</v>
      </c>
      <c r="H2296" s="25" t="n">
        <f aca="false">H2322+H2335+H2348</f>
        <v>0</v>
      </c>
      <c r="I2296" s="25" t="n">
        <f aca="false">I2322+I2335+I2348</f>
        <v>0</v>
      </c>
      <c r="J2296" s="25" t="n">
        <f aca="false">J2322+J2335+J2348</f>
        <v>0</v>
      </c>
      <c r="K2296" s="25" t="n">
        <f aca="false">K2322+K2335+K2348</f>
        <v>0</v>
      </c>
    </row>
    <row r="2297" customFormat="false" ht="15" hidden="false" customHeight="false" outlineLevel="0" collapsed="false">
      <c r="A2297" s="3" t="s">
        <v>239</v>
      </c>
      <c r="G2297" s="25" t="n">
        <f aca="false">G2295+G2296</f>
        <v>155.95467</v>
      </c>
      <c r="H2297" s="25" t="n">
        <f aca="false">H2295+H2296</f>
        <v>155.95467</v>
      </c>
      <c r="I2297" s="25" t="n">
        <f aca="false">I2295+I2296</f>
        <v>155.95467</v>
      </c>
      <c r="J2297" s="25" t="n">
        <f aca="false">J2295+J2296</f>
        <v>138.08529</v>
      </c>
      <c r="K2297" s="25" t="n">
        <f aca="false">K2295+K2296</f>
        <v>138.08529</v>
      </c>
    </row>
    <row r="2298" customFormat="false" ht="15" hidden="false" customHeight="false" outlineLevel="0" collapsed="false">
      <c r="A2298" s="2" t="s">
        <v>264</v>
      </c>
      <c r="G2298" s="16" t="n">
        <f aca="false">G2294-G2297</f>
        <v>125.4436054</v>
      </c>
      <c r="H2298" s="16" t="n">
        <f aca="false">H2294-H2297</f>
        <v>114.187674384</v>
      </c>
      <c r="I2298" s="16" t="n">
        <f aca="false">I2294-I2297</f>
        <v>100.758272302176</v>
      </c>
      <c r="J2298" s="16" t="n">
        <f aca="false">J2294-J2297</f>
        <v>107.071076605578</v>
      </c>
      <c r="K2298" s="16" t="n">
        <f aca="false">K2294-K2297</f>
        <v>95.9768538027043</v>
      </c>
    </row>
    <row r="2299" customFormat="false" ht="15" hidden="false" customHeight="false" outlineLevel="0" collapsed="false">
      <c r="A2299" s="3" t="s">
        <v>292</v>
      </c>
      <c r="G2299" s="25" t="n">
        <f aca="false">MAX(0,G2298)*Assumptions!$C$9</f>
        <v>31.36090135</v>
      </c>
      <c r="H2299" s="25" t="n">
        <f aca="false">MAX(0,H2298)*Assumptions!$C$9</f>
        <v>28.546918596</v>
      </c>
      <c r="I2299" s="25" t="n">
        <f aca="false">MAX(0,I2298)*Assumptions!$C$9</f>
        <v>25.189568075544</v>
      </c>
      <c r="J2299" s="25" t="n">
        <f aca="false">MAX(0,J2298)*Assumptions!$C$9</f>
        <v>26.7677691513945</v>
      </c>
      <c r="K2299" s="25" t="n">
        <f aca="false">MAX(0,K2298)*Assumptions!$C$9</f>
        <v>23.9942134506761</v>
      </c>
    </row>
    <row r="2300" customFormat="false" ht="15" hidden="false" customHeight="false" outlineLevel="0" collapsed="false">
      <c r="A2300" s="2" t="s">
        <v>293</v>
      </c>
      <c r="G2300" s="16" t="n">
        <f aca="false">G2298-G2299</f>
        <v>94.08270405</v>
      </c>
      <c r="H2300" s="16" t="n">
        <f aca="false">H2298-H2299</f>
        <v>85.640755788</v>
      </c>
      <c r="I2300" s="16" t="n">
        <f aca="false">I2298-I2299</f>
        <v>75.568704226632</v>
      </c>
      <c r="J2300" s="16" t="n">
        <f aca="false">J2298-J2299</f>
        <v>80.3033074541836</v>
      </c>
      <c r="K2300" s="16" t="n">
        <f aca="false">K2298-K2299</f>
        <v>71.9826403520283</v>
      </c>
    </row>
    <row r="2301" customFormat="false" ht="15" hidden="false" customHeight="false" outlineLevel="0" collapsed="false">
      <c r="A2301" s="23" t="s">
        <v>294</v>
      </c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</row>
    <row r="2302" customFormat="false" ht="15" hidden="false" customHeight="false" outlineLevel="0" collapsed="false">
      <c r="A2302" s="3" t="s">
        <v>169</v>
      </c>
      <c r="G2302" s="25" t="n">
        <f aca="false">G2287*CHOOSE($C$2274,Assumptions!$C$75,Assumptions!$C$94,Assumptions!$C$113)</f>
        <v>30.03123942</v>
      </c>
      <c r="H2302" s="25" t="n">
        <f aca="false">H2287*CHOOSE($C$2274,Assumptions!$C$75,Assumptions!$C$94,Assumptions!$C$113)</f>
        <v>28.8299898432</v>
      </c>
      <c r="I2302" s="25" t="n">
        <f aca="false">I2287*CHOOSE($C$2274,Assumptions!$C$75,Assumptions!$C$94,Assumptions!$C$113)</f>
        <v>27.820940198688</v>
      </c>
      <c r="J2302" s="25" t="n">
        <f aca="false">J2287*CHOOSE($C$2274,Assumptions!$C$75,Assumptions!$C$94,Assumptions!$C$113)</f>
        <v>26.9863119927274</v>
      </c>
      <c r="K2302" s="25" t="n">
        <f aca="false">K2287*CHOOSE($C$2274,Assumptions!$C$75,Assumptions!$C$94,Assumptions!$C$113)</f>
        <v>26.1767226329455</v>
      </c>
    </row>
    <row r="2303" customFormat="false" ht="15" hidden="false" customHeight="false" outlineLevel="0" collapsed="false">
      <c r="A2303" s="3" t="s">
        <v>295</v>
      </c>
      <c r="G2303" s="25" t="n">
        <f aca="false">CHOOSE($C$2274,Assumptions!$C$76,Assumptions!$C$95,Assumptions!$C$114)*(G2287-F2287)+CHOOSE($C$2274,Assumptions!$C$77,Assumptions!$C$96,Assumptions!$C$115)*G2287</f>
        <v>-21.4508853</v>
      </c>
      <c r="H2303" s="25" t="n">
        <f aca="false">CHOOSE($C$2274,Assumptions!$C$76,Assumptions!$C$95,Assumptions!$C$114)*(H2287-G2287)+CHOOSE($C$2274,Assumptions!$C$77,Assumptions!$C$96,Assumptions!$C$115)*H2287</f>
        <v>-20.592849888</v>
      </c>
      <c r="I2303" s="25" t="n">
        <f aca="false">CHOOSE($C$2274,Assumptions!$C$76,Assumptions!$C$95,Assumptions!$C$114)*(I2287-H2287)+CHOOSE($C$2274,Assumptions!$C$77,Assumptions!$C$96,Assumptions!$C$115)*I2287</f>
        <v>-19.87210014192</v>
      </c>
      <c r="J2303" s="25" t="n">
        <f aca="false">CHOOSE($C$2274,Assumptions!$C$76,Assumptions!$C$95,Assumptions!$C$114)*(J2287-I2287)+CHOOSE($C$2274,Assumptions!$C$77,Assumptions!$C$96,Assumptions!$C$115)*J2287</f>
        <v>-19.2759371376624</v>
      </c>
      <c r="K2303" s="25" t="n">
        <f aca="false">CHOOSE($C$2274,Assumptions!$C$76,Assumptions!$C$95,Assumptions!$C$114)*(K2287-J2287)+CHOOSE($C$2274,Assumptions!$C$77,Assumptions!$C$96,Assumptions!$C$115)*K2287</f>
        <v>-18.6976590235325</v>
      </c>
    </row>
    <row r="2304" customFormat="false" ht="15" hidden="false" customHeight="false" outlineLevel="0" collapsed="false">
      <c r="A2304" s="2" t="s">
        <v>296</v>
      </c>
      <c r="G2304" s="16" t="n">
        <f aca="false">G2300+G2292+G2293+G2296-G2302-G2303</f>
        <v>190.22000993</v>
      </c>
      <c r="H2304" s="16" t="n">
        <f aca="false">H2300+H2292+H2293+H2296-H2302-H2303</f>
        <v>177.9325694328</v>
      </c>
      <c r="I2304" s="16" t="n">
        <f aca="false">I2300+I2292+I2293+I2296-I2302-I2303</f>
        <v>164.630304393864</v>
      </c>
      <c r="J2304" s="16" t="n">
        <f aca="false">J2300+J2292+J2293+J2296-J2302-J2303</f>
        <v>166.693059616399</v>
      </c>
      <c r="K2304" s="16" t="n">
        <f aca="false">K2300+K2292+K2293+K2296-K2302-K2303</f>
        <v>155.780699949377</v>
      </c>
    </row>
    <row r="2306" customFormat="false" ht="15" hidden="false" customHeight="false" outlineLevel="0" collapsed="false">
      <c r="A2306" s="23" t="s">
        <v>298</v>
      </c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</row>
    <row r="2307" customFormat="false" ht="15" hidden="false" customHeight="false" outlineLevel="0" collapsed="false">
      <c r="A2307" s="3" t="s">
        <v>299</v>
      </c>
      <c r="G2307" s="30" t="n">
        <f aca="false">Assumptions!$G$52</f>
        <v>0.039</v>
      </c>
      <c r="H2307" s="30" t="n">
        <f aca="false">Assumptions!$H$52</f>
        <v>0.0375</v>
      </c>
      <c r="I2307" s="30" t="n">
        <f aca="false">Assumptions!$I$52</f>
        <v>0.035</v>
      </c>
      <c r="J2307" s="30" t="n">
        <f aca="false">Assumptions!$J$52</f>
        <v>0.035</v>
      </c>
      <c r="K2307" s="30" t="n">
        <f aca="false">Assumptions!$K$52</f>
        <v>0.035</v>
      </c>
    </row>
    <row r="2308" customFormat="false" ht="15" hidden="false" customHeight="false" outlineLevel="0" collapsed="false">
      <c r="A2308" s="3" t="s">
        <v>300</v>
      </c>
      <c r="C2308" s="31" t="n">
        <f aca="false">CHOOSE($C$2274,Assumptions!$C$78,Assumptions!$C$97,Assumptions!$C$116)+$C$2277</f>
        <v>0</v>
      </c>
    </row>
    <row r="2309" customFormat="false" ht="15" hidden="false" customHeight="false" outlineLevel="0" collapsed="false">
      <c r="A2309" s="3" t="s">
        <v>301</v>
      </c>
      <c r="C2309" s="31" t="n">
        <f aca="false">CHOOSE($C$2274,Assumptions!$C$79,Assumptions!$C$98,Assumptions!$C$117)</f>
        <v>0.11</v>
      </c>
    </row>
    <row r="2310" customFormat="false" ht="15" hidden="false" customHeight="false" outlineLevel="0" collapsed="false">
      <c r="A2310" s="3" t="s">
        <v>302</v>
      </c>
      <c r="C2310" s="32" t="n">
        <f aca="false">CHOOSE($C$2274,Assumptions!$C$80,Assumptions!$C$99,Assumptions!$C$118)</f>
        <v>6</v>
      </c>
    </row>
    <row r="2311" customFormat="false" ht="15" hidden="false" customHeight="false" outlineLevel="0" collapsed="false">
      <c r="A2311" s="3" t="s">
        <v>303</v>
      </c>
      <c r="C2311" s="32" t="n">
        <f aca="false">CHOOSE($C$2274,Assumptions!$C$81,Assumptions!$C$100,Assumptions!$C$119)</f>
        <v>1.25</v>
      </c>
    </row>
    <row r="2312" customFormat="false" ht="15" hidden="false" customHeight="false" outlineLevel="0" collapsed="false">
      <c r="A2312" s="3" t="s">
        <v>304</v>
      </c>
      <c r="G2312" s="25" t="n">
        <f aca="false">G2317+G2330+G2343</f>
        <v>1735.554</v>
      </c>
      <c r="H2312" s="25" t="n">
        <f aca="false">H2317+H2330+H2343</f>
        <v>1735.554</v>
      </c>
      <c r="I2312" s="25" t="n">
        <f aca="false">I2317+I2330+I2343</f>
        <v>1735.554</v>
      </c>
      <c r="J2312" s="25" t="n">
        <f aca="false">J2317+J2330+J2343</f>
        <v>1315.098</v>
      </c>
      <c r="K2312" s="25" t="n">
        <f aca="false">K2317+K2330+K2343</f>
        <v>1315.098</v>
      </c>
    </row>
    <row r="2313" customFormat="false" ht="15" hidden="false" customHeight="false" outlineLevel="0" collapsed="false">
      <c r="A2313" s="3" t="s">
        <v>305</v>
      </c>
      <c r="G2313" s="25" t="n">
        <f aca="false">F2386</f>
        <v>463.996</v>
      </c>
      <c r="H2313" s="25" t="n">
        <f aca="false">G2386</f>
        <v>654.21600993</v>
      </c>
      <c r="I2313" s="25" t="n">
        <f aca="false">H2386</f>
        <v>832.1485793628</v>
      </c>
      <c r="J2313" s="25" t="n">
        <f aca="false">I2386</f>
        <v>576.322883756664</v>
      </c>
      <c r="K2313" s="25" t="n">
        <f aca="false">J2386</f>
        <v>743.015943373063</v>
      </c>
    </row>
    <row r="2314" customFormat="false" ht="15" hidden="false" customHeight="false" outlineLevel="0" collapsed="false">
      <c r="A2314" s="3" t="s">
        <v>306</v>
      </c>
      <c r="G2314" s="25" t="n">
        <f aca="false">G2317*IF(G2318=1,$C$2309,IF(Assumptions!$I$56=1,MAX(G2307,Assumptions!$G$56)+Assumptions!$F$56+$C$2308,Assumptions!$E$56))+G2330*IF(G2331=1,$C$2309,IF(Assumptions!$I$57=1,MAX(G2307,Assumptions!$G$57)+Assumptions!$F$57+$C$2308,Assumptions!$E$57))+G2343*IF(G2344=1,$C$2309,IF(Assumptions!$I$58=1,MAX(G2307,Assumptions!$G$58)+Assumptions!$F$58+$C$2308,Assumptions!$E$58))</f>
        <v>155.95467</v>
      </c>
      <c r="H2314" s="25" t="n">
        <f aca="false">H2317*IF(OR(H2318=1,G2464=1),$C$2309,IF(Assumptions!$I$56=1,MAX(H2307,Assumptions!$G$56)+Assumptions!$F$56+$C$2308,Assumptions!$E$56))+H2330*IF(OR(H2331=1,G2465=1),$C$2309,IF(Assumptions!$I$57=1,MAX(H2307,Assumptions!$G$57)+Assumptions!$F$57+$C$2308,Assumptions!$E$57))+H2343*IF(OR(H2344=1,G2466=1),$C$2309,IF(Assumptions!$I$58=1,MAX(H2307,Assumptions!$G$58)+Assumptions!$F$58+$C$2308,Assumptions!$E$58))</f>
        <v>155.95467</v>
      </c>
      <c r="I2314" s="25" t="n">
        <f aca="false">I2317*IF(OR(I2318=1,H2464=1),$C$2309,IF(Assumptions!$I$56=1,MAX(I2307,Assumptions!$G$56)+Assumptions!$F$56+$C$2308,Assumptions!$E$56))+I2330*IF(OR(I2331=1,H2465=1),$C$2309,IF(Assumptions!$I$57=1,MAX(I2307,Assumptions!$G$57)+Assumptions!$F$57+$C$2308,Assumptions!$E$57))+I2343*IF(OR(I2344=1,H2466=1),$C$2309,IF(Assumptions!$I$58=1,MAX(I2307,Assumptions!$G$58)+Assumptions!$F$58+$C$2308,Assumptions!$E$58))</f>
        <v>184.33545</v>
      </c>
      <c r="J2314" s="25" t="n">
        <f aca="false">J2317*IF(OR(J2318=1,I2464=1),$C$2309,IF(Assumptions!$I$56=1,MAX(J2307,Assumptions!$G$56)+Assumptions!$F$56+$C$2308,Assumptions!$E$56))+J2330*IF(OR(J2331=1,I2465=1),$C$2309,IF(Assumptions!$I$57=1,MAX(J2307,Assumptions!$G$57)+Assumptions!$F$57+$C$2308,Assumptions!$E$57))+J2343*IF(OR(J2344=1,I2466=1),$C$2309,IF(Assumptions!$I$58=1,MAX(J2307,Assumptions!$G$58)+Assumptions!$F$58+$C$2308,Assumptions!$E$58))</f>
        <v>138.08529</v>
      </c>
      <c r="K2314" s="25" t="n">
        <f aca="false">K2317*IF(OR(K2318=1,J2464=1),$C$2309,IF(Assumptions!$I$56=1,MAX(K2307,Assumptions!$G$56)+Assumptions!$F$56+$C$2308,Assumptions!$E$56))+K2330*IF(OR(K2331=1,J2465=1),$C$2309,IF(Assumptions!$I$57=1,MAX(K2307,Assumptions!$G$57)+Assumptions!$F$57+$C$2308,Assumptions!$E$57))+K2343*IF(OR(K2344=1,J2466=1),$C$2309,IF(Assumptions!$I$58=1,MAX(K2307,Assumptions!$G$58)+Assumptions!$F$58+$C$2308,Assumptions!$E$58))</f>
        <v>138.08529</v>
      </c>
    </row>
    <row r="2315" customFormat="false" ht="15" hidden="false" customHeight="false" outlineLevel="0" collapsed="false">
      <c r="A2315" s="3" t="s">
        <v>307</v>
      </c>
      <c r="G2315" s="20" t="n">
        <f aca="false">IF(G2291&lt;=0,0,IF(AND((G2312-G2313)/G2291&lt;=$C$2310,G2291/G2314&gt;=$C$2311),1,0))</f>
        <v>1</v>
      </c>
      <c r="H2315" s="20" t="n">
        <f aca="false">IF(H2291&lt;=0,0,IF(AND((H2312-H2313)/H2291&lt;=$C$2310,H2291/H2314&gt;=$C$2311),1,0))</f>
        <v>1</v>
      </c>
      <c r="I2315" s="20" t="n">
        <f aca="false">IF(I2291&lt;=0,0,IF(AND((I2312-I2313)/I2291&lt;=$C$2310,I2291/I2314&gt;=$C$2311),1,0))</f>
        <v>1</v>
      </c>
      <c r="J2315" s="20" t="n">
        <f aca="false">IF(J2291&lt;=0,0,IF(AND((J2312-J2313)/J2291&lt;=$C$2310,J2291/J2314&gt;=$C$2311),1,0))</f>
        <v>1</v>
      </c>
      <c r="K2315" s="20" t="n">
        <f aca="false">IF(K2291&lt;=0,0,IF(AND((K2312-K2313)/K2291&lt;=$C$2310,K2291/K2314&gt;=$C$2311),1,0))</f>
        <v>1</v>
      </c>
    </row>
    <row r="2316" customFormat="false" ht="15" hidden="false" customHeight="false" outlineLevel="0" collapsed="false">
      <c r="A2316" s="23" t="s">
        <v>308</v>
      </c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</row>
    <row r="2317" customFormat="false" ht="15" hidden="false" customHeight="false" outlineLevel="0" collapsed="false">
      <c r="A2317" s="3" t="s">
        <v>309</v>
      </c>
      <c r="G2317" s="25" t="n">
        <f aca="false">F2328</f>
        <v>1315.098</v>
      </c>
      <c r="H2317" s="25" t="n">
        <f aca="false">G2328</f>
        <v>1315.098</v>
      </c>
      <c r="I2317" s="25" t="n">
        <f aca="false">H2328</f>
        <v>1315.098</v>
      </c>
      <c r="J2317" s="25" t="n">
        <f aca="false">I2328</f>
        <v>1315.098</v>
      </c>
      <c r="K2317" s="25" t="n">
        <f aca="false">J2328</f>
        <v>1315.098</v>
      </c>
    </row>
    <row r="2318" customFormat="false" ht="15" hidden="false" customHeight="false" outlineLevel="0" collapsed="false">
      <c r="A2318" s="3" t="s">
        <v>310</v>
      </c>
      <c r="G2318" s="20" t="n">
        <f aca="false">IF(G2281=Assumptions!$K$56,1,0)</f>
        <v>0</v>
      </c>
      <c r="H2318" s="20" t="n">
        <f aca="false">IF(H2281=Assumptions!$K$56,1,0)</f>
        <v>0</v>
      </c>
      <c r="I2318" s="20" t="n">
        <f aca="false">IF(I2281=Assumptions!$K$56,1,0)</f>
        <v>0</v>
      </c>
      <c r="J2318" s="20" t="n">
        <f aca="false">IF(J2281=Assumptions!$K$56,1,0)</f>
        <v>0</v>
      </c>
      <c r="K2318" s="20" t="n">
        <f aca="false">IF(K2281=Assumptions!$K$56,1,0)</f>
        <v>0</v>
      </c>
    </row>
    <row r="2320" customFormat="false" ht="15" hidden="false" customHeight="false" outlineLevel="0" collapsed="false">
      <c r="A2320" s="3" t="s">
        <v>311</v>
      </c>
      <c r="G2320" s="31" t="n">
        <f aca="false">IF(Assumptions!$I$56=1,MAX(G2307,Assumptions!$G$56)+Assumptions!$F$56+$C$2308,Assumptions!$E$56)</f>
        <v>0.105</v>
      </c>
      <c r="H2320" s="31" t="n">
        <f aca="false">IF(G2464=1,$C$2309,IF(Assumptions!$I$56=1,MAX(H2307,Assumptions!$G$56)+Assumptions!$F$56+$C$2308,Assumptions!$E$56))</f>
        <v>0.105</v>
      </c>
      <c r="I2320" s="31" t="n">
        <f aca="false">IF(H2464=1,$C$2309,IF(Assumptions!$I$56=1,MAX(I2307,Assumptions!$G$56)+Assumptions!$F$56+$C$2308,Assumptions!$E$56))</f>
        <v>0.105</v>
      </c>
      <c r="J2320" s="31" t="n">
        <f aca="false">IF(I2464=1,$C$2309,IF(Assumptions!$I$56=1,MAX(J2307,Assumptions!$G$56)+Assumptions!$F$56+$C$2308,Assumptions!$E$56))</f>
        <v>0.105</v>
      </c>
      <c r="K2320" s="31" t="n">
        <f aca="false">IF(J2464=1,$C$2309,IF(Assumptions!$I$56=1,MAX(K2307,Assumptions!$G$56)+Assumptions!$F$56+$C$2308,Assumptions!$E$56))</f>
        <v>0.105</v>
      </c>
    </row>
    <row r="2321" customFormat="false" ht="15" hidden="false" customHeight="false" outlineLevel="0" collapsed="false">
      <c r="A2321" s="3" t="s">
        <v>312</v>
      </c>
      <c r="G2321" s="25" t="n">
        <f aca="false">G2317*G2320</f>
        <v>138.08529</v>
      </c>
      <c r="H2321" s="25" t="n">
        <f aca="false">H2317*H2320</f>
        <v>138.08529</v>
      </c>
      <c r="I2321" s="25" t="n">
        <f aca="false">I2317*I2320</f>
        <v>138.08529</v>
      </c>
      <c r="J2321" s="25" t="n">
        <f aca="false">J2317*J2320</f>
        <v>138.08529</v>
      </c>
      <c r="K2321" s="25" t="n">
        <f aca="false">K2317*K2320</f>
        <v>138.08529</v>
      </c>
    </row>
    <row r="2322" customFormat="false" ht="15" hidden="false" customHeight="false" outlineLevel="0" collapsed="false">
      <c r="A2322" s="3" t="s">
        <v>313</v>
      </c>
      <c r="G2322" s="25" t="n">
        <f aca="false">G2317*Assumptions!$H$56</f>
        <v>0</v>
      </c>
      <c r="H2322" s="25" t="n">
        <f aca="false">H2317*Assumptions!$H$56</f>
        <v>0</v>
      </c>
      <c r="I2322" s="25" t="n">
        <f aca="false">I2317*Assumptions!$H$56</f>
        <v>0</v>
      </c>
      <c r="J2322" s="25" t="n">
        <f aca="false">J2317*Assumptions!$H$56</f>
        <v>0</v>
      </c>
      <c r="K2322" s="25" t="n">
        <f aca="false">K2317*Assumptions!$H$56</f>
        <v>0</v>
      </c>
    </row>
    <row r="2323" customFormat="false" ht="15" hidden="false" customHeight="false" outlineLevel="0" collapsed="false">
      <c r="A2323" s="3" t="s">
        <v>314</v>
      </c>
      <c r="G2323" s="25" t="n">
        <f aca="false">MIN(G2317,Assumptions!$L$56*Assumptions!$C$56)</f>
        <v>0</v>
      </c>
      <c r="H2323" s="25" t="n">
        <f aca="false">MIN(H2317,Assumptions!$L$56*Assumptions!$C$56)</f>
        <v>0</v>
      </c>
      <c r="I2323" s="25" t="n">
        <f aca="false">MIN(I2317,Assumptions!$L$56*Assumptions!$C$56)</f>
        <v>0</v>
      </c>
      <c r="J2323" s="25" t="n">
        <f aca="false">MIN(J2317,Assumptions!$L$56*Assumptions!$C$56)</f>
        <v>0</v>
      </c>
      <c r="K2323" s="25" t="n">
        <f aca="false">MIN(K2317,Assumptions!$L$56*Assumptions!$C$56)</f>
        <v>0</v>
      </c>
    </row>
    <row r="2324" customFormat="false" ht="15" hidden="false" customHeight="false" outlineLevel="0" collapsed="false">
      <c r="A2324" s="3" t="s">
        <v>315</v>
      </c>
      <c r="G2324" s="25" t="n">
        <f aca="false">IF(AND(Assumptions!$P$56=1,G2281&lt;Assumptions!$K$56),MIN(MAX(0,-G2378),MAX(0,Assumptions!$D$56-G2317)),0)</f>
        <v>0</v>
      </c>
      <c r="H2324" s="25" t="n">
        <f aca="false">IF(AND(Assumptions!$P$56=1,OR(H2281&lt;Assumptions!$K$56,G2464=1)),MIN(MAX(0,-H2378),MAX(0,Assumptions!$D$56-H2317)),0)</f>
        <v>0</v>
      </c>
      <c r="I2324" s="25" t="n">
        <f aca="false">IF(AND(Assumptions!$P$56=1,OR(I2281&lt;Assumptions!$K$56,H2464=1)),MIN(MAX(0,-I2378),MAX(0,Assumptions!$D$56-I2317)),0)</f>
        <v>0</v>
      </c>
      <c r="J2324" s="25" t="n">
        <f aca="false">IF(AND(Assumptions!$P$56=1,OR(J2281&lt;Assumptions!$K$56,I2464=1)),MIN(MAX(0,-J2378),MAX(0,Assumptions!$D$56-J2317)),0)</f>
        <v>0</v>
      </c>
      <c r="K2324" s="25" t="n">
        <f aca="false">IF(AND(Assumptions!$P$56=1,OR(K2281&lt;Assumptions!$K$56,J2464=1)),MIN(MAX(0,-K2378),MAX(0,Assumptions!$D$56-K2317)),0)</f>
        <v>0</v>
      </c>
    </row>
    <row r="2325" customFormat="false" ht="15" hidden="false" customHeight="false" outlineLevel="0" collapsed="false">
      <c r="A2325" s="3" t="s">
        <v>316</v>
      </c>
      <c r="G2325" s="25" t="n">
        <f aca="false">G2318*MIN(G2317-G2323+G2322,MAX(0,G2380-Assumptions!$C$12*G2315))</f>
        <v>0</v>
      </c>
      <c r="H2325" s="25" t="n">
        <f aca="false">H2318*MIN(H2317-H2323+H2322,MAX(0,H2380-Assumptions!$C$12*H2315))</f>
        <v>0</v>
      </c>
      <c r="I2325" s="25" t="n">
        <f aca="false">I2318*MIN(I2317-I2323+I2322,MAX(0,I2380-Assumptions!$C$12*I2315))</f>
        <v>0</v>
      </c>
      <c r="J2325" s="25" t="n">
        <f aca="false">J2318*MIN(J2317-J2323+J2322,MAX(0,J2380-Assumptions!$C$12*J2315))</f>
        <v>0</v>
      </c>
      <c r="K2325" s="25" t="n">
        <f aca="false">K2318*MIN(K2317-K2323+K2322,MAX(0,K2380-Assumptions!$C$12*K2315))</f>
        <v>0</v>
      </c>
    </row>
    <row r="2326" customFormat="false" ht="15" hidden="false" customHeight="false" outlineLevel="0" collapsed="false">
      <c r="A2326" s="3" t="s">
        <v>317</v>
      </c>
      <c r="G2326" s="25" t="n">
        <f aca="false">Assumptions!$N$56*MIN(G2317+G2324+G2322-G2323-G2325,MAX(0,G2384))</f>
        <v>0</v>
      </c>
      <c r="H2326" s="25" t="n">
        <f aca="false">Assumptions!$N$56*MIN(H2317+H2324+H2322-H2323-H2325,MAX(0,H2384))</f>
        <v>0</v>
      </c>
      <c r="I2326" s="25" t="n">
        <f aca="false">Assumptions!$N$56*MIN(I2317+I2324+I2322-I2323-I2325,MAX(0,I2384))</f>
        <v>0</v>
      </c>
      <c r="J2326" s="25" t="n">
        <f aca="false">Assumptions!$N$56*MIN(J2317+J2324+J2322-J2323-J2325,MAX(0,J2384))</f>
        <v>0</v>
      </c>
      <c r="K2326" s="25" t="n">
        <f aca="false">Assumptions!$N$56*MIN(K2317+K2324+K2322-K2323-K2325,MAX(0,K2384))</f>
        <v>0</v>
      </c>
    </row>
    <row r="2327" customFormat="false" ht="15" hidden="false" customHeight="false" outlineLevel="0" collapsed="false">
      <c r="A2327" s="3" t="s">
        <v>318</v>
      </c>
      <c r="G2327" s="25" t="n">
        <f aca="false">G2318*(1-G2315)*(G2317-G2323+G2322-G2325)</f>
        <v>0</v>
      </c>
      <c r="H2327" s="25" t="n">
        <f aca="false">H2318*(1-H2315)*(H2317-H2323+H2322-H2325)</f>
        <v>0</v>
      </c>
      <c r="I2327" s="25" t="n">
        <f aca="false">I2318*(1-I2315)*(I2317-I2323+I2322-I2325)</f>
        <v>0</v>
      </c>
      <c r="J2327" s="25" t="n">
        <f aca="false">J2318*(1-J2315)*(J2317-J2323+J2322-J2325)</f>
        <v>0</v>
      </c>
      <c r="K2327" s="25" t="n">
        <f aca="false">K2318*(1-K2315)*(K2317-K2323+K2322-K2325)</f>
        <v>0</v>
      </c>
    </row>
    <row r="2328" customFormat="false" ht="15" hidden="false" customHeight="false" outlineLevel="0" collapsed="false">
      <c r="A2328" s="2" t="s">
        <v>319</v>
      </c>
      <c r="F2328" s="28" t="n">
        <f aca="false">Assumptions!$C$56</f>
        <v>1315.098</v>
      </c>
      <c r="G2328" s="16" t="n">
        <f aca="false">G2317+G2324+G2322-G2323-G2325-G2326</f>
        <v>1315.098</v>
      </c>
      <c r="H2328" s="16" t="n">
        <f aca="false">H2317+H2324+H2322-H2323-H2325-H2326</f>
        <v>1315.098</v>
      </c>
      <c r="I2328" s="16" t="n">
        <f aca="false">I2317+I2324+I2322-I2323-I2325-I2326</f>
        <v>1315.098</v>
      </c>
      <c r="J2328" s="16" t="n">
        <f aca="false">J2317+J2324+J2322-J2323-J2325-J2326</f>
        <v>1315.098</v>
      </c>
      <c r="K2328" s="16" t="n">
        <f aca="false">K2317+K2324+K2322-K2323-K2325-K2326</f>
        <v>1315.098</v>
      </c>
    </row>
    <row r="2329" customFormat="false" ht="15" hidden="false" customHeight="false" outlineLevel="0" collapsed="false">
      <c r="A2329" s="23" t="s">
        <v>320</v>
      </c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</row>
    <row r="2330" customFormat="false" ht="15" hidden="false" customHeight="false" outlineLevel="0" collapsed="false">
      <c r="A2330" s="3" t="s">
        <v>309</v>
      </c>
      <c r="G2330" s="25" t="n">
        <f aca="false">F2341</f>
        <v>276.706</v>
      </c>
      <c r="H2330" s="25" t="n">
        <f aca="false">G2341</f>
        <v>276.706</v>
      </c>
      <c r="I2330" s="25" t="n">
        <f aca="false">H2341</f>
        <v>276.706</v>
      </c>
      <c r="J2330" s="25" t="n">
        <f aca="false">I2341</f>
        <v>0</v>
      </c>
      <c r="K2330" s="25" t="n">
        <f aca="false">J2341</f>
        <v>0</v>
      </c>
    </row>
    <row r="2331" customFormat="false" ht="15" hidden="false" customHeight="false" outlineLevel="0" collapsed="false">
      <c r="A2331" s="3" t="s">
        <v>310</v>
      </c>
      <c r="G2331" s="20" t="n">
        <f aca="false">IF(G2281=Assumptions!$K$57,1,0)</f>
        <v>0</v>
      </c>
      <c r="H2331" s="20" t="n">
        <f aca="false">IF(H2281=Assumptions!$K$57,1,0)</f>
        <v>0</v>
      </c>
      <c r="I2331" s="20" t="n">
        <f aca="false">IF(I2281=Assumptions!$K$57,1,0)</f>
        <v>1</v>
      </c>
      <c r="J2331" s="20" t="n">
        <f aca="false">IF(J2281=Assumptions!$K$57,1,0)</f>
        <v>0</v>
      </c>
      <c r="K2331" s="20" t="n">
        <f aca="false">IF(K2281=Assumptions!$K$57,1,0)</f>
        <v>0</v>
      </c>
    </row>
    <row r="2333" customFormat="false" ht="15" hidden="false" customHeight="false" outlineLevel="0" collapsed="false">
      <c r="A2333" s="3" t="s">
        <v>311</v>
      </c>
      <c r="G2333" s="31" t="n">
        <f aca="false">IF(Assumptions!$I$57=1,MAX(G2307,Assumptions!$G$57)+Assumptions!$F$57+$C$2308,Assumptions!$E$57)</f>
        <v>0.0425</v>
      </c>
      <c r="H2333" s="31" t="n">
        <f aca="false">IF(G2465=1,$C$2309,IF(Assumptions!$I$57=1,MAX(H2307,Assumptions!$G$57)+Assumptions!$F$57+$C$2308,Assumptions!$E$57))</f>
        <v>0.0425</v>
      </c>
      <c r="I2333" s="31" t="n">
        <f aca="false">IF(H2465=1,$C$2309,IF(Assumptions!$I$57=1,MAX(I2307,Assumptions!$G$57)+Assumptions!$F$57+$C$2308,Assumptions!$E$57))</f>
        <v>0.0425</v>
      </c>
      <c r="J2333" s="31" t="n">
        <f aca="false">IF(I2465=1,$C$2309,IF(Assumptions!$I$57=1,MAX(J2307,Assumptions!$G$57)+Assumptions!$F$57+$C$2308,Assumptions!$E$57))</f>
        <v>0.11</v>
      </c>
      <c r="K2333" s="31" t="n">
        <f aca="false">IF(J2465=1,$C$2309,IF(Assumptions!$I$57=1,MAX(K2307,Assumptions!$G$57)+Assumptions!$F$57+$C$2308,Assumptions!$E$57))</f>
        <v>0.11</v>
      </c>
    </row>
    <row r="2334" customFormat="false" ht="15" hidden="false" customHeight="false" outlineLevel="0" collapsed="false">
      <c r="A2334" s="3" t="s">
        <v>312</v>
      </c>
      <c r="G2334" s="25" t="n">
        <f aca="false">G2330*G2333</f>
        <v>11.760005</v>
      </c>
      <c r="H2334" s="25" t="n">
        <f aca="false">H2330*H2333</f>
        <v>11.760005</v>
      </c>
      <c r="I2334" s="25" t="n">
        <f aca="false">I2330*I2333</f>
        <v>11.760005</v>
      </c>
      <c r="J2334" s="25" t="n">
        <f aca="false">J2330*J2333</f>
        <v>0</v>
      </c>
      <c r="K2334" s="25" t="n">
        <f aca="false">K2330*K2333</f>
        <v>0</v>
      </c>
    </row>
    <row r="2335" customFormat="false" ht="15" hidden="false" customHeight="false" outlineLevel="0" collapsed="false">
      <c r="A2335" s="3" t="s">
        <v>313</v>
      </c>
      <c r="G2335" s="25" t="n">
        <f aca="false">G2330*Assumptions!$H$57</f>
        <v>0</v>
      </c>
      <c r="H2335" s="25" t="n">
        <f aca="false">H2330*Assumptions!$H$57</f>
        <v>0</v>
      </c>
      <c r="I2335" s="25" t="n">
        <f aca="false">I2330*Assumptions!$H$57</f>
        <v>0</v>
      </c>
      <c r="J2335" s="25" t="n">
        <f aca="false">J2330*Assumptions!$H$57</f>
        <v>0</v>
      </c>
      <c r="K2335" s="25" t="n">
        <f aca="false">K2330*Assumptions!$H$57</f>
        <v>0</v>
      </c>
    </row>
    <row r="2336" customFormat="false" ht="15" hidden="false" customHeight="false" outlineLevel="0" collapsed="false">
      <c r="A2336" s="3" t="s">
        <v>314</v>
      </c>
      <c r="G2336" s="25" t="n">
        <f aca="false">MIN(G2330,Assumptions!$L$57*Assumptions!$C$57)</f>
        <v>0</v>
      </c>
      <c r="H2336" s="25" t="n">
        <f aca="false">MIN(H2330,Assumptions!$L$57*Assumptions!$C$57)</f>
        <v>0</v>
      </c>
      <c r="I2336" s="25" t="n">
        <f aca="false">MIN(I2330,Assumptions!$L$57*Assumptions!$C$57)</f>
        <v>0</v>
      </c>
      <c r="J2336" s="25" t="n">
        <f aca="false">MIN(J2330,Assumptions!$L$57*Assumptions!$C$57)</f>
        <v>0</v>
      </c>
      <c r="K2336" s="25" t="n">
        <f aca="false">MIN(K2330,Assumptions!$L$57*Assumptions!$C$57)</f>
        <v>0</v>
      </c>
    </row>
    <row r="2337" customFormat="false" ht="15" hidden="false" customHeight="false" outlineLevel="0" collapsed="false">
      <c r="A2337" s="3" t="s">
        <v>315</v>
      </c>
      <c r="G2337" s="25" t="n">
        <f aca="false">IF(AND(Assumptions!$P$57=1,G2281&lt;Assumptions!$K$57),MIN(MAX(0,-G2378),MAX(0,Assumptions!$D$57-G2330)),0)</f>
        <v>0</v>
      </c>
      <c r="H2337" s="25" t="n">
        <f aca="false">IF(AND(Assumptions!$P$57=1,OR(H2281&lt;Assumptions!$K$57,G2465=1)),MIN(MAX(0,-H2378),MAX(0,Assumptions!$D$57-H2330)),0)</f>
        <v>0</v>
      </c>
      <c r="I2337" s="25" t="n">
        <f aca="false">IF(AND(Assumptions!$P$57=1,OR(I2281&lt;Assumptions!$K$57,H2465=1)),MIN(MAX(0,-I2378),MAX(0,Assumptions!$D$57-I2330)),0)</f>
        <v>0</v>
      </c>
      <c r="J2337" s="25" t="n">
        <f aca="false">IF(AND(Assumptions!$P$57=1,OR(J2281&lt;Assumptions!$K$57,I2465=1)),MIN(MAX(0,-J2378),MAX(0,Assumptions!$D$57-J2330)),0)</f>
        <v>0</v>
      </c>
      <c r="K2337" s="25" t="n">
        <f aca="false">IF(AND(Assumptions!$P$57=1,OR(K2281&lt;Assumptions!$K$57,J2465=1)),MIN(MAX(0,-K2378),MAX(0,Assumptions!$D$57-K2330)),0)</f>
        <v>0</v>
      </c>
    </row>
    <row r="2338" customFormat="false" ht="15" hidden="false" customHeight="false" outlineLevel="0" collapsed="false">
      <c r="A2338" s="3" t="s">
        <v>316</v>
      </c>
      <c r="G2338" s="25" t="n">
        <f aca="false">G2331*MIN(G2330-G2336+G2335,MAX(0,G2380-Assumptions!$C$12*G2315-G2325))</f>
        <v>0</v>
      </c>
      <c r="H2338" s="25" t="n">
        <f aca="false">H2331*MIN(H2330-H2336+H2335,MAX(0,H2380-Assumptions!$C$12*H2315-H2325))</f>
        <v>0</v>
      </c>
      <c r="I2338" s="25" t="n">
        <f aca="false">I2331*MIN(I2330-I2336+I2335,MAX(0,I2380-Assumptions!$C$12*I2315-I2325))</f>
        <v>276.706</v>
      </c>
      <c r="J2338" s="25" t="n">
        <f aca="false">J2331*MIN(J2330-J2336+J2335,MAX(0,J2380-Assumptions!$C$12*J2315-J2325))</f>
        <v>0</v>
      </c>
      <c r="K2338" s="25" t="n">
        <f aca="false">K2331*MIN(K2330-K2336+K2335,MAX(0,K2380-Assumptions!$C$12*K2315-K2325))</f>
        <v>0</v>
      </c>
    </row>
    <row r="2339" customFormat="false" ht="15" hidden="false" customHeight="false" outlineLevel="0" collapsed="false">
      <c r="A2339" s="3" t="s">
        <v>317</v>
      </c>
      <c r="G2339" s="25" t="n">
        <f aca="false">Assumptions!$N$57*MIN(G2330+G2337+G2335-G2336-G2338,MAX(0,G2384-G2326))</f>
        <v>0</v>
      </c>
      <c r="H2339" s="25" t="n">
        <f aca="false">Assumptions!$N$57*MIN(H2330+H2337+H2335-H2336-H2338,MAX(0,H2384-H2326))</f>
        <v>0</v>
      </c>
      <c r="I2339" s="25" t="n">
        <f aca="false">Assumptions!$N$57*MIN(I2330+I2337+I2335-I2336-I2338,MAX(0,I2384-I2326))</f>
        <v>0</v>
      </c>
      <c r="J2339" s="25" t="n">
        <f aca="false">Assumptions!$N$57*MIN(J2330+J2337+J2335-J2336-J2338,MAX(0,J2384-J2326))</f>
        <v>0</v>
      </c>
      <c r="K2339" s="25" t="n">
        <f aca="false">Assumptions!$N$57*MIN(K2330+K2337+K2335-K2336-K2338,MAX(0,K2384-K2326))</f>
        <v>0</v>
      </c>
    </row>
    <row r="2340" customFormat="false" ht="15" hidden="false" customHeight="false" outlineLevel="0" collapsed="false">
      <c r="A2340" s="3" t="s">
        <v>318</v>
      </c>
      <c r="G2340" s="25" t="n">
        <f aca="false">G2331*(1-G2315)*(G2330-G2336+G2335-G2338)</f>
        <v>0</v>
      </c>
      <c r="H2340" s="25" t="n">
        <f aca="false">H2331*(1-H2315)*(H2330-H2336+H2335-H2338)</f>
        <v>0</v>
      </c>
      <c r="I2340" s="25" t="n">
        <f aca="false">I2331*(1-I2315)*(I2330-I2336+I2335-I2338)</f>
        <v>0</v>
      </c>
      <c r="J2340" s="25" t="n">
        <f aca="false">J2331*(1-J2315)*(J2330-J2336+J2335-J2338)</f>
        <v>0</v>
      </c>
      <c r="K2340" s="25" t="n">
        <f aca="false">K2331*(1-K2315)*(K2330-K2336+K2335-K2338)</f>
        <v>0</v>
      </c>
    </row>
    <row r="2341" customFormat="false" ht="15" hidden="false" customHeight="false" outlineLevel="0" collapsed="false">
      <c r="A2341" s="2" t="s">
        <v>319</v>
      </c>
      <c r="F2341" s="28" t="n">
        <f aca="false">Assumptions!$C$57</f>
        <v>276.706</v>
      </c>
      <c r="G2341" s="16" t="n">
        <f aca="false">G2330+G2337+G2335-G2336-G2338-G2339</f>
        <v>276.706</v>
      </c>
      <c r="H2341" s="16" t="n">
        <f aca="false">H2330+H2337+H2335-H2336-H2338-H2339</f>
        <v>276.706</v>
      </c>
      <c r="I2341" s="16" t="n">
        <f aca="false">I2330+I2337+I2335-I2336-I2338-I2339</f>
        <v>0</v>
      </c>
      <c r="J2341" s="16" t="n">
        <f aca="false">J2330+J2337+J2335-J2336-J2338-J2339</f>
        <v>0</v>
      </c>
      <c r="K2341" s="16" t="n">
        <f aca="false">K2330+K2337+K2335-K2336-K2338-K2339</f>
        <v>0</v>
      </c>
    </row>
    <row r="2342" customFormat="false" ht="15" hidden="false" customHeight="false" outlineLevel="0" collapsed="false">
      <c r="A2342" s="23" t="s">
        <v>321</v>
      </c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</row>
    <row r="2343" customFormat="false" ht="15" hidden="false" customHeight="false" outlineLevel="0" collapsed="false">
      <c r="A2343" s="3" t="s">
        <v>309</v>
      </c>
      <c r="G2343" s="25" t="n">
        <f aca="false">F2354</f>
        <v>143.75</v>
      </c>
      <c r="H2343" s="25" t="n">
        <f aca="false">G2354</f>
        <v>143.75</v>
      </c>
      <c r="I2343" s="25" t="n">
        <f aca="false">H2354</f>
        <v>143.75</v>
      </c>
      <c r="J2343" s="25" t="n">
        <f aca="false">I2354</f>
        <v>0</v>
      </c>
      <c r="K2343" s="25" t="n">
        <f aca="false">J2354</f>
        <v>0</v>
      </c>
    </row>
    <row r="2344" customFormat="false" ht="15" hidden="false" customHeight="false" outlineLevel="0" collapsed="false">
      <c r="A2344" s="3" t="s">
        <v>310</v>
      </c>
      <c r="G2344" s="20" t="n">
        <f aca="false">IF(G2281=Assumptions!$K$58,1,0)</f>
        <v>0</v>
      </c>
      <c r="H2344" s="20" t="n">
        <f aca="false">IF(H2281=Assumptions!$K$58,1,0)</f>
        <v>0</v>
      </c>
      <c r="I2344" s="20" t="n">
        <f aca="false">IF(I2281=Assumptions!$K$58,1,0)</f>
        <v>1</v>
      </c>
      <c r="J2344" s="20" t="n">
        <f aca="false">IF(J2281=Assumptions!$K$58,1,0)</f>
        <v>0</v>
      </c>
      <c r="K2344" s="20" t="n">
        <f aca="false">IF(K2281=Assumptions!$K$58,1,0)</f>
        <v>0</v>
      </c>
    </row>
    <row r="2346" customFormat="false" ht="15" hidden="false" customHeight="false" outlineLevel="0" collapsed="false">
      <c r="A2346" s="3" t="s">
        <v>311</v>
      </c>
      <c r="G2346" s="31" t="n">
        <f aca="false">IF(Assumptions!$I$58=1,MAX(G2307,Assumptions!$G$58)+Assumptions!$F$58+$C$2308,Assumptions!$E$58)</f>
        <v>0.0425</v>
      </c>
      <c r="H2346" s="31" t="n">
        <f aca="false">IF(G2466=1,$C$2309,IF(Assumptions!$I$58=1,MAX(H2307,Assumptions!$G$58)+Assumptions!$F$58+$C$2308,Assumptions!$E$58))</f>
        <v>0.0425</v>
      </c>
      <c r="I2346" s="31" t="n">
        <f aca="false">IF(H2466=1,$C$2309,IF(Assumptions!$I$58=1,MAX(I2307,Assumptions!$G$58)+Assumptions!$F$58+$C$2308,Assumptions!$E$58))</f>
        <v>0.0425</v>
      </c>
      <c r="J2346" s="31" t="n">
        <f aca="false">IF(I2466=1,$C$2309,IF(Assumptions!$I$58=1,MAX(J2307,Assumptions!$G$58)+Assumptions!$F$58+$C$2308,Assumptions!$E$58))</f>
        <v>0.11</v>
      </c>
      <c r="K2346" s="31" t="n">
        <f aca="false">IF(J2466=1,$C$2309,IF(Assumptions!$I$58=1,MAX(K2307,Assumptions!$G$58)+Assumptions!$F$58+$C$2308,Assumptions!$E$58))</f>
        <v>0.11</v>
      </c>
    </row>
    <row r="2347" customFormat="false" ht="15" hidden="false" customHeight="false" outlineLevel="0" collapsed="false">
      <c r="A2347" s="3" t="s">
        <v>312</v>
      </c>
      <c r="G2347" s="25" t="n">
        <f aca="false">G2343*G2346</f>
        <v>6.109375</v>
      </c>
      <c r="H2347" s="25" t="n">
        <f aca="false">H2343*H2346</f>
        <v>6.109375</v>
      </c>
      <c r="I2347" s="25" t="n">
        <f aca="false">I2343*I2346</f>
        <v>6.109375</v>
      </c>
      <c r="J2347" s="25" t="n">
        <f aca="false">J2343*J2346</f>
        <v>0</v>
      </c>
      <c r="K2347" s="25" t="n">
        <f aca="false">K2343*K2346</f>
        <v>0</v>
      </c>
    </row>
    <row r="2348" customFormat="false" ht="15" hidden="false" customHeight="false" outlineLevel="0" collapsed="false">
      <c r="A2348" s="3" t="s">
        <v>313</v>
      </c>
      <c r="G2348" s="25" t="n">
        <f aca="false">G2343*Assumptions!$H$58</f>
        <v>0</v>
      </c>
      <c r="H2348" s="25" t="n">
        <f aca="false">H2343*Assumptions!$H$58</f>
        <v>0</v>
      </c>
      <c r="I2348" s="25" t="n">
        <f aca="false">I2343*Assumptions!$H$58</f>
        <v>0</v>
      </c>
      <c r="J2348" s="25" t="n">
        <f aca="false">J2343*Assumptions!$H$58</f>
        <v>0</v>
      </c>
      <c r="K2348" s="25" t="n">
        <f aca="false">K2343*Assumptions!$H$58</f>
        <v>0</v>
      </c>
    </row>
    <row r="2349" customFormat="false" ht="15" hidden="false" customHeight="false" outlineLevel="0" collapsed="false">
      <c r="A2349" s="3" t="s">
        <v>314</v>
      </c>
      <c r="G2349" s="25" t="n">
        <f aca="false">MIN(G2343,Assumptions!$L$58*Assumptions!$C$58)</f>
        <v>0</v>
      </c>
      <c r="H2349" s="25" t="n">
        <f aca="false">MIN(H2343,Assumptions!$L$58*Assumptions!$C$58)</f>
        <v>0</v>
      </c>
      <c r="I2349" s="25" t="n">
        <f aca="false">MIN(I2343,Assumptions!$L$58*Assumptions!$C$58)</f>
        <v>0</v>
      </c>
      <c r="J2349" s="25" t="n">
        <f aca="false">MIN(J2343,Assumptions!$L$58*Assumptions!$C$58)</f>
        <v>0</v>
      </c>
      <c r="K2349" s="25" t="n">
        <f aca="false">MIN(K2343,Assumptions!$L$58*Assumptions!$C$58)</f>
        <v>0</v>
      </c>
    </row>
    <row r="2350" customFormat="false" ht="15" hidden="false" customHeight="false" outlineLevel="0" collapsed="false">
      <c r="A2350" s="3" t="s">
        <v>315</v>
      </c>
      <c r="G2350" s="25" t="n">
        <f aca="false">IF(AND(Assumptions!$P$58=1,G2281&lt;Assumptions!$K$58),MIN(MAX(0,-G2378),MAX(0,Assumptions!$D$58-G2343)),0)</f>
        <v>0</v>
      </c>
      <c r="H2350" s="25" t="n">
        <f aca="false">IF(AND(Assumptions!$P$58=1,OR(H2281&lt;Assumptions!$K$58,G2466=1)),MIN(MAX(0,-H2378),MAX(0,Assumptions!$D$58-H2343)),0)</f>
        <v>0</v>
      </c>
      <c r="I2350" s="25" t="n">
        <f aca="false">IF(AND(Assumptions!$P$58=1,OR(I2281&lt;Assumptions!$K$58,H2466=1)),MIN(MAX(0,-I2378),MAX(0,Assumptions!$D$58-I2343)),0)</f>
        <v>0</v>
      </c>
      <c r="J2350" s="25" t="n">
        <f aca="false">IF(AND(Assumptions!$P$58=1,OR(J2281&lt;Assumptions!$K$58,I2466=1)),MIN(MAX(0,-J2378),MAX(0,Assumptions!$D$58-J2343)),0)</f>
        <v>0</v>
      </c>
      <c r="K2350" s="25" t="n">
        <f aca="false">IF(AND(Assumptions!$P$58=1,OR(K2281&lt;Assumptions!$K$58,J2466=1)),MIN(MAX(0,-K2378),MAX(0,Assumptions!$D$58-K2343)),0)</f>
        <v>0</v>
      </c>
    </row>
    <row r="2351" customFormat="false" ht="15" hidden="false" customHeight="false" outlineLevel="0" collapsed="false">
      <c r="A2351" s="3" t="s">
        <v>316</v>
      </c>
      <c r="G2351" s="25" t="n">
        <f aca="false">G2344*MIN(G2343-G2349+G2348,MAX(0,G2380-Assumptions!$C$12*G2315-G2325-G2338))</f>
        <v>0</v>
      </c>
      <c r="H2351" s="25" t="n">
        <f aca="false">H2344*MIN(H2343-H2349+H2348,MAX(0,H2380-Assumptions!$C$12*H2315-H2325-H2338))</f>
        <v>0</v>
      </c>
      <c r="I2351" s="25" t="n">
        <f aca="false">I2344*MIN(I2343-I2349+I2348,MAX(0,I2380-Assumptions!$C$12*I2315-I2325-I2338))</f>
        <v>143.75</v>
      </c>
      <c r="J2351" s="25" t="n">
        <f aca="false">J2344*MIN(J2343-J2349+J2348,MAX(0,J2380-Assumptions!$C$12*J2315-J2325-J2338))</f>
        <v>0</v>
      </c>
      <c r="K2351" s="25" t="n">
        <f aca="false">K2344*MIN(K2343-K2349+K2348,MAX(0,K2380-Assumptions!$C$12*K2315-K2325-K2338))</f>
        <v>0</v>
      </c>
    </row>
    <row r="2352" customFormat="false" ht="15" hidden="false" customHeight="false" outlineLevel="0" collapsed="false">
      <c r="A2352" s="3" t="s">
        <v>317</v>
      </c>
      <c r="G2352" s="25" t="n">
        <f aca="false">Assumptions!$N$58*MIN(G2343+G2350+G2348-G2349-G2351,MAX(0,G2384-G2326-G2339))</f>
        <v>0</v>
      </c>
      <c r="H2352" s="25" t="n">
        <f aca="false">Assumptions!$N$58*MIN(H2343+H2350+H2348-H2349-H2351,MAX(0,H2384-H2326-H2339))</f>
        <v>0</v>
      </c>
      <c r="I2352" s="25" t="n">
        <f aca="false">Assumptions!$N$58*MIN(I2343+I2350+I2348-I2349-I2351,MAX(0,I2384-I2326-I2339))</f>
        <v>0</v>
      </c>
      <c r="J2352" s="25" t="n">
        <f aca="false">Assumptions!$N$58*MIN(J2343+J2350+J2348-J2349-J2351,MAX(0,J2384-J2326-J2339))</f>
        <v>0</v>
      </c>
      <c r="K2352" s="25" t="n">
        <f aca="false">Assumptions!$N$58*MIN(K2343+K2350+K2348-K2349-K2351,MAX(0,K2384-K2326-K2339))</f>
        <v>0</v>
      </c>
    </row>
    <row r="2353" customFormat="false" ht="15" hidden="false" customHeight="false" outlineLevel="0" collapsed="false">
      <c r="A2353" s="3" t="s">
        <v>318</v>
      </c>
      <c r="G2353" s="25" t="n">
        <f aca="false">G2344*(1-G2315)*(G2343-G2349+G2348-G2351)</f>
        <v>0</v>
      </c>
      <c r="H2353" s="25" t="n">
        <f aca="false">H2344*(1-H2315)*(H2343-H2349+H2348-H2351)</f>
        <v>0</v>
      </c>
      <c r="I2353" s="25" t="n">
        <f aca="false">I2344*(1-I2315)*(I2343-I2349+I2348-I2351)</f>
        <v>0</v>
      </c>
      <c r="J2353" s="25" t="n">
        <f aca="false">J2344*(1-J2315)*(J2343-J2349+J2348-J2351)</f>
        <v>0</v>
      </c>
      <c r="K2353" s="25" t="n">
        <f aca="false">K2344*(1-K2315)*(K2343-K2349+K2348-K2351)</f>
        <v>0</v>
      </c>
    </row>
    <row r="2354" customFormat="false" ht="15" hidden="false" customHeight="false" outlineLevel="0" collapsed="false">
      <c r="A2354" s="2" t="s">
        <v>319</v>
      </c>
      <c r="F2354" s="28" t="n">
        <f aca="false">Assumptions!$C$58</f>
        <v>143.75</v>
      </c>
      <c r="G2354" s="16" t="n">
        <f aca="false">G2343+G2350+G2348-G2349-G2351-G2352</f>
        <v>143.75</v>
      </c>
      <c r="H2354" s="16" t="n">
        <f aca="false">H2343+H2350+H2348-H2349-H2351-H2352</f>
        <v>143.75</v>
      </c>
      <c r="I2354" s="16" t="n">
        <f aca="false">I2343+I2350+I2348-I2349-I2351-I2352</f>
        <v>0</v>
      </c>
      <c r="J2354" s="16" t="n">
        <f aca="false">J2343+J2350+J2348-J2349-J2351-J2352</f>
        <v>0</v>
      </c>
      <c r="K2354" s="16" t="n">
        <f aca="false">K2343+K2350+K2348-K2349-K2351-K2352</f>
        <v>0</v>
      </c>
    </row>
    <row r="2355" customFormat="false" ht="15" hidden="false" customHeight="false" outlineLevel="0" collapsed="false">
      <c r="A2355" s="23" t="s">
        <v>322</v>
      </c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</row>
    <row r="2356" customFormat="false" ht="15" hidden="false" customHeight="false" outlineLevel="0" collapsed="false">
      <c r="A2356" s="2" t="s">
        <v>323</v>
      </c>
      <c r="F2356" s="16" t="n">
        <f aca="false">F2328+F2341+F2354</f>
        <v>1735.554</v>
      </c>
      <c r="G2356" s="16" t="n">
        <f aca="false">G2328+G2341+G2354</f>
        <v>1735.554</v>
      </c>
      <c r="H2356" s="16" t="n">
        <f aca="false">H2328+H2341+H2354</f>
        <v>1735.554</v>
      </c>
      <c r="I2356" s="16" t="n">
        <f aca="false">I2328+I2341+I2354</f>
        <v>1315.098</v>
      </c>
      <c r="J2356" s="16" t="n">
        <f aca="false">J2328+J2341+J2354</f>
        <v>1315.098</v>
      </c>
      <c r="K2356" s="16" t="n">
        <f aca="false">K2328+K2341+K2354</f>
        <v>1315.098</v>
      </c>
    </row>
    <row r="2357" customFormat="false" ht="15" hidden="false" customHeight="false" outlineLevel="0" collapsed="false">
      <c r="A2357" s="3" t="s">
        <v>324</v>
      </c>
      <c r="G2357" s="25" t="n">
        <f aca="false">G2318*Assumptions!$C$56+G2331*Assumptions!$C$57+G2344*Assumptions!$C$58</f>
        <v>0</v>
      </c>
      <c r="H2357" s="25" t="n">
        <f aca="false">H2318*Assumptions!$C$56+H2331*Assumptions!$C$57+H2344*Assumptions!$C$58</f>
        <v>0</v>
      </c>
      <c r="I2357" s="25" t="n">
        <f aca="false">I2318*Assumptions!$C$56+I2331*Assumptions!$C$57+I2344*Assumptions!$C$58</f>
        <v>420.456</v>
      </c>
      <c r="J2357" s="25" t="n">
        <f aca="false">J2318*Assumptions!$C$56+J2331*Assumptions!$C$57+J2344*Assumptions!$C$58</f>
        <v>0</v>
      </c>
      <c r="K2357" s="25" t="n">
        <f aca="false">K2318*Assumptions!$C$56+K2331*Assumptions!$C$57+K2344*Assumptions!$C$58</f>
        <v>0</v>
      </c>
    </row>
    <row r="2358" customFormat="false" ht="15" hidden="false" customHeight="false" outlineLevel="0" collapsed="false">
      <c r="A2358" s="23" t="s">
        <v>325</v>
      </c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</row>
    <row r="2359" customFormat="false" ht="15" hidden="false" customHeight="false" outlineLevel="0" collapsed="false">
      <c r="A2359" s="3" t="s">
        <v>326</v>
      </c>
      <c r="C2359" s="25" t="n">
        <f aca="false">SUMPRODUCT($G$2318:$K$2318,$G$2317:$K$2317-$G$2323:$K$2323+$G$2322:$K$2322)</f>
        <v>0</v>
      </c>
    </row>
    <row r="2360" customFormat="false" ht="15" hidden="false" customHeight="false" outlineLevel="0" collapsed="false">
      <c r="A2360" s="3" t="s">
        <v>327</v>
      </c>
      <c r="C2360" s="25" t="n">
        <f aca="false">SUMPRODUCT($G$2318:$K$2318,$G$2325:$K$2325)</f>
        <v>0</v>
      </c>
    </row>
    <row r="2361" customFormat="false" ht="15" hidden="false" customHeight="false" outlineLevel="0" collapsed="false">
      <c r="A2361" s="3" t="s">
        <v>328</v>
      </c>
      <c r="C2361" s="3" t="str">
        <f aca="false">IF(SUM($G$2318:$K$2318)=0,"n/a (beyond horizon)",IF(SUMPRODUCT($G$2318:$K$2318,$G$2315:$K$2315)&gt;0,"REFINANCING PASS","REFINANCING FAILURE"))</f>
        <v>n/a (beyond horizon)</v>
      </c>
    </row>
    <row r="2362" customFormat="false" ht="15" hidden="false" customHeight="false" outlineLevel="0" collapsed="false">
      <c r="A2362" s="3" t="s">
        <v>329</v>
      </c>
      <c r="C2362" s="3" t="str">
        <f aca="false">IF(SUM($G$2318:$K$2318)=0,"n/a",IF(C2360&gt;=C2359-0.001,"Repaid from cash",IF(SUMPRODUCT($G$2318:$K$2318,$G$2315:$K$2315)&gt;0,IF(C2360&gt;0,"Partly repaid; remainder refinanced","Refinanced"),IF(SUM($G$2327:$K$2327)&gt;0.001,IF(C2360&gt;0,"Partial repayment; PAYMENT DEFAULT","PAYMENT DEFAULT"),"Repaid from cash"))))</f>
        <v>n/a</v>
      </c>
    </row>
    <row r="2363" customFormat="false" ht="15" hidden="false" customHeight="false" outlineLevel="0" collapsed="false">
      <c r="A2363" s="3" t="s">
        <v>330</v>
      </c>
      <c r="C2363" s="25" t="n">
        <f aca="false">SUMPRODUCT($G$2331:$K$2331,$G$2330:$K$2330-$G$2336:$K$2336+$G$2335:$K$2335)</f>
        <v>276.706</v>
      </c>
    </row>
    <row r="2364" customFormat="false" ht="15" hidden="false" customHeight="false" outlineLevel="0" collapsed="false">
      <c r="A2364" s="3" t="s">
        <v>331</v>
      </c>
      <c r="C2364" s="25" t="n">
        <f aca="false">SUMPRODUCT($G$2331:$K$2331,$G$2338:$K$2338)</f>
        <v>276.706</v>
      </c>
    </row>
    <row r="2365" customFormat="false" ht="15" hidden="false" customHeight="false" outlineLevel="0" collapsed="false">
      <c r="A2365" s="3" t="s">
        <v>332</v>
      </c>
      <c r="C2365" s="3" t="str">
        <f aca="false">IF(SUM($G$2331:$K$2331)=0,"n/a (beyond horizon)",IF(SUMPRODUCT($G$2331:$K$2331,$G$2315:$K$2315)&gt;0,"REFINANCING PASS","REFINANCING FAILURE"))</f>
        <v>REFINANCING PASS</v>
      </c>
    </row>
    <row r="2366" customFormat="false" ht="15" hidden="false" customHeight="false" outlineLevel="0" collapsed="false">
      <c r="A2366" s="3" t="s">
        <v>333</v>
      </c>
      <c r="C2366" s="3" t="str">
        <f aca="false">IF(SUM($G$2331:$K$2331)=0,"n/a",IF(C2364&gt;=C2363-0.001,"Repaid from cash",IF(SUMPRODUCT($G$2331:$K$2331,$G$2315:$K$2315)&gt;0,IF(C2364&gt;0,"Partly repaid; remainder refinanced","Refinanced"),IF(SUM($G$2340:$K$2340)&gt;0.001,IF(C2364&gt;0,"Partial repayment; PAYMENT DEFAULT","PAYMENT DEFAULT"),"Repaid from cash"))))</f>
        <v>Repaid from cash</v>
      </c>
    </row>
    <row r="2367" customFormat="false" ht="15" hidden="false" customHeight="false" outlineLevel="0" collapsed="false">
      <c r="A2367" s="3" t="s">
        <v>334</v>
      </c>
      <c r="C2367" s="25" t="n">
        <f aca="false">SUMPRODUCT($G$2344:$K$2344,$G$2343:$K$2343-$G$2349:$K$2349+$G$2348:$K$2348)</f>
        <v>143.75</v>
      </c>
    </row>
    <row r="2368" customFormat="false" ht="15" hidden="false" customHeight="false" outlineLevel="0" collapsed="false">
      <c r="A2368" s="3" t="s">
        <v>335</v>
      </c>
      <c r="C2368" s="25" t="n">
        <f aca="false">SUMPRODUCT($G$2344:$K$2344,$G$2351:$K$2351)</f>
        <v>143.75</v>
      </c>
    </row>
    <row r="2369" customFormat="false" ht="15" hidden="false" customHeight="false" outlineLevel="0" collapsed="false">
      <c r="A2369" s="3" t="s">
        <v>336</v>
      </c>
      <c r="C2369" s="3" t="str">
        <f aca="false">IF(SUM($G$2344:$K$2344)=0,"n/a (beyond horizon)",IF(SUMPRODUCT($G$2344:$K$2344,$G$2315:$K$2315)&gt;0,"REFINANCING PASS","REFINANCING FAILURE"))</f>
        <v>REFINANCING PASS</v>
      </c>
    </row>
    <row r="2370" customFormat="false" ht="15" hidden="false" customHeight="false" outlineLevel="0" collapsed="false">
      <c r="A2370" s="3" t="s">
        <v>337</v>
      </c>
      <c r="C2370" s="3" t="str">
        <f aca="false">IF(SUM($G$2344:$K$2344)=0,"n/a",IF(C2368&gt;=C2367-0.001,"Repaid from cash",IF(SUMPRODUCT($G$2344:$K$2344,$G$2315:$K$2315)&gt;0,IF(C2368&gt;0,"Partly repaid; remainder refinanced","Refinanced"),IF(SUM($G$2353:$K$2353)&gt;0.001,IF(C2368&gt;0,"Partial repayment; PAYMENT DEFAULT","PAYMENT DEFAULT"),"Repaid from cash"))))</f>
        <v>Repaid from cash</v>
      </c>
    </row>
    <row r="2371" customFormat="false" ht="15" hidden="false" customHeight="false" outlineLevel="0" collapsed="false">
      <c r="A2371" s="3" t="s">
        <v>338</v>
      </c>
      <c r="C2371" s="20" t="n">
        <f aca="false">IF(C2361="REFINANCING FAILURE",1,0)+IF(C2365="REFINANCING FAILURE",1,0)+IF(C2369="REFINANCING FAILURE",1,0)</f>
        <v>0</v>
      </c>
    </row>
    <row r="2373" customFormat="false" ht="15" hidden="false" customHeight="false" outlineLevel="0" collapsed="false">
      <c r="A2373" s="23" t="s">
        <v>340</v>
      </c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</row>
    <row r="2374" customFormat="false" ht="15" hidden="false" customHeight="false" outlineLevel="0" collapsed="false">
      <c r="A2374" s="3" t="s">
        <v>305</v>
      </c>
      <c r="G2374" s="25" t="n">
        <f aca="false">F2386</f>
        <v>463.996</v>
      </c>
      <c r="H2374" s="25" t="n">
        <f aca="false">G2386</f>
        <v>654.21600993</v>
      </c>
      <c r="I2374" s="25" t="n">
        <f aca="false">H2386</f>
        <v>832.1485793628</v>
      </c>
      <c r="J2374" s="25" t="n">
        <f aca="false">I2386</f>
        <v>576.322883756664</v>
      </c>
      <c r="K2374" s="25" t="n">
        <f aca="false">J2386</f>
        <v>743.015943373063</v>
      </c>
    </row>
    <row r="2375" customFormat="false" ht="15" hidden="false" customHeight="false" outlineLevel="0" collapsed="false">
      <c r="A2375" s="3" t="s">
        <v>341</v>
      </c>
      <c r="G2375" s="25" t="n">
        <f aca="false">G2304</f>
        <v>190.22000993</v>
      </c>
      <c r="H2375" s="25" t="n">
        <f aca="false">H2304</f>
        <v>177.9325694328</v>
      </c>
      <c r="I2375" s="25" t="n">
        <f aca="false">I2304</f>
        <v>164.630304393864</v>
      </c>
      <c r="J2375" s="25" t="n">
        <f aca="false">J2304</f>
        <v>166.693059616399</v>
      </c>
      <c r="K2375" s="25" t="n">
        <f aca="false">K2304</f>
        <v>155.780699949377</v>
      </c>
    </row>
    <row r="2376" customFormat="false" ht="15" hidden="false" customHeight="false" outlineLevel="0" collapsed="false">
      <c r="A2376" s="3" t="s">
        <v>342</v>
      </c>
      <c r="G2376" s="25" t="n">
        <f aca="false">CHOOSE($C$2274,Assumptions!$G$74,Assumptions!$G$93,Assumptions!$G$112)</f>
        <v>0</v>
      </c>
      <c r="H2376" s="25" t="n">
        <f aca="false">CHOOSE($C$2274,Assumptions!$H$74,Assumptions!$H$93,Assumptions!$H$112)</f>
        <v>0</v>
      </c>
      <c r="I2376" s="25" t="n">
        <f aca="false">CHOOSE($C$2274,Assumptions!$I$74,Assumptions!$I$93,Assumptions!$I$112)</f>
        <v>0</v>
      </c>
      <c r="J2376" s="25" t="n">
        <f aca="false">CHOOSE($C$2274,Assumptions!$J$74,Assumptions!$J$93,Assumptions!$J$112)</f>
        <v>0</v>
      </c>
      <c r="K2376" s="25" t="n">
        <f aca="false">CHOOSE($C$2274,Assumptions!$K$74,Assumptions!$K$93,Assumptions!$K$112)</f>
        <v>0</v>
      </c>
    </row>
    <row r="2377" customFormat="false" ht="15" hidden="false" customHeight="false" outlineLevel="0" collapsed="false">
      <c r="A2377" s="3" t="s">
        <v>343</v>
      </c>
      <c r="G2377" s="25" t="n">
        <f aca="false">G2323+G2336+G2349</f>
        <v>0</v>
      </c>
      <c r="H2377" s="25" t="n">
        <f aca="false">H2323+H2336+H2349</f>
        <v>0</v>
      </c>
      <c r="I2377" s="25" t="n">
        <f aca="false">I2323+I2336+I2349</f>
        <v>0</v>
      </c>
      <c r="J2377" s="25" t="n">
        <f aca="false">J2323+J2336+J2349</f>
        <v>0</v>
      </c>
      <c r="K2377" s="25" t="n">
        <f aca="false">K2323+K2336+K2349</f>
        <v>0</v>
      </c>
    </row>
    <row r="2378" customFormat="false" ht="15" hidden="false" customHeight="false" outlineLevel="0" collapsed="false">
      <c r="A2378" s="2" t="s">
        <v>344</v>
      </c>
      <c r="G2378" s="16" t="n">
        <f aca="false">G2374+G2375+G2376-G2377</f>
        <v>654.21600993</v>
      </c>
      <c r="H2378" s="16" t="n">
        <f aca="false">H2374+H2375+H2376-H2377</f>
        <v>832.1485793628</v>
      </c>
      <c r="I2378" s="16" t="n">
        <f aca="false">I2374+I2375+I2376-I2377</f>
        <v>996.778883756664</v>
      </c>
      <c r="J2378" s="16" t="n">
        <f aca="false">J2374+J2375+J2376-J2377</f>
        <v>743.015943373063</v>
      </c>
      <c r="K2378" s="16" t="n">
        <f aca="false">K2374+K2375+K2376-K2377</f>
        <v>898.796643322439</v>
      </c>
    </row>
    <row r="2379" customFormat="false" ht="15" hidden="false" customHeight="false" outlineLevel="0" collapsed="false">
      <c r="A2379" s="3" t="s">
        <v>345</v>
      </c>
      <c r="G2379" s="25" t="n">
        <f aca="false">G2324+G2337+G2350</f>
        <v>0</v>
      </c>
      <c r="H2379" s="25" t="n">
        <f aca="false">H2324+H2337+H2350</f>
        <v>0</v>
      </c>
      <c r="I2379" s="25" t="n">
        <f aca="false">I2324+I2337+I2350</f>
        <v>0</v>
      </c>
      <c r="J2379" s="25" t="n">
        <f aca="false">J2324+J2337+J2350</f>
        <v>0</v>
      </c>
      <c r="K2379" s="25" t="n">
        <f aca="false">K2324+K2337+K2350</f>
        <v>0</v>
      </c>
    </row>
    <row r="2380" customFormat="false" ht="15" hidden="false" customHeight="false" outlineLevel="0" collapsed="false">
      <c r="A2380" s="2" t="s">
        <v>346</v>
      </c>
      <c r="G2380" s="16" t="n">
        <f aca="false">G2378+G2379</f>
        <v>654.21600993</v>
      </c>
      <c r="H2380" s="16" t="n">
        <f aca="false">H2378+H2379</f>
        <v>832.1485793628</v>
      </c>
      <c r="I2380" s="16" t="n">
        <f aca="false">I2378+I2379</f>
        <v>996.778883756664</v>
      </c>
      <c r="J2380" s="16" t="n">
        <f aca="false">J2378+J2379</f>
        <v>743.015943373063</v>
      </c>
      <c r="K2380" s="16" t="n">
        <f aca="false">K2378+K2379</f>
        <v>898.796643322439</v>
      </c>
    </row>
    <row r="2381" customFormat="false" ht="15" hidden="false" customHeight="false" outlineLevel="0" collapsed="false">
      <c r="A2381" s="3" t="s">
        <v>347</v>
      </c>
      <c r="G2381" s="25" t="n">
        <f aca="false">G2325+G2338+G2351</f>
        <v>0</v>
      </c>
      <c r="H2381" s="25" t="n">
        <f aca="false">H2325+H2338+H2351</f>
        <v>0</v>
      </c>
      <c r="I2381" s="25" t="n">
        <f aca="false">I2325+I2338+I2351</f>
        <v>420.456</v>
      </c>
      <c r="J2381" s="25" t="n">
        <f aca="false">J2325+J2338+J2351</f>
        <v>0</v>
      </c>
      <c r="K2381" s="25" t="n">
        <f aca="false">K2325+K2338+K2351</f>
        <v>0</v>
      </c>
    </row>
    <row r="2382" customFormat="false" ht="15" hidden="false" customHeight="false" outlineLevel="0" collapsed="false">
      <c r="A2382" s="2" t="s">
        <v>348</v>
      </c>
      <c r="G2382" s="16" t="n">
        <f aca="false">G2380-G2381</f>
        <v>654.21600993</v>
      </c>
      <c r="H2382" s="16" t="n">
        <f aca="false">H2380-H2381</f>
        <v>832.1485793628</v>
      </c>
      <c r="I2382" s="16" t="n">
        <f aca="false">I2380-I2381</f>
        <v>576.322883756664</v>
      </c>
      <c r="J2382" s="16" t="n">
        <f aca="false">J2380-J2381</f>
        <v>743.015943373063</v>
      </c>
      <c r="K2382" s="16" t="n">
        <f aca="false">K2380-K2381</f>
        <v>898.796643322439</v>
      </c>
    </row>
    <row r="2383" customFormat="false" ht="15" hidden="false" customHeight="false" outlineLevel="0" collapsed="false">
      <c r="A2383" s="3" t="s">
        <v>349</v>
      </c>
      <c r="G2383" s="25" t="n">
        <f aca="false">MAX(0,-G2382)</f>
        <v>0</v>
      </c>
      <c r="H2383" s="25" t="n">
        <f aca="false">MAX(0,-H2382)</f>
        <v>0</v>
      </c>
      <c r="I2383" s="25" t="n">
        <f aca="false">MAX(0,-I2382)</f>
        <v>0</v>
      </c>
      <c r="J2383" s="25" t="n">
        <f aca="false">MAX(0,-J2382)</f>
        <v>0</v>
      </c>
      <c r="K2383" s="25" t="n">
        <f aca="false">MAX(0,-K2382)</f>
        <v>0</v>
      </c>
    </row>
    <row r="2384" customFormat="false" ht="15" hidden="false" customHeight="false" outlineLevel="0" collapsed="false">
      <c r="A2384" s="3" t="s">
        <v>350</v>
      </c>
      <c r="G2384" s="25" t="n">
        <f aca="false">MAX(0,G2382-Assumptions!$C$12)*Assumptions!$C$13</f>
        <v>0</v>
      </c>
      <c r="H2384" s="25" t="n">
        <f aca="false">MAX(0,H2382-Assumptions!$C$12)*Assumptions!$C$13</f>
        <v>0</v>
      </c>
      <c r="I2384" s="25" t="n">
        <f aca="false">MAX(0,I2382-Assumptions!$C$12)*Assumptions!$C$13</f>
        <v>0</v>
      </c>
      <c r="J2384" s="25" t="n">
        <f aca="false">MAX(0,J2382-Assumptions!$C$12)*Assumptions!$C$13</f>
        <v>0</v>
      </c>
      <c r="K2384" s="25" t="n">
        <f aca="false">MAX(0,K2382-Assumptions!$C$12)*Assumptions!$C$13</f>
        <v>0</v>
      </c>
    </row>
    <row r="2385" customFormat="false" ht="15" hidden="false" customHeight="false" outlineLevel="0" collapsed="false">
      <c r="A2385" s="3" t="s">
        <v>351</v>
      </c>
      <c r="G2385" s="25" t="n">
        <f aca="false">G2326+G2339+G2352</f>
        <v>0</v>
      </c>
      <c r="H2385" s="25" t="n">
        <f aca="false">H2326+H2339+H2352</f>
        <v>0</v>
      </c>
      <c r="I2385" s="25" t="n">
        <f aca="false">I2326+I2339+I2352</f>
        <v>0</v>
      </c>
      <c r="J2385" s="25" t="n">
        <f aca="false">J2326+J2339+J2352</f>
        <v>0</v>
      </c>
      <c r="K2385" s="25" t="n">
        <f aca="false">K2326+K2339+K2352</f>
        <v>0</v>
      </c>
    </row>
    <row r="2386" customFormat="false" ht="15" hidden="false" customHeight="false" outlineLevel="0" collapsed="false">
      <c r="A2386" s="2" t="s">
        <v>352</v>
      </c>
      <c r="F2386" s="28" t="n">
        <f aca="false">Assumptions!$C$11</f>
        <v>463.996</v>
      </c>
      <c r="G2386" s="16" t="n">
        <f aca="false">G2382-G2385</f>
        <v>654.21600993</v>
      </c>
      <c r="H2386" s="16" t="n">
        <f aca="false">H2382-H2385</f>
        <v>832.1485793628</v>
      </c>
      <c r="I2386" s="16" t="n">
        <f aca="false">I2382-I2385</f>
        <v>576.322883756664</v>
      </c>
      <c r="J2386" s="16" t="n">
        <f aca="false">J2382-J2385</f>
        <v>743.015943373063</v>
      </c>
      <c r="K2386" s="16" t="n">
        <f aca="false">K2382-K2385</f>
        <v>898.796643322439</v>
      </c>
    </row>
    <row r="2387" customFormat="false" ht="15" hidden="false" customHeight="false" outlineLevel="0" collapsed="false">
      <c r="A2387" s="3" t="s">
        <v>353</v>
      </c>
      <c r="G2387" s="25" t="n">
        <f aca="false">G2327+G2340+G2353</f>
        <v>0</v>
      </c>
      <c r="H2387" s="25" t="n">
        <f aca="false">H2327+H2340+H2353</f>
        <v>0</v>
      </c>
      <c r="I2387" s="25" t="n">
        <f aca="false">I2327+I2340+I2353</f>
        <v>0</v>
      </c>
      <c r="J2387" s="25" t="n">
        <f aca="false">J2327+J2340+J2353</f>
        <v>0</v>
      </c>
      <c r="K2387" s="25" t="n">
        <f aca="false">K2327+K2340+K2353</f>
        <v>0</v>
      </c>
    </row>
    <row r="2388" customFormat="false" ht="15" hidden="false" customHeight="false" outlineLevel="0" collapsed="false">
      <c r="A2388" s="3" t="s">
        <v>354</v>
      </c>
      <c r="G2388" s="20" t="n">
        <f aca="false">IF(OR(G2383&gt;0.001,G2387&gt;0.001),1,0)</f>
        <v>0</v>
      </c>
      <c r="H2388" s="20" t="n">
        <f aca="false">IF(OR(H2383&gt;0.001,H2387&gt;0.001),1,0)</f>
        <v>0</v>
      </c>
      <c r="I2388" s="20" t="n">
        <f aca="false">IF(OR(I2383&gt;0.001,I2387&gt;0.001),1,0)</f>
        <v>0</v>
      </c>
      <c r="J2388" s="20" t="n">
        <f aca="false">IF(OR(J2383&gt;0.001,J2387&gt;0.001),1,0)</f>
        <v>0</v>
      </c>
      <c r="K2388" s="20" t="n">
        <f aca="false">IF(OR(K2383&gt;0.001,K2387&gt;0.001),1,0)</f>
        <v>0</v>
      </c>
    </row>
    <row r="2389" customFormat="false" ht="15" hidden="false" customHeight="false" outlineLevel="0" collapsed="false">
      <c r="A2389" s="3" t="s">
        <v>355</v>
      </c>
      <c r="G2389" s="20" t="n">
        <f aca="false">IF(G2388=1,1,0)</f>
        <v>0</v>
      </c>
      <c r="H2389" s="20" t="n">
        <f aca="false">IF(AND(H2388=1,SUM($G$2388:G2388)=0),1,0)</f>
        <v>0</v>
      </c>
      <c r="I2389" s="20" t="n">
        <f aca="false">IF(AND(I2388=1,SUM($G$2388:H2388)=0),1,0)</f>
        <v>0</v>
      </c>
      <c r="J2389" s="20" t="n">
        <f aca="false">IF(AND(J2388=1,SUM($G$2388:I2388)=0),1,0)</f>
        <v>0</v>
      </c>
      <c r="K2389" s="20" t="n">
        <f aca="false">IF(AND(K2388=1,SUM($G$2388:J2388)=0),1,0)</f>
        <v>0</v>
      </c>
    </row>
    <row r="2390" customFormat="false" ht="15" hidden="false" customHeight="false" outlineLevel="0" collapsed="false">
      <c r="A2390" s="3" t="s">
        <v>356</v>
      </c>
      <c r="G2390" s="25" t="n">
        <f aca="false">(G2356-F2356)-(G2379+G2296-G2377-G2381-G2385)</f>
        <v>0</v>
      </c>
      <c r="H2390" s="25" t="n">
        <f aca="false">(H2356-G2356)-(H2379+H2296-H2377-H2381-H2385)</f>
        <v>0</v>
      </c>
      <c r="I2390" s="25" t="n">
        <f aca="false">(I2356-H2356)-(I2379+I2296-I2377-I2381-I2385)</f>
        <v>0</v>
      </c>
      <c r="J2390" s="25" t="n">
        <f aca="false">(J2356-I2356)-(J2379+J2296-J2377-J2381-J2385)</f>
        <v>0</v>
      </c>
      <c r="K2390" s="25" t="n">
        <f aca="false">(K2356-J2356)-(K2379+K2296-K2377-K2381-K2385)</f>
        <v>0</v>
      </c>
    </row>
    <row r="2392" customFormat="false" ht="15" hidden="false" customHeight="false" outlineLevel="0" collapsed="false">
      <c r="A2392" s="23" t="s">
        <v>358</v>
      </c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</row>
    <row r="2393" customFormat="false" ht="15" hidden="false" customHeight="false" outlineLevel="0" collapsed="false">
      <c r="A2393" s="3" t="s">
        <v>359</v>
      </c>
      <c r="G2393" s="25" t="n">
        <f aca="false">G2356</f>
        <v>1735.554</v>
      </c>
      <c r="H2393" s="25" t="n">
        <f aca="false">H2356</f>
        <v>1735.554</v>
      </c>
      <c r="I2393" s="25" t="n">
        <f aca="false">I2356</f>
        <v>1315.098</v>
      </c>
      <c r="J2393" s="25" t="n">
        <f aca="false">J2356</f>
        <v>1315.098</v>
      </c>
      <c r="K2393" s="25" t="n">
        <f aca="false">K2356</f>
        <v>1315.098</v>
      </c>
    </row>
    <row r="2394" customFormat="false" ht="15" hidden="false" customHeight="false" outlineLevel="0" collapsed="false">
      <c r="A2394" s="3" t="s">
        <v>360</v>
      </c>
      <c r="G2394" s="25" t="n">
        <f aca="false">Assumptions!$O$56*G2328+Assumptions!$O$57*G2341+Assumptions!$O$58*G2354</f>
        <v>1315.098</v>
      </c>
      <c r="H2394" s="25" t="n">
        <f aca="false">Assumptions!$O$56*H2328+Assumptions!$O$57*H2341+Assumptions!$O$58*H2354</f>
        <v>1315.098</v>
      </c>
      <c r="I2394" s="25" t="n">
        <f aca="false">Assumptions!$O$56*I2328+Assumptions!$O$57*I2341+Assumptions!$O$58*I2354</f>
        <v>1315.098</v>
      </c>
      <c r="J2394" s="25" t="n">
        <f aca="false">Assumptions!$O$56*J2328+Assumptions!$O$57*J2341+Assumptions!$O$58*J2354</f>
        <v>1315.098</v>
      </c>
      <c r="K2394" s="25" t="n">
        <f aca="false">Assumptions!$O$56*K2328+Assumptions!$O$57*K2341+Assumptions!$O$58*K2354</f>
        <v>1315.098</v>
      </c>
    </row>
    <row r="2395" customFormat="false" ht="15" hidden="false" customHeight="false" outlineLevel="0" collapsed="false">
      <c r="A2395" s="3" t="s">
        <v>361</v>
      </c>
      <c r="G2395" s="25" t="n">
        <f aca="false">G2393-G2386</f>
        <v>1081.33799007</v>
      </c>
      <c r="H2395" s="25" t="n">
        <f aca="false">H2393-H2386</f>
        <v>903.4054206372</v>
      </c>
      <c r="I2395" s="25" t="n">
        <f aca="false">I2393-I2386</f>
        <v>738.775116243336</v>
      </c>
      <c r="J2395" s="25" t="n">
        <f aca="false">J2393-J2386</f>
        <v>572.082056626937</v>
      </c>
      <c r="K2395" s="25" t="n">
        <f aca="false">K2393-K2386</f>
        <v>416.301356677561</v>
      </c>
    </row>
    <row r="2396" customFormat="false" ht="15" hidden="false" customHeight="false" outlineLevel="0" collapsed="false">
      <c r="A2396" s="3" t="s">
        <v>362</v>
      </c>
      <c r="G2396" s="32" t="n">
        <f aca="false">IF(G2291&gt;0,G2393/G2291,0)</f>
        <v>4.49490383814913</v>
      </c>
      <c r="H2396" s="32" t="n">
        <f aca="false">IF(H2291&gt;0,H2393/H2291,0)</f>
        <v>4.68219149807201</v>
      </c>
      <c r="I2396" s="32" t="n">
        <f aca="false">IF(I2291&gt;0,I2393/I2291,0)</f>
        <v>3.71787126598192</v>
      </c>
      <c r="J2396" s="32" t="n">
        <f aca="false">IF(J2291&gt;0,J2393/J2291,0)</f>
        <v>3.87641216813954</v>
      </c>
      <c r="K2396" s="32" t="n">
        <f aca="false">IF(K2291&gt;0,K2393/K2291,0)</f>
        <v>4.04223570086834</v>
      </c>
    </row>
    <row r="2397" customFormat="false" ht="15" hidden="false" customHeight="false" outlineLevel="0" collapsed="false">
      <c r="A2397" s="3" t="s">
        <v>363</v>
      </c>
      <c r="G2397" s="32" t="n">
        <f aca="false">IF(G2291&gt;0,G2395/G2291,0)</f>
        <v>2.80055260850547</v>
      </c>
      <c r="H2397" s="32" t="n">
        <f aca="false">IF(H2291&gt;0,H2395/H2291,0)</f>
        <v>2.43721438792435</v>
      </c>
      <c r="I2397" s="32" t="n">
        <f aca="false">IF(I2291&gt;0,I2395/I2291,0)</f>
        <v>2.0885673742212</v>
      </c>
      <c r="J2397" s="32" t="n">
        <f aca="false">IF(J2291&gt;0,J2395/J2291,0)</f>
        <v>1.68628181738772</v>
      </c>
      <c r="K2397" s="32" t="n">
        <f aca="false">IF(K2291&gt;0,K2395/K2291,0)</f>
        <v>1.2795914876929</v>
      </c>
    </row>
    <row r="2398" customFormat="false" ht="15" hidden="false" customHeight="false" outlineLevel="0" collapsed="false">
      <c r="A2398" s="3" t="s">
        <v>364</v>
      </c>
      <c r="G2398" s="32" t="n">
        <f aca="false">IF(G2295&gt;0,G2291/G2295,0)</f>
        <v>2.47582156661291</v>
      </c>
      <c r="H2398" s="32" t="n">
        <f aca="false">IF(H2295&gt;0,H2291/H2295,0)</f>
        <v>2.3767887039484</v>
      </c>
      <c r="I2398" s="32" t="n">
        <f aca="false">IF(I2295&gt;0,I2291/I2295,0)</f>
        <v>2.2681166426512</v>
      </c>
      <c r="J2398" s="32" t="n">
        <f aca="false">IF(J2295&gt;0,J2291/J2295,0)</f>
        <v>2.45686194107177</v>
      </c>
      <c r="K2398" s="32" t="n">
        <f aca="false">IF(K2295&gt;0,K2291/K2295,0)</f>
        <v>2.35607476371644</v>
      </c>
    </row>
    <row r="2399" customFormat="false" ht="15" hidden="false" customHeight="false" outlineLevel="0" collapsed="false">
      <c r="A2399" s="3" t="s">
        <v>365</v>
      </c>
      <c r="G2399" s="32" t="n">
        <f aca="false">IF(G2295&gt;0,G2294/G2295,0)</f>
        <v>1.80435940392166</v>
      </c>
      <c r="H2399" s="32" t="n">
        <f aca="false">IF(H2295&gt;0,H2294/H2295,0)</f>
        <v>1.7321850277648</v>
      </c>
      <c r="I2399" s="32" t="n">
        <f aca="false">IF(I2295&gt;0,I2294/I2295,0)</f>
        <v>1.64607409513403</v>
      </c>
      <c r="J2399" s="32" t="n">
        <f aca="false">IF(J2295&gt;0,J2294/J2295,0)</f>
        <v>1.77539813694549</v>
      </c>
      <c r="K2399" s="32" t="n">
        <f aca="false">IF(K2295&gt;0,K2294/K2295,0)</f>
        <v>1.69505487371395</v>
      </c>
    </row>
    <row r="2400" customFormat="false" ht="15" hidden="false" customHeight="false" outlineLevel="0" collapsed="false">
      <c r="A2400" s="3" t="s">
        <v>198</v>
      </c>
      <c r="G2400" s="21" t="n">
        <f aca="false">IF(G2393&gt;0,G2304/G2393,0)</f>
        <v>0.109601896529869</v>
      </c>
      <c r="H2400" s="21" t="n">
        <f aca="false">IF(H2393&gt;0,H2304/H2393,0)</f>
        <v>0.102522058911909</v>
      </c>
      <c r="I2400" s="21" t="n">
        <f aca="false">IF(I2393&gt;0,I2304/I2393,0)</f>
        <v>0.125184818465136</v>
      </c>
      <c r="J2400" s="21" t="n">
        <f aca="false">IF(J2393&gt;0,J2304/J2393,0)</f>
        <v>0.126753336721977</v>
      </c>
      <c r="K2400" s="21" t="n">
        <f aca="false">IF(K2393&gt;0,K2304/K2393,0)</f>
        <v>0.118455582739368</v>
      </c>
    </row>
    <row r="2401" customFormat="false" ht="15" hidden="false" customHeight="false" outlineLevel="0" collapsed="false">
      <c r="A2401" s="3" t="s">
        <v>366</v>
      </c>
      <c r="G2401" s="32" t="n">
        <f aca="false">IF(G2295+G2377&gt;0,(G2291-G2302-G2299)/(G2295+G2377),0)</f>
        <v>2.08216781600705</v>
      </c>
      <c r="H2401" s="32" t="n">
        <f aca="false">IF(H2295+H2377&gt;0,(H2291-H2302-H2299)/(H2295+H2377),0)</f>
        <v>2.00888110336677</v>
      </c>
      <c r="I2401" s="32" t="n">
        <f aca="false">IF(I2295+I2377&gt;0,(I2291-I2302-I2299)/(I2295+I2377),0)</f>
        <v>1.92820692225468</v>
      </c>
      <c r="J2401" s="32" t="n">
        <f aca="false">IF(J2295+J2377&gt;0,(J2291-J2302-J2299)/(J2295+J2377),0)</f>
        <v>2.06758020697741</v>
      </c>
      <c r="K2401" s="32" t="n">
        <f aca="false">IF(K2295+K2377&gt;0,(K2291-K2302-K2299)/(K2295+K2377),0)</f>
        <v>1.99274181142571</v>
      </c>
    </row>
    <row r="2402" customFormat="false" ht="15" hidden="false" customHeight="false" outlineLevel="0" collapsed="false">
      <c r="A2402" s="3" t="s">
        <v>367</v>
      </c>
      <c r="G2402" s="25" t="n">
        <f aca="false">MAX(0,G2386)+Assumptions!$P$56*MAX(0,Assumptions!$D$56-G2328)+Assumptions!$P$57*MAX(0,Assumptions!$D$57-G2341)+Assumptions!$P$58*MAX(0,Assumptions!$D$58-G2354)</f>
        <v>654.21600993</v>
      </c>
      <c r="H2402" s="25" t="n">
        <f aca="false">MAX(0,H2386)+Assumptions!$P$56*MAX(0,Assumptions!$D$56-H2328)+Assumptions!$P$57*MAX(0,Assumptions!$D$57-H2341)+Assumptions!$P$58*MAX(0,Assumptions!$D$58-H2354)</f>
        <v>832.1485793628</v>
      </c>
      <c r="I2402" s="25" t="n">
        <f aca="false">MAX(0,I2386)+Assumptions!$P$56*MAX(0,Assumptions!$D$56-I2328)+Assumptions!$P$57*MAX(0,Assumptions!$D$57-I2341)+Assumptions!$P$58*MAX(0,Assumptions!$D$58-I2354)</f>
        <v>576.322883756664</v>
      </c>
      <c r="J2402" s="25" t="n">
        <f aca="false">MAX(0,J2386)+Assumptions!$P$56*MAX(0,Assumptions!$D$56-J2328)+Assumptions!$P$57*MAX(0,Assumptions!$D$57-J2341)+Assumptions!$P$58*MAX(0,Assumptions!$D$58-J2354)</f>
        <v>743.015943373063</v>
      </c>
      <c r="K2402" s="25" t="n">
        <f aca="false">MAX(0,K2386)+Assumptions!$P$56*MAX(0,Assumptions!$D$56-K2328)+Assumptions!$P$57*MAX(0,Assumptions!$D$57-K2341)+Assumptions!$P$58*MAX(0,Assumptions!$D$58-K2354)</f>
        <v>898.796643322439</v>
      </c>
    </row>
    <row r="2403" customFormat="false" ht="15" hidden="false" customHeight="false" outlineLevel="0" collapsed="false">
      <c r="A2403" s="3" t="s">
        <v>368</v>
      </c>
      <c r="G2403" s="21" t="n">
        <f aca="false">IF(G2393&gt;0,G2393/(G2393+MAX(0,G2291*CHOOSE($C$2274,Assumptions!$C$82,Assumptions!$C$101,Assumptions!$C$120)-G2395)),0)</f>
        <v>0.624782373652859</v>
      </c>
      <c r="H2403" s="21" t="n">
        <f aca="false">IF(H2393&gt;0,H2393/(H2393+MAX(0,H2291*CHOOSE($C$2274,Assumptions!$C$82,Assumptions!$C$101,Assumptions!$C$120)-H2395)),0)</f>
        <v>0.604545556621115</v>
      </c>
      <c r="I2403" s="21" t="n">
        <f aca="false">IF(I2393&gt;0,I2393/(I2393+MAX(0,I2291*CHOOSE($C$2274,Assumptions!$C$82,Assumptions!$C$101,Assumptions!$C$120)-I2395)),0)</f>
        <v>0.521491483941179</v>
      </c>
      <c r="J2403" s="21" t="n">
        <f aca="false">IF(J2393&gt;0,J2393/(J2393+MAX(0,J2291*CHOOSE($C$2274,Assumptions!$C$82,Assumptions!$C$101,Assumptions!$C$120)-J2395)),0)</f>
        <v>0.50407626286342</v>
      </c>
      <c r="K2403" s="21" t="n">
        <f aca="false">IF(K2393&gt;0,K2393/(K2393+MAX(0,K2291*CHOOSE($C$2274,Assumptions!$C$82,Assumptions!$C$101,Assumptions!$C$120)-K2395)),0)</f>
        <v>0.489218172364565</v>
      </c>
    </row>
    <row r="2404" customFormat="false" ht="15" hidden="false" customHeight="false" outlineLevel="0" collapsed="false">
      <c r="A2404" s="3" t="s">
        <v>369</v>
      </c>
      <c r="G2404" s="21" t="n">
        <f aca="false">IF(G2393&gt;0,MAX(0,G2386)/G2393,0)</f>
        <v>0.376949383268973</v>
      </c>
      <c r="H2404" s="21" t="n">
        <f aca="false">IF(H2393&gt;0,MAX(0,H2386)/H2393,0)</f>
        <v>0.479471442180883</v>
      </c>
      <c r="I2404" s="21" t="n">
        <f aca="false">IF(I2393&gt;0,MAX(0,I2386)/I2393,0)</f>
        <v>0.438235693276595</v>
      </c>
      <c r="J2404" s="21" t="n">
        <f aca="false">IF(J2393&gt;0,MAX(0,J2386)/J2393,0)</f>
        <v>0.564989029998572</v>
      </c>
      <c r="K2404" s="21" t="n">
        <f aca="false">IF(K2393&gt;0,MAX(0,K2386)/K2393,0)</f>
        <v>0.68344461273794</v>
      </c>
    </row>
    <row r="2405" customFormat="false" ht="15" hidden="false" customHeight="false" outlineLevel="0" collapsed="false">
      <c r="A2405" s="3" t="s">
        <v>370</v>
      </c>
      <c r="G2405" s="25" t="n">
        <f aca="false">Assumptions!$C$30*(1-CHOOSE($C$2274,Assumptions!$C$85,Assumptions!$C$104,Assumptions!$C$123))</f>
        <v>2454.971</v>
      </c>
      <c r="H2405" s="25" t="n">
        <f aca="false">Assumptions!$C$30*(1-CHOOSE($C$2274,Assumptions!$C$85,Assumptions!$C$104,Assumptions!$C$123))</f>
        <v>2454.971</v>
      </c>
      <c r="I2405" s="25" t="n">
        <f aca="false">Assumptions!$C$30*(1-CHOOSE($C$2274,Assumptions!$C$85,Assumptions!$C$104,Assumptions!$C$123))</f>
        <v>2454.971</v>
      </c>
      <c r="J2405" s="25" t="n">
        <f aca="false">Assumptions!$C$30*(1-CHOOSE($C$2274,Assumptions!$C$85,Assumptions!$C$104,Assumptions!$C$123))</f>
        <v>2454.971</v>
      </c>
      <c r="K2405" s="25" t="n">
        <f aca="false">Assumptions!$C$30*(1-CHOOSE($C$2274,Assumptions!$C$85,Assumptions!$C$104,Assumptions!$C$123))</f>
        <v>2454.971</v>
      </c>
    </row>
    <row r="2406" customFormat="false" ht="15" hidden="false" customHeight="false" outlineLevel="0" collapsed="false">
      <c r="A2406" s="23" t="s">
        <v>371</v>
      </c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</row>
    <row r="2407" customFormat="false" ht="15" hidden="false" customHeight="false" outlineLevel="0" collapsed="false">
      <c r="A2407" s="23" t="s">
        <v>372</v>
      </c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</row>
    <row r="2408" customFormat="false" ht="15" hidden="false" customHeight="false" outlineLevel="0" collapsed="false">
      <c r="A2408" s="3" t="s">
        <v>373</v>
      </c>
      <c r="G2408" s="32" t="n">
        <f aca="false">IF(G2291&gt;0,G2395/G2291,99)</f>
        <v>2.80055260850547</v>
      </c>
      <c r="H2408" s="32" t="n">
        <f aca="false">IF(H2291&gt;0,H2395/H2291,99)</f>
        <v>2.43721438792435</v>
      </c>
      <c r="I2408" s="32" t="n">
        <f aca="false">IF(I2291&gt;0,I2395/I2291,99)</f>
        <v>2.0885673742212</v>
      </c>
      <c r="J2408" s="32" t="n">
        <f aca="false">IF(J2291&gt;0,J2395/J2291,99)</f>
        <v>1.68628181738772</v>
      </c>
      <c r="K2408" s="32" t="n">
        <f aca="false">IF(K2291&gt;0,K2395/K2291,99)</f>
        <v>1.2795914876929</v>
      </c>
    </row>
    <row r="2409" customFormat="false" ht="15" hidden="false" customHeight="false" outlineLevel="0" collapsed="false">
      <c r="A2409" s="3" t="s">
        <v>374</v>
      </c>
      <c r="G2409" s="33" t="n">
        <f aca="false">Assumptions!$G$65</f>
        <v>5.25</v>
      </c>
      <c r="H2409" s="33" t="n">
        <f aca="false">Assumptions!$H$65</f>
        <v>5.25</v>
      </c>
      <c r="I2409" s="33" t="n">
        <f aca="false">Assumptions!$I$65</f>
        <v>5</v>
      </c>
      <c r="J2409" s="33" t="n">
        <f aca="false">Assumptions!$J$65</f>
        <v>5</v>
      </c>
      <c r="K2409" s="33" t="n">
        <f aca="false">Assumptions!$K$65</f>
        <v>5</v>
      </c>
    </row>
    <row r="2410" customFormat="false" ht="15" hidden="false" customHeight="false" outlineLevel="0" collapsed="false">
      <c r="A2410" s="3" t="s">
        <v>375</v>
      </c>
      <c r="G2410" s="32" t="n">
        <f aca="false">G2409-G2408</f>
        <v>2.44944739149453</v>
      </c>
      <c r="H2410" s="32" t="n">
        <f aca="false">H2409-H2408</f>
        <v>2.81278561207565</v>
      </c>
      <c r="I2410" s="32" t="n">
        <f aca="false">I2409-I2408</f>
        <v>2.9114326257788</v>
      </c>
      <c r="J2410" s="32" t="n">
        <f aca="false">J2409-J2408</f>
        <v>3.31371818261228</v>
      </c>
      <c r="K2410" s="32" t="n">
        <f aca="false">K2409-K2408</f>
        <v>3.7204085123071</v>
      </c>
    </row>
    <row r="2411" customFormat="false" ht="15" hidden="false" customHeight="false" outlineLevel="0" collapsed="false">
      <c r="A2411" s="3" t="s">
        <v>376</v>
      </c>
      <c r="G2411" s="21" t="n">
        <f aca="false">IF(G2409=0,0,G2410/ABS(G2409))</f>
        <v>0.46656140790372</v>
      </c>
      <c r="H2411" s="21" t="n">
        <f aca="false">IF(H2409=0,0,H2410/ABS(H2409))</f>
        <v>0.535768688014409</v>
      </c>
      <c r="I2411" s="21" t="n">
        <f aca="false">IF(I2409=0,0,I2410/ABS(I2409))</f>
        <v>0.58228652515576</v>
      </c>
      <c r="J2411" s="21" t="n">
        <f aca="false">IF(J2409=0,0,J2410/ABS(J2409))</f>
        <v>0.662743636522457</v>
      </c>
      <c r="K2411" s="21" t="n">
        <f aca="false">IF(K2409=0,0,K2410/ABS(K2409))</f>
        <v>0.74408170246142</v>
      </c>
    </row>
    <row r="2412" customFormat="false" ht="15" hidden="false" customHeight="false" outlineLevel="0" collapsed="false">
      <c r="A2412" s="3" t="s">
        <v>377</v>
      </c>
      <c r="G2412" s="20" t="n">
        <f aca="false">IF(G2410&lt;0,1,0)</f>
        <v>0</v>
      </c>
      <c r="H2412" s="20" t="n">
        <f aca="false">IF(H2410&lt;0,1,0)</f>
        <v>0</v>
      </c>
      <c r="I2412" s="20" t="n">
        <f aca="false">IF(I2410&lt;0,1,0)</f>
        <v>0</v>
      </c>
      <c r="J2412" s="20" t="n">
        <f aca="false">IF(J2410&lt;0,1,0)</f>
        <v>0</v>
      </c>
      <c r="K2412" s="20" t="n">
        <f aca="false">IF(K2410&lt;0,1,0)</f>
        <v>0</v>
      </c>
    </row>
    <row r="2413" customFormat="false" ht="15" hidden="false" customHeight="false" outlineLevel="0" collapsed="false">
      <c r="A2413" s="3" t="s">
        <v>378</v>
      </c>
      <c r="C2413" s="20" t="n">
        <f aca="false">IFERROR(INDEX($G$2281:$K$2281,MATCH(1,$G$2412:$K$2412,0)),0)</f>
        <v>0</v>
      </c>
    </row>
    <row r="2414" customFormat="false" ht="15" hidden="false" customHeight="false" outlineLevel="0" collapsed="false">
      <c r="A2414" s="3" t="s">
        <v>379</v>
      </c>
      <c r="C2414" s="21" t="n">
        <f aca="false">MIN($G$2411:$K$2411)</f>
        <v>0.46656140790372</v>
      </c>
    </row>
    <row r="2415" customFormat="false" ht="15" hidden="false" customHeight="false" outlineLevel="0" collapsed="false">
      <c r="A2415" s="23" t="s">
        <v>380</v>
      </c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</row>
    <row r="2416" customFormat="false" ht="15" hidden="false" customHeight="false" outlineLevel="0" collapsed="false">
      <c r="A2416" s="3" t="s">
        <v>373</v>
      </c>
      <c r="G2416" s="32" t="n">
        <f aca="false">IF(G2295&gt;0,G2291/G2295,99)</f>
        <v>2.47582156661291</v>
      </c>
      <c r="H2416" s="32" t="n">
        <f aca="false">IF(H2295&gt;0,H2291/H2295,99)</f>
        <v>2.3767887039484</v>
      </c>
      <c r="I2416" s="32" t="n">
        <f aca="false">IF(I2295&gt;0,I2291/I2295,99)</f>
        <v>2.2681166426512</v>
      </c>
      <c r="J2416" s="32" t="n">
        <f aca="false">IF(J2295&gt;0,J2291/J2295,99)</f>
        <v>2.45686194107177</v>
      </c>
      <c r="K2416" s="32" t="n">
        <f aca="false">IF(K2295&gt;0,K2291/K2295,99)</f>
        <v>2.35607476371644</v>
      </c>
    </row>
    <row r="2417" customFormat="false" ht="15" hidden="false" customHeight="false" outlineLevel="0" collapsed="false">
      <c r="A2417" s="3" t="s">
        <v>374</v>
      </c>
      <c r="G2417" s="33" t="n">
        <f aca="false">Assumptions!$G$66</f>
        <v>1.4</v>
      </c>
      <c r="H2417" s="33" t="n">
        <f aca="false">Assumptions!$H$66</f>
        <v>1.4</v>
      </c>
      <c r="I2417" s="33" t="n">
        <f aca="false">Assumptions!$I$66</f>
        <v>1.4</v>
      </c>
      <c r="J2417" s="33" t="n">
        <f aca="false">Assumptions!$J$66</f>
        <v>1.5</v>
      </c>
      <c r="K2417" s="33" t="n">
        <f aca="false">Assumptions!$K$66</f>
        <v>1.5</v>
      </c>
    </row>
    <row r="2418" customFormat="false" ht="15" hidden="false" customHeight="false" outlineLevel="0" collapsed="false">
      <c r="A2418" s="3" t="s">
        <v>375</v>
      </c>
      <c r="G2418" s="32" t="n">
        <f aca="false">G2416-G2417</f>
        <v>1.07582156661291</v>
      </c>
      <c r="H2418" s="32" t="n">
        <f aca="false">H2416-H2417</f>
        <v>0.976788703948397</v>
      </c>
      <c r="I2418" s="32" t="n">
        <f aca="false">I2416-I2417</f>
        <v>0.868116642651201</v>
      </c>
      <c r="J2418" s="32" t="n">
        <f aca="false">J2416-J2417</f>
        <v>0.956861941071769</v>
      </c>
      <c r="K2418" s="32" t="n">
        <f aca="false">K2416-K2417</f>
        <v>0.856074763716439</v>
      </c>
    </row>
    <row r="2419" customFormat="false" ht="15" hidden="false" customHeight="false" outlineLevel="0" collapsed="false">
      <c r="A2419" s="3" t="s">
        <v>376</v>
      </c>
      <c r="G2419" s="21" t="n">
        <f aca="false">IF(G2417=0,0,G2418/ABS(G2417))</f>
        <v>0.768443976152081</v>
      </c>
      <c r="H2419" s="21" t="n">
        <f aca="false">IF(H2417=0,0,H2418/ABS(H2417))</f>
        <v>0.697706217105998</v>
      </c>
      <c r="I2419" s="21" t="n">
        <f aca="false">IF(I2417=0,0,I2418/ABS(I2417))</f>
        <v>0.62008331617943</v>
      </c>
      <c r="J2419" s="21" t="n">
        <f aca="false">IF(J2417=0,0,J2418/ABS(J2417))</f>
        <v>0.637907960714513</v>
      </c>
      <c r="K2419" s="21" t="n">
        <f aca="false">IF(K2417=0,0,K2418/ABS(K2417))</f>
        <v>0.570716509144293</v>
      </c>
    </row>
    <row r="2420" customFormat="false" ht="15" hidden="false" customHeight="false" outlineLevel="0" collapsed="false">
      <c r="A2420" s="3" t="s">
        <v>377</v>
      </c>
      <c r="G2420" s="20" t="n">
        <f aca="false">IF(G2418&lt;0,1,0)</f>
        <v>0</v>
      </c>
      <c r="H2420" s="20" t="n">
        <f aca="false">IF(H2418&lt;0,1,0)</f>
        <v>0</v>
      </c>
      <c r="I2420" s="20" t="n">
        <f aca="false">IF(I2418&lt;0,1,0)</f>
        <v>0</v>
      </c>
      <c r="J2420" s="20" t="n">
        <f aca="false">IF(J2418&lt;0,1,0)</f>
        <v>0</v>
      </c>
      <c r="K2420" s="20" t="n">
        <f aca="false">IF(K2418&lt;0,1,0)</f>
        <v>0</v>
      </c>
    </row>
    <row r="2421" customFormat="false" ht="15" hidden="false" customHeight="false" outlineLevel="0" collapsed="false">
      <c r="A2421" s="3" t="s">
        <v>378</v>
      </c>
      <c r="C2421" s="20" t="n">
        <f aca="false">IFERROR(INDEX($G$2281:$K$2281,MATCH(1,$G$2420:$K$2420,0)),0)</f>
        <v>0</v>
      </c>
    </row>
    <row r="2422" customFormat="false" ht="15" hidden="false" customHeight="false" outlineLevel="0" collapsed="false">
      <c r="A2422" s="3" t="s">
        <v>379</v>
      </c>
      <c r="C2422" s="21" t="n">
        <f aca="false">MIN($G$2419:$K$2419)</f>
        <v>0.570716509144293</v>
      </c>
    </row>
    <row r="2423" customFormat="false" ht="15" hidden="false" customHeight="false" outlineLevel="0" collapsed="false">
      <c r="A2423" s="23" t="s">
        <v>381</v>
      </c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</row>
    <row r="2424" customFormat="false" ht="15" hidden="false" customHeight="false" outlineLevel="0" collapsed="false">
      <c r="A2424" s="3" t="s">
        <v>373</v>
      </c>
      <c r="G2424" s="25" t="n">
        <f aca="false">G2402</f>
        <v>654.21600993</v>
      </c>
      <c r="H2424" s="25" t="n">
        <f aca="false">H2402</f>
        <v>832.1485793628</v>
      </c>
      <c r="I2424" s="25" t="n">
        <f aca="false">I2402</f>
        <v>576.322883756664</v>
      </c>
      <c r="J2424" s="25" t="n">
        <f aca="false">J2402</f>
        <v>743.015943373063</v>
      </c>
      <c r="K2424" s="25" t="n">
        <f aca="false">K2402</f>
        <v>898.796643322439</v>
      </c>
    </row>
    <row r="2425" customFormat="false" ht="15" hidden="false" customHeight="false" outlineLevel="0" collapsed="false">
      <c r="A2425" s="3" t="s">
        <v>374</v>
      </c>
      <c r="G2425" s="29" t="n">
        <f aca="false">Assumptions!$G$67</f>
        <v>200</v>
      </c>
      <c r="H2425" s="29" t="n">
        <f aca="false">Assumptions!$H$67</f>
        <v>200</v>
      </c>
      <c r="I2425" s="29" t="n">
        <f aca="false">Assumptions!$I$67</f>
        <v>200</v>
      </c>
      <c r="J2425" s="29" t="n">
        <f aca="false">Assumptions!$J$67</f>
        <v>200</v>
      </c>
      <c r="K2425" s="29" t="n">
        <f aca="false">Assumptions!$K$67</f>
        <v>200</v>
      </c>
    </row>
    <row r="2426" customFormat="false" ht="15" hidden="false" customHeight="false" outlineLevel="0" collapsed="false">
      <c r="A2426" s="3" t="s">
        <v>375</v>
      </c>
      <c r="G2426" s="25" t="n">
        <f aca="false">G2424-G2425</f>
        <v>454.21600993</v>
      </c>
      <c r="H2426" s="25" t="n">
        <f aca="false">H2424-H2425</f>
        <v>632.1485793628</v>
      </c>
      <c r="I2426" s="25" t="n">
        <f aca="false">I2424-I2425</f>
        <v>376.322883756664</v>
      </c>
      <c r="J2426" s="25" t="n">
        <f aca="false">J2424-J2425</f>
        <v>543.015943373063</v>
      </c>
      <c r="K2426" s="25" t="n">
        <f aca="false">K2424-K2425</f>
        <v>698.796643322439</v>
      </c>
    </row>
    <row r="2427" customFormat="false" ht="15" hidden="false" customHeight="false" outlineLevel="0" collapsed="false">
      <c r="A2427" s="3" t="s">
        <v>376</v>
      </c>
      <c r="G2427" s="21" t="n">
        <f aca="false">IF(G2425=0,0,G2426/ABS(G2425))</f>
        <v>2.27108004965</v>
      </c>
      <c r="H2427" s="21" t="n">
        <f aca="false">IF(H2425=0,0,H2426/ABS(H2425))</f>
        <v>3.160742896814</v>
      </c>
      <c r="I2427" s="21" t="n">
        <f aca="false">IF(I2425=0,0,I2426/ABS(I2425))</f>
        <v>1.88161441878332</v>
      </c>
      <c r="J2427" s="21" t="n">
        <f aca="false">IF(J2425=0,0,J2426/ABS(J2425))</f>
        <v>2.71507971686531</v>
      </c>
      <c r="K2427" s="21" t="n">
        <f aca="false">IF(K2425=0,0,K2426/ABS(K2425))</f>
        <v>3.4939832166122</v>
      </c>
    </row>
    <row r="2428" customFormat="false" ht="15" hidden="false" customHeight="false" outlineLevel="0" collapsed="false">
      <c r="A2428" s="3" t="s">
        <v>377</v>
      </c>
      <c r="G2428" s="20" t="n">
        <f aca="false">IF(G2426&lt;0,1,0)</f>
        <v>0</v>
      </c>
      <c r="H2428" s="20" t="n">
        <f aca="false">IF(H2426&lt;0,1,0)</f>
        <v>0</v>
      </c>
      <c r="I2428" s="20" t="n">
        <f aca="false">IF(I2426&lt;0,1,0)</f>
        <v>0</v>
      </c>
      <c r="J2428" s="20" t="n">
        <f aca="false">IF(J2426&lt;0,1,0)</f>
        <v>0</v>
      </c>
      <c r="K2428" s="20" t="n">
        <f aca="false">IF(K2426&lt;0,1,0)</f>
        <v>0</v>
      </c>
    </row>
    <row r="2429" customFormat="false" ht="15" hidden="false" customHeight="false" outlineLevel="0" collapsed="false">
      <c r="A2429" s="3" t="s">
        <v>378</v>
      </c>
      <c r="C2429" s="20" t="n">
        <f aca="false">IFERROR(INDEX($G$2281:$K$2281,MATCH(1,$G$2428:$K$2428,0)),0)</f>
        <v>0</v>
      </c>
    </row>
    <row r="2430" customFormat="false" ht="15" hidden="false" customHeight="false" outlineLevel="0" collapsed="false">
      <c r="A2430" s="3" t="s">
        <v>379</v>
      </c>
      <c r="C2430" s="21" t="n">
        <f aca="false">MIN($G$2427:$K$2427)</f>
        <v>1.88161441878332</v>
      </c>
    </row>
    <row r="2431" customFormat="false" ht="15" hidden="false" customHeight="false" outlineLevel="0" collapsed="false">
      <c r="A2431" s="3" t="s">
        <v>382</v>
      </c>
      <c r="G2431" s="20" t="n">
        <f aca="false">G2412+G2420+G2428</f>
        <v>0</v>
      </c>
      <c r="H2431" s="20" t="n">
        <f aca="false">H2412+H2420+H2428</f>
        <v>0</v>
      </c>
      <c r="I2431" s="20" t="n">
        <f aca="false">I2412+I2420+I2428</f>
        <v>0</v>
      </c>
      <c r="J2431" s="20" t="n">
        <f aca="false">J2412+J2420+J2428</f>
        <v>0</v>
      </c>
      <c r="K2431" s="20" t="n">
        <f aca="false">K2412+K2420+K2428</f>
        <v>0</v>
      </c>
    </row>
    <row r="2432" customFormat="false" ht="15" hidden="false" customHeight="false" outlineLevel="0" collapsed="false">
      <c r="A2432" s="3" t="s">
        <v>383</v>
      </c>
      <c r="C2432" s="20" t="n">
        <f aca="false">SUM($G$2431:$K$2431)</f>
        <v>0</v>
      </c>
    </row>
    <row r="2433" customFormat="false" ht="15" hidden="false" customHeight="false" outlineLevel="0" collapsed="false">
      <c r="A2433" s="3" t="s">
        <v>384</v>
      </c>
      <c r="C2433" s="21" t="n">
        <f aca="false">MIN(C2414,C2422,C2430)</f>
        <v>0.46656140790372</v>
      </c>
    </row>
    <row r="2435" customFormat="false" ht="15" hidden="false" customHeight="false" outlineLevel="0" collapsed="false">
      <c r="A2435" s="23" t="s">
        <v>486</v>
      </c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</row>
    <row r="2436" customFormat="false" ht="15" hidden="false" customHeight="false" outlineLevel="0" collapsed="false">
      <c r="A2436" s="3" t="s">
        <v>487</v>
      </c>
      <c r="G2436" s="20" t="n">
        <f aca="false">IF($C$2437=1,G2389,IF(G2291=MIN($G$2291:$K$2291),1,0))</f>
        <v>0</v>
      </c>
      <c r="H2436" s="20" t="n">
        <f aca="false">IF($C$2437=1,H2389,IF(AND(H2291=MIN($G$2291:$K$2291),SUM($G$2436:G2436)=0),1,0))</f>
        <v>0</v>
      </c>
      <c r="I2436" s="20" t="n">
        <f aca="false">IF($C$2437=1,I2389,IF(AND(I2291=MIN($G$2291:$K$2291),SUM($G$2436:H2436)=0),1,0))</f>
        <v>0</v>
      </c>
      <c r="J2436" s="20" t="n">
        <f aca="false">IF($C$2437=1,J2389,IF(AND(J2291=MIN($G$2291:$K$2291),SUM($G$2436:I2436)=0),1,0))</f>
        <v>0</v>
      </c>
      <c r="K2436" s="20" t="n">
        <f aca="false">IF($C$2437=1,K2389,IF(AND(K2291=MIN($G$2291:$K$2291),SUM($G$2436:J2436)=0),1,0))</f>
        <v>1</v>
      </c>
    </row>
    <row r="2437" customFormat="false" ht="15" hidden="false" customHeight="false" outlineLevel="0" collapsed="false">
      <c r="A2437" s="3" t="s">
        <v>488</v>
      </c>
      <c r="C2437" s="20" t="n">
        <f aca="false">IF(SUM($G$2389:$K$2389)&gt;0,1,0)</f>
        <v>0</v>
      </c>
    </row>
    <row r="2438" customFormat="false" ht="15" hidden="false" customHeight="false" outlineLevel="0" collapsed="false">
      <c r="A2438" s="3" t="s">
        <v>489</v>
      </c>
      <c r="C2438" s="20" t="n">
        <f aca="false">SUMPRODUCT($G$2436:$K$2436,$G$2281:$K$2281)</f>
        <v>2031</v>
      </c>
    </row>
    <row r="2439" customFormat="false" ht="15" hidden="false" customHeight="false" outlineLevel="0" collapsed="false">
      <c r="A2439" s="3" t="s">
        <v>490</v>
      </c>
      <c r="C2439" s="25" t="n">
        <f aca="false">SUMPRODUCT($G$2436:$K$2436,$G$2291:$K$2291)</f>
        <v>325.339267009466</v>
      </c>
    </row>
    <row r="2440" customFormat="false" ht="15" hidden="false" customHeight="false" outlineLevel="0" collapsed="false">
      <c r="A2440" s="3" t="s">
        <v>491</v>
      </c>
      <c r="C2440" s="25" t="n">
        <f aca="false">MAX(0,SUMPRODUCT($G$2436:$K$2436,$G$2386:$K$2386))</f>
        <v>898.796643322439</v>
      </c>
    </row>
    <row r="2441" customFormat="false" ht="15" hidden="false" customHeight="false" outlineLevel="0" collapsed="false">
      <c r="A2441" s="3" t="s">
        <v>492</v>
      </c>
      <c r="C2441" s="25" t="n">
        <f aca="false">(CHOOSE($C$2274,Assumptions!$C$84,Assumptions!$C$103,Assumptions!$C$122)+$C$2278)*C2439</f>
        <v>1626.69633504733</v>
      </c>
    </row>
    <row r="2442" customFormat="false" ht="15" hidden="false" customHeight="false" outlineLevel="0" collapsed="false">
      <c r="A2442" s="3" t="s">
        <v>493</v>
      </c>
      <c r="C2442" s="25" t="n">
        <f aca="false">Assumptions!$C$30*(1-CHOOSE($C$2274,Assumptions!$C$85,Assumptions!$C$104,Assumptions!$C$123))*CHOOSE($C$2274,Assumptions!$C$86,Assumptions!$C$105,Assumptions!$C$124)</f>
        <v>736.4913</v>
      </c>
    </row>
    <row r="2443" customFormat="false" ht="15" hidden="false" customHeight="false" outlineLevel="0" collapsed="false">
      <c r="A2443" s="3" t="s">
        <v>494</v>
      </c>
      <c r="C2443" s="25" t="n">
        <f aca="false">MAX(C2441,C2442)+C2440</f>
        <v>2525.49297836977</v>
      </c>
    </row>
    <row r="2444" customFormat="false" ht="15" hidden="false" customHeight="false" outlineLevel="0" collapsed="false">
      <c r="A2444" s="2" t="s">
        <v>495</v>
      </c>
      <c r="C2444" s="16" t="n">
        <f aca="false">IF(ISNUMBER(Assumptions!$C$14),Assumptions!$C$14,C2443)</f>
        <v>2525.49297836977</v>
      </c>
    </row>
    <row r="2445" customFormat="false" ht="15" hidden="false" customHeight="false" outlineLevel="0" collapsed="false">
      <c r="A2445" s="3" t="s">
        <v>496</v>
      </c>
      <c r="C2445" s="25" t="n">
        <f aca="false">C2444*Assumptions!$C$15</f>
        <v>101.019719134791</v>
      </c>
    </row>
    <row r="2446" customFormat="false" ht="15" hidden="false" customHeight="false" outlineLevel="0" collapsed="false">
      <c r="A2446" s="2" t="s">
        <v>497</v>
      </c>
      <c r="C2446" s="16" t="n">
        <f aca="false">C2444-C2445</f>
        <v>2424.47325923498</v>
      </c>
    </row>
    <row r="2447" customFormat="false" ht="15" hidden="false" customHeight="false" outlineLevel="0" collapsed="false">
      <c r="A2447" s="23" t="s">
        <v>498</v>
      </c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</row>
    <row r="2448" customFormat="false" ht="15" hidden="false" customHeight="false" outlineLevel="0" collapsed="false">
      <c r="A2448" s="3" t="s">
        <v>499</v>
      </c>
      <c r="C2448" s="25" t="n">
        <f aca="false">SUMPRODUCT($G$2436:$K$2436,$G$2328:$K$2328)*(1+SUMPRODUCT($G$2436:$K$2436,$G$2320:$K$2320)*Assumptions!$C$16/12)</f>
        <v>1349.6193225</v>
      </c>
    </row>
    <row r="2449" customFormat="false" ht="15" hidden="false" customHeight="false" outlineLevel="0" collapsed="false">
      <c r="A2449" s="3" t="s">
        <v>500</v>
      </c>
      <c r="C2449" s="25" t="n">
        <f aca="false">SUMPRODUCT($G$2436:$K$2436,$G$2341:$K$2341)*(1+SUMPRODUCT($G$2436:$K$2436,$G$2333:$K$2333)*Assumptions!$C$16/12)</f>
        <v>0</v>
      </c>
    </row>
    <row r="2450" customFormat="false" ht="15" hidden="false" customHeight="false" outlineLevel="0" collapsed="false">
      <c r="A2450" s="3" t="s">
        <v>501</v>
      </c>
      <c r="C2450" s="25" t="n">
        <f aca="false">SUMPRODUCT($G$2436:$K$2436,$G$2354:$K$2354)*(1+SUMPRODUCT($G$2436:$K$2436,$G$2346:$K$2346)*Assumptions!$C$16/12)</f>
        <v>0</v>
      </c>
    </row>
    <row r="2451" customFormat="false" ht="15" hidden="false" customHeight="false" outlineLevel="0" collapsed="false">
      <c r="A2451" s="23" t="s">
        <v>502</v>
      </c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</row>
    <row r="2452" customFormat="false" ht="15" hidden="false" customHeight="false" outlineLevel="0" collapsed="false">
      <c r="A2452" s="3" t="s">
        <v>499</v>
      </c>
      <c r="C2452" s="27" t="n">
        <f aca="false">Assumptions!$M$56</f>
        <v>1</v>
      </c>
    </row>
    <row r="2453" customFormat="false" ht="15" hidden="false" customHeight="false" outlineLevel="0" collapsed="false">
      <c r="A2453" s="3" t="s">
        <v>500</v>
      </c>
      <c r="C2453" s="27" t="n">
        <f aca="false">Assumptions!$M$57</f>
        <v>2</v>
      </c>
    </row>
    <row r="2454" customFormat="false" ht="15" hidden="false" customHeight="false" outlineLevel="0" collapsed="false">
      <c r="A2454" s="3" t="s">
        <v>501</v>
      </c>
      <c r="C2454" s="27" t="n">
        <f aca="false">Assumptions!$M$58</f>
        <v>2</v>
      </c>
    </row>
    <row r="2455" customFormat="false" ht="15" hidden="false" customHeight="false" outlineLevel="0" collapsed="false">
      <c r="A2455" s="23" t="s">
        <v>503</v>
      </c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</row>
    <row r="2456" customFormat="false" ht="15" hidden="false" customHeight="false" outlineLevel="0" collapsed="false">
      <c r="A2456" s="3" t="s">
        <v>499</v>
      </c>
      <c r="C2456" s="35" t="n">
        <f aca="false">Assumptions!$Q$56</f>
        <v>0</v>
      </c>
    </row>
    <row r="2457" customFormat="false" ht="15" hidden="false" customHeight="false" outlineLevel="0" collapsed="false">
      <c r="A2457" s="3" t="s">
        <v>500</v>
      </c>
      <c r="C2457" s="35" t="n">
        <f aca="false">Assumptions!$Q$57</f>
        <v>0</v>
      </c>
    </row>
    <row r="2458" customFormat="false" ht="15" hidden="false" customHeight="false" outlineLevel="0" collapsed="false">
      <c r="A2458" s="3" t="s">
        <v>501</v>
      </c>
      <c r="C2458" s="35" t="n">
        <f aca="false">Assumptions!$Q$58</f>
        <v>0</v>
      </c>
    </row>
    <row r="2459" customFormat="false" ht="15" hidden="false" customHeight="false" outlineLevel="0" collapsed="false">
      <c r="A2459" s="23" t="s">
        <v>504</v>
      </c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</row>
    <row r="2460" customFormat="false" ht="15" hidden="false" customHeight="false" outlineLevel="0" collapsed="false">
      <c r="A2460" s="3" t="s">
        <v>499</v>
      </c>
      <c r="C2460" s="25" t="n">
        <f aca="false">IF(C2456&gt;0,MIN(C2448,C2456*$C$2446),0)</f>
        <v>0</v>
      </c>
    </row>
    <row r="2461" customFormat="false" ht="15" hidden="false" customHeight="false" outlineLevel="0" collapsed="false">
      <c r="A2461" s="3" t="s">
        <v>500</v>
      </c>
      <c r="C2461" s="25" t="n">
        <f aca="false">IF(C2457&gt;0,MIN(C2449,C2457*$C$2446),0)</f>
        <v>0</v>
      </c>
    </row>
    <row r="2462" customFormat="false" ht="15" hidden="false" customHeight="false" outlineLevel="0" collapsed="false">
      <c r="A2462" s="3" t="s">
        <v>501</v>
      </c>
      <c r="C2462" s="25" t="n">
        <f aca="false">IF(C2458&gt;0,MIN(C2450,C2458*$C$2446),0)</f>
        <v>0</v>
      </c>
    </row>
    <row r="2463" customFormat="false" ht="15" hidden="false" customHeight="false" outlineLevel="0" collapsed="false">
      <c r="A2463" s="23" t="s">
        <v>505</v>
      </c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</row>
    <row r="2464" customFormat="false" ht="15" hidden="false" customHeight="false" outlineLevel="0" collapsed="false">
      <c r="A2464" s="3" t="s">
        <v>499</v>
      </c>
      <c r="C2464" s="25" t="n">
        <f aca="false">IF(C2456&gt;0,C2448-C2460,0)</f>
        <v>0</v>
      </c>
      <c r="G2464" s="20" t="n">
        <f aca="false">IF(AND(G2318=1,G2315=1),1,0)</f>
        <v>0</v>
      </c>
      <c r="H2464" s="20" t="n">
        <f aca="false">IF(G2464=1,1,IF(AND(H2318=1,H2315=1),1,0))</f>
        <v>0</v>
      </c>
      <c r="I2464" s="20" t="n">
        <f aca="false">IF(H2464=1,1,IF(AND(I2318=1,I2315=1),1,0))</f>
        <v>0</v>
      </c>
      <c r="J2464" s="20" t="n">
        <f aca="false">IF(I2464=1,1,IF(AND(J2318=1,J2315=1),1,0))</f>
        <v>0</v>
      </c>
      <c r="K2464" s="20" t="n">
        <f aca="false">IF(J2464=1,1,IF(AND(K2318=1,K2315=1),1,0))</f>
        <v>0</v>
      </c>
    </row>
    <row r="2465" customFormat="false" ht="15" hidden="false" customHeight="false" outlineLevel="0" collapsed="false">
      <c r="A2465" s="3" t="s">
        <v>500</v>
      </c>
      <c r="C2465" s="25" t="n">
        <f aca="false">IF(C2457&gt;0,C2449-C2461,0)</f>
        <v>0</v>
      </c>
      <c r="G2465" s="20" t="n">
        <f aca="false">IF(AND(G2331=1,G2315=1),1,0)</f>
        <v>0</v>
      </c>
      <c r="H2465" s="20" t="n">
        <f aca="false">IF(G2465=1,1,IF(AND(H2331=1,H2315=1),1,0))</f>
        <v>0</v>
      </c>
      <c r="I2465" s="20" t="n">
        <f aca="false">IF(H2465=1,1,IF(AND(I2331=1,I2315=1),1,0))</f>
        <v>1</v>
      </c>
      <c r="J2465" s="20" t="n">
        <f aca="false">IF(I2465=1,1,IF(AND(J2331=1,J2315=1),1,0))</f>
        <v>1</v>
      </c>
      <c r="K2465" s="20" t="n">
        <f aca="false">IF(J2465=1,1,IF(AND(K2331=1,K2315=1),1,0))</f>
        <v>1</v>
      </c>
    </row>
    <row r="2466" customFormat="false" ht="15" hidden="false" customHeight="false" outlineLevel="0" collapsed="false">
      <c r="A2466" s="3" t="s">
        <v>501</v>
      </c>
      <c r="C2466" s="25" t="n">
        <f aca="false">IF(C2458&gt;0,C2450-C2462,0)</f>
        <v>0</v>
      </c>
      <c r="G2466" s="20" t="n">
        <f aca="false">IF(AND(G2344=1,G2315=1),1,0)</f>
        <v>0</v>
      </c>
      <c r="H2466" s="20" t="n">
        <f aca="false">IF(G2466=1,1,IF(AND(H2344=1,H2315=1),1,0))</f>
        <v>0</v>
      </c>
      <c r="I2466" s="20" t="n">
        <f aca="false">IF(H2466=1,1,IF(AND(I2344=1,I2315=1),1,0))</f>
        <v>1</v>
      </c>
      <c r="J2466" s="20" t="n">
        <f aca="false">IF(I2466=1,1,IF(AND(J2344=1,J2315=1),1,0))</f>
        <v>1</v>
      </c>
      <c r="K2466" s="20" t="n">
        <f aca="false">IF(J2466=1,1,IF(AND(K2344=1,K2315=1),1,0))</f>
        <v>1</v>
      </c>
    </row>
    <row r="2467" customFormat="false" ht="15" hidden="false" customHeight="false" outlineLevel="0" collapsed="false">
      <c r="A2467" s="23" t="s">
        <v>506</v>
      </c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</row>
    <row r="2468" customFormat="false" ht="15" hidden="false" customHeight="false" outlineLevel="0" collapsed="false">
      <c r="A2468" s="3" t="s">
        <v>499</v>
      </c>
      <c r="C2468" s="25" t="n">
        <f aca="false">IF(C2456&gt;0,C2464,C2448)</f>
        <v>1349.6193225</v>
      </c>
    </row>
    <row r="2469" customFormat="false" ht="15" hidden="false" customHeight="false" outlineLevel="0" collapsed="false">
      <c r="A2469" s="3" t="s">
        <v>500</v>
      </c>
      <c r="C2469" s="25" t="n">
        <f aca="false">IF(C2457&gt;0,C2465,C2449)</f>
        <v>0</v>
      </c>
    </row>
    <row r="2470" customFormat="false" ht="15" hidden="false" customHeight="false" outlineLevel="0" collapsed="false">
      <c r="A2470" s="3" t="s">
        <v>501</v>
      </c>
      <c r="C2470" s="25" t="n">
        <f aca="false">IF(C2458&gt;0,C2466,C2450)</f>
        <v>0</v>
      </c>
    </row>
    <row r="2471" customFormat="false" ht="15" hidden="false" customHeight="false" outlineLevel="0" collapsed="false">
      <c r="A2471" s="23" t="s">
        <v>507</v>
      </c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</row>
    <row r="2472" customFormat="false" ht="15" hidden="false" customHeight="false" outlineLevel="0" collapsed="false">
      <c r="A2472" s="3" t="s">
        <v>499</v>
      </c>
      <c r="C2472" s="20" t="n">
        <f aca="false">IF(C2456&gt;0,Assumptions!$C$17,C2452)</f>
        <v>1</v>
      </c>
    </row>
    <row r="2473" customFormat="false" ht="15" hidden="false" customHeight="false" outlineLevel="0" collapsed="false">
      <c r="A2473" s="3" t="s">
        <v>500</v>
      </c>
      <c r="C2473" s="20" t="n">
        <f aca="false">IF(C2457&gt;0,Assumptions!$C$17,C2453)</f>
        <v>2</v>
      </c>
    </row>
    <row r="2474" customFormat="false" ht="15" hidden="false" customHeight="false" outlineLevel="0" collapsed="false">
      <c r="A2474" s="3" t="s">
        <v>501</v>
      </c>
      <c r="C2474" s="20" t="n">
        <f aca="false">IF(C2458&gt;0,Assumptions!$C$17,C2454)</f>
        <v>2</v>
      </c>
    </row>
    <row r="2475" customFormat="false" ht="15" hidden="false" customHeight="false" outlineLevel="0" collapsed="false">
      <c r="A2475" s="23" t="s">
        <v>508</v>
      </c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</row>
    <row r="2476" customFormat="false" ht="15" hidden="false" customHeight="false" outlineLevel="0" collapsed="false">
      <c r="A2476" s="3" t="s">
        <v>499</v>
      </c>
      <c r="C2476" s="25" t="n">
        <f aca="false">SUMPRODUCT(($C$2472:$C$2474&lt;C2472)*$C$2468:$C$2470)</f>
        <v>0</v>
      </c>
    </row>
    <row r="2477" customFormat="false" ht="15" hidden="false" customHeight="false" outlineLevel="0" collapsed="false">
      <c r="A2477" s="3" t="s">
        <v>500</v>
      </c>
      <c r="C2477" s="25" t="n">
        <f aca="false">SUMPRODUCT(($C$2472:$C$2474&lt;C2473)*$C$2468:$C$2470)</f>
        <v>1349.6193225</v>
      </c>
    </row>
    <row r="2478" customFormat="false" ht="15" hidden="false" customHeight="false" outlineLevel="0" collapsed="false">
      <c r="A2478" s="3" t="s">
        <v>501</v>
      </c>
      <c r="C2478" s="25" t="n">
        <f aca="false">SUMPRODUCT(($C$2472:$C$2474&lt;C2474)*$C$2468:$C$2470)</f>
        <v>1349.6193225</v>
      </c>
    </row>
    <row r="2479" customFormat="false" ht="15" hidden="false" customHeight="false" outlineLevel="0" collapsed="false">
      <c r="A2479" s="23" t="s">
        <v>509</v>
      </c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</row>
    <row r="2480" customFormat="false" ht="15" hidden="false" customHeight="false" outlineLevel="0" collapsed="false">
      <c r="A2480" s="3" t="s">
        <v>499</v>
      </c>
      <c r="C2480" s="25" t="n">
        <f aca="false">SUMPRODUCT(($C$2472:$C$2474=C2472)*$C$2468:$C$2470)</f>
        <v>1349.6193225</v>
      </c>
    </row>
    <row r="2481" customFormat="false" ht="15" hidden="false" customHeight="false" outlineLevel="0" collapsed="false">
      <c r="A2481" s="3" t="s">
        <v>500</v>
      </c>
      <c r="C2481" s="25" t="n">
        <f aca="false">SUMPRODUCT(($C$2472:$C$2474=C2473)*$C$2468:$C$2470)</f>
        <v>0</v>
      </c>
    </row>
    <row r="2482" customFormat="false" ht="15" hidden="false" customHeight="false" outlineLevel="0" collapsed="false">
      <c r="A2482" s="3" t="s">
        <v>501</v>
      </c>
      <c r="C2482" s="25" t="n">
        <f aca="false">SUMPRODUCT(($C$2472:$C$2474=C2474)*$C$2468:$C$2470)</f>
        <v>0</v>
      </c>
    </row>
    <row r="2483" customFormat="false" ht="15" hidden="false" customHeight="false" outlineLevel="0" collapsed="false">
      <c r="A2483" s="23" t="s">
        <v>510</v>
      </c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</row>
    <row r="2484" customFormat="false" ht="15" hidden="false" customHeight="false" outlineLevel="0" collapsed="false">
      <c r="A2484" s="3" t="s">
        <v>499</v>
      </c>
      <c r="C2484" s="25" t="n">
        <f aca="false">IF(C2480=0,0,C2468/C2480*MAX(0,MIN(C2480,$C$2446-SUM($C$2460:$C$2462)-C2476)))</f>
        <v>1349.6193225</v>
      </c>
    </row>
    <row r="2485" customFormat="false" ht="15" hidden="false" customHeight="false" outlineLevel="0" collapsed="false">
      <c r="A2485" s="3" t="s">
        <v>500</v>
      </c>
      <c r="C2485" s="25" t="n">
        <f aca="false">IF(C2481=0,0,C2469/C2481*MAX(0,MIN(C2481,$C$2446-SUM($C$2460:$C$2462)-C2477)))</f>
        <v>0</v>
      </c>
    </row>
    <row r="2486" customFormat="false" ht="15" hidden="false" customHeight="false" outlineLevel="0" collapsed="false">
      <c r="A2486" s="3" t="s">
        <v>501</v>
      </c>
      <c r="C2486" s="25" t="n">
        <f aca="false">IF(C2482=0,0,C2470/C2482*MAX(0,MIN(C2482,$C$2446-SUM($C$2460:$C$2462)-C2478)))</f>
        <v>0</v>
      </c>
    </row>
    <row r="2487" customFormat="false" ht="15" hidden="false" customHeight="false" outlineLevel="0" collapsed="false">
      <c r="A2487" s="23" t="s">
        <v>511</v>
      </c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</row>
    <row r="2488" customFormat="false" ht="15" hidden="false" customHeight="false" outlineLevel="0" collapsed="false">
      <c r="A2488" s="2" t="s">
        <v>499</v>
      </c>
      <c r="C2488" s="16" t="n">
        <f aca="false">C2460+C2484</f>
        <v>1349.6193225</v>
      </c>
    </row>
    <row r="2489" customFormat="false" ht="15" hidden="false" customHeight="false" outlineLevel="0" collapsed="false">
      <c r="A2489" s="2" t="s">
        <v>500</v>
      </c>
      <c r="C2489" s="16" t="n">
        <f aca="false">C2461+C2485</f>
        <v>0</v>
      </c>
    </row>
    <row r="2490" customFormat="false" ht="15" hidden="false" customHeight="false" outlineLevel="0" collapsed="false">
      <c r="A2490" s="2" t="s">
        <v>501</v>
      </c>
      <c r="C2490" s="16" t="n">
        <f aca="false">C2462+C2486</f>
        <v>0</v>
      </c>
    </row>
    <row r="2491" customFormat="false" ht="15" hidden="false" customHeight="false" outlineLevel="0" collapsed="false">
      <c r="A2491" s="23" t="s">
        <v>512</v>
      </c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</row>
    <row r="2492" customFormat="false" ht="15" hidden="false" customHeight="false" outlineLevel="0" collapsed="false">
      <c r="A2492" s="3" t="s">
        <v>499</v>
      </c>
      <c r="C2492" s="21" t="n">
        <f aca="false">IF(C2448=0,1,C2488/C2448)</f>
        <v>1</v>
      </c>
    </row>
    <row r="2493" customFormat="false" ht="15" hidden="false" customHeight="false" outlineLevel="0" collapsed="false">
      <c r="A2493" s="3" t="s">
        <v>500</v>
      </c>
      <c r="C2493" s="21" t="n">
        <f aca="false">IF(C2449=0,1,C2489/C2449)</f>
        <v>1</v>
      </c>
    </row>
    <row r="2494" customFormat="false" ht="15" hidden="false" customHeight="false" outlineLevel="0" collapsed="false">
      <c r="A2494" s="3" t="s">
        <v>501</v>
      </c>
      <c r="C2494" s="21" t="n">
        <f aca="false">IF(C2450=0,1,C2490/C2450)</f>
        <v>1</v>
      </c>
    </row>
    <row r="2495" customFormat="false" ht="15" hidden="false" customHeight="false" outlineLevel="0" collapsed="false">
      <c r="A2495" s="23" t="s">
        <v>513</v>
      </c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</row>
    <row r="2496" customFormat="false" ht="15" hidden="false" customHeight="false" outlineLevel="0" collapsed="false">
      <c r="A2496" s="3" t="s">
        <v>499</v>
      </c>
      <c r="C2496" s="25" t="n">
        <f aca="false">C2448-C2488</f>
        <v>0</v>
      </c>
    </row>
    <row r="2497" customFormat="false" ht="15" hidden="false" customHeight="false" outlineLevel="0" collapsed="false">
      <c r="A2497" s="3" t="s">
        <v>500</v>
      </c>
      <c r="C2497" s="25" t="n">
        <f aca="false">C2449-C2489</f>
        <v>0</v>
      </c>
    </row>
    <row r="2498" customFormat="false" ht="15" hidden="false" customHeight="false" outlineLevel="0" collapsed="false">
      <c r="A2498" s="3" t="s">
        <v>501</v>
      </c>
      <c r="C2498" s="25" t="n">
        <f aca="false">C2450-C2490</f>
        <v>0</v>
      </c>
    </row>
    <row r="2499" customFormat="false" ht="15" hidden="false" customHeight="false" outlineLevel="0" collapsed="false">
      <c r="A2499" s="23" t="s">
        <v>514</v>
      </c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</row>
    <row r="2500" customFormat="false" ht="15" hidden="false" customHeight="false" outlineLevel="0" collapsed="false">
      <c r="A2500" s="3" t="s">
        <v>499</v>
      </c>
      <c r="C2500" s="21" t="n">
        <f aca="false">IF(C2448=0,0,C2496/C2448)</f>
        <v>0</v>
      </c>
    </row>
    <row r="2501" customFormat="false" ht="15" hidden="false" customHeight="false" outlineLevel="0" collapsed="false">
      <c r="A2501" s="3" t="s">
        <v>500</v>
      </c>
      <c r="C2501" s="21" t="n">
        <f aca="false">IF(C2449=0,0,C2497/C2449)</f>
        <v>0</v>
      </c>
    </row>
    <row r="2502" customFormat="false" ht="15" hidden="false" customHeight="false" outlineLevel="0" collapsed="false">
      <c r="A2502" s="3" t="s">
        <v>501</v>
      </c>
      <c r="C2502" s="21" t="n">
        <f aca="false">IF(C2450=0,0,C2498/C2450)</f>
        <v>0</v>
      </c>
    </row>
    <row r="2503" customFormat="false" ht="15" hidden="false" customHeight="false" outlineLevel="0" collapsed="false">
      <c r="A2503" s="2" t="s">
        <v>515</v>
      </c>
      <c r="C2503" s="16" t="n">
        <f aca="false">MAX(0,$C$2446-SUM($C$2460:$C$2462)-SUM($C$2468:$C$2470))</f>
        <v>1074.85393673498</v>
      </c>
    </row>
    <row r="2504" customFormat="false" ht="15" hidden="false" customHeight="false" outlineLevel="0" collapsed="false">
      <c r="A2504" s="3" t="s">
        <v>516</v>
      </c>
      <c r="C2504" s="25" t="n">
        <f aca="false">SUM($C$2488:$C$2490)+C2503+C2445-C2444</f>
        <v>0</v>
      </c>
    </row>
    <row r="2506" customFormat="false" ht="15" hidden="false" customHeight="false" outlineLevel="0" collapsed="false">
      <c r="A2506" s="23" t="s">
        <v>519</v>
      </c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</row>
    <row r="2507" customFormat="false" ht="15" hidden="false" customHeight="false" outlineLevel="0" collapsed="false">
      <c r="A2507" s="3" t="s">
        <v>520</v>
      </c>
      <c r="C2507" s="27" t="n">
        <f aca="false">Assumptions!$C$33</f>
        <v>1</v>
      </c>
    </row>
    <row r="2508" customFormat="false" ht="15" hidden="false" customHeight="false" outlineLevel="0" collapsed="false">
      <c r="A2508" s="3" t="s">
        <v>521</v>
      </c>
      <c r="C2508" s="29" t="n">
        <f aca="false">Assumptions!$C$34</f>
        <v>100</v>
      </c>
    </row>
    <row r="2509" customFormat="false" ht="15" hidden="false" customHeight="false" outlineLevel="0" collapsed="false">
      <c r="A2509" s="3" t="s">
        <v>522</v>
      </c>
      <c r="C2509" s="40" t="n">
        <f aca="false">Assumptions!$C$35</f>
        <v>95</v>
      </c>
    </row>
    <row r="2510" customFormat="false" ht="15" hidden="false" customHeight="false" outlineLevel="0" collapsed="false">
      <c r="A2510" s="3" t="s">
        <v>523</v>
      </c>
      <c r="C2510" s="25" t="n">
        <f aca="false">C2508*C2509/100*(1+Assumptions!$C$36)</f>
        <v>95</v>
      </c>
    </row>
    <row r="2511" customFormat="false" ht="15" hidden="false" customHeight="false" outlineLevel="0" collapsed="false">
      <c r="A2511" s="3" t="s">
        <v>524</v>
      </c>
      <c r="C2511" s="27" t="n">
        <f aca="false">Assumptions!$C$37</f>
        <v>3</v>
      </c>
    </row>
    <row r="2512" customFormat="false" ht="15" hidden="false" customHeight="false" outlineLevel="0" collapsed="false">
      <c r="A2512" s="3" t="s">
        <v>525</v>
      </c>
      <c r="C2512" s="20" t="n">
        <f aca="false">IF(C2437=1,SUMPRODUCT($G$2389:$K$2389,$G$2282:$K$2282),0)</f>
        <v>0</v>
      </c>
    </row>
    <row r="2513" customFormat="false" ht="15" hidden="false" customHeight="false" outlineLevel="0" collapsed="false">
      <c r="A2513" s="3" t="s">
        <v>526</v>
      </c>
      <c r="C2513" s="21" t="n">
        <f aca="false">IFERROR(C2508/CHOOSE(C2507,SUMPRODUCT($G$2436:$K$2436,$G$2328:$K$2328),SUMPRODUCT($G$2436:$K$2436,$G$2341:$K$2341),SUMPRODUCT($G$2436:$K$2436,$G$2354:$K$2354)),0)</f>
        <v>0.0760399605200525</v>
      </c>
    </row>
    <row r="2514" customFormat="false" ht="15" hidden="false" customHeight="false" outlineLevel="0" collapsed="false">
      <c r="A2514" s="3" t="s">
        <v>527</v>
      </c>
      <c r="C2514" s="25" t="n">
        <f aca="false">CHOOSE(C2507,C2488,C2489,C2490)*C2513</f>
        <v>102.625</v>
      </c>
    </row>
    <row r="2515" customFormat="false" ht="15" hidden="false" customHeight="false" outlineLevel="0" collapsed="false">
      <c r="A2515" s="3" t="s">
        <v>528</v>
      </c>
      <c r="C2515" s="21" t="n">
        <f aca="false">CHOOSE(C2507,C2492,C2493,C2494)</f>
        <v>1</v>
      </c>
    </row>
    <row r="2516" customFormat="false" ht="15" hidden="false" customHeight="false" outlineLevel="0" collapsed="false">
      <c r="A2516" s="3" t="s">
        <v>529</v>
      </c>
      <c r="C2516" s="20" t="n">
        <f aca="false">IF(C2437=1,C2512,C2511)</f>
        <v>3</v>
      </c>
    </row>
    <row r="2517" customFormat="false" ht="15" hidden="false" customHeight="false" outlineLevel="0" collapsed="false">
      <c r="A2517" s="3" t="s">
        <v>530</v>
      </c>
      <c r="C2517" s="34" t="n">
        <f aca="false">CHOOSE($C$2274,Assumptions!$C$83,Assumptions!$C$102,Assumptions!$C$121)</f>
        <v>100</v>
      </c>
    </row>
    <row r="2518" customFormat="false" ht="15" hidden="false" customHeight="false" outlineLevel="0" collapsed="false">
      <c r="A2518" s="3" t="s">
        <v>531</v>
      </c>
      <c r="C2518" s="25" t="n">
        <f aca="false">INDEX($G$2291:$K$2291,C2511)*CHOOSE($C$2274,Assumptions!$C$82,Assumptions!$C$101,Assumptions!$C$120)+MAX(0,INDEX($G$2386:$K$2386,C2511))</f>
        <v>2521.80148765063</v>
      </c>
    </row>
    <row r="2519" customFormat="false" ht="15" hidden="false" customHeight="false" outlineLevel="0" collapsed="false">
      <c r="A2519" s="23" t="s">
        <v>532</v>
      </c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</row>
    <row r="2520" customFormat="false" ht="15" hidden="false" customHeight="false" outlineLevel="0" collapsed="false">
      <c r="A2520" s="3" t="s">
        <v>499</v>
      </c>
      <c r="C2520" s="25" t="n">
        <f aca="false">INDEX($G$2328:$K$2328,C2511)</f>
        <v>1315.098</v>
      </c>
    </row>
    <row r="2521" customFormat="false" ht="15" hidden="false" customHeight="false" outlineLevel="0" collapsed="false">
      <c r="A2521" s="3" t="s">
        <v>500</v>
      </c>
      <c r="C2521" s="25" t="n">
        <f aca="false">INDEX($G$2341:$K$2341,C2511)</f>
        <v>0</v>
      </c>
    </row>
    <row r="2522" customFormat="false" ht="15" hidden="false" customHeight="false" outlineLevel="0" collapsed="false">
      <c r="A2522" s="3" t="s">
        <v>501</v>
      </c>
      <c r="C2522" s="25" t="n">
        <f aca="false">INDEX($G$2354:$K$2354,C2511)</f>
        <v>0</v>
      </c>
    </row>
    <row r="2523" customFormat="false" ht="15" hidden="false" customHeight="false" outlineLevel="0" collapsed="false">
      <c r="A2523" s="23" t="s">
        <v>502</v>
      </c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</row>
    <row r="2524" customFormat="false" ht="15" hidden="false" customHeight="false" outlineLevel="0" collapsed="false">
      <c r="A2524" s="3" t="s">
        <v>499</v>
      </c>
      <c r="C2524" s="27" t="n">
        <f aca="false">Assumptions!$M$56</f>
        <v>1</v>
      </c>
    </row>
    <row r="2525" customFormat="false" ht="15" hidden="false" customHeight="false" outlineLevel="0" collapsed="false">
      <c r="A2525" s="3" t="s">
        <v>500</v>
      </c>
      <c r="C2525" s="27" t="n">
        <f aca="false">Assumptions!$M$57</f>
        <v>2</v>
      </c>
    </row>
    <row r="2526" customFormat="false" ht="15" hidden="false" customHeight="false" outlineLevel="0" collapsed="false">
      <c r="A2526" s="3" t="s">
        <v>501</v>
      </c>
      <c r="C2526" s="27" t="n">
        <f aca="false">Assumptions!$M$58</f>
        <v>2</v>
      </c>
    </row>
    <row r="2527" customFormat="false" ht="15" hidden="false" customHeight="false" outlineLevel="0" collapsed="false">
      <c r="A2527" s="23" t="s">
        <v>503</v>
      </c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</row>
    <row r="2528" customFormat="false" ht="15" hidden="false" customHeight="false" outlineLevel="0" collapsed="false">
      <c r="A2528" s="3" t="s">
        <v>499</v>
      </c>
      <c r="C2528" s="35" t="n">
        <f aca="false">Assumptions!$Q$56</f>
        <v>0</v>
      </c>
    </row>
    <row r="2529" customFormat="false" ht="15" hidden="false" customHeight="false" outlineLevel="0" collapsed="false">
      <c r="A2529" s="3" t="s">
        <v>500</v>
      </c>
      <c r="C2529" s="35" t="n">
        <f aca="false">Assumptions!$Q$57</f>
        <v>0</v>
      </c>
    </row>
    <row r="2530" customFormat="false" ht="15" hidden="false" customHeight="false" outlineLevel="0" collapsed="false">
      <c r="A2530" s="3" t="s">
        <v>501</v>
      </c>
      <c r="C2530" s="35" t="n">
        <f aca="false">Assumptions!$Q$58</f>
        <v>0</v>
      </c>
    </row>
    <row r="2531" customFormat="false" ht="15" hidden="false" customHeight="false" outlineLevel="0" collapsed="false">
      <c r="A2531" s="23" t="s">
        <v>504</v>
      </c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</row>
    <row r="2532" customFormat="false" ht="15" hidden="false" customHeight="false" outlineLevel="0" collapsed="false">
      <c r="A2532" s="3" t="s">
        <v>499</v>
      </c>
      <c r="C2532" s="25" t="n">
        <f aca="false">IF(C2528&gt;0,MIN(C2520,C2528*$C$2518),0)</f>
        <v>0</v>
      </c>
    </row>
    <row r="2533" customFormat="false" ht="15" hidden="false" customHeight="false" outlineLevel="0" collapsed="false">
      <c r="A2533" s="3" t="s">
        <v>500</v>
      </c>
      <c r="C2533" s="25" t="n">
        <f aca="false">IF(C2529&gt;0,MIN(C2521,C2529*$C$2518),0)</f>
        <v>0</v>
      </c>
    </row>
    <row r="2534" customFormat="false" ht="15" hidden="false" customHeight="false" outlineLevel="0" collapsed="false">
      <c r="A2534" s="3" t="s">
        <v>501</v>
      </c>
      <c r="C2534" s="25" t="n">
        <f aca="false">IF(C2530&gt;0,MIN(C2522,C2530*$C$2518),0)</f>
        <v>0</v>
      </c>
    </row>
    <row r="2535" customFormat="false" ht="15" hidden="false" customHeight="false" outlineLevel="0" collapsed="false">
      <c r="A2535" s="23" t="s">
        <v>505</v>
      </c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</row>
    <row r="2536" customFormat="false" ht="15" hidden="false" customHeight="false" outlineLevel="0" collapsed="false">
      <c r="A2536" s="3" t="s">
        <v>499</v>
      </c>
      <c r="C2536" s="25" t="n">
        <f aca="false">IF(C2528&gt;0,C2520-C2532,0)</f>
        <v>0</v>
      </c>
    </row>
    <row r="2537" customFormat="false" ht="15" hidden="false" customHeight="false" outlineLevel="0" collapsed="false">
      <c r="A2537" s="3" t="s">
        <v>500</v>
      </c>
      <c r="C2537" s="25" t="n">
        <f aca="false">IF(C2529&gt;0,C2521-C2533,0)</f>
        <v>0</v>
      </c>
    </row>
    <row r="2538" customFormat="false" ht="15" hidden="false" customHeight="false" outlineLevel="0" collapsed="false">
      <c r="A2538" s="3" t="s">
        <v>501</v>
      </c>
      <c r="C2538" s="25" t="n">
        <f aca="false">IF(C2530&gt;0,C2522-C2534,0)</f>
        <v>0</v>
      </c>
    </row>
    <row r="2539" customFormat="false" ht="15" hidden="false" customHeight="false" outlineLevel="0" collapsed="false">
      <c r="A2539" s="23" t="s">
        <v>506</v>
      </c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</row>
    <row r="2540" customFormat="false" ht="15" hidden="false" customHeight="false" outlineLevel="0" collapsed="false">
      <c r="A2540" s="3" t="s">
        <v>499</v>
      </c>
      <c r="C2540" s="25" t="n">
        <f aca="false">IF(C2528&gt;0,C2536,C2520)</f>
        <v>1315.098</v>
      </c>
    </row>
    <row r="2541" customFormat="false" ht="15" hidden="false" customHeight="false" outlineLevel="0" collapsed="false">
      <c r="A2541" s="3" t="s">
        <v>500</v>
      </c>
      <c r="C2541" s="25" t="n">
        <f aca="false">IF(C2529&gt;0,C2537,C2521)</f>
        <v>0</v>
      </c>
    </row>
    <row r="2542" customFormat="false" ht="15" hidden="false" customHeight="false" outlineLevel="0" collapsed="false">
      <c r="A2542" s="3" t="s">
        <v>501</v>
      </c>
      <c r="C2542" s="25" t="n">
        <f aca="false">IF(C2530&gt;0,C2538,C2522)</f>
        <v>0</v>
      </c>
    </row>
    <row r="2543" customFormat="false" ht="15" hidden="false" customHeight="false" outlineLevel="0" collapsed="false">
      <c r="A2543" s="23" t="s">
        <v>507</v>
      </c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</row>
    <row r="2544" customFormat="false" ht="15" hidden="false" customHeight="false" outlineLevel="0" collapsed="false">
      <c r="A2544" s="3" t="s">
        <v>499</v>
      </c>
      <c r="C2544" s="20" t="n">
        <f aca="false">IF(C2528&gt;0,Assumptions!$C$17,C2524)</f>
        <v>1</v>
      </c>
    </row>
    <row r="2545" customFormat="false" ht="15" hidden="false" customHeight="false" outlineLevel="0" collapsed="false">
      <c r="A2545" s="3" t="s">
        <v>500</v>
      </c>
      <c r="C2545" s="20" t="n">
        <f aca="false">IF(C2529&gt;0,Assumptions!$C$17,C2525)</f>
        <v>2</v>
      </c>
    </row>
    <row r="2546" customFormat="false" ht="15" hidden="false" customHeight="false" outlineLevel="0" collapsed="false">
      <c r="A2546" s="3" t="s">
        <v>501</v>
      </c>
      <c r="C2546" s="20" t="n">
        <f aca="false">IF(C2530&gt;0,Assumptions!$C$17,C2526)</f>
        <v>2</v>
      </c>
    </row>
    <row r="2547" customFormat="false" ht="15" hidden="false" customHeight="false" outlineLevel="0" collapsed="false">
      <c r="A2547" s="23" t="s">
        <v>508</v>
      </c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</row>
    <row r="2548" customFormat="false" ht="15" hidden="false" customHeight="false" outlineLevel="0" collapsed="false">
      <c r="A2548" s="3" t="s">
        <v>499</v>
      </c>
      <c r="C2548" s="25" t="n">
        <f aca="false">SUMPRODUCT(($C$2544:$C$2546&lt;C2544)*$C$2540:$C$2542)</f>
        <v>0</v>
      </c>
    </row>
    <row r="2549" customFormat="false" ht="15" hidden="false" customHeight="false" outlineLevel="0" collapsed="false">
      <c r="A2549" s="3" t="s">
        <v>500</v>
      </c>
      <c r="C2549" s="25" t="n">
        <f aca="false">SUMPRODUCT(($C$2544:$C$2546&lt;C2545)*$C$2540:$C$2542)</f>
        <v>1315.098</v>
      </c>
    </row>
    <row r="2550" customFormat="false" ht="15" hidden="false" customHeight="false" outlineLevel="0" collapsed="false">
      <c r="A2550" s="3" t="s">
        <v>501</v>
      </c>
      <c r="C2550" s="25" t="n">
        <f aca="false">SUMPRODUCT(($C$2544:$C$2546&lt;C2546)*$C$2540:$C$2542)</f>
        <v>1315.098</v>
      </c>
    </row>
    <row r="2551" customFormat="false" ht="15" hidden="false" customHeight="false" outlineLevel="0" collapsed="false">
      <c r="A2551" s="23" t="s">
        <v>509</v>
      </c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</row>
    <row r="2552" customFormat="false" ht="15" hidden="false" customHeight="false" outlineLevel="0" collapsed="false">
      <c r="A2552" s="3" t="s">
        <v>499</v>
      </c>
      <c r="C2552" s="25" t="n">
        <f aca="false">SUMPRODUCT(($C$2544:$C$2546=C2544)*$C$2540:$C$2542)</f>
        <v>1315.098</v>
      </c>
    </row>
    <row r="2553" customFormat="false" ht="15" hidden="false" customHeight="false" outlineLevel="0" collapsed="false">
      <c r="A2553" s="3" t="s">
        <v>500</v>
      </c>
      <c r="C2553" s="25" t="n">
        <f aca="false">SUMPRODUCT(($C$2544:$C$2546=C2545)*$C$2540:$C$2542)</f>
        <v>0</v>
      </c>
    </row>
    <row r="2554" customFormat="false" ht="15" hidden="false" customHeight="false" outlineLevel="0" collapsed="false">
      <c r="A2554" s="3" t="s">
        <v>501</v>
      </c>
      <c r="C2554" s="25" t="n">
        <f aca="false">SUMPRODUCT(($C$2544:$C$2546=C2546)*$C$2540:$C$2542)</f>
        <v>0</v>
      </c>
    </row>
    <row r="2555" customFormat="false" ht="15" hidden="false" customHeight="false" outlineLevel="0" collapsed="false">
      <c r="A2555" s="23" t="s">
        <v>510</v>
      </c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</row>
    <row r="2556" customFormat="false" ht="15" hidden="false" customHeight="false" outlineLevel="0" collapsed="false">
      <c r="A2556" s="3" t="s">
        <v>499</v>
      </c>
      <c r="C2556" s="25" t="n">
        <f aca="false">IF(C2552=0,0,C2540/C2552*MAX(0,MIN(C2552,$C$2518-SUM($C$2532:$C$2534)-C2548)))</f>
        <v>1315.098</v>
      </c>
    </row>
    <row r="2557" customFormat="false" ht="15" hidden="false" customHeight="false" outlineLevel="0" collapsed="false">
      <c r="A2557" s="3" t="s">
        <v>500</v>
      </c>
      <c r="C2557" s="25" t="n">
        <f aca="false">IF(C2553=0,0,C2541/C2553*MAX(0,MIN(C2553,$C$2518-SUM($C$2532:$C$2534)-C2549)))</f>
        <v>0</v>
      </c>
    </row>
    <row r="2558" customFormat="false" ht="15" hidden="false" customHeight="false" outlineLevel="0" collapsed="false">
      <c r="A2558" s="3" t="s">
        <v>501</v>
      </c>
      <c r="C2558" s="25" t="n">
        <f aca="false">IF(C2554=0,0,C2542/C2554*MAX(0,MIN(C2554,$C$2518-SUM($C$2532:$C$2534)-C2550)))</f>
        <v>0</v>
      </c>
    </row>
    <row r="2559" customFormat="false" ht="15" hidden="false" customHeight="false" outlineLevel="0" collapsed="false">
      <c r="A2559" s="23" t="s">
        <v>511</v>
      </c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</row>
    <row r="2560" customFormat="false" ht="15" hidden="false" customHeight="false" outlineLevel="0" collapsed="false">
      <c r="A2560" s="2" t="s">
        <v>499</v>
      </c>
      <c r="C2560" s="16" t="n">
        <f aca="false">C2532+C2556</f>
        <v>1315.098</v>
      </c>
    </row>
    <row r="2561" customFormat="false" ht="15" hidden="false" customHeight="false" outlineLevel="0" collapsed="false">
      <c r="A2561" s="2" t="s">
        <v>500</v>
      </c>
      <c r="C2561" s="16" t="n">
        <f aca="false">C2533+C2557</f>
        <v>0</v>
      </c>
    </row>
    <row r="2562" customFormat="false" ht="15" hidden="false" customHeight="false" outlineLevel="0" collapsed="false">
      <c r="A2562" s="2" t="s">
        <v>501</v>
      </c>
      <c r="C2562" s="16" t="n">
        <f aca="false">C2534+C2558</f>
        <v>0</v>
      </c>
    </row>
    <row r="2563" customFormat="false" ht="15" hidden="false" customHeight="false" outlineLevel="0" collapsed="false">
      <c r="A2563" s="23" t="s">
        <v>512</v>
      </c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</row>
    <row r="2564" customFormat="false" ht="15" hidden="false" customHeight="false" outlineLevel="0" collapsed="false">
      <c r="A2564" s="3" t="s">
        <v>499</v>
      </c>
      <c r="C2564" s="21" t="n">
        <f aca="false">IF(C2520=0,1,C2560/C2520)</f>
        <v>1</v>
      </c>
    </row>
    <row r="2565" customFormat="false" ht="15" hidden="false" customHeight="false" outlineLevel="0" collapsed="false">
      <c r="A2565" s="3" t="s">
        <v>500</v>
      </c>
      <c r="C2565" s="21" t="n">
        <f aca="false">IF(C2521=0,1,C2561/C2521)</f>
        <v>1</v>
      </c>
    </row>
    <row r="2566" customFormat="false" ht="15" hidden="false" customHeight="false" outlineLevel="0" collapsed="false">
      <c r="A2566" s="3" t="s">
        <v>501</v>
      </c>
      <c r="C2566" s="21" t="n">
        <f aca="false">IF(C2522=0,1,C2562/C2522)</f>
        <v>1</v>
      </c>
    </row>
    <row r="2567" customFormat="false" ht="15" hidden="false" customHeight="false" outlineLevel="0" collapsed="false">
      <c r="A2567" s="23" t="s">
        <v>513</v>
      </c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</row>
    <row r="2568" customFormat="false" ht="15" hidden="false" customHeight="false" outlineLevel="0" collapsed="false">
      <c r="A2568" s="3" t="s">
        <v>499</v>
      </c>
      <c r="C2568" s="25" t="n">
        <f aca="false">C2520-C2560</f>
        <v>0</v>
      </c>
    </row>
    <row r="2569" customFormat="false" ht="15" hidden="false" customHeight="false" outlineLevel="0" collapsed="false">
      <c r="A2569" s="3" t="s">
        <v>500</v>
      </c>
      <c r="C2569" s="25" t="n">
        <f aca="false">C2521-C2561</f>
        <v>0</v>
      </c>
    </row>
    <row r="2570" customFormat="false" ht="15" hidden="false" customHeight="false" outlineLevel="0" collapsed="false">
      <c r="A2570" s="3" t="s">
        <v>501</v>
      </c>
      <c r="C2570" s="25" t="n">
        <f aca="false">C2522-C2562</f>
        <v>0</v>
      </c>
    </row>
    <row r="2571" customFormat="false" ht="15" hidden="false" customHeight="false" outlineLevel="0" collapsed="false">
      <c r="A2571" s="23" t="s">
        <v>514</v>
      </c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</row>
    <row r="2572" customFormat="false" ht="15" hidden="false" customHeight="false" outlineLevel="0" collapsed="false">
      <c r="A2572" s="3" t="s">
        <v>499</v>
      </c>
      <c r="C2572" s="21" t="n">
        <f aca="false">IF(C2520=0,0,C2568/C2520)</f>
        <v>0</v>
      </c>
    </row>
    <row r="2573" customFormat="false" ht="15" hidden="false" customHeight="false" outlineLevel="0" collapsed="false">
      <c r="A2573" s="3" t="s">
        <v>500</v>
      </c>
      <c r="C2573" s="21" t="n">
        <f aca="false">IF(C2521=0,0,C2569/C2521)</f>
        <v>0</v>
      </c>
    </row>
    <row r="2574" customFormat="false" ht="15" hidden="false" customHeight="false" outlineLevel="0" collapsed="false">
      <c r="A2574" s="3" t="s">
        <v>501</v>
      </c>
      <c r="C2574" s="21" t="n">
        <f aca="false">IF(C2522=0,0,C2570/C2522)</f>
        <v>0</v>
      </c>
    </row>
    <row r="2575" customFormat="false" ht="15" hidden="false" customHeight="false" outlineLevel="0" collapsed="false">
      <c r="A2575" s="2" t="s">
        <v>515</v>
      </c>
      <c r="C2575" s="16" t="n">
        <f aca="false">MAX(0,$C$2518-SUM($C$2532:$C$2534)-SUM($C$2540:$C$2542))</f>
        <v>1206.70348765063</v>
      </c>
    </row>
    <row r="2576" customFormat="false" ht="15" hidden="false" customHeight="false" outlineLevel="0" collapsed="false">
      <c r="A2576" s="3" t="s">
        <v>533</v>
      </c>
      <c r="C2576" s="34" t="n">
        <f aca="false">MIN(C2517,100*CHOOSE(C2507,C2564,C2565,C2566))</f>
        <v>100</v>
      </c>
    </row>
    <row r="2577" customFormat="false" ht="15" hidden="false" customHeight="false" outlineLevel="0" collapsed="false">
      <c r="A2577" s="3" t="s">
        <v>534</v>
      </c>
      <c r="C2577" s="20" t="n">
        <f aca="false">IF(C2437=1,C2512+Assumptions!$C$39,C2511)</f>
        <v>3</v>
      </c>
    </row>
    <row r="2578" customFormat="false" ht="15" hidden="false" customHeight="false" outlineLevel="0" collapsed="false">
      <c r="A2578" s="23" t="s">
        <v>535</v>
      </c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</row>
    <row r="2579" customFormat="false" ht="15" hidden="false" customHeight="false" outlineLevel="0" collapsed="false">
      <c r="A2579" s="3" t="s">
        <v>536</v>
      </c>
      <c r="C2579" s="20" t="n">
        <f aca="false">COLUMN()-COLUMN($C$1)</f>
        <v>0</v>
      </c>
      <c r="D2579" s="20" t="n">
        <f aca="false">COLUMN()-COLUMN($C$1)</f>
        <v>1</v>
      </c>
      <c r="E2579" s="20" t="n">
        <f aca="false">COLUMN()-COLUMN($C$1)</f>
        <v>2</v>
      </c>
      <c r="F2579" s="20" t="n">
        <f aca="false">COLUMN()-COLUMN($C$1)</f>
        <v>3</v>
      </c>
      <c r="G2579" s="20" t="n">
        <f aca="false">COLUMN()-COLUMN($C$1)</f>
        <v>4</v>
      </c>
      <c r="H2579" s="20" t="n">
        <f aca="false">COLUMN()-COLUMN($C$1)</f>
        <v>5</v>
      </c>
      <c r="I2579" s="20" t="n">
        <f aca="false">COLUMN()-COLUMN($C$1)</f>
        <v>6</v>
      </c>
    </row>
    <row r="2580" customFormat="false" ht="15" hidden="false" customHeight="false" outlineLevel="0" collapsed="false">
      <c r="A2580" s="3" t="s">
        <v>537</v>
      </c>
      <c r="D2580" s="31" t="n">
        <f aca="false">CHOOSE($C$2507,G2320,G2333,G2346)</f>
        <v>0.105</v>
      </c>
      <c r="E2580" s="31" t="n">
        <f aca="false">CHOOSE($C$2507,H2320,H2333,H2346)</f>
        <v>0.105</v>
      </c>
      <c r="F2580" s="31" t="n">
        <f aca="false">CHOOSE($C$2507,I2320,I2333,I2346)</f>
        <v>0.105</v>
      </c>
      <c r="G2580" s="31" t="n">
        <f aca="false">CHOOSE($C$2507,J2320,J2333,J2346)</f>
        <v>0.105</v>
      </c>
      <c r="H2580" s="31" t="n">
        <f aca="false">CHOOSE($C$2507,K2320,K2333,K2346)</f>
        <v>0.105</v>
      </c>
    </row>
    <row r="2581" customFormat="false" ht="15" hidden="false" customHeight="false" outlineLevel="0" collapsed="false">
      <c r="A2581" s="3" t="s">
        <v>538</v>
      </c>
      <c r="D2581" s="25" t="n">
        <f aca="false">IF(D2579&lt;=$C$2516,$C$2508*D2580,0)</f>
        <v>10.5</v>
      </c>
      <c r="E2581" s="25" t="n">
        <f aca="false">IF(E2579&lt;=$C$2516,$C$2508*E2580,0)</f>
        <v>10.5</v>
      </c>
      <c r="F2581" s="25" t="n">
        <f aca="false">IF(F2579&lt;=$C$2516,$C$2508*F2580,0)</f>
        <v>10.5</v>
      </c>
      <c r="G2581" s="25" t="n">
        <f aca="false">IF(G2579&lt;=$C$2516,$C$2508*G2580,0)</f>
        <v>0</v>
      </c>
      <c r="H2581" s="25" t="n">
        <f aca="false">IF(H2579&lt;=$C$2516,$C$2508*H2580,0)</f>
        <v>0</v>
      </c>
    </row>
    <row r="2582" customFormat="false" ht="15" hidden="false" customHeight="false" outlineLevel="0" collapsed="false">
      <c r="A2582" s="3" t="s">
        <v>539</v>
      </c>
      <c r="D2582" s="25" t="n">
        <f aca="false">IF(AND($C$2437=0,D2579=$C$2511),$C$2508*$C$2576/100,0)+IF(AND($C$2437=1,D2579=$C$2577),$C$2514,0)</f>
        <v>0</v>
      </c>
      <c r="E2582" s="25" t="n">
        <f aca="false">IF(AND($C$2437=0,E2579=$C$2511),$C$2508*$C$2576/100,0)+IF(AND($C$2437=1,E2579=$C$2577),$C$2514,0)</f>
        <v>0</v>
      </c>
      <c r="F2582" s="25" t="n">
        <f aca="false">IF(AND($C$2437=0,F2579=$C$2511),$C$2508*$C$2576/100,0)+IF(AND($C$2437=1,F2579=$C$2577),$C$2514,0)</f>
        <v>100</v>
      </c>
      <c r="G2582" s="25" t="n">
        <f aca="false">IF(AND($C$2437=0,G2579=$C$2511),$C$2508*$C$2576/100,0)+IF(AND($C$2437=1,G2579=$C$2577),$C$2514,0)</f>
        <v>0</v>
      </c>
      <c r="H2582" s="25" t="n">
        <f aca="false">IF(AND($C$2437=0,H2579=$C$2511),$C$2508*$C$2576/100,0)+IF(AND($C$2437=1,H2579=$C$2577),$C$2514,0)</f>
        <v>0</v>
      </c>
      <c r="I2582" s="25" t="n">
        <f aca="false">IF(AND($C$2437=0,I2579=$C$2511),$C$2508*$C$2576/100,0)+IF(AND($C$2437=1,I2579=$C$2577),$C$2514,0)</f>
        <v>0</v>
      </c>
    </row>
    <row r="2583" customFormat="false" ht="15" hidden="false" customHeight="false" outlineLevel="0" collapsed="false">
      <c r="A2583" s="2" t="s">
        <v>540</v>
      </c>
      <c r="C2583" s="16" t="n">
        <f aca="false">-$C$2510</f>
        <v>-95</v>
      </c>
      <c r="D2583" s="16" t="n">
        <f aca="false">D2581+D2582</f>
        <v>10.5</v>
      </c>
      <c r="E2583" s="16" t="n">
        <f aca="false">E2581+E2582</f>
        <v>10.5</v>
      </c>
      <c r="F2583" s="16" t="n">
        <f aca="false">F2581+F2582</f>
        <v>110.5</v>
      </c>
      <c r="G2583" s="16" t="n">
        <f aca="false">G2581+G2582</f>
        <v>0</v>
      </c>
      <c r="H2583" s="16" t="n">
        <f aca="false">H2581+H2582</f>
        <v>0</v>
      </c>
      <c r="I2583" s="16" t="n">
        <f aca="false">I2581+I2582</f>
        <v>0</v>
      </c>
    </row>
    <row r="2584" customFormat="false" ht="15" hidden="false" customHeight="false" outlineLevel="0" collapsed="false">
      <c r="A2584" s="3" t="s">
        <v>541</v>
      </c>
      <c r="C2584" s="25" t="n">
        <f aca="false">SUM($C$2581:$I$2581)</f>
        <v>31.5</v>
      </c>
    </row>
    <row r="2585" customFormat="false" ht="15" hidden="false" customHeight="false" outlineLevel="0" collapsed="false">
      <c r="A2585" s="3" t="s">
        <v>542</v>
      </c>
      <c r="C2585" s="25" t="n">
        <f aca="false">SUM($C$2582:$I$2582)</f>
        <v>100</v>
      </c>
    </row>
    <row r="2586" customFormat="false" ht="15" hidden="false" customHeight="false" outlineLevel="0" collapsed="false">
      <c r="A2586" s="3" t="s">
        <v>543</v>
      </c>
      <c r="C2586" s="25" t="n">
        <f aca="false">C2584+C2585</f>
        <v>131.5</v>
      </c>
    </row>
    <row r="2587" customFormat="false" ht="15" hidden="false" customHeight="false" outlineLevel="0" collapsed="false">
      <c r="A2587" s="3" t="s">
        <v>544</v>
      </c>
      <c r="C2587" s="25" t="n">
        <f aca="false">C2585-C2508*C2509/100</f>
        <v>5</v>
      </c>
    </row>
    <row r="2588" customFormat="false" ht="15" hidden="false" customHeight="false" outlineLevel="0" collapsed="false">
      <c r="A2588" s="3" t="s">
        <v>545</v>
      </c>
      <c r="C2588" s="25" t="n">
        <f aca="false">C2586-C2510</f>
        <v>36.5</v>
      </c>
    </row>
    <row r="2589" customFormat="false" ht="15" hidden="false" customHeight="false" outlineLevel="0" collapsed="false">
      <c r="A2589" s="2" t="s">
        <v>427</v>
      </c>
      <c r="C2589" s="44" t="n">
        <f aca="false">C2586/C2510</f>
        <v>1.38421052631579</v>
      </c>
    </row>
    <row r="2590" customFormat="false" ht="15" hidden="false" customHeight="false" outlineLevel="0" collapsed="false">
      <c r="A2590" s="2" t="s">
        <v>426</v>
      </c>
      <c r="C2590" s="42" t="n">
        <f aca="false">IF(C2586&lt;=0,-1,IFERROR(IRR($C$2583:$I$2583,MAX(-0.9,C2589^(1/C2577)-1)),IRR($C$2583:$I$2583,0.1)))</f>
        <v>0.126033624615204</v>
      </c>
    </row>
    <row r="2591" customFormat="false" ht="15" hidden="false" customHeight="false" outlineLevel="0" collapsed="false">
      <c r="A2591" s="3" t="s">
        <v>546</v>
      </c>
      <c r="C2591" s="32" t="n">
        <f aca="false">MAX($G$2397:$K$2397)</f>
        <v>2.80055260850547</v>
      </c>
    </row>
    <row r="2592" customFormat="false" ht="15" hidden="false" customHeight="false" outlineLevel="0" collapsed="false">
      <c r="A2592" s="3" t="s">
        <v>547</v>
      </c>
      <c r="C2592" s="32" t="n">
        <f aca="false">MIN($G$2398:$K$2398)</f>
        <v>2.2681166426512</v>
      </c>
    </row>
    <row r="2593" customFormat="false" ht="15" hidden="false" customHeight="false" outlineLevel="0" collapsed="false">
      <c r="A2593" s="3" t="s">
        <v>548</v>
      </c>
      <c r="C2593" s="25" t="n">
        <f aca="false">SUM($G$2304:$K$2304)</f>
        <v>855.25664332244</v>
      </c>
    </row>
    <row r="2597" customFormat="false" ht="15" hidden="false" customHeight="false" outlineLevel="0" collapsed="false">
      <c r="A2597" s="9" t="s">
        <v>1022</v>
      </c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</row>
    <row r="2598" customFormat="false" ht="15" hidden="false" customHeight="false" outlineLevel="0" collapsed="false">
      <c r="A2598" s="3" t="s">
        <v>1010</v>
      </c>
      <c r="C2598" s="11" t="n">
        <v>2</v>
      </c>
    </row>
    <row r="2599" customFormat="false" ht="15" hidden="false" customHeight="false" outlineLevel="0" collapsed="false">
      <c r="A2599" s="3" t="s">
        <v>1011</v>
      </c>
      <c r="C2599" s="18" t="n">
        <v>0</v>
      </c>
    </row>
    <row r="2600" customFormat="false" ht="15" hidden="false" customHeight="false" outlineLevel="0" collapsed="false">
      <c r="A2600" s="3" t="s">
        <v>1012</v>
      </c>
      <c r="C2600" s="30" t="n">
        <f aca="false">Sensitivities!$A$30</f>
        <v>-0.04</v>
      </c>
    </row>
    <row r="2601" customFormat="false" ht="15" hidden="false" customHeight="false" outlineLevel="0" collapsed="false">
      <c r="A2601" s="3" t="s">
        <v>1013</v>
      </c>
      <c r="C2601" s="18" t="n">
        <v>0</v>
      </c>
    </row>
    <row r="2602" customFormat="false" ht="15" hidden="false" customHeight="false" outlineLevel="0" collapsed="false">
      <c r="A2602" s="3" t="s">
        <v>1014</v>
      </c>
      <c r="C2602" s="15" t="n">
        <v>0</v>
      </c>
    </row>
    <row r="2604" customFormat="false" ht="15" hidden="false" customHeight="false" outlineLevel="0" collapsed="false">
      <c r="A2604" s="23" t="s">
        <v>281</v>
      </c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</row>
    <row r="2605" customFormat="false" ht="15" hidden="false" customHeight="false" outlineLevel="0" collapsed="false">
      <c r="A2605" s="3" t="s">
        <v>282</v>
      </c>
      <c r="F2605" s="27" t="n">
        <f aca="false">Assumptions!$C$6</f>
        <v>2026</v>
      </c>
      <c r="G2605" s="20" t="n">
        <f aca="false">F2605+1</f>
        <v>2027</v>
      </c>
      <c r="H2605" s="20" t="n">
        <f aca="false">G2605+1</f>
        <v>2028</v>
      </c>
      <c r="I2605" s="20" t="n">
        <f aca="false">H2605+1</f>
        <v>2029</v>
      </c>
      <c r="J2605" s="20" t="n">
        <f aca="false">I2605+1</f>
        <v>2030</v>
      </c>
      <c r="K2605" s="20" t="n">
        <f aca="false">J2605+1</f>
        <v>2031</v>
      </c>
    </row>
    <row r="2606" customFormat="false" ht="15" hidden="false" customHeight="false" outlineLevel="0" collapsed="false">
      <c r="A2606" s="3" t="s">
        <v>283</v>
      </c>
      <c r="G2606" s="20" t="n">
        <f aca="false">G2605-Assumptions!$C$6</f>
        <v>1</v>
      </c>
      <c r="H2606" s="20" t="n">
        <f aca="false">H2605-Assumptions!$C$6</f>
        <v>2</v>
      </c>
      <c r="I2606" s="20" t="n">
        <f aca="false">I2605-Assumptions!$C$6</f>
        <v>3</v>
      </c>
      <c r="J2606" s="20" t="n">
        <f aca="false">J2605-Assumptions!$C$6</f>
        <v>4</v>
      </c>
      <c r="K2606" s="20" t="n">
        <f aca="false">K2605-Assumptions!$C$6</f>
        <v>5</v>
      </c>
    </row>
    <row r="2607" customFormat="false" ht="15" hidden="false" customHeight="false" outlineLevel="0" collapsed="false">
      <c r="A2607" s="3" t="s">
        <v>165</v>
      </c>
      <c r="G2607" s="21" t="n">
        <f aca="false">CHOOSE($C$2598,Assumptions!$G$71,Assumptions!$G$90,Assumptions!$G$109)+$C$2599</f>
        <v>-0.08</v>
      </c>
      <c r="H2607" s="21" t="n">
        <f aca="false">CHOOSE($C$2598,Assumptions!$H$71,Assumptions!$H$90,Assumptions!$H$109)+$C$2599</f>
        <v>-0.07</v>
      </c>
      <c r="I2607" s="21" t="n">
        <f aca="false">CHOOSE($C$2598,Assumptions!$I$71,Assumptions!$I$90,Assumptions!$I$109)+$C$2599</f>
        <v>-0.06</v>
      </c>
      <c r="J2607" s="21" t="n">
        <f aca="false">CHOOSE($C$2598,Assumptions!$J$71,Assumptions!$J$90,Assumptions!$J$109)+$C$2599</f>
        <v>-0.05</v>
      </c>
      <c r="K2607" s="21" t="n">
        <f aca="false">CHOOSE($C$2598,Assumptions!$K$71,Assumptions!$K$90,Assumptions!$K$109)+$C$2599</f>
        <v>-0.05</v>
      </c>
    </row>
    <row r="2608" customFormat="false" ht="15" hidden="false" customHeight="false" outlineLevel="0" collapsed="false">
      <c r="A2608" s="3" t="s">
        <v>166</v>
      </c>
      <c r="G2608" s="21" t="n">
        <f aca="false">CHOOSE($C$2598,Assumptions!$G$72,Assumptions!$G$91,Assumptions!$G$110)</f>
        <v>0.463246670103635</v>
      </c>
      <c r="H2608" s="21" t="n">
        <f aca="false">CHOOSE($C$2598,Assumptions!$H$72,Assumptions!$H$91,Assumptions!$H$110)</f>
        <v>0.453246670103635</v>
      </c>
      <c r="I2608" s="21" t="n">
        <f aca="false">CHOOSE($C$2598,Assumptions!$I$72,Assumptions!$I$91,Assumptions!$I$110)</f>
        <v>0.448246670103634</v>
      </c>
      <c r="J2608" s="21" t="n">
        <f aca="false">CHOOSE($C$2598,Assumptions!$J$72,Assumptions!$J$91,Assumptions!$J$110)</f>
        <v>0.443246670103635</v>
      </c>
      <c r="K2608" s="21" t="n">
        <f aca="false">CHOOSE($C$2598,Assumptions!$K$72,Assumptions!$K$91,Assumptions!$K$110)</f>
        <v>0.443246670103635</v>
      </c>
    </row>
    <row r="2609" customFormat="false" ht="15" hidden="false" customHeight="false" outlineLevel="0" collapsed="false">
      <c r="A2609" s="3" t="s">
        <v>167</v>
      </c>
      <c r="G2609" s="21" t="n">
        <f aca="false">CHOOSE($C$2598,Assumptions!$G$73,Assumptions!$G$92,Assumptions!$G$111)+$C$2600</f>
        <v>0.08</v>
      </c>
      <c r="H2609" s="21" t="n">
        <f aca="false">CHOOSE($C$2598,Assumptions!$H$73,Assumptions!$H$92,Assumptions!$H$111)+$C$2600</f>
        <v>0.07</v>
      </c>
      <c r="I2609" s="21" t="n">
        <f aca="false">CHOOSE($C$2598,Assumptions!$I$73,Assumptions!$I$92,Assumptions!$I$111)+$C$2600</f>
        <v>0.065</v>
      </c>
      <c r="J2609" s="21" t="n">
        <f aca="false">CHOOSE($C$2598,Assumptions!$J$73,Assumptions!$J$92,Assumptions!$J$111)+$C$2600</f>
        <v>0.06</v>
      </c>
      <c r="K2609" s="21" t="n">
        <f aca="false">CHOOSE($C$2598,Assumptions!$K$73,Assumptions!$K$92,Assumptions!$K$111)+$C$2600</f>
        <v>0.06</v>
      </c>
    </row>
    <row r="2610" customFormat="false" ht="15" hidden="false" customHeight="false" outlineLevel="0" collapsed="false">
      <c r="A2610" s="23" t="s">
        <v>284</v>
      </c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</row>
    <row r="2611" customFormat="false" ht="15" hidden="false" customHeight="false" outlineLevel="0" collapsed="false">
      <c r="A2611" s="2" t="s">
        <v>256</v>
      </c>
      <c r="F2611" s="28" t="n">
        <f aca="false">'Historical Financials'!G23</f>
        <v>2246.166</v>
      </c>
      <c r="G2611" s="16" t="n">
        <f aca="false">F2611*(1+G2607)</f>
        <v>2066.47272</v>
      </c>
      <c r="H2611" s="16" t="n">
        <f aca="false">G2611*(1+H2607)</f>
        <v>1921.8196296</v>
      </c>
      <c r="I2611" s="16" t="n">
        <f aca="false">H2611*(1+I2607)</f>
        <v>1806.510451824</v>
      </c>
      <c r="J2611" s="16" t="n">
        <f aca="false">I2611*(1+J2607)</f>
        <v>1716.1849292328</v>
      </c>
      <c r="K2611" s="16" t="n">
        <f aca="false">J2611*(1+K2607)</f>
        <v>1630.37568277116</v>
      </c>
    </row>
    <row r="2612" customFormat="false" ht="15" hidden="false" customHeight="false" outlineLevel="0" collapsed="false">
      <c r="A2612" s="3" t="s">
        <v>257</v>
      </c>
      <c r="G2612" s="25" t="n">
        <f aca="false">G2611*(1-G2608)</f>
        <v>1109.1861136</v>
      </c>
      <c r="H2612" s="25" t="n">
        <f aca="false">H2611*(1-H2608)</f>
        <v>1050.761281944</v>
      </c>
      <c r="I2612" s="25" t="n">
        <f aca="false">I2611*(1-I2608)</f>
        <v>996.74815728648</v>
      </c>
      <c r="J2612" s="25" t="n">
        <f aca="false">J2611*(1-J2608)</f>
        <v>955.49167406832</v>
      </c>
      <c r="K2612" s="25" t="n">
        <f aca="false">K2611*(1-K2608)</f>
        <v>907.717090364904</v>
      </c>
    </row>
    <row r="2613" customFormat="false" ht="15" hidden="false" customHeight="false" outlineLevel="0" collapsed="false">
      <c r="A2613" s="2" t="s">
        <v>258</v>
      </c>
      <c r="G2613" s="16" t="n">
        <f aca="false">G2611-G2612</f>
        <v>957.2866064</v>
      </c>
      <c r="H2613" s="16" t="n">
        <f aca="false">H2611-H2612</f>
        <v>871.058347656</v>
      </c>
      <c r="I2613" s="16" t="n">
        <f aca="false">I2611-I2612</f>
        <v>809.76229453752</v>
      </c>
      <c r="J2613" s="16" t="n">
        <f aca="false">J2611-J2612</f>
        <v>760.69325516448</v>
      </c>
      <c r="K2613" s="16" t="n">
        <f aca="false">K2611-K2612</f>
        <v>722.658592406256</v>
      </c>
    </row>
    <row r="2614" customFormat="false" ht="15" hidden="false" customHeight="false" outlineLevel="0" collapsed="false">
      <c r="A2614" s="3" t="s">
        <v>285</v>
      </c>
      <c r="G2614" s="25" t="n">
        <f aca="false">G2613-G2615</f>
        <v>791.9687888</v>
      </c>
      <c r="H2614" s="25" t="n">
        <f aca="false">H2613-H2615</f>
        <v>736.530973584</v>
      </c>
      <c r="I2614" s="25" t="n">
        <f aca="false">I2613-I2615</f>
        <v>692.33911516896</v>
      </c>
      <c r="J2614" s="25" t="n">
        <f aca="false">J2613-J2615</f>
        <v>657.722159410512</v>
      </c>
      <c r="K2614" s="25" t="n">
        <f aca="false">K2613-K2615</f>
        <v>624.836051439987</v>
      </c>
    </row>
    <row r="2615" customFormat="false" ht="15" hidden="false" customHeight="false" outlineLevel="0" collapsed="false">
      <c r="A2615" s="2" t="s">
        <v>286</v>
      </c>
      <c r="G2615" s="16" t="n">
        <f aca="false">G2611*G2609</f>
        <v>165.3178176</v>
      </c>
      <c r="H2615" s="16" t="n">
        <f aca="false">H2611*H2609</f>
        <v>134.527374072</v>
      </c>
      <c r="I2615" s="16" t="n">
        <f aca="false">I2611*I2609</f>
        <v>117.42317936856</v>
      </c>
      <c r="J2615" s="16" t="n">
        <f aca="false">J2611*J2609</f>
        <v>102.971095753968</v>
      </c>
      <c r="K2615" s="16" t="n">
        <f aca="false">K2611*K2609</f>
        <v>97.8225409662696</v>
      </c>
    </row>
    <row r="2616" customFormat="false" ht="15" hidden="false" customHeight="false" outlineLevel="0" collapsed="false">
      <c r="A2616" s="3" t="s">
        <v>287</v>
      </c>
      <c r="G2616" s="25" t="n">
        <f aca="false">G2611*'Historical Financials'!G28/'Historical Financials'!G23</f>
        <v>78.47232</v>
      </c>
      <c r="H2616" s="25" t="n">
        <f aca="false">H2611*'Historical Financials'!G28/'Historical Financials'!G23</f>
        <v>72.9792576</v>
      </c>
      <c r="I2616" s="25" t="n">
        <f aca="false">I2611*'Historical Financials'!G28/'Historical Financials'!G23</f>
        <v>68.600502144</v>
      </c>
      <c r="J2616" s="25" t="n">
        <f aca="false">J2611*'Historical Financials'!G28/'Historical Financials'!G23</f>
        <v>65.1704770368</v>
      </c>
      <c r="K2616" s="25" t="n">
        <f aca="false">K2611*'Historical Financials'!G28/'Historical Financials'!G23</f>
        <v>61.91195318496</v>
      </c>
    </row>
    <row r="2617" customFormat="false" ht="15" hidden="false" customHeight="false" outlineLevel="0" collapsed="false">
      <c r="A2617" s="3" t="s">
        <v>288</v>
      </c>
      <c r="G2617" s="25" t="n">
        <f aca="false">G2611*'Historical Financials'!G29/'Historical Financials'!G23</f>
        <v>22.40752</v>
      </c>
      <c r="H2617" s="25" t="n">
        <f aca="false">H2611*'Historical Financials'!G29/'Historical Financials'!G23</f>
        <v>20.8389936</v>
      </c>
      <c r="I2617" s="25" t="n">
        <f aca="false">I2611*'Historical Financials'!G29/'Historical Financials'!G23</f>
        <v>19.588653984</v>
      </c>
      <c r="J2617" s="25" t="n">
        <f aca="false">J2611*'Historical Financials'!G29/'Historical Financials'!G23</f>
        <v>18.6092212848</v>
      </c>
      <c r="K2617" s="25" t="n">
        <f aca="false">K2611*'Historical Financials'!G29/'Historical Financials'!G23</f>
        <v>17.67876022056</v>
      </c>
    </row>
    <row r="2618" customFormat="false" ht="15" hidden="false" customHeight="false" outlineLevel="0" collapsed="false">
      <c r="A2618" s="2" t="s">
        <v>289</v>
      </c>
      <c r="G2618" s="16" t="n">
        <f aca="false">G2615-G2616-G2617</f>
        <v>64.4379776</v>
      </c>
      <c r="H2618" s="16" t="n">
        <f aca="false">H2615-H2616-H2617</f>
        <v>40.709122872</v>
      </c>
      <c r="I2618" s="16" t="n">
        <f aca="false">I2615-I2616-I2617</f>
        <v>29.23402324056</v>
      </c>
      <c r="J2618" s="16" t="n">
        <f aca="false">J2615-J2616-J2617</f>
        <v>19.191397432368</v>
      </c>
      <c r="K2618" s="16" t="n">
        <f aca="false">K2615-K2616-K2617</f>
        <v>18.2318275607496</v>
      </c>
    </row>
    <row r="2619" customFormat="false" ht="15" hidden="false" customHeight="false" outlineLevel="0" collapsed="false">
      <c r="A2619" s="3" t="s">
        <v>290</v>
      </c>
      <c r="G2619" s="25" t="n">
        <f aca="false">G2645+G2658+G2671</f>
        <v>155.95467</v>
      </c>
      <c r="H2619" s="25" t="n">
        <f aca="false">H2645+H2658+H2671</f>
        <v>155.95467</v>
      </c>
      <c r="I2619" s="25" t="n">
        <f aca="false">I2645+I2658+I2671</f>
        <v>155.95467</v>
      </c>
      <c r="J2619" s="25" t="n">
        <f aca="false">J2645+J2658+J2671</f>
        <v>142.818178798866</v>
      </c>
      <c r="K2619" s="25" t="n">
        <f aca="false">K2645+K2658+K2671</f>
        <v>142.818178798866</v>
      </c>
    </row>
    <row r="2620" customFormat="false" ht="15" hidden="false" customHeight="false" outlineLevel="0" collapsed="false">
      <c r="A2620" s="3" t="s">
        <v>291</v>
      </c>
      <c r="G2620" s="25" t="n">
        <f aca="false">G2646+G2659+G2672</f>
        <v>0</v>
      </c>
      <c r="H2620" s="25" t="n">
        <f aca="false">H2646+H2659+H2672</f>
        <v>0</v>
      </c>
      <c r="I2620" s="25" t="n">
        <f aca="false">I2646+I2659+I2672</f>
        <v>0</v>
      </c>
      <c r="J2620" s="25" t="n">
        <f aca="false">J2646+J2659+J2672</f>
        <v>0</v>
      </c>
      <c r="K2620" s="25" t="n">
        <f aca="false">K2646+K2659+K2672</f>
        <v>0</v>
      </c>
    </row>
    <row r="2621" customFormat="false" ht="15" hidden="false" customHeight="false" outlineLevel="0" collapsed="false">
      <c r="A2621" s="3" t="s">
        <v>239</v>
      </c>
      <c r="G2621" s="25" t="n">
        <f aca="false">G2619+G2620</f>
        <v>155.95467</v>
      </c>
      <c r="H2621" s="25" t="n">
        <f aca="false">H2619+H2620</f>
        <v>155.95467</v>
      </c>
      <c r="I2621" s="25" t="n">
        <f aca="false">I2619+I2620</f>
        <v>155.95467</v>
      </c>
      <c r="J2621" s="25" t="n">
        <f aca="false">J2619+J2620</f>
        <v>142.818178798866</v>
      </c>
      <c r="K2621" s="25" t="n">
        <f aca="false">K2619+K2620</f>
        <v>142.818178798866</v>
      </c>
    </row>
    <row r="2622" customFormat="false" ht="15" hidden="false" customHeight="false" outlineLevel="0" collapsed="false">
      <c r="A2622" s="2" t="s">
        <v>264</v>
      </c>
      <c r="G2622" s="16" t="n">
        <f aca="false">G2618-G2621</f>
        <v>-91.5166924</v>
      </c>
      <c r="H2622" s="16" t="n">
        <f aca="false">H2618-H2621</f>
        <v>-115.245547128</v>
      </c>
      <c r="I2622" s="16" t="n">
        <f aca="false">I2618-I2621</f>
        <v>-126.72064675944</v>
      </c>
      <c r="J2622" s="16" t="n">
        <f aca="false">J2618-J2621</f>
        <v>-123.626781366498</v>
      </c>
      <c r="K2622" s="16" t="n">
        <f aca="false">K2618-K2621</f>
        <v>-124.586351238116</v>
      </c>
    </row>
    <row r="2623" customFormat="false" ht="15" hidden="false" customHeight="false" outlineLevel="0" collapsed="false">
      <c r="A2623" s="3" t="s">
        <v>292</v>
      </c>
      <c r="G2623" s="25" t="n">
        <f aca="false">MAX(0,G2622)*Assumptions!$C$9</f>
        <v>0</v>
      </c>
      <c r="H2623" s="25" t="n">
        <f aca="false">MAX(0,H2622)*Assumptions!$C$9</f>
        <v>0</v>
      </c>
      <c r="I2623" s="25" t="n">
        <f aca="false">MAX(0,I2622)*Assumptions!$C$9</f>
        <v>0</v>
      </c>
      <c r="J2623" s="25" t="n">
        <f aca="false">MAX(0,J2622)*Assumptions!$C$9</f>
        <v>0</v>
      </c>
      <c r="K2623" s="25" t="n">
        <f aca="false">MAX(0,K2622)*Assumptions!$C$9</f>
        <v>0</v>
      </c>
    </row>
    <row r="2624" customFormat="false" ht="15" hidden="false" customHeight="false" outlineLevel="0" collapsed="false">
      <c r="A2624" s="2" t="s">
        <v>293</v>
      </c>
      <c r="G2624" s="16" t="n">
        <f aca="false">G2622-G2623</f>
        <v>-91.5166924</v>
      </c>
      <c r="H2624" s="16" t="n">
        <f aca="false">H2622-H2623</f>
        <v>-115.245547128</v>
      </c>
      <c r="I2624" s="16" t="n">
        <f aca="false">I2622-I2623</f>
        <v>-126.72064675944</v>
      </c>
      <c r="J2624" s="16" t="n">
        <f aca="false">J2622-J2623</f>
        <v>-123.626781366498</v>
      </c>
      <c r="K2624" s="16" t="n">
        <f aca="false">K2622-K2623</f>
        <v>-124.586351238116</v>
      </c>
    </row>
    <row r="2625" customFormat="false" ht="15" hidden="false" customHeight="false" outlineLevel="0" collapsed="false">
      <c r="A2625" s="23" t="s">
        <v>294</v>
      </c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</row>
    <row r="2626" customFormat="false" ht="15" hidden="false" customHeight="false" outlineLevel="0" collapsed="false">
      <c r="A2626" s="3" t="s">
        <v>169</v>
      </c>
      <c r="G2626" s="25" t="n">
        <f aca="false">G2611*CHOOSE($C$2598,Assumptions!$C$75,Assumptions!$C$94,Assumptions!$C$113)</f>
        <v>26.86414536</v>
      </c>
      <c r="H2626" s="25" t="n">
        <f aca="false">H2611*CHOOSE($C$2598,Assumptions!$C$75,Assumptions!$C$94,Assumptions!$C$113)</f>
        <v>24.9836551848</v>
      </c>
      <c r="I2626" s="25" t="n">
        <f aca="false">I2611*CHOOSE($C$2598,Assumptions!$C$75,Assumptions!$C$94,Assumptions!$C$113)</f>
        <v>23.484635873712</v>
      </c>
      <c r="J2626" s="25" t="n">
        <f aca="false">J2611*CHOOSE($C$2598,Assumptions!$C$75,Assumptions!$C$94,Assumptions!$C$113)</f>
        <v>22.3104040800264</v>
      </c>
      <c r="K2626" s="25" t="n">
        <f aca="false">K2611*CHOOSE($C$2598,Assumptions!$C$75,Assumptions!$C$94,Assumptions!$C$113)</f>
        <v>21.1948838760251</v>
      </c>
    </row>
    <row r="2627" customFormat="false" ht="15" hidden="false" customHeight="false" outlineLevel="0" collapsed="false">
      <c r="A2627" s="3" t="s">
        <v>295</v>
      </c>
      <c r="G2627" s="25" t="n">
        <f aca="false">CHOOSE($C$2598,Assumptions!$C$76,Assumptions!$C$95,Assumptions!$C$114)*(G2611-F2611)+CHOOSE($C$2598,Assumptions!$C$77,Assumptions!$C$96,Assumptions!$C$115)*G2611</f>
        <v>10.3323636</v>
      </c>
      <c r="H2627" s="25" t="n">
        <f aca="false">CHOOSE($C$2598,Assumptions!$C$76,Assumptions!$C$95,Assumptions!$C$114)*(H2611-G2611)+CHOOSE($C$2598,Assumptions!$C$77,Assumptions!$C$96,Assumptions!$C$115)*H2611</f>
        <v>9.609098148</v>
      </c>
      <c r="I2627" s="25" t="n">
        <f aca="false">CHOOSE($C$2598,Assumptions!$C$76,Assumptions!$C$95,Assumptions!$C$114)*(I2611-H2611)+CHOOSE($C$2598,Assumptions!$C$77,Assumptions!$C$96,Assumptions!$C$115)*I2611</f>
        <v>9.03255225912</v>
      </c>
      <c r="J2627" s="25" t="n">
        <f aca="false">CHOOSE($C$2598,Assumptions!$C$76,Assumptions!$C$95,Assumptions!$C$114)*(J2611-I2611)+CHOOSE($C$2598,Assumptions!$C$77,Assumptions!$C$96,Assumptions!$C$115)*J2611</f>
        <v>8.580924646164</v>
      </c>
      <c r="K2627" s="25" t="n">
        <f aca="false">CHOOSE($C$2598,Assumptions!$C$76,Assumptions!$C$95,Assumptions!$C$114)*(K2611-J2611)+CHOOSE($C$2598,Assumptions!$C$77,Assumptions!$C$96,Assumptions!$C$115)*K2611</f>
        <v>8.1518784138558</v>
      </c>
    </row>
    <row r="2628" customFormat="false" ht="15" hidden="false" customHeight="false" outlineLevel="0" collapsed="false">
      <c r="A2628" s="2" t="s">
        <v>296</v>
      </c>
      <c r="G2628" s="16" t="n">
        <f aca="false">G2624+G2616+G2617+G2620-G2626-G2627</f>
        <v>-27.83336136</v>
      </c>
      <c r="H2628" s="16" t="n">
        <f aca="false">H2624+H2616+H2617+H2620-H2626-H2627</f>
        <v>-56.0200492608</v>
      </c>
      <c r="I2628" s="16" t="n">
        <f aca="false">I2624+I2616+I2617+I2620-I2626-I2627</f>
        <v>-71.048678764272</v>
      </c>
      <c r="J2628" s="16" t="n">
        <f aca="false">J2624+J2616+J2617+J2620-J2626-J2627</f>
        <v>-70.738411771088</v>
      </c>
      <c r="K2628" s="16" t="n">
        <f aca="false">K2624+K2616+K2617+K2620-K2626-K2627</f>
        <v>-74.3424001224768</v>
      </c>
    </row>
    <row r="2630" customFormat="false" ht="15" hidden="false" customHeight="false" outlineLevel="0" collapsed="false">
      <c r="A2630" s="23" t="s">
        <v>298</v>
      </c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</row>
    <row r="2631" customFormat="false" ht="15" hidden="false" customHeight="false" outlineLevel="0" collapsed="false">
      <c r="A2631" s="3" t="s">
        <v>299</v>
      </c>
      <c r="G2631" s="30" t="n">
        <f aca="false">Assumptions!$G$52</f>
        <v>0.039</v>
      </c>
      <c r="H2631" s="30" t="n">
        <f aca="false">Assumptions!$H$52</f>
        <v>0.0375</v>
      </c>
      <c r="I2631" s="30" t="n">
        <f aca="false">Assumptions!$I$52</f>
        <v>0.035</v>
      </c>
      <c r="J2631" s="30" t="n">
        <f aca="false">Assumptions!$J$52</f>
        <v>0.035</v>
      </c>
      <c r="K2631" s="30" t="n">
        <f aca="false">Assumptions!$K$52</f>
        <v>0.035</v>
      </c>
    </row>
    <row r="2632" customFormat="false" ht="15" hidden="false" customHeight="false" outlineLevel="0" collapsed="false">
      <c r="A2632" s="3" t="s">
        <v>300</v>
      </c>
      <c r="C2632" s="31" t="n">
        <f aca="false">CHOOSE($C$2598,Assumptions!$C$78,Assumptions!$C$97,Assumptions!$C$116)+$C$2601</f>
        <v>0.015</v>
      </c>
    </row>
    <row r="2633" customFormat="false" ht="15" hidden="false" customHeight="false" outlineLevel="0" collapsed="false">
      <c r="A2633" s="3" t="s">
        <v>301</v>
      </c>
      <c r="C2633" s="31" t="n">
        <f aca="false">CHOOSE($C$2598,Assumptions!$C$79,Assumptions!$C$98,Assumptions!$C$117)</f>
        <v>0.13</v>
      </c>
    </row>
    <row r="2634" customFormat="false" ht="15" hidden="false" customHeight="false" outlineLevel="0" collapsed="false">
      <c r="A2634" s="3" t="s">
        <v>302</v>
      </c>
      <c r="C2634" s="32" t="n">
        <f aca="false">CHOOSE($C$2598,Assumptions!$C$80,Assumptions!$C$99,Assumptions!$C$118)</f>
        <v>5.5</v>
      </c>
    </row>
    <row r="2635" customFormat="false" ht="15" hidden="false" customHeight="false" outlineLevel="0" collapsed="false">
      <c r="A2635" s="3" t="s">
        <v>303</v>
      </c>
      <c r="C2635" s="32" t="n">
        <f aca="false">CHOOSE($C$2598,Assumptions!$C$81,Assumptions!$C$100,Assumptions!$C$119)</f>
        <v>1.5</v>
      </c>
    </row>
    <row r="2636" customFormat="false" ht="15" hidden="false" customHeight="false" outlineLevel="0" collapsed="false">
      <c r="A2636" s="3" t="s">
        <v>304</v>
      </c>
      <c r="G2636" s="25" t="n">
        <f aca="false">G2641+G2654+G2667</f>
        <v>1735.554</v>
      </c>
      <c r="H2636" s="25" t="n">
        <f aca="false">H2641+H2654+H2667</f>
        <v>1735.554</v>
      </c>
      <c r="I2636" s="25" t="n">
        <f aca="false">I2641+I2654+I2667</f>
        <v>1735.554</v>
      </c>
      <c r="J2636" s="25" t="n">
        <f aca="false">J2641+J2654+J2667</f>
        <v>1426.46008938507</v>
      </c>
      <c r="K2636" s="25" t="n">
        <f aca="false">K2641+K2654+K2667</f>
        <v>1426.46008938507</v>
      </c>
    </row>
    <row r="2637" customFormat="false" ht="15" hidden="false" customHeight="false" outlineLevel="0" collapsed="false">
      <c r="A2637" s="3" t="s">
        <v>305</v>
      </c>
      <c r="G2637" s="25" t="n">
        <f aca="false">F2710</f>
        <v>463.996</v>
      </c>
      <c r="H2637" s="25" t="n">
        <f aca="false">G2710</f>
        <v>436.16263864</v>
      </c>
      <c r="I2637" s="25" t="n">
        <f aca="false">H2710</f>
        <v>380.1425893792</v>
      </c>
      <c r="J2637" s="25" t="n">
        <f aca="false">I2710</f>
        <v>0</v>
      </c>
      <c r="K2637" s="25" t="n">
        <f aca="false">J2710</f>
        <v>-70.738411771088</v>
      </c>
    </row>
    <row r="2638" customFormat="false" ht="15" hidden="false" customHeight="false" outlineLevel="0" collapsed="false">
      <c r="A2638" s="3" t="s">
        <v>306</v>
      </c>
      <c r="G2638" s="25" t="n">
        <f aca="false">G2641*IF(G2642=1,$C$2633,IF(Assumptions!$I$56=1,MAX(G2631,Assumptions!$G$56)+Assumptions!$F$56+$C$2632,Assumptions!$E$56))+G2654*IF(G2655=1,$C$2633,IF(Assumptions!$I$57=1,MAX(G2631,Assumptions!$G$57)+Assumptions!$F$57+$C$2632,Assumptions!$E$57))+G2667*IF(G2668=1,$C$2633,IF(Assumptions!$I$58=1,MAX(G2631,Assumptions!$G$58)+Assumptions!$F$58+$C$2632,Assumptions!$E$58))</f>
        <v>155.95467</v>
      </c>
      <c r="H2638" s="25" t="n">
        <f aca="false">H2641*IF(OR(H2642=1,G2788=1),$C$2633,IF(Assumptions!$I$56=1,MAX(H2631,Assumptions!$G$56)+Assumptions!$F$56+$C$2632,Assumptions!$E$56))+H2654*IF(OR(H2655=1,G2789=1),$C$2633,IF(Assumptions!$I$57=1,MAX(H2631,Assumptions!$G$57)+Assumptions!$F$57+$C$2632,Assumptions!$E$57))+H2667*IF(OR(H2668=1,G2790=1),$C$2633,IF(Assumptions!$I$58=1,MAX(H2631,Assumptions!$G$58)+Assumptions!$F$58+$C$2632,Assumptions!$E$58))</f>
        <v>155.95467</v>
      </c>
      <c r="I2638" s="25" t="n">
        <f aca="false">I2641*IF(OR(I2642=1,H2788=1),$C$2633,IF(Assumptions!$I$56=1,MAX(I2631,Assumptions!$G$56)+Assumptions!$F$56+$C$2632,Assumptions!$E$56))+I2654*IF(OR(I2655=1,H2789=1),$C$2633,IF(Assumptions!$I$57=1,MAX(I2631,Assumptions!$G$57)+Assumptions!$F$57+$C$2632,Assumptions!$E$57))+I2667*IF(OR(I2668=1,H2790=1),$C$2633,IF(Assumptions!$I$58=1,MAX(I2631,Assumptions!$G$58)+Assumptions!$F$58+$C$2632,Assumptions!$E$58))</f>
        <v>192.74457</v>
      </c>
      <c r="J2638" s="25" t="n">
        <f aca="false">J2641*IF(OR(J2642=1,I2788=1),$C$2633,IF(Assumptions!$I$56=1,MAX(J2631,Assumptions!$G$56)+Assumptions!$F$56+$C$2632,Assumptions!$E$56))+J2654*IF(OR(J2655=1,I2789=1),$C$2633,IF(Assumptions!$I$57=1,MAX(J2631,Assumptions!$G$57)+Assumptions!$F$57+$C$2632,Assumptions!$E$57))+J2667*IF(OR(J2668=1,I2790=1),$C$2633,IF(Assumptions!$I$58=1,MAX(J2631,Assumptions!$G$58)+Assumptions!$F$58+$C$2632,Assumptions!$E$58))</f>
        <v>142.818178798866</v>
      </c>
      <c r="K2638" s="25" t="n">
        <f aca="false">K2641*IF(OR(K2642=1,J2788=1),$C$2633,IF(Assumptions!$I$56=1,MAX(K2631,Assumptions!$G$56)+Assumptions!$F$56+$C$2632,Assumptions!$E$56))+K2654*IF(OR(K2655=1,J2789=1),$C$2633,IF(Assumptions!$I$57=1,MAX(K2631,Assumptions!$G$57)+Assumptions!$F$57+$C$2632,Assumptions!$E$57))+K2667*IF(OR(K2668=1,J2790=1),$C$2633,IF(Assumptions!$I$58=1,MAX(K2631,Assumptions!$G$58)+Assumptions!$F$58+$C$2632,Assumptions!$E$58))</f>
        <v>142.818178798866</v>
      </c>
    </row>
    <row r="2639" customFormat="false" ht="15" hidden="false" customHeight="false" outlineLevel="0" collapsed="false">
      <c r="A2639" s="3" t="s">
        <v>307</v>
      </c>
      <c r="G2639" s="20" t="n">
        <f aca="false">IF(G2615&lt;=0,0,IF(AND((G2636-G2637)/G2615&lt;=$C$2634,G2615/G2638&gt;=$C$2635),1,0))</f>
        <v>0</v>
      </c>
      <c r="H2639" s="20" t="n">
        <f aca="false">IF(H2615&lt;=0,0,IF(AND((H2636-H2637)/H2615&lt;=$C$2634,H2615/H2638&gt;=$C$2635),1,0))</f>
        <v>0</v>
      </c>
      <c r="I2639" s="20" t="n">
        <f aca="false">IF(I2615&lt;=0,0,IF(AND((I2636-I2637)/I2615&lt;=$C$2634,I2615/I2638&gt;=$C$2635),1,0))</f>
        <v>0</v>
      </c>
      <c r="J2639" s="20" t="n">
        <f aca="false">IF(J2615&lt;=0,0,IF(AND((J2636-J2637)/J2615&lt;=$C$2634,J2615/J2638&gt;=$C$2635),1,0))</f>
        <v>0</v>
      </c>
      <c r="K2639" s="20" t="n">
        <f aca="false">IF(K2615&lt;=0,0,IF(AND((K2636-K2637)/K2615&lt;=$C$2634,K2615/K2638&gt;=$C$2635),1,0))</f>
        <v>0</v>
      </c>
    </row>
    <row r="2640" customFormat="false" ht="15" hidden="false" customHeight="false" outlineLevel="0" collapsed="false">
      <c r="A2640" s="23" t="s">
        <v>308</v>
      </c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</row>
    <row r="2641" customFormat="false" ht="15" hidden="false" customHeight="false" outlineLevel="0" collapsed="false">
      <c r="A2641" s="3" t="s">
        <v>309</v>
      </c>
      <c r="G2641" s="25" t="n">
        <f aca="false">F2652</f>
        <v>1315.098</v>
      </c>
      <c r="H2641" s="25" t="n">
        <f aca="false">G2652</f>
        <v>1315.098</v>
      </c>
      <c r="I2641" s="25" t="n">
        <f aca="false">H2652</f>
        <v>1315.098</v>
      </c>
      <c r="J2641" s="25" t="n">
        <f aca="false">I2652</f>
        <v>1315.098</v>
      </c>
      <c r="K2641" s="25" t="n">
        <f aca="false">J2652</f>
        <v>1315.098</v>
      </c>
    </row>
    <row r="2642" customFormat="false" ht="15" hidden="false" customHeight="false" outlineLevel="0" collapsed="false">
      <c r="A2642" s="3" t="s">
        <v>310</v>
      </c>
      <c r="G2642" s="20" t="n">
        <f aca="false">IF(G2605=Assumptions!$K$56,1,0)</f>
        <v>0</v>
      </c>
      <c r="H2642" s="20" t="n">
        <f aca="false">IF(H2605=Assumptions!$K$56,1,0)</f>
        <v>0</v>
      </c>
      <c r="I2642" s="20" t="n">
        <f aca="false">IF(I2605=Assumptions!$K$56,1,0)</f>
        <v>0</v>
      </c>
      <c r="J2642" s="20" t="n">
        <f aca="false">IF(J2605=Assumptions!$K$56,1,0)</f>
        <v>0</v>
      </c>
      <c r="K2642" s="20" t="n">
        <f aca="false">IF(K2605=Assumptions!$K$56,1,0)</f>
        <v>0</v>
      </c>
    </row>
    <row r="2644" customFormat="false" ht="15" hidden="false" customHeight="false" outlineLevel="0" collapsed="false">
      <c r="A2644" s="3" t="s">
        <v>311</v>
      </c>
      <c r="G2644" s="31" t="n">
        <f aca="false">IF(Assumptions!$I$56=1,MAX(G2631,Assumptions!$G$56)+Assumptions!$F$56+$C$2632,Assumptions!$E$56)</f>
        <v>0.105</v>
      </c>
      <c r="H2644" s="31" t="n">
        <f aca="false">IF(G2788=1,$C$2633,IF(Assumptions!$I$56=1,MAX(H2631,Assumptions!$G$56)+Assumptions!$F$56+$C$2632,Assumptions!$E$56))</f>
        <v>0.105</v>
      </c>
      <c r="I2644" s="31" t="n">
        <f aca="false">IF(H2788=1,$C$2633,IF(Assumptions!$I$56=1,MAX(I2631,Assumptions!$G$56)+Assumptions!$F$56+$C$2632,Assumptions!$E$56))</f>
        <v>0.105</v>
      </c>
      <c r="J2644" s="31" t="n">
        <f aca="false">IF(I2788=1,$C$2633,IF(Assumptions!$I$56=1,MAX(J2631,Assumptions!$G$56)+Assumptions!$F$56+$C$2632,Assumptions!$E$56))</f>
        <v>0.105</v>
      </c>
      <c r="K2644" s="31" t="n">
        <f aca="false">IF(J2788=1,$C$2633,IF(Assumptions!$I$56=1,MAX(K2631,Assumptions!$G$56)+Assumptions!$F$56+$C$2632,Assumptions!$E$56))</f>
        <v>0.105</v>
      </c>
    </row>
    <row r="2645" customFormat="false" ht="15" hidden="false" customHeight="false" outlineLevel="0" collapsed="false">
      <c r="A2645" s="3" t="s">
        <v>312</v>
      </c>
      <c r="G2645" s="25" t="n">
        <f aca="false">G2641*G2644</f>
        <v>138.08529</v>
      </c>
      <c r="H2645" s="25" t="n">
        <f aca="false">H2641*H2644</f>
        <v>138.08529</v>
      </c>
      <c r="I2645" s="25" t="n">
        <f aca="false">I2641*I2644</f>
        <v>138.08529</v>
      </c>
      <c r="J2645" s="25" t="n">
        <f aca="false">J2641*J2644</f>
        <v>138.08529</v>
      </c>
      <c r="K2645" s="25" t="n">
        <f aca="false">K2641*K2644</f>
        <v>138.08529</v>
      </c>
    </row>
    <row r="2646" customFormat="false" ht="15" hidden="false" customHeight="false" outlineLevel="0" collapsed="false">
      <c r="A2646" s="3" t="s">
        <v>313</v>
      </c>
      <c r="G2646" s="25" t="n">
        <f aca="false">G2641*Assumptions!$H$56</f>
        <v>0</v>
      </c>
      <c r="H2646" s="25" t="n">
        <f aca="false">H2641*Assumptions!$H$56</f>
        <v>0</v>
      </c>
      <c r="I2646" s="25" t="n">
        <f aca="false">I2641*Assumptions!$H$56</f>
        <v>0</v>
      </c>
      <c r="J2646" s="25" t="n">
        <f aca="false">J2641*Assumptions!$H$56</f>
        <v>0</v>
      </c>
      <c r="K2646" s="25" t="n">
        <f aca="false">K2641*Assumptions!$H$56</f>
        <v>0</v>
      </c>
    </row>
    <row r="2647" customFormat="false" ht="15" hidden="false" customHeight="false" outlineLevel="0" collapsed="false">
      <c r="A2647" s="3" t="s">
        <v>314</v>
      </c>
      <c r="G2647" s="25" t="n">
        <f aca="false">MIN(G2641,Assumptions!$L$56*Assumptions!$C$56)</f>
        <v>0</v>
      </c>
      <c r="H2647" s="25" t="n">
        <f aca="false">MIN(H2641,Assumptions!$L$56*Assumptions!$C$56)</f>
        <v>0</v>
      </c>
      <c r="I2647" s="25" t="n">
        <f aca="false">MIN(I2641,Assumptions!$L$56*Assumptions!$C$56)</f>
        <v>0</v>
      </c>
      <c r="J2647" s="25" t="n">
        <f aca="false">MIN(J2641,Assumptions!$L$56*Assumptions!$C$56)</f>
        <v>0</v>
      </c>
      <c r="K2647" s="25" t="n">
        <f aca="false">MIN(K2641,Assumptions!$L$56*Assumptions!$C$56)</f>
        <v>0</v>
      </c>
    </row>
    <row r="2648" customFormat="false" ht="15" hidden="false" customHeight="false" outlineLevel="0" collapsed="false">
      <c r="A2648" s="3" t="s">
        <v>315</v>
      </c>
      <c r="G2648" s="25" t="n">
        <f aca="false">IF(AND(Assumptions!$P$56=1,G2605&lt;Assumptions!$K$56),MIN(MAX(0,-G2702),MAX(0,Assumptions!$D$56-G2641)),0)</f>
        <v>0</v>
      </c>
      <c r="H2648" s="25" t="n">
        <f aca="false">IF(AND(Assumptions!$P$56=1,OR(H2605&lt;Assumptions!$K$56,G2788=1)),MIN(MAX(0,-H2702),MAX(0,Assumptions!$D$56-H2641)),0)</f>
        <v>0</v>
      </c>
      <c r="I2648" s="25" t="n">
        <f aca="false">IF(AND(Assumptions!$P$56=1,OR(I2605&lt;Assumptions!$K$56,H2788=1)),MIN(MAX(0,-I2702),MAX(0,Assumptions!$D$56-I2641)),0)</f>
        <v>0</v>
      </c>
      <c r="J2648" s="25" t="n">
        <f aca="false">IF(AND(Assumptions!$P$56=1,OR(J2605&lt;Assumptions!$K$56,I2788=1)),MIN(MAX(0,-J2702),MAX(0,Assumptions!$D$56-J2641)),0)</f>
        <v>0</v>
      </c>
      <c r="K2648" s="25" t="n">
        <f aca="false">IF(AND(Assumptions!$P$56=1,OR(K2605&lt;Assumptions!$K$56,J2788=1)),MIN(MAX(0,-K2702),MAX(0,Assumptions!$D$56-K2641)),0)</f>
        <v>0</v>
      </c>
    </row>
    <row r="2649" customFormat="false" ht="15" hidden="false" customHeight="false" outlineLevel="0" collapsed="false">
      <c r="A2649" s="3" t="s">
        <v>316</v>
      </c>
      <c r="G2649" s="25" t="n">
        <f aca="false">G2642*MIN(G2641-G2647+G2646,MAX(0,G2704-Assumptions!$C$12*G2639))</f>
        <v>0</v>
      </c>
      <c r="H2649" s="25" t="n">
        <f aca="false">H2642*MIN(H2641-H2647+H2646,MAX(0,H2704-Assumptions!$C$12*H2639))</f>
        <v>0</v>
      </c>
      <c r="I2649" s="25" t="n">
        <f aca="false">I2642*MIN(I2641-I2647+I2646,MAX(0,I2704-Assumptions!$C$12*I2639))</f>
        <v>0</v>
      </c>
      <c r="J2649" s="25" t="n">
        <f aca="false">J2642*MIN(J2641-J2647+J2646,MAX(0,J2704-Assumptions!$C$12*J2639))</f>
        <v>0</v>
      </c>
      <c r="K2649" s="25" t="n">
        <f aca="false">K2642*MIN(K2641-K2647+K2646,MAX(0,K2704-Assumptions!$C$12*K2639))</f>
        <v>0</v>
      </c>
    </row>
    <row r="2650" customFormat="false" ht="15" hidden="false" customHeight="false" outlineLevel="0" collapsed="false">
      <c r="A2650" s="3" t="s">
        <v>317</v>
      </c>
      <c r="G2650" s="25" t="n">
        <f aca="false">Assumptions!$N$56*MIN(G2641+G2648+G2646-G2647-G2649,MAX(0,G2708))</f>
        <v>0</v>
      </c>
      <c r="H2650" s="25" t="n">
        <f aca="false">Assumptions!$N$56*MIN(H2641+H2648+H2646-H2647-H2649,MAX(0,H2708))</f>
        <v>0</v>
      </c>
      <c r="I2650" s="25" t="n">
        <f aca="false">Assumptions!$N$56*MIN(I2641+I2648+I2646-I2647-I2649,MAX(0,I2708))</f>
        <v>0</v>
      </c>
      <c r="J2650" s="25" t="n">
        <f aca="false">Assumptions!$N$56*MIN(J2641+J2648+J2646-J2647-J2649,MAX(0,J2708))</f>
        <v>0</v>
      </c>
      <c r="K2650" s="25" t="n">
        <f aca="false">Assumptions!$N$56*MIN(K2641+K2648+K2646-K2647-K2649,MAX(0,K2708))</f>
        <v>0</v>
      </c>
    </row>
    <row r="2651" customFormat="false" ht="15" hidden="false" customHeight="false" outlineLevel="0" collapsed="false">
      <c r="A2651" s="3" t="s">
        <v>318</v>
      </c>
      <c r="G2651" s="25" t="n">
        <f aca="false">G2642*(1-G2639)*(G2641-G2647+G2646-G2649)</f>
        <v>0</v>
      </c>
      <c r="H2651" s="25" t="n">
        <f aca="false">H2642*(1-H2639)*(H2641-H2647+H2646-H2649)</f>
        <v>0</v>
      </c>
      <c r="I2651" s="25" t="n">
        <f aca="false">I2642*(1-I2639)*(I2641-I2647+I2646-I2649)</f>
        <v>0</v>
      </c>
      <c r="J2651" s="25" t="n">
        <f aca="false">J2642*(1-J2639)*(J2641-J2647+J2646-J2649)</f>
        <v>0</v>
      </c>
      <c r="K2651" s="25" t="n">
        <f aca="false">K2642*(1-K2639)*(K2641-K2647+K2646-K2649)</f>
        <v>0</v>
      </c>
    </row>
    <row r="2652" customFormat="false" ht="15" hidden="false" customHeight="false" outlineLevel="0" collapsed="false">
      <c r="A2652" s="2" t="s">
        <v>319</v>
      </c>
      <c r="F2652" s="28" t="n">
        <f aca="false">Assumptions!$C$56</f>
        <v>1315.098</v>
      </c>
      <c r="G2652" s="16" t="n">
        <f aca="false">G2641+G2648+G2646-G2647-G2649-G2650</f>
        <v>1315.098</v>
      </c>
      <c r="H2652" s="16" t="n">
        <f aca="false">H2641+H2648+H2646-H2647-H2649-H2650</f>
        <v>1315.098</v>
      </c>
      <c r="I2652" s="16" t="n">
        <f aca="false">I2641+I2648+I2646-I2647-I2649-I2650</f>
        <v>1315.098</v>
      </c>
      <c r="J2652" s="16" t="n">
        <f aca="false">J2641+J2648+J2646-J2647-J2649-J2650</f>
        <v>1315.098</v>
      </c>
      <c r="K2652" s="16" t="n">
        <f aca="false">K2641+K2648+K2646-K2647-K2649-K2650</f>
        <v>1315.098</v>
      </c>
    </row>
    <row r="2653" customFormat="false" ht="15" hidden="false" customHeight="false" outlineLevel="0" collapsed="false">
      <c r="A2653" s="23" t="s">
        <v>320</v>
      </c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</row>
    <row r="2654" customFormat="false" ht="15" hidden="false" customHeight="false" outlineLevel="0" collapsed="false">
      <c r="A2654" s="3" t="s">
        <v>309</v>
      </c>
      <c r="G2654" s="25" t="n">
        <f aca="false">F2665</f>
        <v>276.706</v>
      </c>
      <c r="H2654" s="25" t="n">
        <f aca="false">G2665</f>
        <v>276.706</v>
      </c>
      <c r="I2654" s="25" t="n">
        <f aca="false">H2665</f>
        <v>276.706</v>
      </c>
      <c r="J2654" s="25" t="n">
        <f aca="false">I2665</f>
        <v>0</v>
      </c>
      <c r="K2654" s="25" t="n">
        <f aca="false">J2665</f>
        <v>0</v>
      </c>
    </row>
    <row r="2655" customFormat="false" ht="15" hidden="false" customHeight="false" outlineLevel="0" collapsed="false">
      <c r="A2655" s="3" t="s">
        <v>310</v>
      </c>
      <c r="G2655" s="20" t="n">
        <f aca="false">IF(G2605=Assumptions!$K$57,1,0)</f>
        <v>0</v>
      </c>
      <c r="H2655" s="20" t="n">
        <f aca="false">IF(H2605=Assumptions!$K$57,1,0)</f>
        <v>0</v>
      </c>
      <c r="I2655" s="20" t="n">
        <f aca="false">IF(I2605=Assumptions!$K$57,1,0)</f>
        <v>1</v>
      </c>
      <c r="J2655" s="20" t="n">
        <f aca="false">IF(J2605=Assumptions!$K$57,1,0)</f>
        <v>0</v>
      </c>
      <c r="K2655" s="20" t="n">
        <f aca="false">IF(K2605=Assumptions!$K$57,1,0)</f>
        <v>0</v>
      </c>
    </row>
    <row r="2657" customFormat="false" ht="15" hidden="false" customHeight="false" outlineLevel="0" collapsed="false">
      <c r="A2657" s="3" t="s">
        <v>311</v>
      </c>
      <c r="G2657" s="31" t="n">
        <f aca="false">IF(Assumptions!$I$57=1,MAX(G2631,Assumptions!$G$57)+Assumptions!$F$57+$C$2632,Assumptions!$E$57)</f>
        <v>0.0425</v>
      </c>
      <c r="H2657" s="31" t="n">
        <f aca="false">IF(G2789=1,$C$2633,IF(Assumptions!$I$57=1,MAX(H2631,Assumptions!$G$57)+Assumptions!$F$57+$C$2632,Assumptions!$E$57))</f>
        <v>0.0425</v>
      </c>
      <c r="I2657" s="31" t="n">
        <f aca="false">IF(H2789=1,$C$2633,IF(Assumptions!$I$57=1,MAX(I2631,Assumptions!$G$57)+Assumptions!$F$57+$C$2632,Assumptions!$E$57))</f>
        <v>0.0425</v>
      </c>
      <c r="J2657" s="31" t="n">
        <f aca="false">IF(I2789=1,$C$2633,IF(Assumptions!$I$57=1,MAX(J2631,Assumptions!$G$57)+Assumptions!$F$57+$C$2632,Assumptions!$E$57))</f>
        <v>0.0425</v>
      </c>
      <c r="K2657" s="31" t="n">
        <f aca="false">IF(J2789=1,$C$2633,IF(Assumptions!$I$57=1,MAX(K2631,Assumptions!$G$57)+Assumptions!$F$57+$C$2632,Assumptions!$E$57))</f>
        <v>0.0425</v>
      </c>
    </row>
    <row r="2658" customFormat="false" ht="15" hidden="false" customHeight="false" outlineLevel="0" collapsed="false">
      <c r="A2658" s="3" t="s">
        <v>312</v>
      </c>
      <c r="G2658" s="25" t="n">
        <f aca="false">G2654*G2657</f>
        <v>11.760005</v>
      </c>
      <c r="H2658" s="25" t="n">
        <f aca="false">H2654*H2657</f>
        <v>11.760005</v>
      </c>
      <c r="I2658" s="25" t="n">
        <f aca="false">I2654*I2657</f>
        <v>11.760005</v>
      </c>
      <c r="J2658" s="25" t="n">
        <f aca="false">J2654*J2657</f>
        <v>0</v>
      </c>
      <c r="K2658" s="25" t="n">
        <f aca="false">K2654*K2657</f>
        <v>0</v>
      </c>
    </row>
    <row r="2659" customFormat="false" ht="15" hidden="false" customHeight="false" outlineLevel="0" collapsed="false">
      <c r="A2659" s="3" t="s">
        <v>313</v>
      </c>
      <c r="G2659" s="25" t="n">
        <f aca="false">G2654*Assumptions!$H$57</f>
        <v>0</v>
      </c>
      <c r="H2659" s="25" t="n">
        <f aca="false">H2654*Assumptions!$H$57</f>
        <v>0</v>
      </c>
      <c r="I2659" s="25" t="n">
        <f aca="false">I2654*Assumptions!$H$57</f>
        <v>0</v>
      </c>
      <c r="J2659" s="25" t="n">
        <f aca="false">J2654*Assumptions!$H$57</f>
        <v>0</v>
      </c>
      <c r="K2659" s="25" t="n">
        <f aca="false">K2654*Assumptions!$H$57</f>
        <v>0</v>
      </c>
    </row>
    <row r="2660" customFormat="false" ht="15" hidden="false" customHeight="false" outlineLevel="0" collapsed="false">
      <c r="A2660" s="3" t="s">
        <v>314</v>
      </c>
      <c r="G2660" s="25" t="n">
        <f aca="false">MIN(G2654,Assumptions!$L$57*Assumptions!$C$57)</f>
        <v>0</v>
      </c>
      <c r="H2660" s="25" t="n">
        <f aca="false">MIN(H2654,Assumptions!$L$57*Assumptions!$C$57)</f>
        <v>0</v>
      </c>
      <c r="I2660" s="25" t="n">
        <f aca="false">MIN(I2654,Assumptions!$L$57*Assumptions!$C$57)</f>
        <v>0</v>
      </c>
      <c r="J2660" s="25" t="n">
        <f aca="false">MIN(J2654,Assumptions!$L$57*Assumptions!$C$57)</f>
        <v>0</v>
      </c>
      <c r="K2660" s="25" t="n">
        <f aca="false">MIN(K2654,Assumptions!$L$57*Assumptions!$C$57)</f>
        <v>0</v>
      </c>
    </row>
    <row r="2661" customFormat="false" ht="15" hidden="false" customHeight="false" outlineLevel="0" collapsed="false">
      <c r="A2661" s="3" t="s">
        <v>315</v>
      </c>
      <c r="G2661" s="25" t="n">
        <f aca="false">IF(AND(Assumptions!$P$57=1,G2605&lt;Assumptions!$K$57),MIN(MAX(0,-G2702),MAX(0,Assumptions!$D$57-G2654)),0)</f>
        <v>0</v>
      </c>
      <c r="H2661" s="25" t="n">
        <f aca="false">IF(AND(Assumptions!$P$57=1,OR(H2605&lt;Assumptions!$K$57,G2789=1)),MIN(MAX(0,-H2702),MAX(0,Assumptions!$D$57-H2654)),0)</f>
        <v>0</v>
      </c>
      <c r="I2661" s="25" t="n">
        <f aca="false">IF(AND(Assumptions!$P$57=1,OR(I2605&lt;Assumptions!$K$57,H2789=1)),MIN(MAX(0,-I2702),MAX(0,Assumptions!$D$57-I2654)),0)</f>
        <v>0</v>
      </c>
      <c r="J2661" s="25" t="n">
        <f aca="false">IF(AND(Assumptions!$P$57=1,OR(J2605&lt;Assumptions!$K$57,I2789=1)),MIN(MAX(0,-J2702),MAX(0,Assumptions!$D$57-J2654)),0)</f>
        <v>0</v>
      </c>
      <c r="K2661" s="25" t="n">
        <f aca="false">IF(AND(Assumptions!$P$57=1,OR(K2605&lt;Assumptions!$K$57,J2789=1)),MIN(MAX(0,-K2702),MAX(0,Assumptions!$D$57-K2654)),0)</f>
        <v>0</v>
      </c>
    </row>
    <row r="2662" customFormat="false" ht="15" hidden="false" customHeight="false" outlineLevel="0" collapsed="false">
      <c r="A2662" s="3" t="s">
        <v>316</v>
      </c>
      <c r="G2662" s="25" t="n">
        <f aca="false">G2655*MIN(G2654-G2660+G2659,MAX(0,G2704-Assumptions!$C$12*G2639-G2649))</f>
        <v>0</v>
      </c>
      <c r="H2662" s="25" t="n">
        <f aca="false">H2655*MIN(H2654-H2660+H2659,MAX(0,H2704-Assumptions!$C$12*H2639-H2649))</f>
        <v>0</v>
      </c>
      <c r="I2662" s="25" t="n">
        <f aca="false">I2655*MIN(I2654-I2660+I2659,MAX(0,I2704-Assumptions!$C$12*I2639-I2649))</f>
        <v>276.706</v>
      </c>
      <c r="J2662" s="25" t="n">
        <f aca="false">J2655*MIN(J2654-J2660+J2659,MAX(0,J2704-Assumptions!$C$12*J2639-J2649))</f>
        <v>0</v>
      </c>
      <c r="K2662" s="25" t="n">
        <f aca="false">K2655*MIN(K2654-K2660+K2659,MAX(0,K2704-Assumptions!$C$12*K2639-K2649))</f>
        <v>0</v>
      </c>
    </row>
    <row r="2663" customFormat="false" ht="15" hidden="false" customHeight="false" outlineLevel="0" collapsed="false">
      <c r="A2663" s="3" t="s">
        <v>317</v>
      </c>
      <c r="G2663" s="25" t="n">
        <f aca="false">Assumptions!$N$57*MIN(G2654+G2661+G2659-G2660-G2662,MAX(0,G2708-G2650))</f>
        <v>0</v>
      </c>
      <c r="H2663" s="25" t="n">
        <f aca="false">Assumptions!$N$57*MIN(H2654+H2661+H2659-H2660-H2662,MAX(0,H2708-H2650))</f>
        <v>0</v>
      </c>
      <c r="I2663" s="25" t="n">
        <f aca="false">Assumptions!$N$57*MIN(I2654+I2661+I2659-I2660-I2662,MAX(0,I2708-I2650))</f>
        <v>0</v>
      </c>
      <c r="J2663" s="25" t="n">
        <f aca="false">Assumptions!$N$57*MIN(J2654+J2661+J2659-J2660-J2662,MAX(0,J2708-J2650))</f>
        <v>0</v>
      </c>
      <c r="K2663" s="25" t="n">
        <f aca="false">Assumptions!$N$57*MIN(K2654+K2661+K2659-K2660-K2662,MAX(0,K2708-K2650))</f>
        <v>0</v>
      </c>
    </row>
    <row r="2664" customFormat="false" ht="15" hidden="false" customHeight="false" outlineLevel="0" collapsed="false">
      <c r="A2664" s="3" t="s">
        <v>318</v>
      </c>
      <c r="G2664" s="25" t="n">
        <f aca="false">G2655*(1-G2639)*(G2654-G2660+G2659-G2662)</f>
        <v>0</v>
      </c>
      <c r="H2664" s="25" t="n">
        <f aca="false">H2655*(1-H2639)*(H2654-H2660+H2659-H2662)</f>
        <v>0</v>
      </c>
      <c r="I2664" s="25" t="n">
        <f aca="false">I2655*(1-I2639)*(I2654-I2660+I2659-I2662)</f>
        <v>0</v>
      </c>
      <c r="J2664" s="25" t="n">
        <f aca="false">J2655*(1-J2639)*(J2654-J2660+J2659-J2662)</f>
        <v>0</v>
      </c>
      <c r="K2664" s="25" t="n">
        <f aca="false">K2655*(1-K2639)*(K2654-K2660+K2659-K2662)</f>
        <v>0</v>
      </c>
    </row>
    <row r="2665" customFormat="false" ht="15" hidden="false" customHeight="false" outlineLevel="0" collapsed="false">
      <c r="A2665" s="2" t="s">
        <v>319</v>
      </c>
      <c r="F2665" s="28" t="n">
        <f aca="false">Assumptions!$C$57</f>
        <v>276.706</v>
      </c>
      <c r="G2665" s="16" t="n">
        <f aca="false">G2654+G2661+G2659-G2660-G2662-G2663</f>
        <v>276.706</v>
      </c>
      <c r="H2665" s="16" t="n">
        <f aca="false">H2654+H2661+H2659-H2660-H2662-H2663</f>
        <v>276.706</v>
      </c>
      <c r="I2665" s="16" t="n">
        <f aca="false">I2654+I2661+I2659-I2660-I2662-I2663</f>
        <v>0</v>
      </c>
      <c r="J2665" s="16" t="n">
        <f aca="false">J2654+J2661+J2659-J2660-J2662-J2663</f>
        <v>0</v>
      </c>
      <c r="K2665" s="16" t="n">
        <f aca="false">K2654+K2661+K2659-K2660-K2662-K2663</f>
        <v>0</v>
      </c>
    </row>
    <row r="2666" customFormat="false" ht="15" hidden="false" customHeight="false" outlineLevel="0" collapsed="false">
      <c r="A2666" s="23" t="s">
        <v>321</v>
      </c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</row>
    <row r="2667" customFormat="false" ht="15" hidden="false" customHeight="false" outlineLevel="0" collapsed="false">
      <c r="A2667" s="3" t="s">
        <v>309</v>
      </c>
      <c r="G2667" s="25" t="n">
        <f aca="false">F2678</f>
        <v>143.75</v>
      </c>
      <c r="H2667" s="25" t="n">
        <f aca="false">G2678</f>
        <v>143.75</v>
      </c>
      <c r="I2667" s="25" t="n">
        <f aca="false">H2678</f>
        <v>143.75</v>
      </c>
      <c r="J2667" s="25" t="n">
        <f aca="false">I2678</f>
        <v>111.362089385072</v>
      </c>
      <c r="K2667" s="25" t="n">
        <f aca="false">J2678</f>
        <v>111.362089385072</v>
      </c>
    </row>
    <row r="2668" customFormat="false" ht="15" hidden="false" customHeight="false" outlineLevel="0" collapsed="false">
      <c r="A2668" s="3" t="s">
        <v>310</v>
      </c>
      <c r="G2668" s="20" t="n">
        <f aca="false">IF(G2605=Assumptions!$K$58,1,0)</f>
        <v>0</v>
      </c>
      <c r="H2668" s="20" t="n">
        <f aca="false">IF(H2605=Assumptions!$K$58,1,0)</f>
        <v>0</v>
      </c>
      <c r="I2668" s="20" t="n">
        <f aca="false">IF(I2605=Assumptions!$K$58,1,0)</f>
        <v>1</v>
      </c>
      <c r="J2668" s="20" t="n">
        <f aca="false">IF(J2605=Assumptions!$K$58,1,0)</f>
        <v>0</v>
      </c>
      <c r="K2668" s="20" t="n">
        <f aca="false">IF(K2605=Assumptions!$K$58,1,0)</f>
        <v>0</v>
      </c>
    </row>
    <row r="2670" customFormat="false" ht="15" hidden="false" customHeight="false" outlineLevel="0" collapsed="false">
      <c r="A2670" s="3" t="s">
        <v>311</v>
      </c>
      <c r="G2670" s="31" t="n">
        <f aca="false">IF(Assumptions!$I$58=1,MAX(G2631,Assumptions!$G$58)+Assumptions!$F$58+$C$2632,Assumptions!$E$58)</f>
        <v>0.0425</v>
      </c>
      <c r="H2670" s="31" t="n">
        <f aca="false">IF(G2790=1,$C$2633,IF(Assumptions!$I$58=1,MAX(H2631,Assumptions!$G$58)+Assumptions!$F$58+$C$2632,Assumptions!$E$58))</f>
        <v>0.0425</v>
      </c>
      <c r="I2670" s="31" t="n">
        <f aca="false">IF(H2790=1,$C$2633,IF(Assumptions!$I$58=1,MAX(I2631,Assumptions!$G$58)+Assumptions!$F$58+$C$2632,Assumptions!$E$58))</f>
        <v>0.0425</v>
      </c>
      <c r="J2670" s="31" t="n">
        <f aca="false">IF(I2790=1,$C$2633,IF(Assumptions!$I$58=1,MAX(J2631,Assumptions!$G$58)+Assumptions!$F$58+$C$2632,Assumptions!$E$58))</f>
        <v>0.0425</v>
      </c>
      <c r="K2670" s="31" t="n">
        <f aca="false">IF(J2790=1,$C$2633,IF(Assumptions!$I$58=1,MAX(K2631,Assumptions!$G$58)+Assumptions!$F$58+$C$2632,Assumptions!$E$58))</f>
        <v>0.0425</v>
      </c>
    </row>
    <row r="2671" customFormat="false" ht="15" hidden="false" customHeight="false" outlineLevel="0" collapsed="false">
      <c r="A2671" s="3" t="s">
        <v>312</v>
      </c>
      <c r="G2671" s="25" t="n">
        <f aca="false">G2667*G2670</f>
        <v>6.109375</v>
      </c>
      <c r="H2671" s="25" t="n">
        <f aca="false">H2667*H2670</f>
        <v>6.109375</v>
      </c>
      <c r="I2671" s="25" t="n">
        <f aca="false">I2667*I2670</f>
        <v>6.109375</v>
      </c>
      <c r="J2671" s="25" t="n">
        <f aca="false">J2667*J2670</f>
        <v>4.73288879886556</v>
      </c>
      <c r="K2671" s="25" t="n">
        <f aca="false">K2667*K2670</f>
        <v>4.73288879886556</v>
      </c>
    </row>
    <row r="2672" customFormat="false" ht="15" hidden="false" customHeight="false" outlineLevel="0" collapsed="false">
      <c r="A2672" s="3" t="s">
        <v>313</v>
      </c>
      <c r="G2672" s="25" t="n">
        <f aca="false">G2667*Assumptions!$H$58</f>
        <v>0</v>
      </c>
      <c r="H2672" s="25" t="n">
        <f aca="false">H2667*Assumptions!$H$58</f>
        <v>0</v>
      </c>
      <c r="I2672" s="25" t="n">
        <f aca="false">I2667*Assumptions!$H$58</f>
        <v>0</v>
      </c>
      <c r="J2672" s="25" t="n">
        <f aca="false">J2667*Assumptions!$H$58</f>
        <v>0</v>
      </c>
      <c r="K2672" s="25" t="n">
        <f aca="false">K2667*Assumptions!$H$58</f>
        <v>0</v>
      </c>
    </row>
    <row r="2673" customFormat="false" ht="15" hidden="false" customHeight="false" outlineLevel="0" collapsed="false">
      <c r="A2673" s="3" t="s">
        <v>314</v>
      </c>
      <c r="G2673" s="25" t="n">
        <f aca="false">MIN(G2667,Assumptions!$L$58*Assumptions!$C$58)</f>
        <v>0</v>
      </c>
      <c r="H2673" s="25" t="n">
        <f aca="false">MIN(H2667,Assumptions!$L$58*Assumptions!$C$58)</f>
        <v>0</v>
      </c>
      <c r="I2673" s="25" t="n">
        <f aca="false">MIN(I2667,Assumptions!$L$58*Assumptions!$C$58)</f>
        <v>0</v>
      </c>
      <c r="J2673" s="25" t="n">
        <f aca="false">MIN(J2667,Assumptions!$L$58*Assumptions!$C$58)</f>
        <v>0</v>
      </c>
      <c r="K2673" s="25" t="n">
        <f aca="false">MIN(K2667,Assumptions!$L$58*Assumptions!$C$58)</f>
        <v>0</v>
      </c>
    </row>
    <row r="2674" customFormat="false" ht="15" hidden="false" customHeight="false" outlineLevel="0" collapsed="false">
      <c r="A2674" s="3" t="s">
        <v>315</v>
      </c>
      <c r="G2674" s="25" t="n">
        <f aca="false">IF(AND(Assumptions!$P$58=1,G2605&lt;Assumptions!$K$58),MIN(MAX(0,-G2702),MAX(0,Assumptions!$D$58-G2667)),0)</f>
        <v>0</v>
      </c>
      <c r="H2674" s="25" t="n">
        <f aca="false">IF(AND(Assumptions!$P$58=1,OR(H2605&lt;Assumptions!$K$58,G2790=1)),MIN(MAX(0,-H2702),MAX(0,Assumptions!$D$58-H2667)),0)</f>
        <v>0</v>
      </c>
      <c r="I2674" s="25" t="n">
        <f aca="false">IF(AND(Assumptions!$P$58=1,OR(I2605&lt;Assumptions!$K$58,H2790=1)),MIN(MAX(0,-I2702),MAX(0,Assumptions!$D$58-I2667)),0)</f>
        <v>0</v>
      </c>
      <c r="J2674" s="25" t="n">
        <f aca="false">IF(AND(Assumptions!$P$58=1,OR(J2605&lt;Assumptions!$K$58,I2790=1)),MIN(MAX(0,-J2702),MAX(0,Assumptions!$D$58-J2667)),0)</f>
        <v>0</v>
      </c>
      <c r="K2674" s="25" t="n">
        <f aca="false">IF(AND(Assumptions!$P$58=1,OR(K2605&lt;Assumptions!$K$58,J2790=1)),MIN(MAX(0,-K2702),MAX(0,Assumptions!$D$58-K2667)),0)</f>
        <v>0</v>
      </c>
    </row>
    <row r="2675" customFormat="false" ht="15" hidden="false" customHeight="false" outlineLevel="0" collapsed="false">
      <c r="A2675" s="3" t="s">
        <v>316</v>
      </c>
      <c r="G2675" s="25" t="n">
        <f aca="false">G2668*MIN(G2667-G2673+G2672,MAX(0,G2704-Assumptions!$C$12*G2639-G2649-G2662))</f>
        <v>0</v>
      </c>
      <c r="H2675" s="25" t="n">
        <f aca="false">H2668*MIN(H2667-H2673+H2672,MAX(0,H2704-Assumptions!$C$12*H2639-H2649-H2662))</f>
        <v>0</v>
      </c>
      <c r="I2675" s="25" t="n">
        <f aca="false">I2668*MIN(I2667-I2673+I2672,MAX(0,I2704-Assumptions!$C$12*I2639-I2649-I2662))</f>
        <v>32.3879106149279</v>
      </c>
      <c r="J2675" s="25" t="n">
        <f aca="false">J2668*MIN(J2667-J2673+J2672,MAX(0,J2704-Assumptions!$C$12*J2639-J2649-J2662))</f>
        <v>0</v>
      </c>
      <c r="K2675" s="25" t="n">
        <f aca="false">K2668*MIN(K2667-K2673+K2672,MAX(0,K2704-Assumptions!$C$12*K2639-K2649-K2662))</f>
        <v>0</v>
      </c>
    </row>
    <row r="2676" customFormat="false" ht="15" hidden="false" customHeight="false" outlineLevel="0" collapsed="false">
      <c r="A2676" s="3" t="s">
        <v>317</v>
      </c>
      <c r="G2676" s="25" t="n">
        <f aca="false">Assumptions!$N$58*MIN(G2667+G2674+G2672-G2673-G2675,MAX(0,G2708-G2650-G2663))</f>
        <v>0</v>
      </c>
      <c r="H2676" s="25" t="n">
        <f aca="false">Assumptions!$N$58*MIN(H2667+H2674+H2672-H2673-H2675,MAX(0,H2708-H2650-H2663))</f>
        <v>0</v>
      </c>
      <c r="I2676" s="25" t="n">
        <f aca="false">Assumptions!$N$58*MIN(I2667+I2674+I2672-I2673-I2675,MAX(0,I2708-I2650-I2663))</f>
        <v>0</v>
      </c>
      <c r="J2676" s="25" t="n">
        <f aca="false">Assumptions!$N$58*MIN(J2667+J2674+J2672-J2673-J2675,MAX(0,J2708-J2650-J2663))</f>
        <v>0</v>
      </c>
      <c r="K2676" s="25" t="n">
        <f aca="false">Assumptions!$N$58*MIN(K2667+K2674+K2672-K2673-K2675,MAX(0,K2708-K2650-K2663))</f>
        <v>0</v>
      </c>
    </row>
    <row r="2677" customFormat="false" ht="15" hidden="false" customHeight="false" outlineLevel="0" collapsed="false">
      <c r="A2677" s="3" t="s">
        <v>318</v>
      </c>
      <c r="G2677" s="25" t="n">
        <f aca="false">G2668*(1-G2639)*(G2667-G2673+G2672-G2675)</f>
        <v>0</v>
      </c>
      <c r="H2677" s="25" t="n">
        <f aca="false">H2668*(1-H2639)*(H2667-H2673+H2672-H2675)</f>
        <v>0</v>
      </c>
      <c r="I2677" s="25" t="n">
        <f aca="false">I2668*(1-I2639)*(I2667-I2673+I2672-I2675)</f>
        <v>111.362089385072</v>
      </c>
      <c r="J2677" s="25" t="n">
        <f aca="false">J2668*(1-J2639)*(J2667-J2673+J2672-J2675)</f>
        <v>0</v>
      </c>
      <c r="K2677" s="25" t="n">
        <f aca="false">K2668*(1-K2639)*(K2667-K2673+K2672-K2675)</f>
        <v>0</v>
      </c>
    </row>
    <row r="2678" customFormat="false" ht="15" hidden="false" customHeight="false" outlineLevel="0" collapsed="false">
      <c r="A2678" s="2" t="s">
        <v>319</v>
      </c>
      <c r="F2678" s="28" t="n">
        <f aca="false">Assumptions!$C$58</f>
        <v>143.75</v>
      </c>
      <c r="G2678" s="16" t="n">
        <f aca="false">G2667+G2674+G2672-G2673-G2675-G2676</f>
        <v>143.75</v>
      </c>
      <c r="H2678" s="16" t="n">
        <f aca="false">H2667+H2674+H2672-H2673-H2675-H2676</f>
        <v>143.75</v>
      </c>
      <c r="I2678" s="16" t="n">
        <f aca="false">I2667+I2674+I2672-I2673-I2675-I2676</f>
        <v>111.362089385072</v>
      </c>
      <c r="J2678" s="16" t="n">
        <f aca="false">J2667+J2674+J2672-J2673-J2675-J2676</f>
        <v>111.362089385072</v>
      </c>
      <c r="K2678" s="16" t="n">
        <f aca="false">K2667+K2674+K2672-K2673-K2675-K2676</f>
        <v>111.362089385072</v>
      </c>
    </row>
    <row r="2679" customFormat="false" ht="15" hidden="false" customHeight="false" outlineLevel="0" collapsed="false">
      <c r="A2679" s="23" t="s">
        <v>322</v>
      </c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</row>
    <row r="2680" customFormat="false" ht="15" hidden="false" customHeight="false" outlineLevel="0" collapsed="false">
      <c r="A2680" s="2" t="s">
        <v>323</v>
      </c>
      <c r="F2680" s="16" t="n">
        <f aca="false">F2652+F2665+F2678</f>
        <v>1735.554</v>
      </c>
      <c r="G2680" s="16" t="n">
        <f aca="false">G2652+G2665+G2678</f>
        <v>1735.554</v>
      </c>
      <c r="H2680" s="16" t="n">
        <f aca="false">H2652+H2665+H2678</f>
        <v>1735.554</v>
      </c>
      <c r="I2680" s="16" t="n">
        <f aca="false">I2652+I2665+I2678</f>
        <v>1426.46008938507</v>
      </c>
      <c r="J2680" s="16" t="n">
        <f aca="false">J2652+J2665+J2678</f>
        <v>1426.46008938507</v>
      </c>
      <c r="K2680" s="16" t="n">
        <f aca="false">K2652+K2665+K2678</f>
        <v>1426.46008938507</v>
      </c>
    </row>
    <row r="2681" customFormat="false" ht="15" hidden="false" customHeight="false" outlineLevel="0" collapsed="false">
      <c r="A2681" s="3" t="s">
        <v>324</v>
      </c>
      <c r="G2681" s="25" t="n">
        <f aca="false">G2642*Assumptions!$C$56+G2655*Assumptions!$C$57+G2668*Assumptions!$C$58</f>
        <v>0</v>
      </c>
      <c r="H2681" s="25" t="n">
        <f aca="false">H2642*Assumptions!$C$56+H2655*Assumptions!$C$57+H2668*Assumptions!$C$58</f>
        <v>0</v>
      </c>
      <c r="I2681" s="25" t="n">
        <f aca="false">I2642*Assumptions!$C$56+I2655*Assumptions!$C$57+I2668*Assumptions!$C$58</f>
        <v>420.456</v>
      </c>
      <c r="J2681" s="25" t="n">
        <f aca="false">J2642*Assumptions!$C$56+J2655*Assumptions!$C$57+J2668*Assumptions!$C$58</f>
        <v>0</v>
      </c>
      <c r="K2681" s="25" t="n">
        <f aca="false">K2642*Assumptions!$C$56+K2655*Assumptions!$C$57+K2668*Assumptions!$C$58</f>
        <v>0</v>
      </c>
    </row>
    <row r="2682" customFormat="false" ht="15" hidden="false" customHeight="false" outlineLevel="0" collapsed="false">
      <c r="A2682" s="23" t="s">
        <v>325</v>
      </c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</row>
    <row r="2683" customFormat="false" ht="15" hidden="false" customHeight="false" outlineLevel="0" collapsed="false">
      <c r="A2683" s="3" t="s">
        <v>326</v>
      </c>
      <c r="C2683" s="25" t="n">
        <f aca="false">SUMPRODUCT($G$2642:$K$2642,$G$2641:$K$2641-$G$2647:$K$2647+$G$2646:$K$2646)</f>
        <v>0</v>
      </c>
    </row>
    <row r="2684" customFormat="false" ht="15" hidden="false" customHeight="false" outlineLevel="0" collapsed="false">
      <c r="A2684" s="3" t="s">
        <v>327</v>
      </c>
      <c r="C2684" s="25" t="n">
        <f aca="false">SUMPRODUCT($G$2642:$K$2642,$G$2649:$K$2649)</f>
        <v>0</v>
      </c>
    </row>
    <row r="2685" customFormat="false" ht="15" hidden="false" customHeight="false" outlineLevel="0" collapsed="false">
      <c r="A2685" s="3" t="s">
        <v>328</v>
      </c>
      <c r="C2685" s="3" t="str">
        <f aca="false">IF(SUM($G$2642:$K$2642)=0,"n/a (beyond horizon)",IF(SUMPRODUCT($G$2642:$K$2642,$G$2639:$K$2639)&gt;0,"REFINANCING PASS","REFINANCING FAILURE"))</f>
        <v>n/a (beyond horizon)</v>
      </c>
    </row>
    <row r="2686" customFormat="false" ht="15" hidden="false" customHeight="false" outlineLevel="0" collapsed="false">
      <c r="A2686" s="3" t="s">
        <v>329</v>
      </c>
      <c r="C2686" s="3" t="str">
        <f aca="false">IF(SUM($G$2642:$K$2642)=0,"n/a",IF(C2684&gt;=C2683-0.001,"Repaid from cash",IF(SUMPRODUCT($G$2642:$K$2642,$G$2639:$K$2639)&gt;0,IF(C2684&gt;0,"Partly repaid; remainder refinanced","Refinanced"),IF(SUM($G$2651:$K$2651)&gt;0.001,IF(C2684&gt;0,"Partial repayment; PAYMENT DEFAULT","PAYMENT DEFAULT"),"Repaid from cash"))))</f>
        <v>n/a</v>
      </c>
    </row>
    <row r="2687" customFormat="false" ht="15" hidden="false" customHeight="false" outlineLevel="0" collapsed="false">
      <c r="A2687" s="3" t="s">
        <v>330</v>
      </c>
      <c r="C2687" s="25" t="n">
        <f aca="false">SUMPRODUCT($G$2655:$K$2655,$G$2654:$K$2654-$G$2660:$K$2660+$G$2659:$K$2659)</f>
        <v>276.706</v>
      </c>
    </row>
    <row r="2688" customFormat="false" ht="15" hidden="false" customHeight="false" outlineLevel="0" collapsed="false">
      <c r="A2688" s="3" t="s">
        <v>331</v>
      </c>
      <c r="C2688" s="25" t="n">
        <f aca="false">SUMPRODUCT($G$2655:$K$2655,$G$2662:$K$2662)</f>
        <v>276.706</v>
      </c>
    </row>
    <row r="2689" customFormat="false" ht="15" hidden="false" customHeight="false" outlineLevel="0" collapsed="false">
      <c r="A2689" s="3" t="s">
        <v>332</v>
      </c>
      <c r="C2689" s="3" t="str">
        <f aca="false">IF(SUM($G$2655:$K$2655)=0,"n/a (beyond horizon)",IF(SUMPRODUCT($G$2655:$K$2655,$G$2639:$K$2639)&gt;0,"REFINANCING PASS","REFINANCING FAILURE"))</f>
        <v>REFINANCING FAILURE</v>
      </c>
    </row>
    <row r="2690" customFormat="false" ht="15" hidden="false" customHeight="false" outlineLevel="0" collapsed="false">
      <c r="A2690" s="3" t="s">
        <v>333</v>
      </c>
      <c r="C2690" s="3" t="str">
        <f aca="false">IF(SUM($G$2655:$K$2655)=0,"n/a",IF(C2688&gt;=C2687-0.001,"Repaid from cash",IF(SUMPRODUCT($G$2655:$K$2655,$G$2639:$K$2639)&gt;0,IF(C2688&gt;0,"Partly repaid; remainder refinanced","Refinanced"),IF(SUM($G$2664:$K$2664)&gt;0.001,IF(C2688&gt;0,"Partial repayment; PAYMENT DEFAULT","PAYMENT DEFAULT"),"Repaid from cash"))))</f>
        <v>Repaid from cash</v>
      </c>
    </row>
    <row r="2691" customFormat="false" ht="15" hidden="false" customHeight="false" outlineLevel="0" collapsed="false">
      <c r="A2691" s="3" t="s">
        <v>334</v>
      </c>
      <c r="C2691" s="25" t="n">
        <f aca="false">SUMPRODUCT($G$2668:$K$2668,$G$2667:$K$2667-$G$2673:$K$2673+$G$2672:$K$2672)</f>
        <v>143.75</v>
      </c>
    </row>
    <row r="2692" customFormat="false" ht="15" hidden="false" customHeight="false" outlineLevel="0" collapsed="false">
      <c r="A2692" s="3" t="s">
        <v>335</v>
      </c>
      <c r="C2692" s="25" t="n">
        <f aca="false">SUMPRODUCT($G$2668:$K$2668,$G$2675:$K$2675)</f>
        <v>32.3879106149279</v>
      </c>
    </row>
    <row r="2693" customFormat="false" ht="15" hidden="false" customHeight="false" outlineLevel="0" collapsed="false">
      <c r="A2693" s="3" t="s">
        <v>336</v>
      </c>
      <c r="C2693" s="3" t="str">
        <f aca="false">IF(SUM($G$2668:$K$2668)=0,"n/a (beyond horizon)",IF(SUMPRODUCT($G$2668:$K$2668,$G$2639:$K$2639)&gt;0,"REFINANCING PASS","REFINANCING FAILURE"))</f>
        <v>REFINANCING FAILURE</v>
      </c>
    </row>
    <row r="2694" customFormat="false" ht="15" hidden="false" customHeight="false" outlineLevel="0" collapsed="false">
      <c r="A2694" s="3" t="s">
        <v>337</v>
      </c>
      <c r="C2694" s="3" t="str">
        <f aca="false">IF(SUM($G$2668:$K$2668)=0,"n/a",IF(C2692&gt;=C2691-0.001,"Repaid from cash",IF(SUMPRODUCT($G$2668:$K$2668,$G$2639:$K$2639)&gt;0,IF(C2692&gt;0,"Partly repaid; remainder refinanced","Refinanced"),IF(SUM($G$2677:$K$2677)&gt;0.001,IF(C2692&gt;0,"Partial repayment; PAYMENT DEFAULT","PAYMENT DEFAULT"),"Repaid from cash"))))</f>
        <v>Partial repayment; PAYMENT DEFAULT</v>
      </c>
    </row>
    <row r="2695" customFormat="false" ht="15" hidden="false" customHeight="false" outlineLevel="0" collapsed="false">
      <c r="A2695" s="3" t="s">
        <v>338</v>
      </c>
      <c r="C2695" s="20" t="n">
        <f aca="false">IF(C2685="REFINANCING FAILURE",1,0)+IF(C2689="REFINANCING FAILURE",1,0)+IF(C2693="REFINANCING FAILURE",1,0)</f>
        <v>2</v>
      </c>
    </row>
    <row r="2697" customFormat="false" ht="15" hidden="false" customHeight="false" outlineLevel="0" collapsed="false">
      <c r="A2697" s="23" t="s">
        <v>340</v>
      </c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</row>
    <row r="2698" customFormat="false" ht="15" hidden="false" customHeight="false" outlineLevel="0" collapsed="false">
      <c r="A2698" s="3" t="s">
        <v>305</v>
      </c>
      <c r="G2698" s="25" t="n">
        <f aca="false">F2710</f>
        <v>463.996</v>
      </c>
      <c r="H2698" s="25" t="n">
        <f aca="false">G2710</f>
        <v>436.16263864</v>
      </c>
      <c r="I2698" s="25" t="n">
        <f aca="false">H2710</f>
        <v>380.1425893792</v>
      </c>
      <c r="J2698" s="25" t="n">
        <f aca="false">I2710</f>
        <v>0</v>
      </c>
      <c r="K2698" s="25" t="n">
        <f aca="false">J2710</f>
        <v>-70.738411771088</v>
      </c>
    </row>
    <row r="2699" customFormat="false" ht="15" hidden="false" customHeight="false" outlineLevel="0" collapsed="false">
      <c r="A2699" s="3" t="s">
        <v>341</v>
      </c>
      <c r="G2699" s="25" t="n">
        <f aca="false">G2628</f>
        <v>-27.83336136</v>
      </c>
      <c r="H2699" s="25" t="n">
        <f aca="false">H2628</f>
        <v>-56.0200492608</v>
      </c>
      <c r="I2699" s="25" t="n">
        <f aca="false">I2628</f>
        <v>-71.048678764272</v>
      </c>
      <c r="J2699" s="25" t="n">
        <f aca="false">J2628</f>
        <v>-70.738411771088</v>
      </c>
      <c r="K2699" s="25" t="n">
        <f aca="false">K2628</f>
        <v>-74.3424001224768</v>
      </c>
    </row>
    <row r="2700" customFormat="false" ht="15" hidden="false" customHeight="false" outlineLevel="0" collapsed="false">
      <c r="A2700" s="3" t="s">
        <v>342</v>
      </c>
      <c r="G2700" s="25" t="n">
        <f aca="false">CHOOSE($C$2598,Assumptions!$G$74,Assumptions!$G$93,Assumptions!$G$112)</f>
        <v>0</v>
      </c>
      <c r="H2700" s="25" t="n">
        <f aca="false">CHOOSE($C$2598,Assumptions!$H$74,Assumptions!$H$93,Assumptions!$H$112)</f>
        <v>0</v>
      </c>
      <c r="I2700" s="25" t="n">
        <f aca="false">CHOOSE($C$2598,Assumptions!$I$74,Assumptions!$I$93,Assumptions!$I$112)</f>
        <v>0</v>
      </c>
      <c r="J2700" s="25" t="n">
        <f aca="false">CHOOSE($C$2598,Assumptions!$J$74,Assumptions!$J$93,Assumptions!$J$112)</f>
        <v>0</v>
      </c>
      <c r="K2700" s="25" t="n">
        <f aca="false">CHOOSE($C$2598,Assumptions!$K$74,Assumptions!$K$93,Assumptions!$K$112)</f>
        <v>0</v>
      </c>
    </row>
    <row r="2701" customFormat="false" ht="15" hidden="false" customHeight="false" outlineLevel="0" collapsed="false">
      <c r="A2701" s="3" t="s">
        <v>343</v>
      </c>
      <c r="G2701" s="25" t="n">
        <f aca="false">G2647+G2660+G2673</f>
        <v>0</v>
      </c>
      <c r="H2701" s="25" t="n">
        <f aca="false">H2647+H2660+H2673</f>
        <v>0</v>
      </c>
      <c r="I2701" s="25" t="n">
        <f aca="false">I2647+I2660+I2673</f>
        <v>0</v>
      </c>
      <c r="J2701" s="25" t="n">
        <f aca="false">J2647+J2660+J2673</f>
        <v>0</v>
      </c>
      <c r="K2701" s="25" t="n">
        <f aca="false">K2647+K2660+K2673</f>
        <v>0</v>
      </c>
    </row>
    <row r="2702" customFormat="false" ht="15" hidden="false" customHeight="false" outlineLevel="0" collapsed="false">
      <c r="A2702" s="2" t="s">
        <v>344</v>
      </c>
      <c r="G2702" s="16" t="n">
        <f aca="false">G2698+G2699+G2700-G2701</f>
        <v>436.16263864</v>
      </c>
      <c r="H2702" s="16" t="n">
        <f aca="false">H2698+H2699+H2700-H2701</f>
        <v>380.1425893792</v>
      </c>
      <c r="I2702" s="16" t="n">
        <f aca="false">I2698+I2699+I2700-I2701</f>
        <v>309.093910614928</v>
      </c>
      <c r="J2702" s="16" t="n">
        <f aca="false">J2698+J2699+J2700-J2701</f>
        <v>-70.738411771088</v>
      </c>
      <c r="K2702" s="16" t="n">
        <f aca="false">K2698+K2699+K2700-K2701</f>
        <v>-145.080811893565</v>
      </c>
    </row>
    <row r="2703" customFormat="false" ht="15" hidden="false" customHeight="false" outlineLevel="0" collapsed="false">
      <c r="A2703" s="3" t="s">
        <v>345</v>
      </c>
      <c r="G2703" s="25" t="n">
        <f aca="false">G2648+G2661+G2674</f>
        <v>0</v>
      </c>
      <c r="H2703" s="25" t="n">
        <f aca="false">H2648+H2661+H2674</f>
        <v>0</v>
      </c>
      <c r="I2703" s="25" t="n">
        <f aca="false">I2648+I2661+I2674</f>
        <v>0</v>
      </c>
      <c r="J2703" s="25" t="n">
        <f aca="false">J2648+J2661+J2674</f>
        <v>0</v>
      </c>
      <c r="K2703" s="25" t="n">
        <f aca="false">K2648+K2661+K2674</f>
        <v>0</v>
      </c>
    </row>
    <row r="2704" customFormat="false" ht="15" hidden="false" customHeight="false" outlineLevel="0" collapsed="false">
      <c r="A2704" s="2" t="s">
        <v>346</v>
      </c>
      <c r="G2704" s="16" t="n">
        <f aca="false">G2702+G2703</f>
        <v>436.16263864</v>
      </c>
      <c r="H2704" s="16" t="n">
        <f aca="false">H2702+H2703</f>
        <v>380.1425893792</v>
      </c>
      <c r="I2704" s="16" t="n">
        <f aca="false">I2702+I2703</f>
        <v>309.093910614928</v>
      </c>
      <c r="J2704" s="16" t="n">
        <f aca="false">J2702+J2703</f>
        <v>-70.738411771088</v>
      </c>
      <c r="K2704" s="16" t="n">
        <f aca="false">K2702+K2703</f>
        <v>-145.080811893565</v>
      </c>
    </row>
    <row r="2705" customFormat="false" ht="15" hidden="false" customHeight="false" outlineLevel="0" collapsed="false">
      <c r="A2705" s="3" t="s">
        <v>347</v>
      </c>
      <c r="G2705" s="25" t="n">
        <f aca="false">G2649+G2662+G2675</f>
        <v>0</v>
      </c>
      <c r="H2705" s="25" t="n">
        <f aca="false">H2649+H2662+H2675</f>
        <v>0</v>
      </c>
      <c r="I2705" s="25" t="n">
        <f aca="false">I2649+I2662+I2675</f>
        <v>309.093910614928</v>
      </c>
      <c r="J2705" s="25" t="n">
        <f aca="false">J2649+J2662+J2675</f>
        <v>0</v>
      </c>
      <c r="K2705" s="25" t="n">
        <f aca="false">K2649+K2662+K2675</f>
        <v>0</v>
      </c>
    </row>
    <row r="2706" customFormat="false" ht="15" hidden="false" customHeight="false" outlineLevel="0" collapsed="false">
      <c r="A2706" s="2" t="s">
        <v>348</v>
      </c>
      <c r="G2706" s="16" t="n">
        <f aca="false">G2704-G2705</f>
        <v>436.16263864</v>
      </c>
      <c r="H2706" s="16" t="n">
        <f aca="false">H2704-H2705</f>
        <v>380.1425893792</v>
      </c>
      <c r="I2706" s="16" t="n">
        <f aca="false">I2704-I2705</f>
        <v>0</v>
      </c>
      <c r="J2706" s="16" t="n">
        <f aca="false">J2704-J2705</f>
        <v>-70.738411771088</v>
      </c>
      <c r="K2706" s="16" t="n">
        <f aca="false">K2704-K2705</f>
        <v>-145.080811893565</v>
      </c>
    </row>
    <row r="2707" customFormat="false" ht="15" hidden="false" customHeight="false" outlineLevel="0" collapsed="false">
      <c r="A2707" s="3" t="s">
        <v>349</v>
      </c>
      <c r="G2707" s="25" t="n">
        <f aca="false">MAX(0,-G2706)</f>
        <v>0</v>
      </c>
      <c r="H2707" s="25" t="n">
        <f aca="false">MAX(0,-H2706)</f>
        <v>0</v>
      </c>
      <c r="I2707" s="25" t="n">
        <f aca="false">MAX(0,-I2706)</f>
        <v>-0</v>
      </c>
      <c r="J2707" s="25" t="n">
        <f aca="false">MAX(0,-J2706)</f>
        <v>70.738411771088</v>
      </c>
      <c r="K2707" s="25" t="n">
        <f aca="false">MAX(0,-K2706)</f>
        <v>145.080811893565</v>
      </c>
    </row>
    <row r="2708" customFormat="false" ht="15" hidden="false" customHeight="false" outlineLevel="0" collapsed="false">
      <c r="A2708" s="3" t="s">
        <v>350</v>
      </c>
      <c r="G2708" s="25" t="n">
        <f aca="false">MAX(0,G2706-Assumptions!$C$12)*Assumptions!$C$13</f>
        <v>0</v>
      </c>
      <c r="H2708" s="25" t="n">
        <f aca="false">MAX(0,H2706-Assumptions!$C$12)*Assumptions!$C$13</f>
        <v>0</v>
      </c>
      <c r="I2708" s="25" t="n">
        <f aca="false">MAX(0,I2706-Assumptions!$C$12)*Assumptions!$C$13</f>
        <v>0</v>
      </c>
      <c r="J2708" s="25" t="n">
        <f aca="false">MAX(0,J2706-Assumptions!$C$12)*Assumptions!$C$13</f>
        <v>0</v>
      </c>
      <c r="K2708" s="25" t="n">
        <f aca="false">MAX(0,K2706-Assumptions!$C$12)*Assumptions!$C$13</f>
        <v>0</v>
      </c>
    </row>
    <row r="2709" customFormat="false" ht="15" hidden="false" customHeight="false" outlineLevel="0" collapsed="false">
      <c r="A2709" s="3" t="s">
        <v>351</v>
      </c>
      <c r="G2709" s="25" t="n">
        <f aca="false">G2650+G2663+G2676</f>
        <v>0</v>
      </c>
      <c r="H2709" s="25" t="n">
        <f aca="false">H2650+H2663+H2676</f>
        <v>0</v>
      </c>
      <c r="I2709" s="25" t="n">
        <f aca="false">I2650+I2663+I2676</f>
        <v>0</v>
      </c>
      <c r="J2709" s="25" t="n">
        <f aca="false">J2650+J2663+J2676</f>
        <v>0</v>
      </c>
      <c r="K2709" s="25" t="n">
        <f aca="false">K2650+K2663+K2676</f>
        <v>0</v>
      </c>
    </row>
    <row r="2710" customFormat="false" ht="15" hidden="false" customHeight="false" outlineLevel="0" collapsed="false">
      <c r="A2710" s="2" t="s">
        <v>352</v>
      </c>
      <c r="F2710" s="28" t="n">
        <f aca="false">Assumptions!$C$11</f>
        <v>463.996</v>
      </c>
      <c r="G2710" s="16" t="n">
        <f aca="false">G2706-G2709</f>
        <v>436.16263864</v>
      </c>
      <c r="H2710" s="16" t="n">
        <f aca="false">H2706-H2709</f>
        <v>380.1425893792</v>
      </c>
      <c r="I2710" s="16" t="n">
        <f aca="false">I2706-I2709</f>
        <v>0</v>
      </c>
      <c r="J2710" s="16" t="n">
        <f aca="false">J2706-J2709</f>
        <v>-70.738411771088</v>
      </c>
      <c r="K2710" s="16" t="n">
        <f aca="false">K2706-K2709</f>
        <v>-145.080811893565</v>
      </c>
    </row>
    <row r="2711" customFormat="false" ht="15" hidden="false" customHeight="false" outlineLevel="0" collapsed="false">
      <c r="A2711" s="3" t="s">
        <v>353</v>
      </c>
      <c r="G2711" s="25" t="n">
        <f aca="false">G2651+G2664+G2677</f>
        <v>0</v>
      </c>
      <c r="H2711" s="25" t="n">
        <f aca="false">H2651+H2664+H2677</f>
        <v>0</v>
      </c>
      <c r="I2711" s="25" t="n">
        <f aca="false">I2651+I2664+I2677</f>
        <v>111.362089385072</v>
      </c>
      <c r="J2711" s="25" t="n">
        <f aca="false">J2651+J2664+J2677</f>
        <v>0</v>
      </c>
      <c r="K2711" s="25" t="n">
        <f aca="false">K2651+K2664+K2677</f>
        <v>0</v>
      </c>
    </row>
    <row r="2712" customFormat="false" ht="15" hidden="false" customHeight="false" outlineLevel="0" collapsed="false">
      <c r="A2712" s="3" t="s">
        <v>354</v>
      </c>
      <c r="G2712" s="20" t="n">
        <f aca="false">IF(OR(G2707&gt;0.001,G2711&gt;0.001),1,0)</f>
        <v>0</v>
      </c>
      <c r="H2712" s="20" t="n">
        <f aca="false">IF(OR(H2707&gt;0.001,H2711&gt;0.001),1,0)</f>
        <v>0</v>
      </c>
      <c r="I2712" s="20" t="n">
        <f aca="false">IF(OR(I2707&gt;0.001,I2711&gt;0.001),1,0)</f>
        <v>1</v>
      </c>
      <c r="J2712" s="20" t="n">
        <f aca="false">IF(OR(J2707&gt;0.001,J2711&gt;0.001),1,0)</f>
        <v>1</v>
      </c>
      <c r="K2712" s="20" t="n">
        <f aca="false">IF(OR(K2707&gt;0.001,K2711&gt;0.001),1,0)</f>
        <v>1</v>
      </c>
    </row>
    <row r="2713" customFormat="false" ht="15" hidden="false" customHeight="false" outlineLevel="0" collapsed="false">
      <c r="A2713" s="3" t="s">
        <v>355</v>
      </c>
      <c r="G2713" s="20" t="n">
        <f aca="false">IF(G2712=1,1,0)</f>
        <v>0</v>
      </c>
      <c r="H2713" s="20" t="n">
        <f aca="false">IF(AND(H2712=1,SUM($G$2712:G2712)=0),1,0)</f>
        <v>0</v>
      </c>
      <c r="I2713" s="20" t="n">
        <f aca="false">IF(AND(I2712=1,SUM($G$2712:H2712)=0),1,0)</f>
        <v>1</v>
      </c>
      <c r="J2713" s="20" t="n">
        <f aca="false">IF(AND(J2712=1,SUM($G$2712:I2712)=0),1,0)</f>
        <v>0</v>
      </c>
      <c r="K2713" s="20" t="n">
        <f aca="false">IF(AND(K2712=1,SUM($G$2712:J2712)=0),1,0)</f>
        <v>0</v>
      </c>
    </row>
    <row r="2714" customFormat="false" ht="15" hidden="false" customHeight="false" outlineLevel="0" collapsed="false">
      <c r="A2714" s="3" t="s">
        <v>356</v>
      </c>
      <c r="G2714" s="25" t="n">
        <f aca="false">(G2680-F2680)-(G2703+G2620-G2701-G2705-G2709)</f>
        <v>0</v>
      </c>
      <c r="H2714" s="25" t="n">
        <f aca="false">(H2680-G2680)-(H2703+H2620-H2701-H2705-H2709)</f>
        <v>0</v>
      </c>
      <c r="I2714" s="25" t="n">
        <f aca="false">(I2680-H2680)-(I2703+I2620-I2701-I2705-I2709)</f>
        <v>0</v>
      </c>
      <c r="J2714" s="25" t="n">
        <f aca="false">(J2680-I2680)-(J2703+J2620-J2701-J2705-J2709)</f>
        <v>0</v>
      </c>
      <c r="K2714" s="25" t="n">
        <f aca="false">(K2680-J2680)-(K2703+K2620-K2701-K2705-K2709)</f>
        <v>0</v>
      </c>
    </row>
    <row r="2716" customFormat="false" ht="15" hidden="false" customHeight="false" outlineLevel="0" collapsed="false">
      <c r="A2716" s="23" t="s">
        <v>358</v>
      </c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</row>
    <row r="2717" customFormat="false" ht="15" hidden="false" customHeight="false" outlineLevel="0" collapsed="false">
      <c r="A2717" s="3" t="s">
        <v>359</v>
      </c>
      <c r="G2717" s="25" t="n">
        <f aca="false">G2680</f>
        <v>1735.554</v>
      </c>
      <c r="H2717" s="25" t="n">
        <f aca="false">H2680</f>
        <v>1735.554</v>
      </c>
      <c r="I2717" s="25" t="n">
        <f aca="false">I2680</f>
        <v>1426.46008938507</v>
      </c>
      <c r="J2717" s="25" t="n">
        <f aca="false">J2680</f>
        <v>1426.46008938507</v>
      </c>
      <c r="K2717" s="25" t="n">
        <f aca="false">K2680</f>
        <v>1426.46008938507</v>
      </c>
    </row>
    <row r="2718" customFormat="false" ht="15" hidden="false" customHeight="false" outlineLevel="0" collapsed="false">
      <c r="A2718" s="3" t="s">
        <v>360</v>
      </c>
      <c r="G2718" s="25" t="n">
        <f aca="false">Assumptions!$O$56*G2652+Assumptions!$O$57*G2665+Assumptions!$O$58*G2678</f>
        <v>1315.098</v>
      </c>
      <c r="H2718" s="25" t="n">
        <f aca="false">Assumptions!$O$56*H2652+Assumptions!$O$57*H2665+Assumptions!$O$58*H2678</f>
        <v>1315.098</v>
      </c>
      <c r="I2718" s="25" t="n">
        <f aca="false">Assumptions!$O$56*I2652+Assumptions!$O$57*I2665+Assumptions!$O$58*I2678</f>
        <v>1315.098</v>
      </c>
      <c r="J2718" s="25" t="n">
        <f aca="false">Assumptions!$O$56*J2652+Assumptions!$O$57*J2665+Assumptions!$O$58*J2678</f>
        <v>1315.098</v>
      </c>
      <c r="K2718" s="25" t="n">
        <f aca="false">Assumptions!$O$56*K2652+Assumptions!$O$57*K2665+Assumptions!$O$58*K2678</f>
        <v>1315.098</v>
      </c>
    </row>
    <row r="2719" customFormat="false" ht="15" hidden="false" customHeight="false" outlineLevel="0" collapsed="false">
      <c r="A2719" s="3" t="s">
        <v>361</v>
      </c>
      <c r="G2719" s="25" t="n">
        <f aca="false">G2717-G2710</f>
        <v>1299.39136136</v>
      </c>
      <c r="H2719" s="25" t="n">
        <f aca="false">H2717-H2710</f>
        <v>1355.4114106208</v>
      </c>
      <c r="I2719" s="25" t="n">
        <f aca="false">I2717-I2710</f>
        <v>1426.46008938507</v>
      </c>
      <c r="J2719" s="25" t="n">
        <f aca="false">J2717-J2710</f>
        <v>1497.19850115616</v>
      </c>
      <c r="K2719" s="25" t="n">
        <f aca="false">K2717-K2710</f>
        <v>1571.54090127864</v>
      </c>
    </row>
    <row r="2720" customFormat="false" ht="15" hidden="false" customHeight="false" outlineLevel="0" collapsed="false">
      <c r="A2720" s="3" t="s">
        <v>362</v>
      </c>
      <c r="G2720" s="32" t="n">
        <f aca="false">IF(G2615&gt;0,G2717/G2615,0)</f>
        <v>10.498287632851</v>
      </c>
      <c r="H2720" s="32" t="n">
        <f aca="false">IF(H2615&gt;0,H2717/H2615,0)</f>
        <v>12.9011215150243</v>
      </c>
      <c r="I2720" s="32" t="n">
        <f aca="false">IF(I2615&gt;0,I2717/I2615,0)</f>
        <v>12.1480281581186</v>
      </c>
      <c r="J2720" s="32" t="n">
        <f aca="false">IF(J2615&gt;0,J2717/J2615,0)</f>
        <v>13.8530145662755</v>
      </c>
      <c r="K2720" s="32" t="n">
        <f aca="false">IF(K2615&gt;0,K2717/K2615,0)</f>
        <v>14.5821205960795</v>
      </c>
    </row>
    <row r="2721" customFormat="false" ht="15" hidden="false" customHeight="false" outlineLevel="0" collapsed="false">
      <c r="A2721" s="3" t="s">
        <v>363</v>
      </c>
      <c r="G2721" s="32" t="n">
        <f aca="false">IF(G2615&gt;0,G2719/G2615,0)</f>
        <v>7.8599595628826</v>
      </c>
      <c r="H2721" s="32" t="n">
        <f aca="false">IF(H2615&gt;0,H2719/H2615,0)</f>
        <v>10.0753576732671</v>
      </c>
      <c r="I2721" s="32" t="n">
        <f aca="false">IF(I2615&gt;0,I2719/I2615,0)</f>
        <v>12.1480281581186</v>
      </c>
      <c r="J2721" s="32" t="n">
        <f aca="false">IF(J2615&gt;0,J2719/J2615,0)</f>
        <v>14.5399880441543</v>
      </c>
      <c r="K2721" s="32" t="n">
        <f aca="false">IF(K2615&gt;0,K2719/K2615,0)</f>
        <v>16.0652226547716</v>
      </c>
    </row>
    <row r="2722" customFormat="false" ht="15" hidden="false" customHeight="false" outlineLevel="0" collapsed="false">
      <c r="A2722" s="3" t="s">
        <v>364</v>
      </c>
      <c r="G2722" s="32" t="n">
        <f aca="false">IF(G2619&gt;0,G2615/G2619,0)</f>
        <v>1.06003762247068</v>
      </c>
      <c r="H2722" s="32" t="n">
        <f aca="false">IF(H2619&gt;0,H2615/H2619,0)</f>
        <v>0.862605615285519</v>
      </c>
      <c r="I2722" s="32" t="n">
        <f aca="false">IF(I2619&gt;0,I2615/I2619,0)</f>
        <v>0.752931472770645</v>
      </c>
      <c r="J2722" s="32" t="n">
        <f aca="false">IF(J2619&gt;0,J2615/J2619,0)</f>
        <v>0.720994320330781</v>
      </c>
      <c r="K2722" s="32" t="n">
        <f aca="false">IF(K2619&gt;0,K2615/K2619,0)</f>
        <v>0.684944604314242</v>
      </c>
    </row>
    <row r="2723" customFormat="false" ht="15" hidden="false" customHeight="false" outlineLevel="0" collapsed="false">
      <c r="A2723" s="3" t="s">
        <v>365</v>
      </c>
      <c r="G2723" s="32" t="n">
        <f aca="false">IF(G2619&gt;0,G2618/G2619,0)</f>
        <v>0.413184020715763</v>
      </c>
      <c r="H2723" s="32" t="n">
        <f aca="false">IF(H2619&gt;0,H2618/H2619,0)</f>
        <v>0.261031765653443</v>
      </c>
      <c r="I2723" s="32" t="n">
        <f aca="false">IF(I2619&gt;0,I2618/I2619,0)</f>
        <v>0.187452054116494</v>
      </c>
      <c r="J2723" s="32" t="n">
        <f aca="false">IF(J2619&gt;0,J2618/J2619,0)</f>
        <v>0.134376432984737</v>
      </c>
      <c r="K2723" s="32" t="n">
        <f aca="false">IF(K2619&gt;0,K2618/K2619,0)</f>
        <v>0.127657611335501</v>
      </c>
    </row>
    <row r="2724" customFormat="false" ht="15" hidden="false" customHeight="false" outlineLevel="0" collapsed="false">
      <c r="A2724" s="3" t="s">
        <v>198</v>
      </c>
      <c r="G2724" s="21" t="n">
        <f aca="false">IF(G2717&gt;0,G2628/G2717,0)</f>
        <v>-0.016037162404627</v>
      </c>
      <c r="H2724" s="21" t="n">
        <f aca="false">IF(H2717&gt;0,H2628/H2717,0)</f>
        <v>-0.0322779062252169</v>
      </c>
      <c r="I2724" s="21" t="n">
        <f aca="false">IF(I2717&gt;0,I2628/I2717,0)</f>
        <v>-0.0498076877810862</v>
      </c>
      <c r="J2724" s="21" t="n">
        <f aca="false">IF(J2717&gt;0,J2628/J2717,0)</f>
        <v>-0.0495901794221122</v>
      </c>
      <c r="K2724" s="21" t="n">
        <f aca="false">IF(K2717&gt;0,K2628/K2717,0)</f>
        <v>-0.0521167053152709</v>
      </c>
    </row>
    <row r="2725" customFormat="false" ht="15" hidden="false" customHeight="false" outlineLevel="0" collapsed="false">
      <c r="A2725" s="3" t="s">
        <v>366</v>
      </c>
      <c r="G2725" s="32" t="n">
        <f aca="false">IF(G2619+G2701&gt;0,(G2615-G2626-G2623)/(G2619+G2701),0)</f>
        <v>0.887781508819197</v>
      </c>
      <c r="H2725" s="32" t="n">
        <f aca="false">IF(H2619+H2701&gt;0,(H2615-H2626-H2623)/(H2619+H2701),0)</f>
        <v>0.702407429589636</v>
      </c>
      <c r="I2725" s="32" t="n">
        <f aca="false">IF(I2619+I2701&gt;0,(I2615-I2626-I2623)/(I2619+I2701),0)</f>
        <v>0.602345178216516</v>
      </c>
      <c r="J2725" s="32" t="n">
        <f aca="false">IF(J2619+J2701&gt;0,(J2615-J2626-J2623)/(J2619+J2701),0)</f>
        <v>0.564778884259112</v>
      </c>
      <c r="K2725" s="32" t="n">
        <f aca="false">IF(K2619+K2701&gt;0,(K2615-K2626-K2623)/(K2619+K2701),0)</f>
        <v>0.536539940046156</v>
      </c>
    </row>
    <row r="2726" customFormat="false" ht="15" hidden="false" customHeight="false" outlineLevel="0" collapsed="false">
      <c r="A2726" s="3" t="s">
        <v>367</v>
      </c>
      <c r="G2726" s="25" t="n">
        <f aca="false">MAX(0,G2710)+Assumptions!$P$56*MAX(0,Assumptions!$D$56-G2652)+Assumptions!$P$57*MAX(0,Assumptions!$D$57-G2665)+Assumptions!$P$58*MAX(0,Assumptions!$D$58-G2678)</f>
        <v>436.16263864</v>
      </c>
      <c r="H2726" s="25" t="n">
        <f aca="false">MAX(0,H2710)+Assumptions!$P$56*MAX(0,Assumptions!$D$56-H2652)+Assumptions!$P$57*MAX(0,Assumptions!$D$57-H2665)+Assumptions!$P$58*MAX(0,Assumptions!$D$58-H2678)</f>
        <v>380.1425893792</v>
      </c>
      <c r="I2726" s="25" t="n">
        <f aca="false">MAX(0,I2710)+Assumptions!$P$56*MAX(0,Assumptions!$D$56-I2652)+Assumptions!$P$57*MAX(0,Assumptions!$D$57-I2665)+Assumptions!$P$58*MAX(0,Assumptions!$D$58-I2678)</f>
        <v>0</v>
      </c>
      <c r="J2726" s="25" t="n">
        <f aca="false">MAX(0,J2710)+Assumptions!$P$56*MAX(0,Assumptions!$D$56-J2652)+Assumptions!$P$57*MAX(0,Assumptions!$D$57-J2665)+Assumptions!$P$58*MAX(0,Assumptions!$D$58-J2678)</f>
        <v>0</v>
      </c>
      <c r="K2726" s="25" t="n">
        <f aca="false">MAX(0,K2710)+Assumptions!$P$56*MAX(0,Assumptions!$D$56-K2652)+Assumptions!$P$57*MAX(0,Assumptions!$D$57-K2665)+Assumptions!$P$58*MAX(0,Assumptions!$D$58-K2678)</f>
        <v>0</v>
      </c>
    </row>
    <row r="2727" customFormat="false" ht="15" hidden="false" customHeight="false" outlineLevel="0" collapsed="false">
      <c r="A2727" s="3" t="s">
        <v>368</v>
      </c>
      <c r="G2727" s="21" t="n">
        <f aca="false">IF(G2717&gt;0,G2717/(G2717+MAX(0,G2615*CHOOSE($C$2598,Assumptions!$C$82,Assumptions!$C$101,Assumptions!$C$120)-G2719)),0)</f>
        <v>1</v>
      </c>
      <c r="H2727" s="21" t="n">
        <f aca="false">IF(H2717&gt;0,H2717/(H2717+MAX(0,H2615*CHOOSE($C$2598,Assumptions!$C$82,Assumptions!$C$101,Assumptions!$C$120)-H2719)),0)</f>
        <v>1</v>
      </c>
      <c r="I2727" s="21" t="n">
        <f aca="false">IF(I2717&gt;0,I2717/(I2717+MAX(0,I2615*CHOOSE($C$2598,Assumptions!$C$82,Assumptions!$C$101,Assumptions!$C$120)-I2719)),0)</f>
        <v>1</v>
      </c>
      <c r="J2727" s="21" t="n">
        <f aca="false">IF(J2717&gt;0,J2717/(J2717+MAX(0,J2615*CHOOSE($C$2598,Assumptions!$C$82,Assumptions!$C$101,Assumptions!$C$120)-J2719)),0)</f>
        <v>1</v>
      </c>
      <c r="K2727" s="21" t="n">
        <f aca="false">IF(K2717&gt;0,K2717/(K2717+MAX(0,K2615*CHOOSE($C$2598,Assumptions!$C$82,Assumptions!$C$101,Assumptions!$C$120)-K2719)),0)</f>
        <v>1</v>
      </c>
    </row>
    <row r="2728" customFormat="false" ht="15" hidden="false" customHeight="false" outlineLevel="0" collapsed="false">
      <c r="A2728" s="3" t="s">
        <v>369</v>
      </c>
      <c r="G2728" s="21" t="n">
        <f aca="false">IF(G2717&gt;0,MAX(0,G2710)/G2717,0)</f>
        <v>0.251310324334478</v>
      </c>
      <c r="H2728" s="21" t="n">
        <f aca="false">IF(H2717&gt;0,MAX(0,H2710)/H2717,0)</f>
        <v>0.219032418109261</v>
      </c>
      <c r="I2728" s="21" t="n">
        <f aca="false">IF(I2717&gt;0,MAX(0,I2710)/I2717,0)</f>
        <v>0</v>
      </c>
      <c r="J2728" s="21" t="n">
        <f aca="false">IF(J2717&gt;0,MAX(0,J2710)/J2717,0)</f>
        <v>0</v>
      </c>
      <c r="K2728" s="21" t="n">
        <f aca="false">IF(K2717&gt;0,MAX(0,K2710)/K2717,0)</f>
        <v>0</v>
      </c>
    </row>
    <row r="2729" customFormat="false" ht="15" hidden="false" customHeight="false" outlineLevel="0" collapsed="false">
      <c r="A2729" s="3" t="s">
        <v>370</v>
      </c>
      <c r="G2729" s="25" t="n">
        <f aca="false">Assumptions!$C$30*(1-CHOOSE($C$2598,Assumptions!$C$85,Assumptions!$C$104,Assumptions!$C$123))</f>
        <v>2086.72535</v>
      </c>
      <c r="H2729" s="25" t="n">
        <f aca="false">Assumptions!$C$30*(1-CHOOSE($C$2598,Assumptions!$C$85,Assumptions!$C$104,Assumptions!$C$123))</f>
        <v>2086.72535</v>
      </c>
      <c r="I2729" s="25" t="n">
        <f aca="false">Assumptions!$C$30*(1-CHOOSE($C$2598,Assumptions!$C$85,Assumptions!$C$104,Assumptions!$C$123))</f>
        <v>2086.72535</v>
      </c>
      <c r="J2729" s="25" t="n">
        <f aca="false">Assumptions!$C$30*(1-CHOOSE($C$2598,Assumptions!$C$85,Assumptions!$C$104,Assumptions!$C$123))</f>
        <v>2086.72535</v>
      </c>
      <c r="K2729" s="25" t="n">
        <f aca="false">Assumptions!$C$30*(1-CHOOSE($C$2598,Assumptions!$C$85,Assumptions!$C$104,Assumptions!$C$123))</f>
        <v>2086.72535</v>
      </c>
    </row>
    <row r="2730" customFormat="false" ht="15" hidden="false" customHeight="false" outlineLevel="0" collapsed="false">
      <c r="A2730" s="23" t="s">
        <v>371</v>
      </c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</row>
    <row r="2731" customFormat="false" ht="15" hidden="false" customHeight="false" outlineLevel="0" collapsed="false">
      <c r="A2731" s="23" t="s">
        <v>372</v>
      </c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</row>
    <row r="2732" customFormat="false" ht="15" hidden="false" customHeight="false" outlineLevel="0" collapsed="false">
      <c r="A2732" s="3" t="s">
        <v>373</v>
      </c>
      <c r="G2732" s="32" t="n">
        <f aca="false">IF(G2615&gt;0,G2719/G2615,99)</f>
        <v>7.8599595628826</v>
      </c>
      <c r="H2732" s="32" t="n">
        <f aca="false">IF(H2615&gt;0,H2719/H2615,99)</f>
        <v>10.0753576732671</v>
      </c>
      <c r="I2732" s="32" t="n">
        <f aca="false">IF(I2615&gt;0,I2719/I2615,99)</f>
        <v>12.1480281581186</v>
      </c>
      <c r="J2732" s="32" t="n">
        <f aca="false">IF(J2615&gt;0,J2719/J2615,99)</f>
        <v>14.5399880441543</v>
      </c>
      <c r="K2732" s="32" t="n">
        <f aca="false">IF(K2615&gt;0,K2719/K2615,99)</f>
        <v>16.0652226547716</v>
      </c>
    </row>
    <row r="2733" customFormat="false" ht="15" hidden="false" customHeight="false" outlineLevel="0" collapsed="false">
      <c r="A2733" s="3" t="s">
        <v>374</v>
      </c>
      <c r="G2733" s="33" t="n">
        <f aca="false">Assumptions!$G$65</f>
        <v>5.25</v>
      </c>
      <c r="H2733" s="33" t="n">
        <f aca="false">Assumptions!$H$65</f>
        <v>5.25</v>
      </c>
      <c r="I2733" s="33" t="n">
        <f aca="false">Assumptions!$I$65</f>
        <v>5</v>
      </c>
      <c r="J2733" s="33" t="n">
        <f aca="false">Assumptions!$J$65</f>
        <v>5</v>
      </c>
      <c r="K2733" s="33" t="n">
        <f aca="false">Assumptions!$K$65</f>
        <v>5</v>
      </c>
    </row>
    <row r="2734" customFormat="false" ht="15" hidden="false" customHeight="false" outlineLevel="0" collapsed="false">
      <c r="A2734" s="3" t="s">
        <v>375</v>
      </c>
      <c r="G2734" s="32" t="n">
        <f aca="false">G2733-G2732</f>
        <v>-2.6099595628826</v>
      </c>
      <c r="H2734" s="32" t="n">
        <f aca="false">H2733-H2732</f>
        <v>-4.82535767326711</v>
      </c>
      <c r="I2734" s="32" t="n">
        <f aca="false">I2733-I2732</f>
        <v>-7.14802815811855</v>
      </c>
      <c r="J2734" s="32" t="n">
        <f aca="false">J2733-J2732</f>
        <v>-9.53998804415428</v>
      </c>
      <c r="K2734" s="32" t="n">
        <f aca="false">K2733-K2732</f>
        <v>-11.0652226547716</v>
      </c>
    </row>
    <row r="2735" customFormat="false" ht="15" hidden="false" customHeight="false" outlineLevel="0" collapsed="false">
      <c r="A2735" s="3" t="s">
        <v>376</v>
      </c>
      <c r="G2735" s="21" t="n">
        <f aca="false">IF(G2733=0,0,G2734/ABS(G2733))</f>
        <v>-0.49713515483478</v>
      </c>
      <c r="H2735" s="21" t="n">
        <f aca="false">IF(H2733=0,0,H2734/ABS(H2733))</f>
        <v>-0.919115747288974</v>
      </c>
      <c r="I2735" s="21" t="n">
        <f aca="false">IF(I2733=0,0,I2734/ABS(I2733))</f>
        <v>-1.42960563162371</v>
      </c>
      <c r="J2735" s="21" t="n">
        <f aca="false">IF(J2733=0,0,J2734/ABS(J2733))</f>
        <v>-1.90799760883086</v>
      </c>
      <c r="K2735" s="21" t="n">
        <f aca="false">IF(K2733=0,0,K2734/ABS(K2733))</f>
        <v>-2.21304453095432</v>
      </c>
    </row>
    <row r="2736" customFormat="false" ht="15" hidden="false" customHeight="false" outlineLevel="0" collapsed="false">
      <c r="A2736" s="3" t="s">
        <v>377</v>
      </c>
      <c r="G2736" s="20" t="n">
        <f aca="false">IF(G2734&lt;0,1,0)</f>
        <v>1</v>
      </c>
      <c r="H2736" s="20" t="n">
        <f aca="false">IF(H2734&lt;0,1,0)</f>
        <v>1</v>
      </c>
      <c r="I2736" s="20" t="n">
        <f aca="false">IF(I2734&lt;0,1,0)</f>
        <v>1</v>
      </c>
      <c r="J2736" s="20" t="n">
        <f aca="false">IF(J2734&lt;0,1,0)</f>
        <v>1</v>
      </c>
      <c r="K2736" s="20" t="n">
        <f aca="false">IF(K2734&lt;0,1,0)</f>
        <v>1</v>
      </c>
    </row>
    <row r="2737" customFormat="false" ht="15" hidden="false" customHeight="false" outlineLevel="0" collapsed="false">
      <c r="A2737" s="3" t="s">
        <v>378</v>
      </c>
      <c r="C2737" s="20" t="n">
        <f aca="false">IFERROR(INDEX($G$2605:$K$2605,MATCH(1,$G$2736:$K$2736,0)),0)</f>
        <v>2027</v>
      </c>
    </row>
    <row r="2738" customFormat="false" ht="15" hidden="false" customHeight="false" outlineLevel="0" collapsed="false">
      <c r="A2738" s="3" t="s">
        <v>379</v>
      </c>
      <c r="C2738" s="21" t="n">
        <f aca="false">MIN($G$2735:$K$2735)</f>
        <v>-2.21304453095432</v>
      </c>
    </row>
    <row r="2739" customFormat="false" ht="15" hidden="false" customHeight="false" outlineLevel="0" collapsed="false">
      <c r="A2739" s="23" t="s">
        <v>380</v>
      </c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</row>
    <row r="2740" customFormat="false" ht="15" hidden="false" customHeight="false" outlineLevel="0" collapsed="false">
      <c r="A2740" s="3" t="s">
        <v>373</v>
      </c>
      <c r="G2740" s="32" t="n">
        <f aca="false">IF(G2619&gt;0,G2615/G2619,99)</f>
        <v>1.06003762247068</v>
      </c>
      <c r="H2740" s="32" t="n">
        <f aca="false">IF(H2619&gt;0,H2615/H2619,99)</f>
        <v>0.862605615285519</v>
      </c>
      <c r="I2740" s="32" t="n">
        <f aca="false">IF(I2619&gt;0,I2615/I2619,99)</f>
        <v>0.752931472770645</v>
      </c>
      <c r="J2740" s="32" t="n">
        <f aca="false">IF(J2619&gt;0,J2615/J2619,99)</f>
        <v>0.720994320330781</v>
      </c>
      <c r="K2740" s="32" t="n">
        <f aca="false">IF(K2619&gt;0,K2615/K2619,99)</f>
        <v>0.684944604314242</v>
      </c>
    </row>
    <row r="2741" customFormat="false" ht="15" hidden="false" customHeight="false" outlineLevel="0" collapsed="false">
      <c r="A2741" s="3" t="s">
        <v>374</v>
      </c>
      <c r="G2741" s="33" t="n">
        <f aca="false">Assumptions!$G$66</f>
        <v>1.4</v>
      </c>
      <c r="H2741" s="33" t="n">
        <f aca="false">Assumptions!$H$66</f>
        <v>1.4</v>
      </c>
      <c r="I2741" s="33" t="n">
        <f aca="false">Assumptions!$I$66</f>
        <v>1.4</v>
      </c>
      <c r="J2741" s="33" t="n">
        <f aca="false">Assumptions!$J$66</f>
        <v>1.5</v>
      </c>
      <c r="K2741" s="33" t="n">
        <f aca="false">Assumptions!$K$66</f>
        <v>1.5</v>
      </c>
    </row>
    <row r="2742" customFormat="false" ht="15" hidden="false" customHeight="false" outlineLevel="0" collapsed="false">
      <c r="A2742" s="3" t="s">
        <v>375</v>
      </c>
      <c r="G2742" s="32" t="n">
        <f aca="false">G2740-G2741</f>
        <v>-0.339962377529317</v>
      </c>
      <c r="H2742" s="32" t="n">
        <f aca="false">H2740-H2741</f>
        <v>-0.537394384714481</v>
      </c>
      <c r="I2742" s="32" t="n">
        <f aca="false">I2740-I2741</f>
        <v>-0.647068527229355</v>
      </c>
      <c r="J2742" s="32" t="n">
        <f aca="false">J2740-J2741</f>
        <v>-0.779005679669219</v>
      </c>
      <c r="K2742" s="32" t="n">
        <f aca="false">K2740-K2741</f>
        <v>-0.815055395685758</v>
      </c>
    </row>
    <row r="2743" customFormat="false" ht="15" hidden="false" customHeight="false" outlineLevel="0" collapsed="false">
      <c r="A2743" s="3" t="s">
        <v>376</v>
      </c>
      <c r="G2743" s="21" t="n">
        <f aca="false">IF(G2741=0,0,G2742/ABS(G2741))</f>
        <v>-0.242830269663798</v>
      </c>
      <c r="H2743" s="21" t="n">
        <f aca="false">IF(H2741=0,0,H2742/ABS(H2741))</f>
        <v>-0.383853131938915</v>
      </c>
      <c r="I2743" s="21" t="n">
        <f aca="false">IF(I2741=0,0,I2742/ABS(I2741))</f>
        <v>-0.462191805163825</v>
      </c>
      <c r="J2743" s="21" t="n">
        <f aca="false">IF(J2741=0,0,J2742/ABS(J2741))</f>
        <v>-0.51933711977948</v>
      </c>
      <c r="K2743" s="21" t="n">
        <f aca="false">IF(K2741=0,0,K2742/ABS(K2741))</f>
        <v>-0.543370263790506</v>
      </c>
    </row>
    <row r="2744" customFormat="false" ht="15" hidden="false" customHeight="false" outlineLevel="0" collapsed="false">
      <c r="A2744" s="3" t="s">
        <v>377</v>
      </c>
      <c r="G2744" s="20" t="n">
        <f aca="false">IF(G2742&lt;0,1,0)</f>
        <v>1</v>
      </c>
      <c r="H2744" s="20" t="n">
        <f aca="false">IF(H2742&lt;0,1,0)</f>
        <v>1</v>
      </c>
      <c r="I2744" s="20" t="n">
        <f aca="false">IF(I2742&lt;0,1,0)</f>
        <v>1</v>
      </c>
      <c r="J2744" s="20" t="n">
        <f aca="false">IF(J2742&lt;0,1,0)</f>
        <v>1</v>
      </c>
      <c r="K2744" s="20" t="n">
        <f aca="false">IF(K2742&lt;0,1,0)</f>
        <v>1</v>
      </c>
    </row>
    <row r="2745" customFormat="false" ht="15" hidden="false" customHeight="false" outlineLevel="0" collapsed="false">
      <c r="A2745" s="3" t="s">
        <v>378</v>
      </c>
      <c r="C2745" s="20" t="n">
        <f aca="false">IFERROR(INDEX($G$2605:$K$2605,MATCH(1,$G$2744:$K$2744,0)),0)</f>
        <v>2027</v>
      </c>
    </row>
    <row r="2746" customFormat="false" ht="15" hidden="false" customHeight="false" outlineLevel="0" collapsed="false">
      <c r="A2746" s="3" t="s">
        <v>379</v>
      </c>
      <c r="C2746" s="21" t="n">
        <f aca="false">MIN($G$2743:$K$2743)</f>
        <v>-0.543370263790506</v>
      </c>
    </row>
    <row r="2747" customFormat="false" ht="15" hidden="false" customHeight="false" outlineLevel="0" collapsed="false">
      <c r="A2747" s="23" t="s">
        <v>381</v>
      </c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</row>
    <row r="2748" customFormat="false" ht="15" hidden="false" customHeight="false" outlineLevel="0" collapsed="false">
      <c r="A2748" s="3" t="s">
        <v>373</v>
      </c>
      <c r="G2748" s="25" t="n">
        <f aca="false">G2726</f>
        <v>436.16263864</v>
      </c>
      <c r="H2748" s="25" t="n">
        <f aca="false">H2726</f>
        <v>380.1425893792</v>
      </c>
      <c r="I2748" s="25" t="n">
        <f aca="false">I2726</f>
        <v>0</v>
      </c>
      <c r="J2748" s="25" t="n">
        <f aca="false">J2726</f>
        <v>0</v>
      </c>
      <c r="K2748" s="25" t="n">
        <f aca="false">K2726</f>
        <v>0</v>
      </c>
    </row>
    <row r="2749" customFormat="false" ht="15" hidden="false" customHeight="false" outlineLevel="0" collapsed="false">
      <c r="A2749" s="3" t="s">
        <v>374</v>
      </c>
      <c r="G2749" s="29" t="n">
        <f aca="false">Assumptions!$G$67</f>
        <v>200</v>
      </c>
      <c r="H2749" s="29" t="n">
        <f aca="false">Assumptions!$H$67</f>
        <v>200</v>
      </c>
      <c r="I2749" s="29" t="n">
        <f aca="false">Assumptions!$I$67</f>
        <v>200</v>
      </c>
      <c r="J2749" s="29" t="n">
        <f aca="false">Assumptions!$J$67</f>
        <v>200</v>
      </c>
      <c r="K2749" s="29" t="n">
        <f aca="false">Assumptions!$K$67</f>
        <v>200</v>
      </c>
    </row>
    <row r="2750" customFormat="false" ht="15" hidden="false" customHeight="false" outlineLevel="0" collapsed="false">
      <c r="A2750" s="3" t="s">
        <v>375</v>
      </c>
      <c r="G2750" s="25" t="n">
        <f aca="false">G2748-G2749</f>
        <v>236.16263864</v>
      </c>
      <c r="H2750" s="25" t="n">
        <f aca="false">H2748-H2749</f>
        <v>180.1425893792</v>
      </c>
      <c r="I2750" s="25" t="n">
        <f aca="false">I2748-I2749</f>
        <v>-200</v>
      </c>
      <c r="J2750" s="25" t="n">
        <f aca="false">J2748-J2749</f>
        <v>-200</v>
      </c>
      <c r="K2750" s="25" t="n">
        <f aca="false">K2748-K2749</f>
        <v>-200</v>
      </c>
    </row>
    <row r="2751" customFormat="false" ht="15" hidden="false" customHeight="false" outlineLevel="0" collapsed="false">
      <c r="A2751" s="3" t="s">
        <v>376</v>
      </c>
      <c r="G2751" s="21" t="n">
        <f aca="false">IF(G2749=0,0,G2750/ABS(G2749))</f>
        <v>1.1808131932</v>
      </c>
      <c r="H2751" s="21" t="n">
        <f aca="false">IF(H2749=0,0,H2750/ABS(H2749))</f>
        <v>0.900712946896</v>
      </c>
      <c r="I2751" s="21" t="n">
        <f aca="false">IF(I2749=0,0,I2750/ABS(I2749))</f>
        <v>-1</v>
      </c>
      <c r="J2751" s="21" t="n">
        <f aca="false">IF(J2749=0,0,J2750/ABS(J2749))</f>
        <v>-1</v>
      </c>
      <c r="K2751" s="21" t="n">
        <f aca="false">IF(K2749=0,0,K2750/ABS(K2749))</f>
        <v>-1</v>
      </c>
    </row>
    <row r="2752" customFormat="false" ht="15" hidden="false" customHeight="false" outlineLevel="0" collapsed="false">
      <c r="A2752" s="3" t="s">
        <v>377</v>
      </c>
      <c r="G2752" s="20" t="n">
        <f aca="false">IF(G2750&lt;0,1,0)</f>
        <v>0</v>
      </c>
      <c r="H2752" s="20" t="n">
        <f aca="false">IF(H2750&lt;0,1,0)</f>
        <v>0</v>
      </c>
      <c r="I2752" s="20" t="n">
        <f aca="false">IF(I2750&lt;0,1,0)</f>
        <v>1</v>
      </c>
      <c r="J2752" s="20" t="n">
        <f aca="false">IF(J2750&lt;0,1,0)</f>
        <v>1</v>
      </c>
      <c r="K2752" s="20" t="n">
        <f aca="false">IF(K2750&lt;0,1,0)</f>
        <v>1</v>
      </c>
    </row>
    <row r="2753" customFormat="false" ht="15" hidden="false" customHeight="false" outlineLevel="0" collapsed="false">
      <c r="A2753" s="3" t="s">
        <v>378</v>
      </c>
      <c r="C2753" s="20" t="n">
        <f aca="false">IFERROR(INDEX($G$2605:$K$2605,MATCH(1,$G$2752:$K$2752,0)),0)</f>
        <v>2029</v>
      </c>
    </row>
    <row r="2754" customFormat="false" ht="15" hidden="false" customHeight="false" outlineLevel="0" collapsed="false">
      <c r="A2754" s="3" t="s">
        <v>379</v>
      </c>
      <c r="C2754" s="21" t="n">
        <f aca="false">MIN($G$2751:$K$2751)</f>
        <v>-1</v>
      </c>
    </row>
    <row r="2755" customFormat="false" ht="15" hidden="false" customHeight="false" outlineLevel="0" collapsed="false">
      <c r="A2755" s="3" t="s">
        <v>382</v>
      </c>
      <c r="G2755" s="20" t="n">
        <f aca="false">G2736+G2744+G2752</f>
        <v>2</v>
      </c>
      <c r="H2755" s="20" t="n">
        <f aca="false">H2736+H2744+H2752</f>
        <v>2</v>
      </c>
      <c r="I2755" s="20" t="n">
        <f aca="false">I2736+I2744+I2752</f>
        <v>3</v>
      </c>
      <c r="J2755" s="20" t="n">
        <f aca="false">J2736+J2744+J2752</f>
        <v>3</v>
      </c>
      <c r="K2755" s="20" t="n">
        <f aca="false">K2736+K2744+K2752</f>
        <v>3</v>
      </c>
    </row>
    <row r="2756" customFormat="false" ht="15" hidden="false" customHeight="false" outlineLevel="0" collapsed="false">
      <c r="A2756" s="3" t="s">
        <v>383</v>
      </c>
      <c r="C2756" s="20" t="n">
        <f aca="false">SUM($G$2755:$K$2755)</f>
        <v>13</v>
      </c>
    </row>
    <row r="2757" customFormat="false" ht="15" hidden="false" customHeight="false" outlineLevel="0" collapsed="false">
      <c r="A2757" s="3" t="s">
        <v>384</v>
      </c>
      <c r="C2757" s="21" t="n">
        <f aca="false">MIN(C2738,C2746,C2754)</f>
        <v>-2.21304453095432</v>
      </c>
    </row>
    <row r="2759" customFormat="false" ht="15" hidden="false" customHeight="false" outlineLevel="0" collapsed="false">
      <c r="A2759" s="23" t="s">
        <v>486</v>
      </c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</row>
    <row r="2760" customFormat="false" ht="15" hidden="false" customHeight="false" outlineLevel="0" collapsed="false">
      <c r="A2760" s="3" t="s">
        <v>487</v>
      </c>
      <c r="G2760" s="20" t="n">
        <f aca="false">IF($C$2761=1,G2713,IF(G2615=MIN($G$2615:$K$2615),1,0))</f>
        <v>0</v>
      </c>
      <c r="H2760" s="20" t="n">
        <f aca="false">IF($C$2761=1,H2713,IF(AND(H2615=MIN($G$2615:$K$2615),SUM($G$2760:G2760)=0),1,0))</f>
        <v>0</v>
      </c>
      <c r="I2760" s="20" t="n">
        <f aca="false">IF($C$2761=1,I2713,IF(AND(I2615=MIN($G$2615:$K$2615),SUM($G$2760:H2760)=0),1,0))</f>
        <v>1</v>
      </c>
      <c r="J2760" s="20" t="n">
        <f aca="false">IF($C$2761=1,J2713,IF(AND(J2615=MIN($G$2615:$K$2615),SUM($G$2760:I2760)=0),1,0))</f>
        <v>0</v>
      </c>
      <c r="K2760" s="20" t="n">
        <f aca="false">IF($C$2761=1,K2713,IF(AND(K2615=MIN($G$2615:$K$2615),SUM($G$2760:J2760)=0),1,0))</f>
        <v>0</v>
      </c>
    </row>
    <row r="2761" customFormat="false" ht="15" hidden="false" customHeight="false" outlineLevel="0" collapsed="false">
      <c r="A2761" s="3" t="s">
        <v>488</v>
      </c>
      <c r="C2761" s="20" t="n">
        <f aca="false">IF(SUM($G$2713:$K$2713)&gt;0,1,0)</f>
        <v>1</v>
      </c>
    </row>
    <row r="2762" customFormat="false" ht="15" hidden="false" customHeight="false" outlineLevel="0" collapsed="false">
      <c r="A2762" s="3" t="s">
        <v>489</v>
      </c>
      <c r="C2762" s="20" t="n">
        <f aca="false">SUMPRODUCT($G$2760:$K$2760,$G$2605:$K$2605)</f>
        <v>2029</v>
      </c>
    </row>
    <row r="2763" customFormat="false" ht="15" hidden="false" customHeight="false" outlineLevel="0" collapsed="false">
      <c r="A2763" s="3" t="s">
        <v>490</v>
      </c>
      <c r="C2763" s="25" t="n">
        <f aca="false">SUMPRODUCT($G$2760:$K$2760,$G$2615:$K$2615)</f>
        <v>117.42317936856</v>
      </c>
    </row>
    <row r="2764" customFormat="false" ht="15" hidden="false" customHeight="false" outlineLevel="0" collapsed="false">
      <c r="A2764" s="3" t="s">
        <v>491</v>
      </c>
      <c r="C2764" s="25" t="n">
        <f aca="false">MAX(0,SUMPRODUCT($G$2760:$K$2760,$G$2710:$K$2710))</f>
        <v>0</v>
      </c>
    </row>
    <row r="2765" customFormat="false" ht="15" hidden="false" customHeight="false" outlineLevel="0" collapsed="false">
      <c r="A2765" s="3" t="s">
        <v>492</v>
      </c>
      <c r="C2765" s="25" t="n">
        <f aca="false">(CHOOSE($C$2598,Assumptions!$C$84,Assumptions!$C$103,Assumptions!$C$122)+$C$2602)*C2763</f>
        <v>528.40430715852</v>
      </c>
    </row>
    <row r="2766" customFormat="false" ht="15" hidden="false" customHeight="false" outlineLevel="0" collapsed="false">
      <c r="A2766" s="3" t="s">
        <v>493</v>
      </c>
      <c r="C2766" s="25" t="n">
        <f aca="false">Assumptions!$C$30*(1-CHOOSE($C$2598,Assumptions!$C$85,Assumptions!$C$104,Assumptions!$C$123))*CHOOSE($C$2598,Assumptions!$C$86,Assumptions!$C$105,Assumptions!$C$124)</f>
        <v>626.017605</v>
      </c>
    </row>
    <row r="2767" customFormat="false" ht="15" hidden="false" customHeight="false" outlineLevel="0" collapsed="false">
      <c r="A2767" s="3" t="s">
        <v>494</v>
      </c>
      <c r="C2767" s="25" t="n">
        <f aca="false">MAX(C2765,C2766)+C2764</f>
        <v>626.017605</v>
      </c>
    </row>
    <row r="2768" customFormat="false" ht="15" hidden="false" customHeight="false" outlineLevel="0" collapsed="false">
      <c r="A2768" s="2" t="s">
        <v>495</v>
      </c>
      <c r="C2768" s="16" t="n">
        <f aca="false">IF(ISNUMBER(Assumptions!$C$14),Assumptions!$C$14,C2767)</f>
        <v>626.017605</v>
      </c>
    </row>
    <row r="2769" customFormat="false" ht="15" hidden="false" customHeight="false" outlineLevel="0" collapsed="false">
      <c r="A2769" s="3" t="s">
        <v>496</v>
      </c>
      <c r="C2769" s="25" t="n">
        <f aca="false">C2768*Assumptions!$C$15</f>
        <v>25.0407042</v>
      </c>
    </row>
    <row r="2770" customFormat="false" ht="15" hidden="false" customHeight="false" outlineLevel="0" collapsed="false">
      <c r="A2770" s="2" t="s">
        <v>497</v>
      </c>
      <c r="C2770" s="16" t="n">
        <f aca="false">C2768-C2769</f>
        <v>600.9769008</v>
      </c>
    </row>
    <row r="2771" customFormat="false" ht="15" hidden="false" customHeight="false" outlineLevel="0" collapsed="false">
      <c r="A2771" s="23" t="s">
        <v>498</v>
      </c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</row>
    <row r="2772" customFormat="false" ht="15" hidden="false" customHeight="false" outlineLevel="0" collapsed="false">
      <c r="A2772" s="3" t="s">
        <v>499</v>
      </c>
      <c r="C2772" s="25" t="n">
        <f aca="false">SUMPRODUCT($G$2760:$K$2760,$G$2652:$K$2652)*(1+SUMPRODUCT($G$2760:$K$2760,$G$2644:$K$2644)*Assumptions!$C$16/12)</f>
        <v>1349.6193225</v>
      </c>
    </row>
    <row r="2773" customFormat="false" ht="15" hidden="false" customHeight="false" outlineLevel="0" collapsed="false">
      <c r="A2773" s="3" t="s">
        <v>500</v>
      </c>
      <c r="C2773" s="25" t="n">
        <f aca="false">SUMPRODUCT($G$2760:$K$2760,$G$2665:$K$2665)*(1+SUMPRODUCT($G$2760:$K$2760,$G$2657:$K$2657)*Assumptions!$C$16/12)</f>
        <v>0</v>
      </c>
    </row>
    <row r="2774" customFormat="false" ht="15" hidden="false" customHeight="false" outlineLevel="0" collapsed="false">
      <c r="A2774" s="3" t="s">
        <v>501</v>
      </c>
      <c r="C2774" s="25" t="n">
        <f aca="false">SUMPRODUCT($G$2760:$K$2760,$G$2678:$K$2678)*(1+SUMPRODUCT($G$2760:$K$2760,$G$2670:$K$2670)*Assumptions!$C$16/12)</f>
        <v>112.545311584788</v>
      </c>
    </row>
    <row r="2775" customFormat="false" ht="15" hidden="false" customHeight="false" outlineLevel="0" collapsed="false">
      <c r="A2775" s="23" t="s">
        <v>502</v>
      </c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</row>
    <row r="2776" customFormat="false" ht="15" hidden="false" customHeight="false" outlineLevel="0" collapsed="false">
      <c r="A2776" s="3" t="s">
        <v>499</v>
      </c>
      <c r="C2776" s="27" t="n">
        <f aca="false">Assumptions!$M$56</f>
        <v>1</v>
      </c>
    </row>
    <row r="2777" customFormat="false" ht="15" hidden="false" customHeight="false" outlineLevel="0" collapsed="false">
      <c r="A2777" s="3" t="s">
        <v>500</v>
      </c>
      <c r="C2777" s="27" t="n">
        <f aca="false">Assumptions!$M$57</f>
        <v>2</v>
      </c>
    </row>
    <row r="2778" customFormat="false" ht="15" hidden="false" customHeight="false" outlineLevel="0" collapsed="false">
      <c r="A2778" s="3" t="s">
        <v>501</v>
      </c>
      <c r="C2778" s="27" t="n">
        <f aca="false">Assumptions!$M$58</f>
        <v>2</v>
      </c>
    </row>
    <row r="2779" customFormat="false" ht="15" hidden="false" customHeight="false" outlineLevel="0" collapsed="false">
      <c r="A2779" s="23" t="s">
        <v>503</v>
      </c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</row>
    <row r="2780" customFormat="false" ht="15" hidden="false" customHeight="false" outlineLevel="0" collapsed="false">
      <c r="A2780" s="3" t="s">
        <v>499</v>
      </c>
      <c r="C2780" s="35" t="n">
        <f aca="false">Assumptions!$Q$56</f>
        <v>0</v>
      </c>
    </row>
    <row r="2781" customFormat="false" ht="15" hidden="false" customHeight="false" outlineLevel="0" collapsed="false">
      <c r="A2781" s="3" t="s">
        <v>500</v>
      </c>
      <c r="C2781" s="35" t="n">
        <f aca="false">Assumptions!$Q$57</f>
        <v>0</v>
      </c>
    </row>
    <row r="2782" customFormat="false" ht="15" hidden="false" customHeight="false" outlineLevel="0" collapsed="false">
      <c r="A2782" s="3" t="s">
        <v>501</v>
      </c>
      <c r="C2782" s="35" t="n">
        <f aca="false">Assumptions!$Q$58</f>
        <v>0</v>
      </c>
    </row>
    <row r="2783" customFormat="false" ht="15" hidden="false" customHeight="false" outlineLevel="0" collapsed="false">
      <c r="A2783" s="23" t="s">
        <v>504</v>
      </c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</row>
    <row r="2784" customFormat="false" ht="15" hidden="false" customHeight="false" outlineLevel="0" collapsed="false">
      <c r="A2784" s="3" t="s">
        <v>499</v>
      </c>
      <c r="C2784" s="25" t="n">
        <f aca="false">IF(C2780&gt;0,MIN(C2772,C2780*$C$2770),0)</f>
        <v>0</v>
      </c>
    </row>
    <row r="2785" customFormat="false" ht="15" hidden="false" customHeight="false" outlineLevel="0" collapsed="false">
      <c r="A2785" s="3" t="s">
        <v>500</v>
      </c>
      <c r="C2785" s="25" t="n">
        <f aca="false">IF(C2781&gt;0,MIN(C2773,C2781*$C$2770),0)</f>
        <v>0</v>
      </c>
    </row>
    <row r="2786" customFormat="false" ht="15" hidden="false" customHeight="false" outlineLevel="0" collapsed="false">
      <c r="A2786" s="3" t="s">
        <v>501</v>
      </c>
      <c r="C2786" s="25" t="n">
        <f aca="false">IF(C2782&gt;0,MIN(C2774,C2782*$C$2770),0)</f>
        <v>0</v>
      </c>
    </row>
    <row r="2787" customFormat="false" ht="15" hidden="false" customHeight="false" outlineLevel="0" collapsed="false">
      <c r="A2787" s="23" t="s">
        <v>505</v>
      </c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</row>
    <row r="2788" customFormat="false" ht="15" hidden="false" customHeight="false" outlineLevel="0" collapsed="false">
      <c r="A2788" s="3" t="s">
        <v>499</v>
      </c>
      <c r="C2788" s="25" t="n">
        <f aca="false">IF(C2780&gt;0,C2772-C2784,0)</f>
        <v>0</v>
      </c>
      <c r="G2788" s="20" t="n">
        <f aca="false">IF(AND(G2642=1,G2639=1),1,0)</f>
        <v>0</v>
      </c>
      <c r="H2788" s="20" t="n">
        <f aca="false">IF(G2788=1,1,IF(AND(H2642=1,H2639=1),1,0))</f>
        <v>0</v>
      </c>
      <c r="I2788" s="20" t="n">
        <f aca="false">IF(H2788=1,1,IF(AND(I2642=1,I2639=1),1,0))</f>
        <v>0</v>
      </c>
      <c r="J2788" s="20" t="n">
        <f aca="false">IF(I2788=1,1,IF(AND(J2642=1,J2639=1),1,0))</f>
        <v>0</v>
      </c>
      <c r="K2788" s="20" t="n">
        <f aca="false">IF(J2788=1,1,IF(AND(K2642=1,K2639=1),1,0))</f>
        <v>0</v>
      </c>
    </row>
    <row r="2789" customFormat="false" ht="15" hidden="false" customHeight="false" outlineLevel="0" collapsed="false">
      <c r="A2789" s="3" t="s">
        <v>500</v>
      </c>
      <c r="C2789" s="25" t="n">
        <f aca="false">IF(C2781&gt;0,C2773-C2785,0)</f>
        <v>0</v>
      </c>
      <c r="G2789" s="20" t="n">
        <f aca="false">IF(AND(G2655=1,G2639=1),1,0)</f>
        <v>0</v>
      </c>
      <c r="H2789" s="20" t="n">
        <f aca="false">IF(G2789=1,1,IF(AND(H2655=1,H2639=1),1,0))</f>
        <v>0</v>
      </c>
      <c r="I2789" s="20" t="n">
        <f aca="false">IF(H2789=1,1,IF(AND(I2655=1,I2639=1),1,0))</f>
        <v>0</v>
      </c>
      <c r="J2789" s="20" t="n">
        <f aca="false">IF(I2789=1,1,IF(AND(J2655=1,J2639=1),1,0))</f>
        <v>0</v>
      </c>
      <c r="K2789" s="20" t="n">
        <f aca="false">IF(J2789=1,1,IF(AND(K2655=1,K2639=1),1,0))</f>
        <v>0</v>
      </c>
    </row>
    <row r="2790" customFormat="false" ht="15" hidden="false" customHeight="false" outlineLevel="0" collapsed="false">
      <c r="A2790" s="3" t="s">
        <v>501</v>
      </c>
      <c r="C2790" s="25" t="n">
        <f aca="false">IF(C2782&gt;0,C2774-C2786,0)</f>
        <v>0</v>
      </c>
      <c r="G2790" s="20" t="n">
        <f aca="false">IF(AND(G2668=1,G2639=1),1,0)</f>
        <v>0</v>
      </c>
      <c r="H2790" s="20" t="n">
        <f aca="false">IF(G2790=1,1,IF(AND(H2668=1,H2639=1),1,0))</f>
        <v>0</v>
      </c>
      <c r="I2790" s="20" t="n">
        <f aca="false">IF(H2790=1,1,IF(AND(I2668=1,I2639=1),1,0))</f>
        <v>0</v>
      </c>
      <c r="J2790" s="20" t="n">
        <f aca="false">IF(I2790=1,1,IF(AND(J2668=1,J2639=1),1,0))</f>
        <v>0</v>
      </c>
      <c r="K2790" s="20" t="n">
        <f aca="false">IF(J2790=1,1,IF(AND(K2668=1,K2639=1),1,0))</f>
        <v>0</v>
      </c>
    </row>
    <row r="2791" customFormat="false" ht="15" hidden="false" customHeight="false" outlineLevel="0" collapsed="false">
      <c r="A2791" s="23" t="s">
        <v>506</v>
      </c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</row>
    <row r="2792" customFormat="false" ht="15" hidden="false" customHeight="false" outlineLevel="0" collapsed="false">
      <c r="A2792" s="3" t="s">
        <v>499</v>
      </c>
      <c r="C2792" s="25" t="n">
        <f aca="false">IF(C2780&gt;0,C2788,C2772)</f>
        <v>1349.6193225</v>
      </c>
    </row>
    <row r="2793" customFormat="false" ht="15" hidden="false" customHeight="false" outlineLevel="0" collapsed="false">
      <c r="A2793" s="3" t="s">
        <v>500</v>
      </c>
      <c r="C2793" s="25" t="n">
        <f aca="false">IF(C2781&gt;0,C2789,C2773)</f>
        <v>0</v>
      </c>
    </row>
    <row r="2794" customFormat="false" ht="15" hidden="false" customHeight="false" outlineLevel="0" collapsed="false">
      <c r="A2794" s="3" t="s">
        <v>501</v>
      </c>
      <c r="C2794" s="25" t="n">
        <f aca="false">IF(C2782&gt;0,C2790,C2774)</f>
        <v>112.545311584788</v>
      </c>
    </row>
    <row r="2795" customFormat="false" ht="15" hidden="false" customHeight="false" outlineLevel="0" collapsed="false">
      <c r="A2795" s="23" t="s">
        <v>507</v>
      </c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</row>
    <row r="2796" customFormat="false" ht="15" hidden="false" customHeight="false" outlineLevel="0" collapsed="false">
      <c r="A2796" s="3" t="s">
        <v>499</v>
      </c>
      <c r="C2796" s="20" t="n">
        <f aca="false">IF(C2780&gt;0,Assumptions!$C$17,C2776)</f>
        <v>1</v>
      </c>
    </row>
    <row r="2797" customFormat="false" ht="15" hidden="false" customHeight="false" outlineLevel="0" collapsed="false">
      <c r="A2797" s="3" t="s">
        <v>500</v>
      </c>
      <c r="C2797" s="20" t="n">
        <f aca="false">IF(C2781&gt;0,Assumptions!$C$17,C2777)</f>
        <v>2</v>
      </c>
    </row>
    <row r="2798" customFormat="false" ht="15" hidden="false" customHeight="false" outlineLevel="0" collapsed="false">
      <c r="A2798" s="3" t="s">
        <v>501</v>
      </c>
      <c r="C2798" s="20" t="n">
        <f aca="false">IF(C2782&gt;0,Assumptions!$C$17,C2778)</f>
        <v>2</v>
      </c>
    </row>
    <row r="2799" customFormat="false" ht="15" hidden="false" customHeight="false" outlineLevel="0" collapsed="false">
      <c r="A2799" s="23" t="s">
        <v>508</v>
      </c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</row>
    <row r="2800" customFormat="false" ht="15" hidden="false" customHeight="false" outlineLevel="0" collapsed="false">
      <c r="A2800" s="3" t="s">
        <v>499</v>
      </c>
      <c r="C2800" s="25" t="n">
        <f aca="false">SUMPRODUCT(($C$2796:$C$2798&lt;C2796)*$C$2792:$C$2794)</f>
        <v>0</v>
      </c>
    </row>
    <row r="2801" customFormat="false" ht="15" hidden="false" customHeight="false" outlineLevel="0" collapsed="false">
      <c r="A2801" s="3" t="s">
        <v>500</v>
      </c>
      <c r="C2801" s="25" t="n">
        <f aca="false">SUMPRODUCT(($C$2796:$C$2798&lt;C2797)*$C$2792:$C$2794)</f>
        <v>1349.6193225</v>
      </c>
    </row>
    <row r="2802" customFormat="false" ht="15" hidden="false" customHeight="false" outlineLevel="0" collapsed="false">
      <c r="A2802" s="3" t="s">
        <v>501</v>
      </c>
      <c r="C2802" s="25" t="n">
        <f aca="false">SUMPRODUCT(($C$2796:$C$2798&lt;C2798)*$C$2792:$C$2794)</f>
        <v>1349.6193225</v>
      </c>
    </row>
    <row r="2803" customFormat="false" ht="15" hidden="false" customHeight="false" outlineLevel="0" collapsed="false">
      <c r="A2803" s="23" t="s">
        <v>509</v>
      </c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</row>
    <row r="2804" customFormat="false" ht="15" hidden="false" customHeight="false" outlineLevel="0" collapsed="false">
      <c r="A2804" s="3" t="s">
        <v>499</v>
      </c>
      <c r="C2804" s="25" t="n">
        <f aca="false">SUMPRODUCT(($C$2796:$C$2798=C2796)*$C$2792:$C$2794)</f>
        <v>1349.6193225</v>
      </c>
    </row>
    <row r="2805" customFormat="false" ht="15" hidden="false" customHeight="false" outlineLevel="0" collapsed="false">
      <c r="A2805" s="3" t="s">
        <v>500</v>
      </c>
      <c r="C2805" s="25" t="n">
        <f aca="false">SUMPRODUCT(($C$2796:$C$2798=C2797)*$C$2792:$C$2794)</f>
        <v>112.545311584788</v>
      </c>
    </row>
    <row r="2806" customFormat="false" ht="15" hidden="false" customHeight="false" outlineLevel="0" collapsed="false">
      <c r="A2806" s="3" t="s">
        <v>501</v>
      </c>
      <c r="C2806" s="25" t="n">
        <f aca="false">SUMPRODUCT(($C$2796:$C$2798=C2798)*$C$2792:$C$2794)</f>
        <v>112.545311584788</v>
      </c>
    </row>
    <row r="2807" customFormat="false" ht="15" hidden="false" customHeight="false" outlineLevel="0" collapsed="false">
      <c r="A2807" s="23" t="s">
        <v>510</v>
      </c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</row>
    <row r="2808" customFormat="false" ht="15" hidden="false" customHeight="false" outlineLevel="0" collapsed="false">
      <c r="A2808" s="3" t="s">
        <v>499</v>
      </c>
      <c r="C2808" s="25" t="n">
        <f aca="false">IF(C2804=0,0,C2792/C2804*MAX(0,MIN(C2804,$C$2770-SUM($C$2784:$C$2786)-C2800)))</f>
        <v>600.9769008</v>
      </c>
    </row>
    <row r="2809" customFormat="false" ht="15" hidden="false" customHeight="false" outlineLevel="0" collapsed="false">
      <c r="A2809" s="3" t="s">
        <v>500</v>
      </c>
      <c r="C2809" s="25" t="n">
        <f aca="false">IF(C2805=0,0,C2793/C2805*MAX(0,MIN(C2805,$C$2770-SUM($C$2784:$C$2786)-C2801)))</f>
        <v>0</v>
      </c>
    </row>
    <row r="2810" customFormat="false" ht="15" hidden="false" customHeight="false" outlineLevel="0" collapsed="false">
      <c r="A2810" s="3" t="s">
        <v>501</v>
      </c>
      <c r="C2810" s="25" t="n">
        <f aca="false">IF(C2806=0,0,C2794/C2806*MAX(0,MIN(C2806,$C$2770-SUM($C$2784:$C$2786)-C2802)))</f>
        <v>0</v>
      </c>
    </row>
    <row r="2811" customFormat="false" ht="15" hidden="false" customHeight="false" outlineLevel="0" collapsed="false">
      <c r="A2811" s="23" t="s">
        <v>511</v>
      </c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</row>
    <row r="2812" customFormat="false" ht="15" hidden="false" customHeight="false" outlineLevel="0" collapsed="false">
      <c r="A2812" s="2" t="s">
        <v>499</v>
      </c>
      <c r="C2812" s="16" t="n">
        <f aca="false">C2784+C2808</f>
        <v>600.9769008</v>
      </c>
    </row>
    <row r="2813" customFormat="false" ht="15" hidden="false" customHeight="false" outlineLevel="0" collapsed="false">
      <c r="A2813" s="2" t="s">
        <v>500</v>
      </c>
      <c r="C2813" s="16" t="n">
        <f aca="false">C2785+C2809</f>
        <v>0</v>
      </c>
    </row>
    <row r="2814" customFormat="false" ht="15" hidden="false" customHeight="false" outlineLevel="0" collapsed="false">
      <c r="A2814" s="2" t="s">
        <v>501</v>
      </c>
      <c r="C2814" s="16" t="n">
        <f aca="false">C2786+C2810</f>
        <v>0</v>
      </c>
    </row>
    <row r="2815" customFormat="false" ht="15" hidden="false" customHeight="false" outlineLevel="0" collapsed="false">
      <c r="A2815" s="23" t="s">
        <v>512</v>
      </c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</row>
    <row r="2816" customFormat="false" ht="15" hidden="false" customHeight="false" outlineLevel="0" collapsed="false">
      <c r="A2816" s="3" t="s">
        <v>499</v>
      </c>
      <c r="C2816" s="21" t="n">
        <f aca="false">IF(C2772=0,1,C2812/C2772)</f>
        <v>0.4452936400516</v>
      </c>
    </row>
    <row r="2817" customFormat="false" ht="15" hidden="false" customHeight="false" outlineLevel="0" collapsed="false">
      <c r="A2817" s="3" t="s">
        <v>500</v>
      </c>
      <c r="C2817" s="21" t="n">
        <f aca="false">IF(C2773=0,1,C2813/C2773)</f>
        <v>1</v>
      </c>
    </row>
    <row r="2818" customFormat="false" ht="15" hidden="false" customHeight="false" outlineLevel="0" collapsed="false">
      <c r="A2818" s="3" t="s">
        <v>501</v>
      </c>
      <c r="C2818" s="21" t="n">
        <f aca="false">IF(C2774=0,1,C2814/C2774)</f>
        <v>0</v>
      </c>
    </row>
    <row r="2819" customFormat="false" ht="15" hidden="false" customHeight="false" outlineLevel="0" collapsed="false">
      <c r="A2819" s="23" t="s">
        <v>513</v>
      </c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</row>
    <row r="2820" customFormat="false" ht="15" hidden="false" customHeight="false" outlineLevel="0" collapsed="false">
      <c r="A2820" s="3" t="s">
        <v>499</v>
      </c>
      <c r="C2820" s="25" t="n">
        <f aca="false">C2772-C2812</f>
        <v>748.6424217</v>
      </c>
    </row>
    <row r="2821" customFormat="false" ht="15" hidden="false" customHeight="false" outlineLevel="0" collapsed="false">
      <c r="A2821" s="3" t="s">
        <v>500</v>
      </c>
      <c r="C2821" s="25" t="n">
        <f aca="false">C2773-C2813</f>
        <v>0</v>
      </c>
    </row>
    <row r="2822" customFormat="false" ht="15" hidden="false" customHeight="false" outlineLevel="0" collapsed="false">
      <c r="A2822" s="3" t="s">
        <v>501</v>
      </c>
      <c r="C2822" s="25" t="n">
        <f aca="false">C2774-C2814</f>
        <v>112.545311584788</v>
      </c>
    </row>
    <row r="2823" customFormat="false" ht="15" hidden="false" customHeight="false" outlineLevel="0" collapsed="false">
      <c r="A2823" s="23" t="s">
        <v>514</v>
      </c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</row>
    <row r="2824" customFormat="false" ht="15" hidden="false" customHeight="false" outlineLevel="0" collapsed="false">
      <c r="A2824" s="3" t="s">
        <v>499</v>
      </c>
      <c r="C2824" s="21" t="n">
        <f aca="false">IF(C2772=0,0,C2820/C2772)</f>
        <v>0.5547063599484</v>
      </c>
    </row>
    <row r="2825" customFormat="false" ht="15" hidden="false" customHeight="false" outlineLevel="0" collapsed="false">
      <c r="A2825" s="3" t="s">
        <v>500</v>
      </c>
      <c r="C2825" s="21" t="n">
        <f aca="false">IF(C2773=0,0,C2821/C2773)</f>
        <v>0</v>
      </c>
    </row>
    <row r="2826" customFormat="false" ht="15" hidden="false" customHeight="false" outlineLevel="0" collapsed="false">
      <c r="A2826" s="3" t="s">
        <v>501</v>
      </c>
      <c r="C2826" s="21" t="n">
        <f aca="false">IF(C2774=0,0,C2822/C2774)</f>
        <v>1</v>
      </c>
    </row>
    <row r="2827" customFormat="false" ht="15" hidden="false" customHeight="false" outlineLevel="0" collapsed="false">
      <c r="A2827" s="2" t="s">
        <v>515</v>
      </c>
      <c r="C2827" s="16" t="n">
        <f aca="false">MAX(0,$C$2770-SUM($C$2784:$C$2786)-SUM($C$2792:$C$2794))</f>
        <v>0</v>
      </c>
    </row>
    <row r="2828" customFormat="false" ht="15" hidden="false" customHeight="false" outlineLevel="0" collapsed="false">
      <c r="A2828" s="3" t="s">
        <v>516</v>
      </c>
      <c r="C2828" s="25" t="n">
        <f aca="false">SUM($C$2812:$C$2814)+C2827+C2769-C2768</f>
        <v>0</v>
      </c>
    </row>
    <row r="2830" customFormat="false" ht="15" hidden="false" customHeight="false" outlineLevel="0" collapsed="false">
      <c r="A2830" s="23" t="s">
        <v>519</v>
      </c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</row>
    <row r="2831" customFormat="false" ht="15" hidden="false" customHeight="false" outlineLevel="0" collapsed="false">
      <c r="A2831" s="3" t="s">
        <v>520</v>
      </c>
      <c r="C2831" s="27" t="n">
        <f aca="false">Assumptions!$C$33</f>
        <v>1</v>
      </c>
    </row>
    <row r="2832" customFormat="false" ht="15" hidden="false" customHeight="false" outlineLevel="0" collapsed="false">
      <c r="A2832" s="3" t="s">
        <v>521</v>
      </c>
      <c r="C2832" s="29" t="n">
        <f aca="false">Assumptions!$C$34</f>
        <v>100</v>
      </c>
    </row>
    <row r="2833" customFormat="false" ht="15" hidden="false" customHeight="false" outlineLevel="0" collapsed="false">
      <c r="A2833" s="3" t="s">
        <v>522</v>
      </c>
      <c r="C2833" s="40" t="n">
        <f aca="false">Assumptions!$C$35</f>
        <v>95</v>
      </c>
    </row>
    <row r="2834" customFormat="false" ht="15" hidden="false" customHeight="false" outlineLevel="0" collapsed="false">
      <c r="A2834" s="3" t="s">
        <v>523</v>
      </c>
      <c r="C2834" s="25" t="n">
        <f aca="false">C2832*C2833/100*(1+Assumptions!$C$36)</f>
        <v>95</v>
      </c>
    </row>
    <row r="2835" customFormat="false" ht="15" hidden="false" customHeight="false" outlineLevel="0" collapsed="false">
      <c r="A2835" s="3" t="s">
        <v>524</v>
      </c>
      <c r="C2835" s="27" t="n">
        <f aca="false">Assumptions!$C$37</f>
        <v>3</v>
      </c>
    </row>
    <row r="2836" customFormat="false" ht="15" hidden="false" customHeight="false" outlineLevel="0" collapsed="false">
      <c r="A2836" s="3" t="s">
        <v>525</v>
      </c>
      <c r="C2836" s="20" t="n">
        <f aca="false">IF(C2761=1,SUMPRODUCT($G$2713:$K$2713,$G$2606:$K$2606),0)</f>
        <v>3</v>
      </c>
    </row>
    <row r="2837" customFormat="false" ht="15" hidden="false" customHeight="false" outlineLevel="0" collapsed="false">
      <c r="A2837" s="3" t="s">
        <v>526</v>
      </c>
      <c r="C2837" s="21" t="n">
        <f aca="false">IFERROR(C2832/CHOOSE(C2831,SUMPRODUCT($G$2760:$K$2760,$G$2652:$K$2652),SUMPRODUCT($G$2760:$K$2760,$G$2665:$K$2665),SUMPRODUCT($G$2760:$K$2760,$G$2678:$K$2678)),0)</f>
        <v>0.0760399605200525</v>
      </c>
    </row>
    <row r="2838" customFormat="false" ht="15" hidden="false" customHeight="false" outlineLevel="0" collapsed="false">
      <c r="A2838" s="3" t="s">
        <v>527</v>
      </c>
      <c r="C2838" s="25" t="n">
        <f aca="false">CHOOSE(C2831,C2812,C2813,C2814)*C2837</f>
        <v>45.6982598102955</v>
      </c>
    </row>
    <row r="2839" customFormat="false" ht="15" hidden="false" customHeight="false" outlineLevel="0" collapsed="false">
      <c r="A2839" s="3" t="s">
        <v>528</v>
      </c>
      <c r="C2839" s="21" t="n">
        <f aca="false">CHOOSE(C2831,C2816,C2817,C2818)</f>
        <v>0.4452936400516</v>
      </c>
    </row>
    <row r="2840" customFormat="false" ht="15" hidden="false" customHeight="false" outlineLevel="0" collapsed="false">
      <c r="A2840" s="3" t="s">
        <v>529</v>
      </c>
      <c r="C2840" s="20" t="n">
        <f aca="false">IF(C2761=1,C2836,C2835)</f>
        <v>3</v>
      </c>
    </row>
    <row r="2841" customFormat="false" ht="15" hidden="false" customHeight="false" outlineLevel="0" collapsed="false">
      <c r="A2841" s="3" t="s">
        <v>530</v>
      </c>
      <c r="C2841" s="34" t="n">
        <f aca="false">CHOOSE($C$2598,Assumptions!$C$83,Assumptions!$C$102,Assumptions!$C$121)</f>
        <v>95</v>
      </c>
    </row>
    <row r="2842" customFormat="false" ht="15" hidden="false" customHeight="false" outlineLevel="0" collapsed="false">
      <c r="A2842" s="3" t="s">
        <v>531</v>
      </c>
      <c r="C2842" s="25" t="n">
        <f aca="false">INDEX($G$2615:$K$2615,C2835)*CHOOSE($C$2598,Assumptions!$C$82,Assumptions!$C$101,Assumptions!$C$120)+MAX(0,INDEX($G$2710:$K$2710,C2835))</f>
        <v>587.1158968428</v>
      </c>
    </row>
    <row r="2843" customFormat="false" ht="15" hidden="false" customHeight="false" outlineLevel="0" collapsed="false">
      <c r="A2843" s="23" t="s">
        <v>532</v>
      </c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</row>
    <row r="2844" customFormat="false" ht="15" hidden="false" customHeight="false" outlineLevel="0" collapsed="false">
      <c r="A2844" s="3" t="s">
        <v>499</v>
      </c>
      <c r="C2844" s="25" t="n">
        <f aca="false">INDEX($G$2652:$K$2652,C2835)</f>
        <v>1315.098</v>
      </c>
    </row>
    <row r="2845" customFormat="false" ht="15" hidden="false" customHeight="false" outlineLevel="0" collapsed="false">
      <c r="A2845" s="3" t="s">
        <v>500</v>
      </c>
      <c r="C2845" s="25" t="n">
        <f aca="false">INDEX($G$2665:$K$2665,C2835)</f>
        <v>0</v>
      </c>
    </row>
    <row r="2846" customFormat="false" ht="15" hidden="false" customHeight="false" outlineLevel="0" collapsed="false">
      <c r="A2846" s="3" t="s">
        <v>501</v>
      </c>
      <c r="C2846" s="25" t="n">
        <f aca="false">INDEX($G$2678:$K$2678,C2835)</f>
        <v>111.362089385072</v>
      </c>
    </row>
    <row r="2847" customFormat="false" ht="15" hidden="false" customHeight="false" outlineLevel="0" collapsed="false">
      <c r="A2847" s="23" t="s">
        <v>502</v>
      </c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</row>
    <row r="2848" customFormat="false" ht="15" hidden="false" customHeight="false" outlineLevel="0" collapsed="false">
      <c r="A2848" s="3" t="s">
        <v>499</v>
      </c>
      <c r="C2848" s="27" t="n">
        <f aca="false">Assumptions!$M$56</f>
        <v>1</v>
      </c>
    </row>
    <row r="2849" customFormat="false" ht="15" hidden="false" customHeight="false" outlineLevel="0" collapsed="false">
      <c r="A2849" s="3" t="s">
        <v>500</v>
      </c>
      <c r="C2849" s="27" t="n">
        <f aca="false">Assumptions!$M$57</f>
        <v>2</v>
      </c>
    </row>
    <row r="2850" customFormat="false" ht="15" hidden="false" customHeight="false" outlineLevel="0" collapsed="false">
      <c r="A2850" s="3" t="s">
        <v>501</v>
      </c>
      <c r="C2850" s="27" t="n">
        <f aca="false">Assumptions!$M$58</f>
        <v>2</v>
      </c>
    </row>
    <row r="2851" customFormat="false" ht="15" hidden="false" customHeight="false" outlineLevel="0" collapsed="false">
      <c r="A2851" s="23" t="s">
        <v>503</v>
      </c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</row>
    <row r="2852" customFormat="false" ht="15" hidden="false" customHeight="false" outlineLevel="0" collapsed="false">
      <c r="A2852" s="3" t="s">
        <v>499</v>
      </c>
      <c r="C2852" s="35" t="n">
        <f aca="false">Assumptions!$Q$56</f>
        <v>0</v>
      </c>
    </row>
    <row r="2853" customFormat="false" ht="15" hidden="false" customHeight="false" outlineLevel="0" collapsed="false">
      <c r="A2853" s="3" t="s">
        <v>500</v>
      </c>
      <c r="C2853" s="35" t="n">
        <f aca="false">Assumptions!$Q$57</f>
        <v>0</v>
      </c>
    </row>
    <row r="2854" customFormat="false" ht="15" hidden="false" customHeight="false" outlineLevel="0" collapsed="false">
      <c r="A2854" s="3" t="s">
        <v>501</v>
      </c>
      <c r="C2854" s="35" t="n">
        <f aca="false">Assumptions!$Q$58</f>
        <v>0</v>
      </c>
    </row>
    <row r="2855" customFormat="false" ht="15" hidden="false" customHeight="false" outlineLevel="0" collapsed="false">
      <c r="A2855" s="23" t="s">
        <v>504</v>
      </c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</row>
    <row r="2856" customFormat="false" ht="15" hidden="false" customHeight="false" outlineLevel="0" collapsed="false">
      <c r="A2856" s="3" t="s">
        <v>499</v>
      </c>
      <c r="C2856" s="25" t="n">
        <f aca="false">IF(C2852&gt;0,MIN(C2844,C2852*$C$2842),0)</f>
        <v>0</v>
      </c>
    </row>
    <row r="2857" customFormat="false" ht="15" hidden="false" customHeight="false" outlineLevel="0" collapsed="false">
      <c r="A2857" s="3" t="s">
        <v>500</v>
      </c>
      <c r="C2857" s="25" t="n">
        <f aca="false">IF(C2853&gt;0,MIN(C2845,C2853*$C$2842),0)</f>
        <v>0</v>
      </c>
    </row>
    <row r="2858" customFormat="false" ht="15" hidden="false" customHeight="false" outlineLevel="0" collapsed="false">
      <c r="A2858" s="3" t="s">
        <v>501</v>
      </c>
      <c r="C2858" s="25" t="n">
        <f aca="false">IF(C2854&gt;0,MIN(C2846,C2854*$C$2842),0)</f>
        <v>0</v>
      </c>
    </row>
    <row r="2859" customFormat="false" ht="15" hidden="false" customHeight="false" outlineLevel="0" collapsed="false">
      <c r="A2859" s="23" t="s">
        <v>505</v>
      </c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</row>
    <row r="2860" customFormat="false" ht="15" hidden="false" customHeight="false" outlineLevel="0" collapsed="false">
      <c r="A2860" s="3" t="s">
        <v>499</v>
      </c>
      <c r="C2860" s="25" t="n">
        <f aca="false">IF(C2852&gt;0,C2844-C2856,0)</f>
        <v>0</v>
      </c>
    </row>
    <row r="2861" customFormat="false" ht="15" hidden="false" customHeight="false" outlineLevel="0" collapsed="false">
      <c r="A2861" s="3" t="s">
        <v>500</v>
      </c>
      <c r="C2861" s="25" t="n">
        <f aca="false">IF(C2853&gt;0,C2845-C2857,0)</f>
        <v>0</v>
      </c>
    </row>
    <row r="2862" customFormat="false" ht="15" hidden="false" customHeight="false" outlineLevel="0" collapsed="false">
      <c r="A2862" s="3" t="s">
        <v>501</v>
      </c>
      <c r="C2862" s="25" t="n">
        <f aca="false">IF(C2854&gt;0,C2846-C2858,0)</f>
        <v>0</v>
      </c>
    </row>
    <row r="2863" customFormat="false" ht="15" hidden="false" customHeight="false" outlineLevel="0" collapsed="false">
      <c r="A2863" s="23" t="s">
        <v>506</v>
      </c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</row>
    <row r="2864" customFormat="false" ht="15" hidden="false" customHeight="false" outlineLevel="0" collapsed="false">
      <c r="A2864" s="3" t="s">
        <v>499</v>
      </c>
      <c r="C2864" s="25" t="n">
        <f aca="false">IF(C2852&gt;0,C2860,C2844)</f>
        <v>1315.098</v>
      </c>
    </row>
    <row r="2865" customFormat="false" ht="15" hidden="false" customHeight="false" outlineLevel="0" collapsed="false">
      <c r="A2865" s="3" t="s">
        <v>500</v>
      </c>
      <c r="C2865" s="25" t="n">
        <f aca="false">IF(C2853&gt;0,C2861,C2845)</f>
        <v>0</v>
      </c>
    </row>
    <row r="2866" customFormat="false" ht="15" hidden="false" customHeight="false" outlineLevel="0" collapsed="false">
      <c r="A2866" s="3" t="s">
        <v>501</v>
      </c>
      <c r="C2866" s="25" t="n">
        <f aca="false">IF(C2854&gt;0,C2862,C2846)</f>
        <v>111.362089385072</v>
      </c>
    </row>
    <row r="2867" customFormat="false" ht="15" hidden="false" customHeight="false" outlineLevel="0" collapsed="false">
      <c r="A2867" s="23" t="s">
        <v>507</v>
      </c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</row>
    <row r="2868" customFormat="false" ht="15" hidden="false" customHeight="false" outlineLevel="0" collapsed="false">
      <c r="A2868" s="3" t="s">
        <v>499</v>
      </c>
      <c r="C2868" s="20" t="n">
        <f aca="false">IF(C2852&gt;0,Assumptions!$C$17,C2848)</f>
        <v>1</v>
      </c>
    </row>
    <row r="2869" customFormat="false" ht="15" hidden="false" customHeight="false" outlineLevel="0" collapsed="false">
      <c r="A2869" s="3" t="s">
        <v>500</v>
      </c>
      <c r="C2869" s="20" t="n">
        <f aca="false">IF(C2853&gt;0,Assumptions!$C$17,C2849)</f>
        <v>2</v>
      </c>
    </row>
    <row r="2870" customFormat="false" ht="15" hidden="false" customHeight="false" outlineLevel="0" collapsed="false">
      <c r="A2870" s="3" t="s">
        <v>501</v>
      </c>
      <c r="C2870" s="20" t="n">
        <f aca="false">IF(C2854&gt;0,Assumptions!$C$17,C2850)</f>
        <v>2</v>
      </c>
    </row>
    <row r="2871" customFormat="false" ht="15" hidden="false" customHeight="false" outlineLevel="0" collapsed="false">
      <c r="A2871" s="23" t="s">
        <v>508</v>
      </c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</row>
    <row r="2872" customFormat="false" ht="15" hidden="false" customHeight="false" outlineLevel="0" collapsed="false">
      <c r="A2872" s="3" t="s">
        <v>499</v>
      </c>
      <c r="C2872" s="25" t="n">
        <f aca="false">SUMPRODUCT(($C$2868:$C$2870&lt;C2868)*$C$2864:$C$2866)</f>
        <v>0</v>
      </c>
    </row>
    <row r="2873" customFormat="false" ht="15" hidden="false" customHeight="false" outlineLevel="0" collapsed="false">
      <c r="A2873" s="3" t="s">
        <v>500</v>
      </c>
      <c r="C2873" s="25" t="n">
        <f aca="false">SUMPRODUCT(($C$2868:$C$2870&lt;C2869)*$C$2864:$C$2866)</f>
        <v>1315.098</v>
      </c>
    </row>
    <row r="2874" customFormat="false" ht="15" hidden="false" customHeight="false" outlineLevel="0" collapsed="false">
      <c r="A2874" s="3" t="s">
        <v>501</v>
      </c>
      <c r="C2874" s="25" t="n">
        <f aca="false">SUMPRODUCT(($C$2868:$C$2870&lt;C2870)*$C$2864:$C$2866)</f>
        <v>1315.098</v>
      </c>
    </row>
    <row r="2875" customFormat="false" ht="15" hidden="false" customHeight="false" outlineLevel="0" collapsed="false">
      <c r="A2875" s="23" t="s">
        <v>509</v>
      </c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</row>
    <row r="2876" customFormat="false" ht="15" hidden="false" customHeight="false" outlineLevel="0" collapsed="false">
      <c r="A2876" s="3" t="s">
        <v>499</v>
      </c>
      <c r="C2876" s="25" t="n">
        <f aca="false">SUMPRODUCT(($C$2868:$C$2870=C2868)*$C$2864:$C$2866)</f>
        <v>1315.098</v>
      </c>
    </row>
    <row r="2877" customFormat="false" ht="15" hidden="false" customHeight="false" outlineLevel="0" collapsed="false">
      <c r="A2877" s="3" t="s">
        <v>500</v>
      </c>
      <c r="C2877" s="25" t="n">
        <f aca="false">SUMPRODUCT(($C$2868:$C$2870=C2869)*$C$2864:$C$2866)</f>
        <v>111.362089385072</v>
      </c>
    </row>
    <row r="2878" customFormat="false" ht="15" hidden="false" customHeight="false" outlineLevel="0" collapsed="false">
      <c r="A2878" s="3" t="s">
        <v>501</v>
      </c>
      <c r="C2878" s="25" t="n">
        <f aca="false">SUMPRODUCT(($C$2868:$C$2870=C2870)*$C$2864:$C$2866)</f>
        <v>111.362089385072</v>
      </c>
    </row>
    <row r="2879" customFormat="false" ht="15" hidden="false" customHeight="false" outlineLevel="0" collapsed="false">
      <c r="A2879" s="23" t="s">
        <v>510</v>
      </c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</row>
    <row r="2880" customFormat="false" ht="15" hidden="false" customHeight="false" outlineLevel="0" collapsed="false">
      <c r="A2880" s="3" t="s">
        <v>499</v>
      </c>
      <c r="C2880" s="25" t="n">
        <f aca="false">IF(C2876=0,0,C2864/C2876*MAX(0,MIN(C2876,$C$2842-SUM($C$2856:$C$2858)-C2872)))</f>
        <v>587.1158968428</v>
      </c>
    </row>
    <row r="2881" customFormat="false" ht="15" hidden="false" customHeight="false" outlineLevel="0" collapsed="false">
      <c r="A2881" s="3" t="s">
        <v>500</v>
      </c>
      <c r="C2881" s="25" t="n">
        <f aca="false">IF(C2877=0,0,C2865/C2877*MAX(0,MIN(C2877,$C$2842-SUM($C$2856:$C$2858)-C2873)))</f>
        <v>0</v>
      </c>
    </row>
    <row r="2882" customFormat="false" ht="15" hidden="false" customHeight="false" outlineLevel="0" collapsed="false">
      <c r="A2882" s="3" t="s">
        <v>501</v>
      </c>
      <c r="C2882" s="25" t="n">
        <f aca="false">IF(C2878=0,0,C2866/C2878*MAX(0,MIN(C2878,$C$2842-SUM($C$2856:$C$2858)-C2874)))</f>
        <v>0</v>
      </c>
    </row>
    <row r="2883" customFormat="false" ht="15" hidden="false" customHeight="false" outlineLevel="0" collapsed="false">
      <c r="A2883" s="23" t="s">
        <v>511</v>
      </c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</row>
    <row r="2884" customFormat="false" ht="15" hidden="false" customHeight="false" outlineLevel="0" collapsed="false">
      <c r="A2884" s="2" t="s">
        <v>499</v>
      </c>
      <c r="C2884" s="16" t="n">
        <f aca="false">C2856+C2880</f>
        <v>587.1158968428</v>
      </c>
    </row>
    <row r="2885" customFormat="false" ht="15" hidden="false" customHeight="false" outlineLevel="0" collapsed="false">
      <c r="A2885" s="2" t="s">
        <v>500</v>
      </c>
      <c r="C2885" s="16" t="n">
        <f aca="false">C2857+C2881</f>
        <v>0</v>
      </c>
    </row>
    <row r="2886" customFormat="false" ht="15" hidden="false" customHeight="false" outlineLevel="0" collapsed="false">
      <c r="A2886" s="2" t="s">
        <v>501</v>
      </c>
      <c r="C2886" s="16" t="n">
        <f aca="false">C2858+C2882</f>
        <v>0</v>
      </c>
    </row>
    <row r="2887" customFormat="false" ht="15" hidden="false" customHeight="false" outlineLevel="0" collapsed="false">
      <c r="A2887" s="23" t="s">
        <v>512</v>
      </c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</row>
    <row r="2888" customFormat="false" ht="15" hidden="false" customHeight="false" outlineLevel="0" collapsed="false">
      <c r="A2888" s="3" t="s">
        <v>499</v>
      </c>
      <c r="C2888" s="21" t="n">
        <f aca="false">IF(C2844=0,1,C2884/C2844)</f>
        <v>0.446442696166217</v>
      </c>
    </row>
    <row r="2889" customFormat="false" ht="15" hidden="false" customHeight="false" outlineLevel="0" collapsed="false">
      <c r="A2889" s="3" t="s">
        <v>500</v>
      </c>
      <c r="C2889" s="21" t="n">
        <f aca="false">IF(C2845=0,1,C2885/C2845)</f>
        <v>1</v>
      </c>
    </row>
    <row r="2890" customFormat="false" ht="15" hidden="false" customHeight="false" outlineLevel="0" collapsed="false">
      <c r="A2890" s="3" t="s">
        <v>501</v>
      </c>
      <c r="C2890" s="21" t="n">
        <f aca="false">IF(C2846=0,1,C2886/C2846)</f>
        <v>0</v>
      </c>
    </row>
    <row r="2891" customFormat="false" ht="15" hidden="false" customHeight="false" outlineLevel="0" collapsed="false">
      <c r="A2891" s="23" t="s">
        <v>513</v>
      </c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</row>
    <row r="2892" customFormat="false" ht="15" hidden="false" customHeight="false" outlineLevel="0" collapsed="false">
      <c r="A2892" s="3" t="s">
        <v>499</v>
      </c>
      <c r="C2892" s="25" t="n">
        <f aca="false">C2844-C2884</f>
        <v>727.9821031572</v>
      </c>
    </row>
    <row r="2893" customFormat="false" ht="15" hidden="false" customHeight="false" outlineLevel="0" collapsed="false">
      <c r="A2893" s="3" t="s">
        <v>500</v>
      </c>
      <c r="C2893" s="25" t="n">
        <f aca="false">C2845-C2885</f>
        <v>0</v>
      </c>
    </row>
    <row r="2894" customFormat="false" ht="15" hidden="false" customHeight="false" outlineLevel="0" collapsed="false">
      <c r="A2894" s="3" t="s">
        <v>501</v>
      </c>
      <c r="C2894" s="25" t="n">
        <f aca="false">C2846-C2886</f>
        <v>111.362089385072</v>
      </c>
    </row>
    <row r="2895" customFormat="false" ht="15" hidden="false" customHeight="false" outlineLevel="0" collapsed="false">
      <c r="A2895" s="23" t="s">
        <v>514</v>
      </c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</row>
    <row r="2896" customFormat="false" ht="15" hidden="false" customHeight="false" outlineLevel="0" collapsed="false">
      <c r="A2896" s="3" t="s">
        <v>499</v>
      </c>
      <c r="C2896" s="21" t="n">
        <f aca="false">IF(C2844=0,0,C2892/C2844)</f>
        <v>0.553557303833783</v>
      </c>
    </row>
    <row r="2897" customFormat="false" ht="15" hidden="false" customHeight="false" outlineLevel="0" collapsed="false">
      <c r="A2897" s="3" t="s">
        <v>500</v>
      </c>
      <c r="C2897" s="21" t="n">
        <f aca="false">IF(C2845=0,0,C2893/C2845)</f>
        <v>0</v>
      </c>
    </row>
    <row r="2898" customFormat="false" ht="15" hidden="false" customHeight="false" outlineLevel="0" collapsed="false">
      <c r="A2898" s="3" t="s">
        <v>501</v>
      </c>
      <c r="C2898" s="21" t="n">
        <f aca="false">IF(C2846=0,0,C2894/C2846)</f>
        <v>1</v>
      </c>
    </row>
    <row r="2899" customFormat="false" ht="15" hidden="false" customHeight="false" outlineLevel="0" collapsed="false">
      <c r="A2899" s="2" t="s">
        <v>515</v>
      </c>
      <c r="C2899" s="16" t="n">
        <f aca="false">MAX(0,$C$2842-SUM($C$2856:$C$2858)-SUM($C$2864:$C$2866))</f>
        <v>0</v>
      </c>
    </row>
    <row r="2900" customFormat="false" ht="15" hidden="false" customHeight="false" outlineLevel="0" collapsed="false">
      <c r="A2900" s="3" t="s">
        <v>533</v>
      </c>
      <c r="C2900" s="34" t="n">
        <f aca="false">MIN(C2841,100*CHOOSE(C2831,C2888,C2889,C2890))</f>
        <v>44.6442696166217</v>
      </c>
    </row>
    <row r="2901" customFormat="false" ht="15" hidden="false" customHeight="false" outlineLevel="0" collapsed="false">
      <c r="A2901" s="3" t="s">
        <v>534</v>
      </c>
      <c r="C2901" s="20" t="n">
        <f aca="false">IF(C2761=1,C2836+Assumptions!$C$39,C2835)</f>
        <v>4</v>
      </c>
    </row>
    <row r="2902" customFormat="false" ht="15" hidden="false" customHeight="false" outlineLevel="0" collapsed="false">
      <c r="A2902" s="23" t="s">
        <v>535</v>
      </c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</row>
    <row r="2903" customFormat="false" ht="15" hidden="false" customHeight="false" outlineLevel="0" collapsed="false">
      <c r="A2903" s="3" t="s">
        <v>536</v>
      </c>
      <c r="C2903" s="20" t="n">
        <f aca="false">COLUMN()-COLUMN($C$1)</f>
        <v>0</v>
      </c>
      <c r="D2903" s="20" t="n">
        <f aca="false">COLUMN()-COLUMN($C$1)</f>
        <v>1</v>
      </c>
      <c r="E2903" s="20" t="n">
        <f aca="false">COLUMN()-COLUMN($C$1)</f>
        <v>2</v>
      </c>
      <c r="F2903" s="20" t="n">
        <f aca="false">COLUMN()-COLUMN($C$1)</f>
        <v>3</v>
      </c>
      <c r="G2903" s="20" t="n">
        <f aca="false">COLUMN()-COLUMN($C$1)</f>
        <v>4</v>
      </c>
      <c r="H2903" s="20" t="n">
        <f aca="false">COLUMN()-COLUMN($C$1)</f>
        <v>5</v>
      </c>
      <c r="I2903" s="20" t="n">
        <f aca="false">COLUMN()-COLUMN($C$1)</f>
        <v>6</v>
      </c>
    </row>
    <row r="2904" customFormat="false" ht="15" hidden="false" customHeight="false" outlineLevel="0" collapsed="false">
      <c r="A2904" s="3" t="s">
        <v>537</v>
      </c>
      <c r="D2904" s="31" t="n">
        <f aca="false">CHOOSE($C$2831,G2644,G2657,G2670)</f>
        <v>0.105</v>
      </c>
      <c r="E2904" s="31" t="n">
        <f aca="false">CHOOSE($C$2831,H2644,H2657,H2670)</f>
        <v>0.105</v>
      </c>
      <c r="F2904" s="31" t="n">
        <f aca="false">CHOOSE($C$2831,I2644,I2657,I2670)</f>
        <v>0.105</v>
      </c>
      <c r="G2904" s="31" t="n">
        <f aca="false">CHOOSE($C$2831,J2644,J2657,J2670)</f>
        <v>0.105</v>
      </c>
      <c r="H2904" s="31" t="n">
        <f aca="false">CHOOSE($C$2831,K2644,K2657,K2670)</f>
        <v>0.105</v>
      </c>
    </row>
    <row r="2905" customFormat="false" ht="15" hidden="false" customHeight="false" outlineLevel="0" collapsed="false">
      <c r="A2905" s="3" t="s">
        <v>538</v>
      </c>
      <c r="D2905" s="25" t="n">
        <f aca="false">IF(D2903&lt;=$C$2840,$C$2832*D2904,0)</f>
        <v>10.5</v>
      </c>
      <c r="E2905" s="25" t="n">
        <f aca="false">IF(E2903&lt;=$C$2840,$C$2832*E2904,0)</f>
        <v>10.5</v>
      </c>
      <c r="F2905" s="25" t="n">
        <f aca="false">IF(F2903&lt;=$C$2840,$C$2832*F2904,0)</f>
        <v>10.5</v>
      </c>
      <c r="G2905" s="25" t="n">
        <f aca="false">IF(G2903&lt;=$C$2840,$C$2832*G2904,0)</f>
        <v>0</v>
      </c>
      <c r="H2905" s="25" t="n">
        <f aca="false">IF(H2903&lt;=$C$2840,$C$2832*H2904,0)</f>
        <v>0</v>
      </c>
    </row>
    <row r="2906" customFormat="false" ht="15" hidden="false" customHeight="false" outlineLevel="0" collapsed="false">
      <c r="A2906" s="3" t="s">
        <v>539</v>
      </c>
      <c r="D2906" s="25" t="n">
        <f aca="false">IF(AND($C$2761=0,D2903=$C$2835),$C$2832*$C$2900/100,0)+IF(AND($C$2761=1,D2903=$C$2901),$C$2838,0)</f>
        <v>0</v>
      </c>
      <c r="E2906" s="25" t="n">
        <f aca="false">IF(AND($C$2761=0,E2903=$C$2835),$C$2832*$C$2900/100,0)+IF(AND($C$2761=1,E2903=$C$2901),$C$2838,0)</f>
        <v>0</v>
      </c>
      <c r="F2906" s="25" t="n">
        <f aca="false">IF(AND($C$2761=0,F2903=$C$2835),$C$2832*$C$2900/100,0)+IF(AND($C$2761=1,F2903=$C$2901),$C$2838,0)</f>
        <v>0</v>
      </c>
      <c r="G2906" s="25" t="n">
        <f aca="false">IF(AND($C$2761=0,G2903=$C$2835),$C$2832*$C$2900/100,0)+IF(AND($C$2761=1,G2903=$C$2901),$C$2838,0)</f>
        <v>45.6982598102955</v>
      </c>
      <c r="H2906" s="25" t="n">
        <f aca="false">IF(AND($C$2761=0,H2903=$C$2835),$C$2832*$C$2900/100,0)+IF(AND($C$2761=1,H2903=$C$2901),$C$2838,0)</f>
        <v>0</v>
      </c>
      <c r="I2906" s="25" t="n">
        <f aca="false">IF(AND($C$2761=0,I2903=$C$2835),$C$2832*$C$2900/100,0)+IF(AND($C$2761=1,I2903=$C$2901),$C$2838,0)</f>
        <v>0</v>
      </c>
    </row>
    <row r="2907" customFormat="false" ht="15" hidden="false" customHeight="false" outlineLevel="0" collapsed="false">
      <c r="A2907" s="2" t="s">
        <v>540</v>
      </c>
      <c r="C2907" s="16" t="n">
        <f aca="false">-$C$2834</f>
        <v>-95</v>
      </c>
      <c r="D2907" s="16" t="n">
        <f aca="false">D2905+D2906</f>
        <v>10.5</v>
      </c>
      <c r="E2907" s="16" t="n">
        <f aca="false">E2905+E2906</f>
        <v>10.5</v>
      </c>
      <c r="F2907" s="16" t="n">
        <f aca="false">F2905+F2906</f>
        <v>10.5</v>
      </c>
      <c r="G2907" s="16" t="n">
        <f aca="false">G2905+G2906</f>
        <v>45.6982598102955</v>
      </c>
      <c r="H2907" s="16" t="n">
        <f aca="false">H2905+H2906</f>
        <v>0</v>
      </c>
      <c r="I2907" s="16" t="n">
        <f aca="false">I2905+I2906</f>
        <v>0</v>
      </c>
    </row>
    <row r="2908" customFormat="false" ht="15" hidden="false" customHeight="false" outlineLevel="0" collapsed="false">
      <c r="A2908" s="3" t="s">
        <v>541</v>
      </c>
      <c r="C2908" s="25" t="n">
        <f aca="false">SUM($C$2905:$I$2905)</f>
        <v>31.5</v>
      </c>
    </row>
    <row r="2909" customFormat="false" ht="15" hidden="false" customHeight="false" outlineLevel="0" collapsed="false">
      <c r="A2909" s="3" t="s">
        <v>542</v>
      </c>
      <c r="C2909" s="25" t="n">
        <f aca="false">SUM($C$2906:$I$2906)</f>
        <v>45.6982598102955</v>
      </c>
    </row>
    <row r="2910" customFormat="false" ht="15" hidden="false" customHeight="false" outlineLevel="0" collapsed="false">
      <c r="A2910" s="3" t="s">
        <v>543</v>
      </c>
      <c r="C2910" s="25" t="n">
        <f aca="false">C2908+C2909</f>
        <v>77.1982598102955</v>
      </c>
    </row>
    <row r="2911" customFormat="false" ht="15" hidden="false" customHeight="false" outlineLevel="0" collapsed="false">
      <c r="A2911" s="3" t="s">
        <v>544</v>
      </c>
      <c r="C2911" s="25" t="n">
        <f aca="false">C2909-C2832*C2833/100</f>
        <v>-49.3017401897045</v>
      </c>
    </row>
    <row r="2912" customFormat="false" ht="15" hidden="false" customHeight="false" outlineLevel="0" collapsed="false">
      <c r="A2912" s="3" t="s">
        <v>545</v>
      </c>
      <c r="C2912" s="25" t="n">
        <f aca="false">C2910-C2834</f>
        <v>-17.8017401897045</v>
      </c>
    </row>
    <row r="2913" customFormat="false" ht="15" hidden="false" customHeight="false" outlineLevel="0" collapsed="false">
      <c r="A2913" s="2" t="s">
        <v>427</v>
      </c>
      <c r="C2913" s="44" t="n">
        <f aca="false">C2910/C2834</f>
        <v>0.812613261161005</v>
      </c>
    </row>
    <row r="2914" customFormat="false" ht="15" hidden="false" customHeight="false" outlineLevel="0" collapsed="false">
      <c r="A2914" s="2" t="s">
        <v>426</v>
      </c>
      <c r="C2914" s="42" t="n">
        <f aca="false">IF(C2910&lt;=0,-1,IFERROR(IRR($C$2907:$I$2907,MAX(-0.9,C2913^(1/C2901)-1)),IRR($C$2907:$I$2907,0.1)))</f>
        <v>-0.0623549957525989</v>
      </c>
    </row>
    <row r="2915" customFormat="false" ht="15" hidden="false" customHeight="false" outlineLevel="0" collapsed="false">
      <c r="A2915" s="3" t="s">
        <v>546</v>
      </c>
      <c r="C2915" s="32" t="n">
        <f aca="false">MAX($G$2721:$K$2721)</f>
        <v>16.0652226547716</v>
      </c>
    </row>
    <row r="2916" customFormat="false" ht="15" hidden="false" customHeight="false" outlineLevel="0" collapsed="false">
      <c r="A2916" s="3" t="s">
        <v>547</v>
      </c>
      <c r="C2916" s="32" t="n">
        <f aca="false">MIN($G$2722:$K$2722)</f>
        <v>0.684944604314242</v>
      </c>
    </row>
    <row r="2917" customFormat="false" ht="15" hidden="false" customHeight="false" outlineLevel="0" collapsed="false">
      <c r="A2917" s="3" t="s">
        <v>548</v>
      </c>
      <c r="C2917" s="25" t="n">
        <f aca="false">SUM($G$2628:$K$2628)</f>
        <v>-299.982901278637</v>
      </c>
    </row>
    <row r="2921" customFormat="false" ht="15" hidden="false" customHeight="false" outlineLevel="0" collapsed="false">
      <c r="A2921" s="9" t="s">
        <v>1023</v>
      </c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</row>
    <row r="2922" customFormat="false" ht="15" hidden="false" customHeight="false" outlineLevel="0" collapsed="false">
      <c r="A2922" s="3" t="s">
        <v>1010</v>
      </c>
      <c r="C2922" s="11" t="n">
        <v>2</v>
      </c>
    </row>
    <row r="2923" customFormat="false" ht="15" hidden="false" customHeight="false" outlineLevel="0" collapsed="false">
      <c r="A2923" s="3" t="s">
        <v>1011</v>
      </c>
      <c r="C2923" s="18" t="n">
        <v>0</v>
      </c>
    </row>
    <row r="2924" customFormat="false" ht="15" hidden="false" customHeight="false" outlineLevel="0" collapsed="false">
      <c r="A2924" s="3" t="s">
        <v>1012</v>
      </c>
      <c r="C2924" s="30" t="n">
        <f aca="false">Sensitivities!$A$31</f>
        <v>-0.02</v>
      </c>
    </row>
    <row r="2925" customFormat="false" ht="15" hidden="false" customHeight="false" outlineLevel="0" collapsed="false">
      <c r="A2925" s="3" t="s">
        <v>1013</v>
      </c>
      <c r="C2925" s="18" t="n">
        <v>0</v>
      </c>
    </row>
    <row r="2926" customFormat="false" ht="15" hidden="false" customHeight="false" outlineLevel="0" collapsed="false">
      <c r="A2926" s="3" t="s">
        <v>1014</v>
      </c>
      <c r="C2926" s="15" t="n">
        <v>0</v>
      </c>
    </row>
    <row r="2928" customFormat="false" ht="15" hidden="false" customHeight="false" outlineLevel="0" collapsed="false">
      <c r="A2928" s="23" t="s">
        <v>281</v>
      </c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</row>
    <row r="2929" customFormat="false" ht="15" hidden="false" customHeight="false" outlineLevel="0" collapsed="false">
      <c r="A2929" s="3" t="s">
        <v>282</v>
      </c>
      <c r="F2929" s="27" t="n">
        <f aca="false">Assumptions!$C$6</f>
        <v>2026</v>
      </c>
      <c r="G2929" s="20" t="n">
        <f aca="false">F2929+1</f>
        <v>2027</v>
      </c>
      <c r="H2929" s="20" t="n">
        <f aca="false">G2929+1</f>
        <v>2028</v>
      </c>
      <c r="I2929" s="20" t="n">
        <f aca="false">H2929+1</f>
        <v>2029</v>
      </c>
      <c r="J2929" s="20" t="n">
        <f aca="false">I2929+1</f>
        <v>2030</v>
      </c>
      <c r="K2929" s="20" t="n">
        <f aca="false">J2929+1</f>
        <v>2031</v>
      </c>
    </row>
    <row r="2930" customFormat="false" ht="15" hidden="false" customHeight="false" outlineLevel="0" collapsed="false">
      <c r="A2930" s="3" t="s">
        <v>283</v>
      </c>
      <c r="G2930" s="20" t="n">
        <f aca="false">G2929-Assumptions!$C$6</f>
        <v>1</v>
      </c>
      <c r="H2930" s="20" t="n">
        <f aca="false">H2929-Assumptions!$C$6</f>
        <v>2</v>
      </c>
      <c r="I2930" s="20" t="n">
        <f aca="false">I2929-Assumptions!$C$6</f>
        <v>3</v>
      </c>
      <c r="J2930" s="20" t="n">
        <f aca="false">J2929-Assumptions!$C$6</f>
        <v>4</v>
      </c>
      <c r="K2930" s="20" t="n">
        <f aca="false">K2929-Assumptions!$C$6</f>
        <v>5</v>
      </c>
    </row>
    <row r="2931" customFormat="false" ht="15" hidden="false" customHeight="false" outlineLevel="0" collapsed="false">
      <c r="A2931" s="3" t="s">
        <v>165</v>
      </c>
      <c r="G2931" s="21" t="n">
        <f aca="false">CHOOSE($C$2922,Assumptions!$G$71,Assumptions!$G$90,Assumptions!$G$109)+$C$2923</f>
        <v>-0.08</v>
      </c>
      <c r="H2931" s="21" t="n">
        <f aca="false">CHOOSE($C$2922,Assumptions!$H$71,Assumptions!$H$90,Assumptions!$H$109)+$C$2923</f>
        <v>-0.07</v>
      </c>
      <c r="I2931" s="21" t="n">
        <f aca="false">CHOOSE($C$2922,Assumptions!$I$71,Assumptions!$I$90,Assumptions!$I$109)+$C$2923</f>
        <v>-0.06</v>
      </c>
      <c r="J2931" s="21" t="n">
        <f aca="false">CHOOSE($C$2922,Assumptions!$J$71,Assumptions!$J$90,Assumptions!$J$109)+$C$2923</f>
        <v>-0.05</v>
      </c>
      <c r="K2931" s="21" t="n">
        <f aca="false">CHOOSE($C$2922,Assumptions!$K$71,Assumptions!$K$90,Assumptions!$K$109)+$C$2923</f>
        <v>-0.05</v>
      </c>
    </row>
    <row r="2932" customFormat="false" ht="15" hidden="false" customHeight="false" outlineLevel="0" collapsed="false">
      <c r="A2932" s="3" t="s">
        <v>166</v>
      </c>
      <c r="G2932" s="21" t="n">
        <f aca="false">CHOOSE($C$2922,Assumptions!$G$72,Assumptions!$G$91,Assumptions!$G$110)</f>
        <v>0.463246670103635</v>
      </c>
      <c r="H2932" s="21" t="n">
        <f aca="false">CHOOSE($C$2922,Assumptions!$H$72,Assumptions!$H$91,Assumptions!$H$110)</f>
        <v>0.453246670103635</v>
      </c>
      <c r="I2932" s="21" t="n">
        <f aca="false">CHOOSE($C$2922,Assumptions!$I$72,Assumptions!$I$91,Assumptions!$I$110)</f>
        <v>0.448246670103634</v>
      </c>
      <c r="J2932" s="21" t="n">
        <f aca="false">CHOOSE($C$2922,Assumptions!$J$72,Assumptions!$J$91,Assumptions!$J$110)</f>
        <v>0.443246670103635</v>
      </c>
      <c r="K2932" s="21" t="n">
        <f aca="false">CHOOSE($C$2922,Assumptions!$K$72,Assumptions!$K$91,Assumptions!$K$110)</f>
        <v>0.443246670103635</v>
      </c>
    </row>
    <row r="2933" customFormat="false" ht="15" hidden="false" customHeight="false" outlineLevel="0" collapsed="false">
      <c r="A2933" s="3" t="s">
        <v>167</v>
      </c>
      <c r="G2933" s="21" t="n">
        <f aca="false">CHOOSE($C$2922,Assumptions!$G$73,Assumptions!$G$92,Assumptions!$G$111)+$C$2924</f>
        <v>0.1</v>
      </c>
      <c r="H2933" s="21" t="n">
        <f aca="false">CHOOSE($C$2922,Assumptions!$H$73,Assumptions!$H$92,Assumptions!$H$111)+$C$2924</f>
        <v>0.09</v>
      </c>
      <c r="I2933" s="21" t="n">
        <f aca="false">CHOOSE($C$2922,Assumptions!$I$73,Assumptions!$I$92,Assumptions!$I$111)+$C$2924</f>
        <v>0.085</v>
      </c>
      <c r="J2933" s="21" t="n">
        <f aca="false">CHOOSE($C$2922,Assumptions!$J$73,Assumptions!$J$92,Assumptions!$J$111)+$C$2924</f>
        <v>0.08</v>
      </c>
      <c r="K2933" s="21" t="n">
        <f aca="false">CHOOSE($C$2922,Assumptions!$K$73,Assumptions!$K$92,Assumptions!$K$111)+$C$2924</f>
        <v>0.08</v>
      </c>
    </row>
    <row r="2934" customFormat="false" ht="15" hidden="false" customHeight="false" outlineLevel="0" collapsed="false">
      <c r="A2934" s="23" t="s">
        <v>284</v>
      </c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</row>
    <row r="2935" customFormat="false" ht="15" hidden="false" customHeight="false" outlineLevel="0" collapsed="false">
      <c r="A2935" s="2" t="s">
        <v>256</v>
      </c>
      <c r="F2935" s="28" t="n">
        <f aca="false">'Historical Financials'!G23</f>
        <v>2246.166</v>
      </c>
      <c r="G2935" s="16" t="n">
        <f aca="false">F2935*(1+G2931)</f>
        <v>2066.47272</v>
      </c>
      <c r="H2935" s="16" t="n">
        <f aca="false">G2935*(1+H2931)</f>
        <v>1921.8196296</v>
      </c>
      <c r="I2935" s="16" t="n">
        <f aca="false">H2935*(1+I2931)</f>
        <v>1806.510451824</v>
      </c>
      <c r="J2935" s="16" t="n">
        <f aca="false">I2935*(1+J2931)</f>
        <v>1716.1849292328</v>
      </c>
      <c r="K2935" s="16" t="n">
        <f aca="false">J2935*(1+K2931)</f>
        <v>1630.37568277116</v>
      </c>
    </row>
    <row r="2936" customFormat="false" ht="15" hidden="false" customHeight="false" outlineLevel="0" collapsed="false">
      <c r="A2936" s="3" t="s">
        <v>257</v>
      </c>
      <c r="G2936" s="25" t="n">
        <f aca="false">G2935*(1-G2932)</f>
        <v>1109.1861136</v>
      </c>
      <c r="H2936" s="25" t="n">
        <f aca="false">H2935*(1-H2932)</f>
        <v>1050.761281944</v>
      </c>
      <c r="I2936" s="25" t="n">
        <f aca="false">I2935*(1-I2932)</f>
        <v>996.74815728648</v>
      </c>
      <c r="J2936" s="25" t="n">
        <f aca="false">J2935*(1-J2932)</f>
        <v>955.49167406832</v>
      </c>
      <c r="K2936" s="25" t="n">
        <f aca="false">K2935*(1-K2932)</f>
        <v>907.717090364904</v>
      </c>
    </row>
    <row r="2937" customFormat="false" ht="15" hidden="false" customHeight="false" outlineLevel="0" collapsed="false">
      <c r="A2937" s="2" t="s">
        <v>258</v>
      </c>
      <c r="G2937" s="16" t="n">
        <f aca="false">G2935-G2936</f>
        <v>957.2866064</v>
      </c>
      <c r="H2937" s="16" t="n">
        <f aca="false">H2935-H2936</f>
        <v>871.058347656</v>
      </c>
      <c r="I2937" s="16" t="n">
        <f aca="false">I2935-I2936</f>
        <v>809.76229453752</v>
      </c>
      <c r="J2937" s="16" t="n">
        <f aca="false">J2935-J2936</f>
        <v>760.69325516448</v>
      </c>
      <c r="K2937" s="16" t="n">
        <f aca="false">K2935-K2936</f>
        <v>722.658592406256</v>
      </c>
    </row>
    <row r="2938" customFormat="false" ht="15" hidden="false" customHeight="false" outlineLevel="0" collapsed="false">
      <c r="A2938" s="3" t="s">
        <v>285</v>
      </c>
      <c r="G2938" s="25" t="n">
        <f aca="false">G2937-G2939</f>
        <v>750.6393344</v>
      </c>
      <c r="H2938" s="25" t="n">
        <f aca="false">H2937-H2939</f>
        <v>698.094580992</v>
      </c>
      <c r="I2938" s="25" t="n">
        <f aca="false">I2937-I2939</f>
        <v>656.20890613248</v>
      </c>
      <c r="J2938" s="25" t="n">
        <f aca="false">J2937-J2939</f>
        <v>623.398460825856</v>
      </c>
      <c r="K2938" s="25" t="n">
        <f aca="false">K2937-K2939</f>
        <v>592.228537784563</v>
      </c>
    </row>
    <row r="2939" customFormat="false" ht="15" hidden="false" customHeight="false" outlineLevel="0" collapsed="false">
      <c r="A2939" s="2" t="s">
        <v>286</v>
      </c>
      <c r="G2939" s="16" t="n">
        <f aca="false">G2935*G2933</f>
        <v>206.647272</v>
      </c>
      <c r="H2939" s="16" t="n">
        <f aca="false">H2935*H2933</f>
        <v>172.963766664</v>
      </c>
      <c r="I2939" s="16" t="n">
        <f aca="false">I2935*I2933</f>
        <v>153.55338840504</v>
      </c>
      <c r="J2939" s="16" t="n">
        <f aca="false">J2935*J2933</f>
        <v>137.294794338624</v>
      </c>
      <c r="K2939" s="16" t="n">
        <f aca="false">K2935*K2933</f>
        <v>130.430054621693</v>
      </c>
    </row>
    <row r="2940" customFormat="false" ht="15" hidden="false" customHeight="false" outlineLevel="0" collapsed="false">
      <c r="A2940" s="3" t="s">
        <v>287</v>
      </c>
      <c r="G2940" s="25" t="n">
        <f aca="false">G2935*'Historical Financials'!G28/'Historical Financials'!G23</f>
        <v>78.47232</v>
      </c>
      <c r="H2940" s="25" t="n">
        <f aca="false">H2935*'Historical Financials'!G28/'Historical Financials'!G23</f>
        <v>72.9792576</v>
      </c>
      <c r="I2940" s="25" t="n">
        <f aca="false">I2935*'Historical Financials'!G28/'Historical Financials'!G23</f>
        <v>68.600502144</v>
      </c>
      <c r="J2940" s="25" t="n">
        <f aca="false">J2935*'Historical Financials'!G28/'Historical Financials'!G23</f>
        <v>65.1704770368</v>
      </c>
      <c r="K2940" s="25" t="n">
        <f aca="false">K2935*'Historical Financials'!G28/'Historical Financials'!G23</f>
        <v>61.91195318496</v>
      </c>
    </row>
    <row r="2941" customFormat="false" ht="15" hidden="false" customHeight="false" outlineLevel="0" collapsed="false">
      <c r="A2941" s="3" t="s">
        <v>288</v>
      </c>
      <c r="G2941" s="25" t="n">
        <f aca="false">G2935*'Historical Financials'!G29/'Historical Financials'!G23</f>
        <v>22.40752</v>
      </c>
      <c r="H2941" s="25" t="n">
        <f aca="false">H2935*'Historical Financials'!G29/'Historical Financials'!G23</f>
        <v>20.8389936</v>
      </c>
      <c r="I2941" s="25" t="n">
        <f aca="false">I2935*'Historical Financials'!G29/'Historical Financials'!G23</f>
        <v>19.588653984</v>
      </c>
      <c r="J2941" s="25" t="n">
        <f aca="false">J2935*'Historical Financials'!G29/'Historical Financials'!G23</f>
        <v>18.6092212848</v>
      </c>
      <c r="K2941" s="25" t="n">
        <f aca="false">K2935*'Historical Financials'!G29/'Historical Financials'!G23</f>
        <v>17.67876022056</v>
      </c>
    </row>
    <row r="2942" customFormat="false" ht="15" hidden="false" customHeight="false" outlineLevel="0" collapsed="false">
      <c r="A2942" s="2" t="s">
        <v>289</v>
      </c>
      <c r="G2942" s="16" t="n">
        <f aca="false">G2939-G2940-G2941</f>
        <v>105.767432</v>
      </c>
      <c r="H2942" s="16" t="n">
        <f aca="false">H2939-H2940-H2941</f>
        <v>79.145515464</v>
      </c>
      <c r="I2942" s="16" t="n">
        <f aca="false">I2939-I2940-I2941</f>
        <v>65.36423227704</v>
      </c>
      <c r="J2942" s="16" t="n">
        <f aca="false">J2939-J2940-J2941</f>
        <v>53.515096017024</v>
      </c>
      <c r="K2942" s="16" t="n">
        <f aca="false">K2939-K2940-K2941</f>
        <v>50.8393412161728</v>
      </c>
    </row>
    <row r="2943" customFormat="false" ht="15" hidden="false" customHeight="false" outlineLevel="0" collapsed="false">
      <c r="A2943" s="3" t="s">
        <v>290</v>
      </c>
      <c r="G2943" s="25" t="n">
        <f aca="false">G2969+G2982+G2995</f>
        <v>155.95467</v>
      </c>
      <c r="H2943" s="25" t="n">
        <f aca="false">H2969+H2982+H2995</f>
        <v>155.95467</v>
      </c>
      <c r="I2943" s="25" t="n">
        <f aca="false">I2969+I2982+I2995</f>
        <v>155.95467</v>
      </c>
      <c r="J2943" s="25" t="n">
        <f aca="false">J2969+J2982+J2995</f>
        <v>138.08529</v>
      </c>
      <c r="K2943" s="25" t="n">
        <f aca="false">K2969+K2982+K2995</f>
        <v>138.08529</v>
      </c>
    </row>
    <row r="2944" customFormat="false" ht="15" hidden="false" customHeight="false" outlineLevel="0" collapsed="false">
      <c r="A2944" s="3" t="s">
        <v>291</v>
      </c>
      <c r="G2944" s="25" t="n">
        <f aca="false">G2970+G2983+G2996</f>
        <v>0</v>
      </c>
      <c r="H2944" s="25" t="n">
        <f aca="false">H2970+H2983+H2996</f>
        <v>0</v>
      </c>
      <c r="I2944" s="25" t="n">
        <f aca="false">I2970+I2983+I2996</f>
        <v>0</v>
      </c>
      <c r="J2944" s="25" t="n">
        <f aca="false">J2970+J2983+J2996</f>
        <v>0</v>
      </c>
      <c r="K2944" s="25" t="n">
        <f aca="false">K2970+K2983+K2996</f>
        <v>0</v>
      </c>
    </row>
    <row r="2945" customFormat="false" ht="15" hidden="false" customHeight="false" outlineLevel="0" collapsed="false">
      <c r="A2945" s="3" t="s">
        <v>239</v>
      </c>
      <c r="G2945" s="25" t="n">
        <f aca="false">G2943+G2944</f>
        <v>155.95467</v>
      </c>
      <c r="H2945" s="25" t="n">
        <f aca="false">H2943+H2944</f>
        <v>155.95467</v>
      </c>
      <c r="I2945" s="25" t="n">
        <f aca="false">I2943+I2944</f>
        <v>155.95467</v>
      </c>
      <c r="J2945" s="25" t="n">
        <f aca="false">J2943+J2944</f>
        <v>138.08529</v>
      </c>
      <c r="K2945" s="25" t="n">
        <f aca="false">K2943+K2944</f>
        <v>138.08529</v>
      </c>
    </row>
    <row r="2946" customFormat="false" ht="15" hidden="false" customHeight="false" outlineLevel="0" collapsed="false">
      <c r="A2946" s="2" t="s">
        <v>264</v>
      </c>
      <c r="G2946" s="16" t="n">
        <f aca="false">G2942-G2945</f>
        <v>-50.187238</v>
      </c>
      <c r="H2946" s="16" t="n">
        <f aca="false">H2942-H2945</f>
        <v>-76.809154536</v>
      </c>
      <c r="I2946" s="16" t="n">
        <f aca="false">I2942-I2945</f>
        <v>-90.59043772296</v>
      </c>
      <c r="J2946" s="16" t="n">
        <f aca="false">J2942-J2945</f>
        <v>-84.570193982976</v>
      </c>
      <c r="K2946" s="16" t="n">
        <f aca="false">K2942-K2945</f>
        <v>-87.2459487838272</v>
      </c>
    </row>
    <row r="2947" customFormat="false" ht="15" hidden="false" customHeight="false" outlineLevel="0" collapsed="false">
      <c r="A2947" s="3" t="s">
        <v>292</v>
      </c>
      <c r="G2947" s="25" t="n">
        <f aca="false">MAX(0,G2946)*Assumptions!$C$9</f>
        <v>0</v>
      </c>
      <c r="H2947" s="25" t="n">
        <f aca="false">MAX(0,H2946)*Assumptions!$C$9</f>
        <v>0</v>
      </c>
      <c r="I2947" s="25" t="n">
        <f aca="false">MAX(0,I2946)*Assumptions!$C$9</f>
        <v>0</v>
      </c>
      <c r="J2947" s="25" t="n">
        <f aca="false">MAX(0,J2946)*Assumptions!$C$9</f>
        <v>0</v>
      </c>
      <c r="K2947" s="25" t="n">
        <f aca="false">MAX(0,K2946)*Assumptions!$C$9</f>
        <v>0</v>
      </c>
    </row>
    <row r="2948" customFormat="false" ht="15" hidden="false" customHeight="false" outlineLevel="0" collapsed="false">
      <c r="A2948" s="2" t="s">
        <v>293</v>
      </c>
      <c r="G2948" s="16" t="n">
        <f aca="false">G2946-G2947</f>
        <v>-50.187238</v>
      </c>
      <c r="H2948" s="16" t="n">
        <f aca="false">H2946-H2947</f>
        <v>-76.809154536</v>
      </c>
      <c r="I2948" s="16" t="n">
        <f aca="false">I2946-I2947</f>
        <v>-90.59043772296</v>
      </c>
      <c r="J2948" s="16" t="n">
        <f aca="false">J2946-J2947</f>
        <v>-84.570193982976</v>
      </c>
      <c r="K2948" s="16" t="n">
        <f aca="false">K2946-K2947</f>
        <v>-87.2459487838272</v>
      </c>
    </row>
    <row r="2949" customFormat="false" ht="15" hidden="false" customHeight="false" outlineLevel="0" collapsed="false">
      <c r="A2949" s="23" t="s">
        <v>294</v>
      </c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</row>
    <row r="2950" customFormat="false" ht="15" hidden="false" customHeight="false" outlineLevel="0" collapsed="false">
      <c r="A2950" s="3" t="s">
        <v>169</v>
      </c>
      <c r="G2950" s="25" t="n">
        <f aca="false">G2935*CHOOSE($C$2922,Assumptions!$C$75,Assumptions!$C$94,Assumptions!$C$113)</f>
        <v>26.86414536</v>
      </c>
      <c r="H2950" s="25" t="n">
        <f aca="false">H2935*CHOOSE($C$2922,Assumptions!$C$75,Assumptions!$C$94,Assumptions!$C$113)</f>
        <v>24.9836551848</v>
      </c>
      <c r="I2950" s="25" t="n">
        <f aca="false">I2935*CHOOSE($C$2922,Assumptions!$C$75,Assumptions!$C$94,Assumptions!$C$113)</f>
        <v>23.484635873712</v>
      </c>
      <c r="J2950" s="25" t="n">
        <f aca="false">J2935*CHOOSE($C$2922,Assumptions!$C$75,Assumptions!$C$94,Assumptions!$C$113)</f>
        <v>22.3104040800264</v>
      </c>
      <c r="K2950" s="25" t="n">
        <f aca="false">K2935*CHOOSE($C$2922,Assumptions!$C$75,Assumptions!$C$94,Assumptions!$C$113)</f>
        <v>21.1948838760251</v>
      </c>
    </row>
    <row r="2951" customFormat="false" ht="15" hidden="false" customHeight="false" outlineLevel="0" collapsed="false">
      <c r="A2951" s="3" t="s">
        <v>295</v>
      </c>
      <c r="G2951" s="25" t="n">
        <f aca="false">CHOOSE($C$2922,Assumptions!$C$76,Assumptions!$C$95,Assumptions!$C$114)*(G2935-F2935)+CHOOSE($C$2922,Assumptions!$C$77,Assumptions!$C$96,Assumptions!$C$115)*G2935</f>
        <v>10.3323636</v>
      </c>
      <c r="H2951" s="25" t="n">
        <f aca="false">CHOOSE($C$2922,Assumptions!$C$76,Assumptions!$C$95,Assumptions!$C$114)*(H2935-G2935)+CHOOSE($C$2922,Assumptions!$C$77,Assumptions!$C$96,Assumptions!$C$115)*H2935</f>
        <v>9.609098148</v>
      </c>
      <c r="I2951" s="25" t="n">
        <f aca="false">CHOOSE($C$2922,Assumptions!$C$76,Assumptions!$C$95,Assumptions!$C$114)*(I2935-H2935)+CHOOSE($C$2922,Assumptions!$C$77,Assumptions!$C$96,Assumptions!$C$115)*I2935</f>
        <v>9.03255225912</v>
      </c>
      <c r="J2951" s="25" t="n">
        <f aca="false">CHOOSE($C$2922,Assumptions!$C$76,Assumptions!$C$95,Assumptions!$C$114)*(J2935-I2935)+CHOOSE($C$2922,Assumptions!$C$77,Assumptions!$C$96,Assumptions!$C$115)*J2935</f>
        <v>8.580924646164</v>
      </c>
      <c r="K2951" s="25" t="n">
        <f aca="false">CHOOSE($C$2922,Assumptions!$C$76,Assumptions!$C$95,Assumptions!$C$114)*(K2935-J2935)+CHOOSE($C$2922,Assumptions!$C$77,Assumptions!$C$96,Assumptions!$C$115)*K2935</f>
        <v>8.1518784138558</v>
      </c>
    </row>
    <row r="2952" customFormat="false" ht="15" hidden="false" customHeight="false" outlineLevel="0" collapsed="false">
      <c r="A2952" s="2" t="s">
        <v>296</v>
      </c>
      <c r="G2952" s="16" t="n">
        <f aca="false">G2948+G2940+G2941+G2944-G2950-G2951</f>
        <v>13.49609304</v>
      </c>
      <c r="H2952" s="16" t="n">
        <f aca="false">H2948+H2940+H2941+H2944-H2950-H2951</f>
        <v>-17.5836566688</v>
      </c>
      <c r="I2952" s="16" t="n">
        <f aca="false">I2948+I2940+I2941+I2944-I2950-I2951</f>
        <v>-34.918469727792</v>
      </c>
      <c r="J2952" s="16" t="n">
        <f aca="false">J2948+J2940+J2941+J2944-J2950-J2951</f>
        <v>-31.6818243875664</v>
      </c>
      <c r="K2952" s="16" t="n">
        <f aca="false">K2948+K2940+K2941+K2944-K2950-K2951</f>
        <v>-37.0019976681881</v>
      </c>
    </row>
    <row r="2954" customFormat="false" ht="15" hidden="false" customHeight="false" outlineLevel="0" collapsed="false">
      <c r="A2954" s="23" t="s">
        <v>298</v>
      </c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</row>
    <row r="2955" customFormat="false" ht="15" hidden="false" customHeight="false" outlineLevel="0" collapsed="false">
      <c r="A2955" s="3" t="s">
        <v>299</v>
      </c>
      <c r="G2955" s="30" t="n">
        <f aca="false">Assumptions!$G$52</f>
        <v>0.039</v>
      </c>
      <c r="H2955" s="30" t="n">
        <f aca="false">Assumptions!$H$52</f>
        <v>0.0375</v>
      </c>
      <c r="I2955" s="30" t="n">
        <f aca="false">Assumptions!$I$52</f>
        <v>0.035</v>
      </c>
      <c r="J2955" s="30" t="n">
        <f aca="false">Assumptions!$J$52</f>
        <v>0.035</v>
      </c>
      <c r="K2955" s="30" t="n">
        <f aca="false">Assumptions!$K$52</f>
        <v>0.035</v>
      </c>
    </row>
    <row r="2956" customFormat="false" ht="15" hidden="false" customHeight="false" outlineLevel="0" collapsed="false">
      <c r="A2956" s="3" t="s">
        <v>300</v>
      </c>
      <c r="C2956" s="31" t="n">
        <f aca="false">CHOOSE($C$2922,Assumptions!$C$78,Assumptions!$C$97,Assumptions!$C$116)+$C$2925</f>
        <v>0.015</v>
      </c>
    </row>
    <row r="2957" customFormat="false" ht="15" hidden="false" customHeight="false" outlineLevel="0" collapsed="false">
      <c r="A2957" s="3" t="s">
        <v>301</v>
      </c>
      <c r="C2957" s="31" t="n">
        <f aca="false">CHOOSE($C$2922,Assumptions!$C$79,Assumptions!$C$98,Assumptions!$C$117)</f>
        <v>0.13</v>
      </c>
    </row>
    <row r="2958" customFormat="false" ht="15" hidden="false" customHeight="false" outlineLevel="0" collapsed="false">
      <c r="A2958" s="3" t="s">
        <v>302</v>
      </c>
      <c r="C2958" s="32" t="n">
        <f aca="false">CHOOSE($C$2922,Assumptions!$C$80,Assumptions!$C$99,Assumptions!$C$118)</f>
        <v>5.5</v>
      </c>
    </row>
    <row r="2959" customFormat="false" ht="15" hidden="false" customHeight="false" outlineLevel="0" collapsed="false">
      <c r="A2959" s="3" t="s">
        <v>303</v>
      </c>
      <c r="C2959" s="32" t="n">
        <f aca="false">CHOOSE($C$2922,Assumptions!$C$81,Assumptions!$C$100,Assumptions!$C$119)</f>
        <v>1.5</v>
      </c>
    </row>
    <row r="2960" customFormat="false" ht="15" hidden="false" customHeight="false" outlineLevel="0" collapsed="false">
      <c r="A2960" s="3" t="s">
        <v>304</v>
      </c>
      <c r="G2960" s="25" t="n">
        <f aca="false">G2965+G2978+G2991</f>
        <v>1735.554</v>
      </c>
      <c r="H2960" s="25" t="n">
        <f aca="false">H2965+H2978+H2991</f>
        <v>1735.554</v>
      </c>
      <c r="I2960" s="25" t="n">
        <f aca="false">I2965+I2978+I2991</f>
        <v>1735.554</v>
      </c>
      <c r="J2960" s="25" t="n">
        <f aca="false">J2965+J2978+J2991</f>
        <v>1315.098</v>
      </c>
      <c r="K2960" s="25" t="n">
        <f aca="false">K2965+K2978+K2991</f>
        <v>1315.098</v>
      </c>
    </row>
    <row r="2961" customFormat="false" ht="15" hidden="false" customHeight="false" outlineLevel="0" collapsed="false">
      <c r="A2961" s="3" t="s">
        <v>305</v>
      </c>
      <c r="G2961" s="25" t="n">
        <f aca="false">F3034</f>
        <v>463.996</v>
      </c>
      <c r="H2961" s="25" t="n">
        <f aca="false">G3034</f>
        <v>477.49209304</v>
      </c>
      <c r="I2961" s="25" t="n">
        <f aca="false">H3034</f>
        <v>459.9084363712</v>
      </c>
      <c r="J2961" s="25" t="n">
        <f aca="false">I3034</f>
        <v>4.53396664340795</v>
      </c>
      <c r="K2961" s="25" t="n">
        <f aca="false">J3034</f>
        <v>-27.1478577441585</v>
      </c>
    </row>
    <row r="2962" customFormat="false" ht="15" hidden="false" customHeight="false" outlineLevel="0" collapsed="false">
      <c r="A2962" s="3" t="s">
        <v>306</v>
      </c>
      <c r="G2962" s="25" t="n">
        <f aca="false">G2965*IF(G2966=1,$C$2957,IF(Assumptions!$I$56=1,MAX(G2955,Assumptions!$G$56)+Assumptions!$F$56+$C$2956,Assumptions!$E$56))+G2978*IF(G2979=1,$C$2957,IF(Assumptions!$I$57=1,MAX(G2955,Assumptions!$G$57)+Assumptions!$F$57+$C$2956,Assumptions!$E$57))+G2991*IF(G2992=1,$C$2957,IF(Assumptions!$I$58=1,MAX(G2955,Assumptions!$G$58)+Assumptions!$F$58+$C$2956,Assumptions!$E$58))</f>
        <v>155.95467</v>
      </c>
      <c r="H2962" s="25" t="n">
        <f aca="false">H2965*IF(OR(H2966=1,G3112=1),$C$2957,IF(Assumptions!$I$56=1,MAX(H2955,Assumptions!$G$56)+Assumptions!$F$56+$C$2956,Assumptions!$E$56))+H2978*IF(OR(H2979=1,G3113=1),$C$2957,IF(Assumptions!$I$57=1,MAX(H2955,Assumptions!$G$57)+Assumptions!$F$57+$C$2956,Assumptions!$E$57))+H2991*IF(OR(H2992=1,G3114=1),$C$2957,IF(Assumptions!$I$58=1,MAX(H2955,Assumptions!$G$58)+Assumptions!$F$58+$C$2956,Assumptions!$E$58))</f>
        <v>155.95467</v>
      </c>
      <c r="I2962" s="25" t="n">
        <f aca="false">I2965*IF(OR(I2966=1,H3112=1),$C$2957,IF(Assumptions!$I$56=1,MAX(I2955,Assumptions!$G$56)+Assumptions!$F$56+$C$2956,Assumptions!$E$56))+I2978*IF(OR(I2979=1,H3113=1),$C$2957,IF(Assumptions!$I$57=1,MAX(I2955,Assumptions!$G$57)+Assumptions!$F$57+$C$2956,Assumptions!$E$57))+I2991*IF(OR(I2992=1,H3114=1),$C$2957,IF(Assumptions!$I$58=1,MAX(I2955,Assumptions!$G$58)+Assumptions!$F$58+$C$2956,Assumptions!$E$58))</f>
        <v>192.74457</v>
      </c>
      <c r="J2962" s="25" t="n">
        <f aca="false">J2965*IF(OR(J2966=1,I3112=1),$C$2957,IF(Assumptions!$I$56=1,MAX(J2955,Assumptions!$G$56)+Assumptions!$F$56+$C$2956,Assumptions!$E$56))+J2978*IF(OR(J2979=1,I3113=1),$C$2957,IF(Assumptions!$I$57=1,MAX(J2955,Assumptions!$G$57)+Assumptions!$F$57+$C$2956,Assumptions!$E$57))+J2991*IF(OR(J2992=1,I3114=1),$C$2957,IF(Assumptions!$I$58=1,MAX(J2955,Assumptions!$G$58)+Assumptions!$F$58+$C$2956,Assumptions!$E$58))</f>
        <v>138.08529</v>
      </c>
      <c r="K2962" s="25" t="n">
        <f aca="false">K2965*IF(OR(K2966=1,J3112=1),$C$2957,IF(Assumptions!$I$56=1,MAX(K2955,Assumptions!$G$56)+Assumptions!$F$56+$C$2956,Assumptions!$E$56))+K2978*IF(OR(K2979=1,J3113=1),$C$2957,IF(Assumptions!$I$57=1,MAX(K2955,Assumptions!$G$57)+Assumptions!$F$57+$C$2956,Assumptions!$E$57))+K2991*IF(OR(K2992=1,J3114=1),$C$2957,IF(Assumptions!$I$58=1,MAX(K2955,Assumptions!$G$58)+Assumptions!$F$58+$C$2956,Assumptions!$E$58))</f>
        <v>138.08529</v>
      </c>
    </row>
    <row r="2963" customFormat="false" ht="15" hidden="false" customHeight="false" outlineLevel="0" collapsed="false">
      <c r="A2963" s="3" t="s">
        <v>307</v>
      </c>
      <c r="G2963" s="20" t="n">
        <f aca="false">IF(G2939&lt;=0,0,IF(AND((G2960-G2961)/G2939&lt;=$C$2958,G2939/G2962&gt;=$C$2959),1,0))</f>
        <v>0</v>
      </c>
      <c r="H2963" s="20" t="n">
        <f aca="false">IF(H2939&lt;=0,0,IF(AND((H2960-H2961)/H2939&lt;=$C$2958,H2939/H2962&gt;=$C$2959),1,0))</f>
        <v>0</v>
      </c>
      <c r="I2963" s="20" t="n">
        <f aca="false">IF(I2939&lt;=0,0,IF(AND((I2960-I2961)/I2939&lt;=$C$2958,I2939/I2962&gt;=$C$2959),1,0))</f>
        <v>0</v>
      </c>
      <c r="J2963" s="20" t="n">
        <f aca="false">IF(J2939&lt;=0,0,IF(AND((J2960-J2961)/J2939&lt;=$C$2958,J2939/J2962&gt;=$C$2959),1,0))</f>
        <v>0</v>
      </c>
      <c r="K2963" s="20" t="n">
        <f aca="false">IF(K2939&lt;=0,0,IF(AND((K2960-K2961)/K2939&lt;=$C$2958,K2939/K2962&gt;=$C$2959),1,0))</f>
        <v>0</v>
      </c>
    </row>
    <row r="2964" customFormat="false" ht="15" hidden="false" customHeight="false" outlineLevel="0" collapsed="false">
      <c r="A2964" s="23" t="s">
        <v>308</v>
      </c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</row>
    <row r="2965" customFormat="false" ht="15" hidden="false" customHeight="false" outlineLevel="0" collapsed="false">
      <c r="A2965" s="3" t="s">
        <v>309</v>
      </c>
      <c r="G2965" s="25" t="n">
        <f aca="false">F2976</f>
        <v>1315.098</v>
      </c>
      <c r="H2965" s="25" t="n">
        <f aca="false">G2976</f>
        <v>1315.098</v>
      </c>
      <c r="I2965" s="25" t="n">
        <f aca="false">H2976</f>
        <v>1315.098</v>
      </c>
      <c r="J2965" s="25" t="n">
        <f aca="false">I2976</f>
        <v>1315.098</v>
      </c>
      <c r="K2965" s="25" t="n">
        <f aca="false">J2976</f>
        <v>1315.098</v>
      </c>
    </row>
    <row r="2966" customFormat="false" ht="15" hidden="false" customHeight="false" outlineLevel="0" collapsed="false">
      <c r="A2966" s="3" t="s">
        <v>310</v>
      </c>
      <c r="G2966" s="20" t="n">
        <f aca="false">IF(G2929=Assumptions!$K$56,1,0)</f>
        <v>0</v>
      </c>
      <c r="H2966" s="20" t="n">
        <f aca="false">IF(H2929=Assumptions!$K$56,1,0)</f>
        <v>0</v>
      </c>
      <c r="I2966" s="20" t="n">
        <f aca="false">IF(I2929=Assumptions!$K$56,1,0)</f>
        <v>0</v>
      </c>
      <c r="J2966" s="20" t="n">
        <f aca="false">IF(J2929=Assumptions!$K$56,1,0)</f>
        <v>0</v>
      </c>
      <c r="K2966" s="20" t="n">
        <f aca="false">IF(K2929=Assumptions!$K$56,1,0)</f>
        <v>0</v>
      </c>
    </row>
    <row r="2968" customFormat="false" ht="15" hidden="false" customHeight="false" outlineLevel="0" collapsed="false">
      <c r="A2968" s="3" t="s">
        <v>311</v>
      </c>
      <c r="G2968" s="31" t="n">
        <f aca="false">IF(Assumptions!$I$56=1,MAX(G2955,Assumptions!$G$56)+Assumptions!$F$56+$C$2956,Assumptions!$E$56)</f>
        <v>0.105</v>
      </c>
      <c r="H2968" s="31" t="n">
        <f aca="false">IF(G3112=1,$C$2957,IF(Assumptions!$I$56=1,MAX(H2955,Assumptions!$G$56)+Assumptions!$F$56+$C$2956,Assumptions!$E$56))</f>
        <v>0.105</v>
      </c>
      <c r="I2968" s="31" t="n">
        <f aca="false">IF(H3112=1,$C$2957,IF(Assumptions!$I$56=1,MAX(I2955,Assumptions!$G$56)+Assumptions!$F$56+$C$2956,Assumptions!$E$56))</f>
        <v>0.105</v>
      </c>
      <c r="J2968" s="31" t="n">
        <f aca="false">IF(I3112=1,$C$2957,IF(Assumptions!$I$56=1,MAX(J2955,Assumptions!$G$56)+Assumptions!$F$56+$C$2956,Assumptions!$E$56))</f>
        <v>0.105</v>
      </c>
      <c r="K2968" s="31" t="n">
        <f aca="false">IF(J3112=1,$C$2957,IF(Assumptions!$I$56=1,MAX(K2955,Assumptions!$G$56)+Assumptions!$F$56+$C$2956,Assumptions!$E$56))</f>
        <v>0.105</v>
      </c>
    </row>
    <row r="2969" customFormat="false" ht="15" hidden="false" customHeight="false" outlineLevel="0" collapsed="false">
      <c r="A2969" s="3" t="s">
        <v>312</v>
      </c>
      <c r="G2969" s="25" t="n">
        <f aca="false">G2965*G2968</f>
        <v>138.08529</v>
      </c>
      <c r="H2969" s="25" t="n">
        <f aca="false">H2965*H2968</f>
        <v>138.08529</v>
      </c>
      <c r="I2969" s="25" t="n">
        <f aca="false">I2965*I2968</f>
        <v>138.08529</v>
      </c>
      <c r="J2969" s="25" t="n">
        <f aca="false">J2965*J2968</f>
        <v>138.08529</v>
      </c>
      <c r="K2969" s="25" t="n">
        <f aca="false">K2965*K2968</f>
        <v>138.08529</v>
      </c>
    </row>
    <row r="2970" customFormat="false" ht="15" hidden="false" customHeight="false" outlineLevel="0" collapsed="false">
      <c r="A2970" s="3" t="s">
        <v>313</v>
      </c>
      <c r="G2970" s="25" t="n">
        <f aca="false">G2965*Assumptions!$H$56</f>
        <v>0</v>
      </c>
      <c r="H2970" s="25" t="n">
        <f aca="false">H2965*Assumptions!$H$56</f>
        <v>0</v>
      </c>
      <c r="I2970" s="25" t="n">
        <f aca="false">I2965*Assumptions!$H$56</f>
        <v>0</v>
      </c>
      <c r="J2970" s="25" t="n">
        <f aca="false">J2965*Assumptions!$H$56</f>
        <v>0</v>
      </c>
      <c r="K2970" s="25" t="n">
        <f aca="false">K2965*Assumptions!$H$56</f>
        <v>0</v>
      </c>
    </row>
    <row r="2971" customFormat="false" ht="15" hidden="false" customHeight="false" outlineLevel="0" collapsed="false">
      <c r="A2971" s="3" t="s">
        <v>314</v>
      </c>
      <c r="G2971" s="25" t="n">
        <f aca="false">MIN(G2965,Assumptions!$L$56*Assumptions!$C$56)</f>
        <v>0</v>
      </c>
      <c r="H2971" s="25" t="n">
        <f aca="false">MIN(H2965,Assumptions!$L$56*Assumptions!$C$56)</f>
        <v>0</v>
      </c>
      <c r="I2971" s="25" t="n">
        <f aca="false">MIN(I2965,Assumptions!$L$56*Assumptions!$C$56)</f>
        <v>0</v>
      </c>
      <c r="J2971" s="25" t="n">
        <f aca="false">MIN(J2965,Assumptions!$L$56*Assumptions!$C$56)</f>
        <v>0</v>
      </c>
      <c r="K2971" s="25" t="n">
        <f aca="false">MIN(K2965,Assumptions!$L$56*Assumptions!$C$56)</f>
        <v>0</v>
      </c>
    </row>
    <row r="2972" customFormat="false" ht="15" hidden="false" customHeight="false" outlineLevel="0" collapsed="false">
      <c r="A2972" s="3" t="s">
        <v>315</v>
      </c>
      <c r="G2972" s="25" t="n">
        <f aca="false">IF(AND(Assumptions!$P$56=1,G2929&lt;Assumptions!$K$56),MIN(MAX(0,-G3026),MAX(0,Assumptions!$D$56-G2965)),0)</f>
        <v>0</v>
      </c>
      <c r="H2972" s="25" t="n">
        <f aca="false">IF(AND(Assumptions!$P$56=1,OR(H2929&lt;Assumptions!$K$56,G3112=1)),MIN(MAX(0,-H3026),MAX(0,Assumptions!$D$56-H2965)),0)</f>
        <v>0</v>
      </c>
      <c r="I2972" s="25" t="n">
        <f aca="false">IF(AND(Assumptions!$P$56=1,OR(I2929&lt;Assumptions!$K$56,H3112=1)),MIN(MAX(0,-I3026),MAX(0,Assumptions!$D$56-I2965)),0)</f>
        <v>0</v>
      </c>
      <c r="J2972" s="25" t="n">
        <f aca="false">IF(AND(Assumptions!$P$56=1,OR(J2929&lt;Assumptions!$K$56,I3112=1)),MIN(MAX(0,-J3026),MAX(0,Assumptions!$D$56-J2965)),0)</f>
        <v>0</v>
      </c>
      <c r="K2972" s="25" t="n">
        <f aca="false">IF(AND(Assumptions!$P$56=1,OR(K2929&lt;Assumptions!$K$56,J3112=1)),MIN(MAX(0,-K3026),MAX(0,Assumptions!$D$56-K2965)),0)</f>
        <v>0</v>
      </c>
    </row>
    <row r="2973" customFormat="false" ht="15" hidden="false" customHeight="false" outlineLevel="0" collapsed="false">
      <c r="A2973" s="3" t="s">
        <v>316</v>
      </c>
      <c r="G2973" s="25" t="n">
        <f aca="false">G2966*MIN(G2965-G2971+G2970,MAX(0,G3028-Assumptions!$C$12*G2963))</f>
        <v>0</v>
      </c>
      <c r="H2973" s="25" t="n">
        <f aca="false">H2966*MIN(H2965-H2971+H2970,MAX(0,H3028-Assumptions!$C$12*H2963))</f>
        <v>0</v>
      </c>
      <c r="I2973" s="25" t="n">
        <f aca="false">I2966*MIN(I2965-I2971+I2970,MAX(0,I3028-Assumptions!$C$12*I2963))</f>
        <v>0</v>
      </c>
      <c r="J2973" s="25" t="n">
        <f aca="false">J2966*MIN(J2965-J2971+J2970,MAX(0,J3028-Assumptions!$C$12*J2963))</f>
        <v>0</v>
      </c>
      <c r="K2973" s="25" t="n">
        <f aca="false">K2966*MIN(K2965-K2971+K2970,MAX(0,K3028-Assumptions!$C$12*K2963))</f>
        <v>0</v>
      </c>
    </row>
    <row r="2974" customFormat="false" ht="15" hidden="false" customHeight="false" outlineLevel="0" collapsed="false">
      <c r="A2974" s="3" t="s">
        <v>317</v>
      </c>
      <c r="G2974" s="25" t="n">
        <f aca="false">Assumptions!$N$56*MIN(G2965+G2972+G2970-G2971-G2973,MAX(0,G3032))</f>
        <v>0</v>
      </c>
      <c r="H2974" s="25" t="n">
        <f aca="false">Assumptions!$N$56*MIN(H2965+H2972+H2970-H2971-H2973,MAX(0,H3032))</f>
        <v>0</v>
      </c>
      <c r="I2974" s="25" t="n">
        <f aca="false">Assumptions!$N$56*MIN(I2965+I2972+I2970-I2971-I2973,MAX(0,I3032))</f>
        <v>0</v>
      </c>
      <c r="J2974" s="25" t="n">
        <f aca="false">Assumptions!$N$56*MIN(J2965+J2972+J2970-J2971-J2973,MAX(0,J3032))</f>
        <v>0</v>
      </c>
      <c r="K2974" s="25" t="n">
        <f aca="false">Assumptions!$N$56*MIN(K2965+K2972+K2970-K2971-K2973,MAX(0,K3032))</f>
        <v>0</v>
      </c>
    </row>
    <row r="2975" customFormat="false" ht="15" hidden="false" customHeight="false" outlineLevel="0" collapsed="false">
      <c r="A2975" s="3" t="s">
        <v>318</v>
      </c>
      <c r="G2975" s="25" t="n">
        <f aca="false">G2966*(1-G2963)*(G2965-G2971+G2970-G2973)</f>
        <v>0</v>
      </c>
      <c r="H2975" s="25" t="n">
        <f aca="false">H2966*(1-H2963)*(H2965-H2971+H2970-H2973)</f>
        <v>0</v>
      </c>
      <c r="I2975" s="25" t="n">
        <f aca="false">I2966*(1-I2963)*(I2965-I2971+I2970-I2973)</f>
        <v>0</v>
      </c>
      <c r="J2975" s="25" t="n">
        <f aca="false">J2966*(1-J2963)*(J2965-J2971+J2970-J2973)</f>
        <v>0</v>
      </c>
      <c r="K2975" s="25" t="n">
        <f aca="false">K2966*(1-K2963)*(K2965-K2971+K2970-K2973)</f>
        <v>0</v>
      </c>
    </row>
    <row r="2976" customFormat="false" ht="15" hidden="false" customHeight="false" outlineLevel="0" collapsed="false">
      <c r="A2976" s="2" t="s">
        <v>319</v>
      </c>
      <c r="F2976" s="28" t="n">
        <f aca="false">Assumptions!$C$56</f>
        <v>1315.098</v>
      </c>
      <c r="G2976" s="16" t="n">
        <f aca="false">G2965+G2972+G2970-G2971-G2973-G2974</f>
        <v>1315.098</v>
      </c>
      <c r="H2976" s="16" t="n">
        <f aca="false">H2965+H2972+H2970-H2971-H2973-H2974</f>
        <v>1315.098</v>
      </c>
      <c r="I2976" s="16" t="n">
        <f aca="false">I2965+I2972+I2970-I2971-I2973-I2974</f>
        <v>1315.098</v>
      </c>
      <c r="J2976" s="16" t="n">
        <f aca="false">J2965+J2972+J2970-J2971-J2973-J2974</f>
        <v>1315.098</v>
      </c>
      <c r="K2976" s="16" t="n">
        <f aca="false">K2965+K2972+K2970-K2971-K2973-K2974</f>
        <v>1315.098</v>
      </c>
    </row>
    <row r="2977" customFormat="false" ht="15" hidden="false" customHeight="false" outlineLevel="0" collapsed="false">
      <c r="A2977" s="23" t="s">
        <v>320</v>
      </c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</row>
    <row r="2978" customFormat="false" ht="15" hidden="false" customHeight="false" outlineLevel="0" collapsed="false">
      <c r="A2978" s="3" t="s">
        <v>309</v>
      </c>
      <c r="G2978" s="25" t="n">
        <f aca="false">F2989</f>
        <v>276.706</v>
      </c>
      <c r="H2978" s="25" t="n">
        <f aca="false">G2989</f>
        <v>276.706</v>
      </c>
      <c r="I2978" s="25" t="n">
        <f aca="false">H2989</f>
        <v>276.706</v>
      </c>
      <c r="J2978" s="25" t="n">
        <f aca="false">I2989</f>
        <v>0</v>
      </c>
      <c r="K2978" s="25" t="n">
        <f aca="false">J2989</f>
        <v>0</v>
      </c>
    </row>
    <row r="2979" customFormat="false" ht="15" hidden="false" customHeight="false" outlineLevel="0" collapsed="false">
      <c r="A2979" s="3" t="s">
        <v>310</v>
      </c>
      <c r="G2979" s="20" t="n">
        <f aca="false">IF(G2929=Assumptions!$K$57,1,0)</f>
        <v>0</v>
      </c>
      <c r="H2979" s="20" t="n">
        <f aca="false">IF(H2929=Assumptions!$K$57,1,0)</f>
        <v>0</v>
      </c>
      <c r="I2979" s="20" t="n">
        <f aca="false">IF(I2929=Assumptions!$K$57,1,0)</f>
        <v>1</v>
      </c>
      <c r="J2979" s="20" t="n">
        <f aca="false">IF(J2929=Assumptions!$K$57,1,0)</f>
        <v>0</v>
      </c>
      <c r="K2979" s="20" t="n">
        <f aca="false">IF(K2929=Assumptions!$K$57,1,0)</f>
        <v>0</v>
      </c>
    </row>
    <row r="2981" customFormat="false" ht="15" hidden="false" customHeight="false" outlineLevel="0" collapsed="false">
      <c r="A2981" s="3" t="s">
        <v>311</v>
      </c>
      <c r="G2981" s="31" t="n">
        <f aca="false">IF(Assumptions!$I$57=1,MAX(G2955,Assumptions!$G$57)+Assumptions!$F$57+$C$2956,Assumptions!$E$57)</f>
        <v>0.0425</v>
      </c>
      <c r="H2981" s="31" t="n">
        <f aca="false">IF(G3113=1,$C$2957,IF(Assumptions!$I$57=1,MAX(H2955,Assumptions!$G$57)+Assumptions!$F$57+$C$2956,Assumptions!$E$57))</f>
        <v>0.0425</v>
      </c>
      <c r="I2981" s="31" t="n">
        <f aca="false">IF(H3113=1,$C$2957,IF(Assumptions!$I$57=1,MAX(I2955,Assumptions!$G$57)+Assumptions!$F$57+$C$2956,Assumptions!$E$57))</f>
        <v>0.0425</v>
      </c>
      <c r="J2981" s="31" t="n">
        <f aca="false">IF(I3113=1,$C$2957,IF(Assumptions!$I$57=1,MAX(J2955,Assumptions!$G$57)+Assumptions!$F$57+$C$2956,Assumptions!$E$57))</f>
        <v>0.0425</v>
      </c>
      <c r="K2981" s="31" t="n">
        <f aca="false">IF(J3113=1,$C$2957,IF(Assumptions!$I$57=1,MAX(K2955,Assumptions!$G$57)+Assumptions!$F$57+$C$2956,Assumptions!$E$57))</f>
        <v>0.0425</v>
      </c>
    </row>
    <row r="2982" customFormat="false" ht="15" hidden="false" customHeight="false" outlineLevel="0" collapsed="false">
      <c r="A2982" s="3" t="s">
        <v>312</v>
      </c>
      <c r="G2982" s="25" t="n">
        <f aca="false">G2978*G2981</f>
        <v>11.760005</v>
      </c>
      <c r="H2982" s="25" t="n">
        <f aca="false">H2978*H2981</f>
        <v>11.760005</v>
      </c>
      <c r="I2982" s="25" t="n">
        <f aca="false">I2978*I2981</f>
        <v>11.760005</v>
      </c>
      <c r="J2982" s="25" t="n">
        <f aca="false">J2978*J2981</f>
        <v>0</v>
      </c>
      <c r="K2982" s="25" t="n">
        <f aca="false">K2978*K2981</f>
        <v>0</v>
      </c>
    </row>
    <row r="2983" customFormat="false" ht="15" hidden="false" customHeight="false" outlineLevel="0" collapsed="false">
      <c r="A2983" s="3" t="s">
        <v>313</v>
      </c>
      <c r="G2983" s="25" t="n">
        <f aca="false">G2978*Assumptions!$H$57</f>
        <v>0</v>
      </c>
      <c r="H2983" s="25" t="n">
        <f aca="false">H2978*Assumptions!$H$57</f>
        <v>0</v>
      </c>
      <c r="I2983" s="25" t="n">
        <f aca="false">I2978*Assumptions!$H$57</f>
        <v>0</v>
      </c>
      <c r="J2983" s="25" t="n">
        <f aca="false">J2978*Assumptions!$H$57</f>
        <v>0</v>
      </c>
      <c r="K2983" s="25" t="n">
        <f aca="false">K2978*Assumptions!$H$57</f>
        <v>0</v>
      </c>
    </row>
    <row r="2984" customFormat="false" ht="15" hidden="false" customHeight="false" outlineLevel="0" collapsed="false">
      <c r="A2984" s="3" t="s">
        <v>314</v>
      </c>
      <c r="G2984" s="25" t="n">
        <f aca="false">MIN(G2978,Assumptions!$L$57*Assumptions!$C$57)</f>
        <v>0</v>
      </c>
      <c r="H2984" s="25" t="n">
        <f aca="false">MIN(H2978,Assumptions!$L$57*Assumptions!$C$57)</f>
        <v>0</v>
      </c>
      <c r="I2984" s="25" t="n">
        <f aca="false">MIN(I2978,Assumptions!$L$57*Assumptions!$C$57)</f>
        <v>0</v>
      </c>
      <c r="J2984" s="25" t="n">
        <f aca="false">MIN(J2978,Assumptions!$L$57*Assumptions!$C$57)</f>
        <v>0</v>
      </c>
      <c r="K2984" s="25" t="n">
        <f aca="false">MIN(K2978,Assumptions!$L$57*Assumptions!$C$57)</f>
        <v>0</v>
      </c>
    </row>
    <row r="2985" customFormat="false" ht="15" hidden="false" customHeight="false" outlineLevel="0" collapsed="false">
      <c r="A2985" s="3" t="s">
        <v>315</v>
      </c>
      <c r="G2985" s="25" t="n">
        <f aca="false">IF(AND(Assumptions!$P$57=1,G2929&lt;Assumptions!$K$57),MIN(MAX(0,-G3026),MAX(0,Assumptions!$D$57-G2978)),0)</f>
        <v>0</v>
      </c>
      <c r="H2985" s="25" t="n">
        <f aca="false">IF(AND(Assumptions!$P$57=1,OR(H2929&lt;Assumptions!$K$57,G3113=1)),MIN(MAX(0,-H3026),MAX(0,Assumptions!$D$57-H2978)),0)</f>
        <v>0</v>
      </c>
      <c r="I2985" s="25" t="n">
        <f aca="false">IF(AND(Assumptions!$P$57=1,OR(I2929&lt;Assumptions!$K$57,H3113=1)),MIN(MAX(0,-I3026),MAX(0,Assumptions!$D$57-I2978)),0)</f>
        <v>0</v>
      </c>
      <c r="J2985" s="25" t="n">
        <f aca="false">IF(AND(Assumptions!$P$57=1,OR(J2929&lt;Assumptions!$K$57,I3113=1)),MIN(MAX(0,-J3026),MAX(0,Assumptions!$D$57-J2978)),0)</f>
        <v>0</v>
      </c>
      <c r="K2985" s="25" t="n">
        <f aca="false">IF(AND(Assumptions!$P$57=1,OR(K2929&lt;Assumptions!$K$57,J3113=1)),MIN(MAX(0,-K3026),MAX(0,Assumptions!$D$57-K2978)),0)</f>
        <v>0</v>
      </c>
    </row>
    <row r="2986" customFormat="false" ht="15" hidden="false" customHeight="false" outlineLevel="0" collapsed="false">
      <c r="A2986" s="3" t="s">
        <v>316</v>
      </c>
      <c r="G2986" s="25" t="n">
        <f aca="false">G2979*MIN(G2978-G2984+G2983,MAX(0,G3028-Assumptions!$C$12*G2963-G2973))</f>
        <v>0</v>
      </c>
      <c r="H2986" s="25" t="n">
        <f aca="false">H2979*MIN(H2978-H2984+H2983,MAX(0,H3028-Assumptions!$C$12*H2963-H2973))</f>
        <v>0</v>
      </c>
      <c r="I2986" s="25" t="n">
        <f aca="false">I2979*MIN(I2978-I2984+I2983,MAX(0,I3028-Assumptions!$C$12*I2963-I2973))</f>
        <v>276.706</v>
      </c>
      <c r="J2986" s="25" t="n">
        <f aca="false">J2979*MIN(J2978-J2984+J2983,MAX(0,J3028-Assumptions!$C$12*J2963-J2973))</f>
        <v>0</v>
      </c>
      <c r="K2986" s="25" t="n">
        <f aca="false">K2979*MIN(K2978-K2984+K2983,MAX(0,K3028-Assumptions!$C$12*K2963-K2973))</f>
        <v>0</v>
      </c>
    </row>
    <row r="2987" customFormat="false" ht="15" hidden="false" customHeight="false" outlineLevel="0" collapsed="false">
      <c r="A2987" s="3" t="s">
        <v>317</v>
      </c>
      <c r="G2987" s="25" t="n">
        <f aca="false">Assumptions!$N$57*MIN(G2978+G2985+G2983-G2984-G2986,MAX(0,G3032-G2974))</f>
        <v>0</v>
      </c>
      <c r="H2987" s="25" t="n">
        <f aca="false">Assumptions!$N$57*MIN(H2978+H2985+H2983-H2984-H2986,MAX(0,H3032-H2974))</f>
        <v>0</v>
      </c>
      <c r="I2987" s="25" t="n">
        <f aca="false">Assumptions!$N$57*MIN(I2978+I2985+I2983-I2984-I2986,MAX(0,I3032-I2974))</f>
        <v>0</v>
      </c>
      <c r="J2987" s="25" t="n">
        <f aca="false">Assumptions!$N$57*MIN(J2978+J2985+J2983-J2984-J2986,MAX(0,J3032-J2974))</f>
        <v>0</v>
      </c>
      <c r="K2987" s="25" t="n">
        <f aca="false">Assumptions!$N$57*MIN(K2978+K2985+K2983-K2984-K2986,MAX(0,K3032-K2974))</f>
        <v>0</v>
      </c>
    </row>
    <row r="2988" customFormat="false" ht="15" hidden="false" customHeight="false" outlineLevel="0" collapsed="false">
      <c r="A2988" s="3" t="s">
        <v>318</v>
      </c>
      <c r="G2988" s="25" t="n">
        <f aca="false">G2979*(1-G2963)*(G2978-G2984+G2983-G2986)</f>
        <v>0</v>
      </c>
      <c r="H2988" s="25" t="n">
        <f aca="false">H2979*(1-H2963)*(H2978-H2984+H2983-H2986)</f>
        <v>0</v>
      </c>
      <c r="I2988" s="25" t="n">
        <f aca="false">I2979*(1-I2963)*(I2978-I2984+I2983-I2986)</f>
        <v>0</v>
      </c>
      <c r="J2988" s="25" t="n">
        <f aca="false">J2979*(1-J2963)*(J2978-J2984+J2983-J2986)</f>
        <v>0</v>
      </c>
      <c r="K2988" s="25" t="n">
        <f aca="false">K2979*(1-K2963)*(K2978-K2984+K2983-K2986)</f>
        <v>0</v>
      </c>
    </row>
    <row r="2989" customFormat="false" ht="15" hidden="false" customHeight="false" outlineLevel="0" collapsed="false">
      <c r="A2989" s="2" t="s">
        <v>319</v>
      </c>
      <c r="F2989" s="28" t="n">
        <f aca="false">Assumptions!$C$57</f>
        <v>276.706</v>
      </c>
      <c r="G2989" s="16" t="n">
        <f aca="false">G2978+G2985+G2983-G2984-G2986-G2987</f>
        <v>276.706</v>
      </c>
      <c r="H2989" s="16" t="n">
        <f aca="false">H2978+H2985+H2983-H2984-H2986-H2987</f>
        <v>276.706</v>
      </c>
      <c r="I2989" s="16" t="n">
        <f aca="false">I2978+I2985+I2983-I2984-I2986-I2987</f>
        <v>0</v>
      </c>
      <c r="J2989" s="16" t="n">
        <f aca="false">J2978+J2985+J2983-J2984-J2986-J2987</f>
        <v>0</v>
      </c>
      <c r="K2989" s="16" t="n">
        <f aca="false">K2978+K2985+K2983-K2984-K2986-K2987</f>
        <v>0</v>
      </c>
    </row>
    <row r="2990" customFormat="false" ht="15" hidden="false" customHeight="false" outlineLevel="0" collapsed="false">
      <c r="A2990" s="23" t="s">
        <v>321</v>
      </c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</row>
    <row r="2991" customFormat="false" ht="15" hidden="false" customHeight="false" outlineLevel="0" collapsed="false">
      <c r="A2991" s="3" t="s">
        <v>309</v>
      </c>
      <c r="G2991" s="25" t="n">
        <f aca="false">F3002</f>
        <v>143.75</v>
      </c>
      <c r="H2991" s="25" t="n">
        <f aca="false">G3002</f>
        <v>143.75</v>
      </c>
      <c r="I2991" s="25" t="n">
        <f aca="false">H3002</f>
        <v>143.75</v>
      </c>
      <c r="J2991" s="25" t="n">
        <f aca="false">I3002</f>
        <v>0</v>
      </c>
      <c r="K2991" s="25" t="n">
        <f aca="false">J3002</f>
        <v>0</v>
      </c>
    </row>
    <row r="2992" customFormat="false" ht="15" hidden="false" customHeight="false" outlineLevel="0" collapsed="false">
      <c r="A2992" s="3" t="s">
        <v>310</v>
      </c>
      <c r="G2992" s="20" t="n">
        <f aca="false">IF(G2929=Assumptions!$K$58,1,0)</f>
        <v>0</v>
      </c>
      <c r="H2992" s="20" t="n">
        <f aca="false">IF(H2929=Assumptions!$K$58,1,0)</f>
        <v>0</v>
      </c>
      <c r="I2992" s="20" t="n">
        <f aca="false">IF(I2929=Assumptions!$K$58,1,0)</f>
        <v>1</v>
      </c>
      <c r="J2992" s="20" t="n">
        <f aca="false">IF(J2929=Assumptions!$K$58,1,0)</f>
        <v>0</v>
      </c>
      <c r="K2992" s="20" t="n">
        <f aca="false">IF(K2929=Assumptions!$K$58,1,0)</f>
        <v>0</v>
      </c>
    </row>
    <row r="2994" customFormat="false" ht="15" hidden="false" customHeight="false" outlineLevel="0" collapsed="false">
      <c r="A2994" s="3" t="s">
        <v>311</v>
      </c>
      <c r="G2994" s="31" t="n">
        <f aca="false">IF(Assumptions!$I$58=1,MAX(G2955,Assumptions!$G$58)+Assumptions!$F$58+$C$2956,Assumptions!$E$58)</f>
        <v>0.0425</v>
      </c>
      <c r="H2994" s="31" t="n">
        <f aca="false">IF(G3114=1,$C$2957,IF(Assumptions!$I$58=1,MAX(H2955,Assumptions!$G$58)+Assumptions!$F$58+$C$2956,Assumptions!$E$58))</f>
        <v>0.0425</v>
      </c>
      <c r="I2994" s="31" t="n">
        <f aca="false">IF(H3114=1,$C$2957,IF(Assumptions!$I$58=1,MAX(I2955,Assumptions!$G$58)+Assumptions!$F$58+$C$2956,Assumptions!$E$58))</f>
        <v>0.0425</v>
      </c>
      <c r="J2994" s="31" t="n">
        <f aca="false">IF(I3114=1,$C$2957,IF(Assumptions!$I$58=1,MAX(J2955,Assumptions!$G$58)+Assumptions!$F$58+$C$2956,Assumptions!$E$58))</f>
        <v>0.0425</v>
      </c>
      <c r="K2994" s="31" t="n">
        <f aca="false">IF(J3114=1,$C$2957,IF(Assumptions!$I$58=1,MAX(K2955,Assumptions!$G$58)+Assumptions!$F$58+$C$2956,Assumptions!$E$58))</f>
        <v>0.0425</v>
      </c>
    </row>
    <row r="2995" customFormat="false" ht="15" hidden="false" customHeight="false" outlineLevel="0" collapsed="false">
      <c r="A2995" s="3" t="s">
        <v>312</v>
      </c>
      <c r="G2995" s="25" t="n">
        <f aca="false">G2991*G2994</f>
        <v>6.109375</v>
      </c>
      <c r="H2995" s="25" t="n">
        <f aca="false">H2991*H2994</f>
        <v>6.109375</v>
      </c>
      <c r="I2995" s="25" t="n">
        <f aca="false">I2991*I2994</f>
        <v>6.109375</v>
      </c>
      <c r="J2995" s="25" t="n">
        <f aca="false">J2991*J2994</f>
        <v>0</v>
      </c>
      <c r="K2995" s="25" t="n">
        <f aca="false">K2991*K2994</f>
        <v>0</v>
      </c>
    </row>
    <row r="2996" customFormat="false" ht="15" hidden="false" customHeight="false" outlineLevel="0" collapsed="false">
      <c r="A2996" s="3" t="s">
        <v>313</v>
      </c>
      <c r="G2996" s="25" t="n">
        <f aca="false">G2991*Assumptions!$H$58</f>
        <v>0</v>
      </c>
      <c r="H2996" s="25" t="n">
        <f aca="false">H2991*Assumptions!$H$58</f>
        <v>0</v>
      </c>
      <c r="I2996" s="25" t="n">
        <f aca="false">I2991*Assumptions!$H$58</f>
        <v>0</v>
      </c>
      <c r="J2996" s="25" t="n">
        <f aca="false">J2991*Assumptions!$H$58</f>
        <v>0</v>
      </c>
      <c r="K2996" s="25" t="n">
        <f aca="false">K2991*Assumptions!$H$58</f>
        <v>0</v>
      </c>
    </row>
    <row r="2997" customFormat="false" ht="15" hidden="false" customHeight="false" outlineLevel="0" collapsed="false">
      <c r="A2997" s="3" t="s">
        <v>314</v>
      </c>
      <c r="G2997" s="25" t="n">
        <f aca="false">MIN(G2991,Assumptions!$L$58*Assumptions!$C$58)</f>
        <v>0</v>
      </c>
      <c r="H2997" s="25" t="n">
        <f aca="false">MIN(H2991,Assumptions!$L$58*Assumptions!$C$58)</f>
        <v>0</v>
      </c>
      <c r="I2997" s="25" t="n">
        <f aca="false">MIN(I2991,Assumptions!$L$58*Assumptions!$C$58)</f>
        <v>0</v>
      </c>
      <c r="J2997" s="25" t="n">
        <f aca="false">MIN(J2991,Assumptions!$L$58*Assumptions!$C$58)</f>
        <v>0</v>
      </c>
      <c r="K2997" s="25" t="n">
        <f aca="false">MIN(K2991,Assumptions!$L$58*Assumptions!$C$58)</f>
        <v>0</v>
      </c>
    </row>
    <row r="2998" customFormat="false" ht="15" hidden="false" customHeight="false" outlineLevel="0" collapsed="false">
      <c r="A2998" s="3" t="s">
        <v>315</v>
      </c>
      <c r="G2998" s="25" t="n">
        <f aca="false">IF(AND(Assumptions!$P$58=1,G2929&lt;Assumptions!$K$58),MIN(MAX(0,-G3026),MAX(0,Assumptions!$D$58-G2991)),0)</f>
        <v>0</v>
      </c>
      <c r="H2998" s="25" t="n">
        <f aca="false">IF(AND(Assumptions!$P$58=1,OR(H2929&lt;Assumptions!$K$58,G3114=1)),MIN(MAX(0,-H3026),MAX(0,Assumptions!$D$58-H2991)),0)</f>
        <v>0</v>
      </c>
      <c r="I2998" s="25" t="n">
        <f aca="false">IF(AND(Assumptions!$P$58=1,OR(I2929&lt;Assumptions!$K$58,H3114=1)),MIN(MAX(0,-I3026),MAX(0,Assumptions!$D$58-I2991)),0)</f>
        <v>0</v>
      </c>
      <c r="J2998" s="25" t="n">
        <f aca="false">IF(AND(Assumptions!$P$58=1,OR(J2929&lt;Assumptions!$K$58,I3114=1)),MIN(MAX(0,-J3026),MAX(0,Assumptions!$D$58-J2991)),0)</f>
        <v>0</v>
      </c>
      <c r="K2998" s="25" t="n">
        <f aca="false">IF(AND(Assumptions!$P$58=1,OR(K2929&lt;Assumptions!$K$58,J3114=1)),MIN(MAX(0,-K3026),MAX(0,Assumptions!$D$58-K2991)),0)</f>
        <v>0</v>
      </c>
    </row>
    <row r="2999" customFormat="false" ht="15" hidden="false" customHeight="false" outlineLevel="0" collapsed="false">
      <c r="A2999" s="3" t="s">
        <v>316</v>
      </c>
      <c r="G2999" s="25" t="n">
        <f aca="false">G2992*MIN(G2991-G2997+G2996,MAX(0,G3028-Assumptions!$C$12*G2963-G2973-G2986))</f>
        <v>0</v>
      </c>
      <c r="H2999" s="25" t="n">
        <f aca="false">H2992*MIN(H2991-H2997+H2996,MAX(0,H3028-Assumptions!$C$12*H2963-H2973-H2986))</f>
        <v>0</v>
      </c>
      <c r="I2999" s="25" t="n">
        <f aca="false">I2992*MIN(I2991-I2997+I2996,MAX(0,I3028-Assumptions!$C$12*I2963-I2973-I2986))</f>
        <v>143.75</v>
      </c>
      <c r="J2999" s="25" t="n">
        <f aca="false">J2992*MIN(J2991-J2997+J2996,MAX(0,J3028-Assumptions!$C$12*J2963-J2973-J2986))</f>
        <v>0</v>
      </c>
      <c r="K2999" s="25" t="n">
        <f aca="false">K2992*MIN(K2991-K2997+K2996,MAX(0,K3028-Assumptions!$C$12*K2963-K2973-K2986))</f>
        <v>0</v>
      </c>
    </row>
    <row r="3000" customFormat="false" ht="15" hidden="false" customHeight="false" outlineLevel="0" collapsed="false">
      <c r="A3000" s="3" t="s">
        <v>317</v>
      </c>
      <c r="G3000" s="25" t="n">
        <f aca="false">Assumptions!$N$58*MIN(G2991+G2998+G2996-G2997-G2999,MAX(0,G3032-G2974-G2987))</f>
        <v>0</v>
      </c>
      <c r="H3000" s="25" t="n">
        <f aca="false">Assumptions!$N$58*MIN(H2991+H2998+H2996-H2997-H2999,MAX(0,H3032-H2974-H2987))</f>
        <v>0</v>
      </c>
      <c r="I3000" s="25" t="n">
        <f aca="false">Assumptions!$N$58*MIN(I2991+I2998+I2996-I2997-I2999,MAX(0,I3032-I2974-I2987))</f>
        <v>0</v>
      </c>
      <c r="J3000" s="25" t="n">
        <f aca="false">Assumptions!$N$58*MIN(J2991+J2998+J2996-J2997-J2999,MAX(0,J3032-J2974-J2987))</f>
        <v>0</v>
      </c>
      <c r="K3000" s="25" t="n">
        <f aca="false">Assumptions!$N$58*MIN(K2991+K2998+K2996-K2997-K2999,MAX(0,K3032-K2974-K2987))</f>
        <v>0</v>
      </c>
    </row>
    <row r="3001" customFormat="false" ht="15" hidden="false" customHeight="false" outlineLevel="0" collapsed="false">
      <c r="A3001" s="3" t="s">
        <v>318</v>
      </c>
      <c r="G3001" s="25" t="n">
        <f aca="false">G2992*(1-G2963)*(G2991-G2997+G2996-G2999)</f>
        <v>0</v>
      </c>
      <c r="H3001" s="25" t="n">
        <f aca="false">H2992*(1-H2963)*(H2991-H2997+H2996-H2999)</f>
        <v>0</v>
      </c>
      <c r="I3001" s="25" t="n">
        <f aca="false">I2992*(1-I2963)*(I2991-I2997+I2996-I2999)</f>
        <v>0</v>
      </c>
      <c r="J3001" s="25" t="n">
        <f aca="false">J2992*(1-J2963)*(J2991-J2997+J2996-J2999)</f>
        <v>0</v>
      </c>
      <c r="K3001" s="25" t="n">
        <f aca="false">K2992*(1-K2963)*(K2991-K2997+K2996-K2999)</f>
        <v>0</v>
      </c>
    </row>
    <row r="3002" customFormat="false" ht="15" hidden="false" customHeight="false" outlineLevel="0" collapsed="false">
      <c r="A3002" s="2" t="s">
        <v>319</v>
      </c>
      <c r="F3002" s="28" t="n">
        <f aca="false">Assumptions!$C$58</f>
        <v>143.75</v>
      </c>
      <c r="G3002" s="16" t="n">
        <f aca="false">G2991+G2998+G2996-G2997-G2999-G3000</f>
        <v>143.75</v>
      </c>
      <c r="H3002" s="16" t="n">
        <f aca="false">H2991+H2998+H2996-H2997-H2999-H3000</f>
        <v>143.75</v>
      </c>
      <c r="I3002" s="16" t="n">
        <f aca="false">I2991+I2998+I2996-I2997-I2999-I3000</f>
        <v>0</v>
      </c>
      <c r="J3002" s="16" t="n">
        <f aca="false">J2991+J2998+J2996-J2997-J2999-J3000</f>
        <v>0</v>
      </c>
      <c r="K3002" s="16" t="n">
        <f aca="false">K2991+K2998+K2996-K2997-K2999-K3000</f>
        <v>0</v>
      </c>
    </row>
    <row r="3003" customFormat="false" ht="15" hidden="false" customHeight="false" outlineLevel="0" collapsed="false">
      <c r="A3003" s="23" t="s">
        <v>322</v>
      </c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</row>
    <row r="3004" customFormat="false" ht="15" hidden="false" customHeight="false" outlineLevel="0" collapsed="false">
      <c r="A3004" s="2" t="s">
        <v>323</v>
      </c>
      <c r="F3004" s="16" t="n">
        <f aca="false">F2976+F2989+F3002</f>
        <v>1735.554</v>
      </c>
      <c r="G3004" s="16" t="n">
        <f aca="false">G2976+G2989+G3002</f>
        <v>1735.554</v>
      </c>
      <c r="H3004" s="16" t="n">
        <f aca="false">H2976+H2989+H3002</f>
        <v>1735.554</v>
      </c>
      <c r="I3004" s="16" t="n">
        <f aca="false">I2976+I2989+I3002</f>
        <v>1315.098</v>
      </c>
      <c r="J3004" s="16" t="n">
        <f aca="false">J2976+J2989+J3002</f>
        <v>1315.098</v>
      </c>
      <c r="K3004" s="16" t="n">
        <f aca="false">K2976+K2989+K3002</f>
        <v>1315.098</v>
      </c>
    </row>
    <row r="3005" customFormat="false" ht="15" hidden="false" customHeight="false" outlineLevel="0" collapsed="false">
      <c r="A3005" s="3" t="s">
        <v>324</v>
      </c>
      <c r="G3005" s="25" t="n">
        <f aca="false">G2966*Assumptions!$C$56+G2979*Assumptions!$C$57+G2992*Assumptions!$C$58</f>
        <v>0</v>
      </c>
      <c r="H3005" s="25" t="n">
        <f aca="false">H2966*Assumptions!$C$56+H2979*Assumptions!$C$57+H2992*Assumptions!$C$58</f>
        <v>0</v>
      </c>
      <c r="I3005" s="25" t="n">
        <f aca="false">I2966*Assumptions!$C$56+I2979*Assumptions!$C$57+I2992*Assumptions!$C$58</f>
        <v>420.456</v>
      </c>
      <c r="J3005" s="25" t="n">
        <f aca="false">J2966*Assumptions!$C$56+J2979*Assumptions!$C$57+J2992*Assumptions!$C$58</f>
        <v>0</v>
      </c>
      <c r="K3005" s="25" t="n">
        <f aca="false">K2966*Assumptions!$C$56+K2979*Assumptions!$C$57+K2992*Assumptions!$C$58</f>
        <v>0</v>
      </c>
    </row>
    <row r="3006" customFormat="false" ht="15" hidden="false" customHeight="false" outlineLevel="0" collapsed="false">
      <c r="A3006" s="23" t="s">
        <v>325</v>
      </c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</row>
    <row r="3007" customFormat="false" ht="15" hidden="false" customHeight="false" outlineLevel="0" collapsed="false">
      <c r="A3007" s="3" t="s">
        <v>326</v>
      </c>
      <c r="C3007" s="25" t="n">
        <f aca="false">SUMPRODUCT($G$2966:$K$2966,$G$2965:$K$2965-$G$2971:$K$2971+$G$2970:$K$2970)</f>
        <v>0</v>
      </c>
    </row>
    <row r="3008" customFormat="false" ht="15" hidden="false" customHeight="false" outlineLevel="0" collapsed="false">
      <c r="A3008" s="3" t="s">
        <v>327</v>
      </c>
      <c r="C3008" s="25" t="n">
        <f aca="false">SUMPRODUCT($G$2966:$K$2966,$G$2973:$K$2973)</f>
        <v>0</v>
      </c>
    </row>
    <row r="3009" customFormat="false" ht="15" hidden="false" customHeight="false" outlineLevel="0" collapsed="false">
      <c r="A3009" s="3" t="s">
        <v>328</v>
      </c>
      <c r="C3009" s="3" t="str">
        <f aca="false">IF(SUM($G$2966:$K$2966)=0,"n/a (beyond horizon)",IF(SUMPRODUCT($G$2966:$K$2966,$G$2963:$K$2963)&gt;0,"REFINANCING PASS","REFINANCING FAILURE"))</f>
        <v>n/a (beyond horizon)</v>
      </c>
    </row>
    <row r="3010" customFormat="false" ht="15" hidden="false" customHeight="false" outlineLevel="0" collapsed="false">
      <c r="A3010" s="3" t="s">
        <v>329</v>
      </c>
      <c r="C3010" s="3" t="str">
        <f aca="false">IF(SUM($G$2966:$K$2966)=0,"n/a",IF(C3008&gt;=C3007-0.001,"Repaid from cash",IF(SUMPRODUCT($G$2966:$K$2966,$G$2963:$K$2963)&gt;0,IF(C3008&gt;0,"Partly repaid; remainder refinanced","Refinanced"),IF(SUM($G$2975:$K$2975)&gt;0.001,IF(C3008&gt;0,"Partial repayment; PAYMENT DEFAULT","PAYMENT DEFAULT"),"Repaid from cash"))))</f>
        <v>n/a</v>
      </c>
    </row>
    <row r="3011" customFormat="false" ht="15" hidden="false" customHeight="false" outlineLevel="0" collapsed="false">
      <c r="A3011" s="3" t="s">
        <v>330</v>
      </c>
      <c r="C3011" s="25" t="n">
        <f aca="false">SUMPRODUCT($G$2979:$K$2979,$G$2978:$K$2978-$G$2984:$K$2984+$G$2983:$K$2983)</f>
        <v>276.706</v>
      </c>
    </row>
    <row r="3012" customFormat="false" ht="15" hidden="false" customHeight="false" outlineLevel="0" collapsed="false">
      <c r="A3012" s="3" t="s">
        <v>331</v>
      </c>
      <c r="C3012" s="25" t="n">
        <f aca="false">SUMPRODUCT($G$2979:$K$2979,$G$2986:$K$2986)</f>
        <v>276.706</v>
      </c>
    </row>
    <row r="3013" customFormat="false" ht="15" hidden="false" customHeight="false" outlineLevel="0" collapsed="false">
      <c r="A3013" s="3" t="s">
        <v>332</v>
      </c>
      <c r="C3013" s="3" t="str">
        <f aca="false">IF(SUM($G$2979:$K$2979)=0,"n/a (beyond horizon)",IF(SUMPRODUCT($G$2979:$K$2979,$G$2963:$K$2963)&gt;0,"REFINANCING PASS","REFINANCING FAILURE"))</f>
        <v>REFINANCING FAILURE</v>
      </c>
    </row>
    <row r="3014" customFormat="false" ht="15" hidden="false" customHeight="false" outlineLevel="0" collapsed="false">
      <c r="A3014" s="3" t="s">
        <v>333</v>
      </c>
      <c r="C3014" s="3" t="str">
        <f aca="false">IF(SUM($G$2979:$K$2979)=0,"n/a",IF(C3012&gt;=C3011-0.001,"Repaid from cash",IF(SUMPRODUCT($G$2979:$K$2979,$G$2963:$K$2963)&gt;0,IF(C3012&gt;0,"Partly repaid; remainder refinanced","Refinanced"),IF(SUM($G$2988:$K$2988)&gt;0.001,IF(C3012&gt;0,"Partial repayment; PAYMENT DEFAULT","PAYMENT DEFAULT"),"Repaid from cash"))))</f>
        <v>Repaid from cash</v>
      </c>
    </row>
    <row r="3015" customFormat="false" ht="15" hidden="false" customHeight="false" outlineLevel="0" collapsed="false">
      <c r="A3015" s="3" t="s">
        <v>334</v>
      </c>
      <c r="C3015" s="25" t="n">
        <f aca="false">SUMPRODUCT($G$2992:$K$2992,$G$2991:$K$2991-$G$2997:$K$2997+$G$2996:$K$2996)</f>
        <v>143.75</v>
      </c>
    </row>
    <row r="3016" customFormat="false" ht="15" hidden="false" customHeight="false" outlineLevel="0" collapsed="false">
      <c r="A3016" s="3" t="s">
        <v>335</v>
      </c>
      <c r="C3016" s="25" t="n">
        <f aca="false">SUMPRODUCT($G$2992:$K$2992,$G$2999:$K$2999)</f>
        <v>143.75</v>
      </c>
    </row>
    <row r="3017" customFormat="false" ht="15" hidden="false" customHeight="false" outlineLevel="0" collapsed="false">
      <c r="A3017" s="3" t="s">
        <v>336</v>
      </c>
      <c r="C3017" s="3" t="str">
        <f aca="false">IF(SUM($G$2992:$K$2992)=0,"n/a (beyond horizon)",IF(SUMPRODUCT($G$2992:$K$2992,$G$2963:$K$2963)&gt;0,"REFINANCING PASS","REFINANCING FAILURE"))</f>
        <v>REFINANCING FAILURE</v>
      </c>
    </row>
    <row r="3018" customFormat="false" ht="15" hidden="false" customHeight="false" outlineLevel="0" collapsed="false">
      <c r="A3018" s="3" t="s">
        <v>337</v>
      </c>
      <c r="C3018" s="3" t="str">
        <f aca="false">IF(SUM($G$2992:$K$2992)=0,"n/a",IF(C3016&gt;=C3015-0.001,"Repaid from cash",IF(SUMPRODUCT($G$2992:$K$2992,$G$2963:$K$2963)&gt;0,IF(C3016&gt;0,"Partly repaid; remainder refinanced","Refinanced"),IF(SUM($G$3001:$K$3001)&gt;0.001,IF(C3016&gt;0,"Partial repayment; PAYMENT DEFAULT","PAYMENT DEFAULT"),"Repaid from cash"))))</f>
        <v>Repaid from cash</v>
      </c>
    </row>
    <row r="3019" customFormat="false" ht="15" hidden="false" customHeight="false" outlineLevel="0" collapsed="false">
      <c r="A3019" s="3" t="s">
        <v>338</v>
      </c>
      <c r="C3019" s="20" t="n">
        <f aca="false">IF(C3009="REFINANCING FAILURE",1,0)+IF(C3013="REFINANCING FAILURE",1,0)+IF(C3017="REFINANCING FAILURE",1,0)</f>
        <v>2</v>
      </c>
    </row>
    <row r="3021" customFormat="false" ht="15" hidden="false" customHeight="false" outlineLevel="0" collapsed="false">
      <c r="A3021" s="23" t="s">
        <v>340</v>
      </c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</row>
    <row r="3022" customFormat="false" ht="15" hidden="false" customHeight="false" outlineLevel="0" collapsed="false">
      <c r="A3022" s="3" t="s">
        <v>305</v>
      </c>
      <c r="G3022" s="25" t="n">
        <f aca="false">F3034</f>
        <v>463.996</v>
      </c>
      <c r="H3022" s="25" t="n">
        <f aca="false">G3034</f>
        <v>477.49209304</v>
      </c>
      <c r="I3022" s="25" t="n">
        <f aca="false">H3034</f>
        <v>459.9084363712</v>
      </c>
      <c r="J3022" s="25" t="n">
        <f aca="false">I3034</f>
        <v>4.53396664340795</v>
      </c>
      <c r="K3022" s="25" t="n">
        <f aca="false">J3034</f>
        <v>-27.1478577441585</v>
      </c>
    </row>
    <row r="3023" customFormat="false" ht="15" hidden="false" customHeight="false" outlineLevel="0" collapsed="false">
      <c r="A3023" s="3" t="s">
        <v>341</v>
      </c>
      <c r="G3023" s="25" t="n">
        <f aca="false">G2952</f>
        <v>13.49609304</v>
      </c>
      <c r="H3023" s="25" t="n">
        <f aca="false">H2952</f>
        <v>-17.5836566688</v>
      </c>
      <c r="I3023" s="25" t="n">
        <f aca="false">I2952</f>
        <v>-34.918469727792</v>
      </c>
      <c r="J3023" s="25" t="n">
        <f aca="false">J2952</f>
        <v>-31.6818243875664</v>
      </c>
      <c r="K3023" s="25" t="n">
        <f aca="false">K2952</f>
        <v>-37.0019976681881</v>
      </c>
    </row>
    <row r="3024" customFormat="false" ht="15" hidden="false" customHeight="false" outlineLevel="0" collapsed="false">
      <c r="A3024" s="3" t="s">
        <v>342</v>
      </c>
      <c r="G3024" s="25" t="n">
        <f aca="false">CHOOSE($C$2922,Assumptions!$G$74,Assumptions!$G$93,Assumptions!$G$112)</f>
        <v>0</v>
      </c>
      <c r="H3024" s="25" t="n">
        <f aca="false">CHOOSE($C$2922,Assumptions!$H$74,Assumptions!$H$93,Assumptions!$H$112)</f>
        <v>0</v>
      </c>
      <c r="I3024" s="25" t="n">
        <f aca="false">CHOOSE($C$2922,Assumptions!$I$74,Assumptions!$I$93,Assumptions!$I$112)</f>
        <v>0</v>
      </c>
      <c r="J3024" s="25" t="n">
        <f aca="false">CHOOSE($C$2922,Assumptions!$J$74,Assumptions!$J$93,Assumptions!$J$112)</f>
        <v>0</v>
      </c>
      <c r="K3024" s="25" t="n">
        <f aca="false">CHOOSE($C$2922,Assumptions!$K$74,Assumptions!$K$93,Assumptions!$K$112)</f>
        <v>0</v>
      </c>
    </row>
    <row r="3025" customFormat="false" ht="15" hidden="false" customHeight="false" outlineLevel="0" collapsed="false">
      <c r="A3025" s="3" t="s">
        <v>343</v>
      </c>
      <c r="G3025" s="25" t="n">
        <f aca="false">G2971+G2984+G2997</f>
        <v>0</v>
      </c>
      <c r="H3025" s="25" t="n">
        <f aca="false">H2971+H2984+H2997</f>
        <v>0</v>
      </c>
      <c r="I3025" s="25" t="n">
        <f aca="false">I2971+I2984+I2997</f>
        <v>0</v>
      </c>
      <c r="J3025" s="25" t="n">
        <f aca="false">J2971+J2984+J2997</f>
        <v>0</v>
      </c>
      <c r="K3025" s="25" t="n">
        <f aca="false">K2971+K2984+K2997</f>
        <v>0</v>
      </c>
    </row>
    <row r="3026" customFormat="false" ht="15" hidden="false" customHeight="false" outlineLevel="0" collapsed="false">
      <c r="A3026" s="2" t="s">
        <v>344</v>
      </c>
      <c r="G3026" s="16" t="n">
        <f aca="false">G3022+G3023+G3024-G3025</f>
        <v>477.49209304</v>
      </c>
      <c r="H3026" s="16" t="n">
        <f aca="false">H3022+H3023+H3024-H3025</f>
        <v>459.9084363712</v>
      </c>
      <c r="I3026" s="16" t="n">
        <f aca="false">I3022+I3023+I3024-I3025</f>
        <v>424.989966643408</v>
      </c>
      <c r="J3026" s="16" t="n">
        <f aca="false">J3022+J3023+J3024-J3025</f>
        <v>-27.1478577441585</v>
      </c>
      <c r="K3026" s="16" t="n">
        <f aca="false">K3022+K3023+K3024-K3025</f>
        <v>-64.1498554123466</v>
      </c>
    </row>
    <row r="3027" customFormat="false" ht="15" hidden="false" customHeight="false" outlineLevel="0" collapsed="false">
      <c r="A3027" s="3" t="s">
        <v>345</v>
      </c>
      <c r="G3027" s="25" t="n">
        <f aca="false">G2972+G2985+G2998</f>
        <v>0</v>
      </c>
      <c r="H3027" s="25" t="n">
        <f aca="false">H2972+H2985+H2998</f>
        <v>0</v>
      </c>
      <c r="I3027" s="25" t="n">
        <f aca="false">I2972+I2985+I2998</f>
        <v>0</v>
      </c>
      <c r="J3027" s="25" t="n">
        <f aca="false">J2972+J2985+J2998</f>
        <v>0</v>
      </c>
      <c r="K3027" s="25" t="n">
        <f aca="false">K2972+K2985+K2998</f>
        <v>0</v>
      </c>
    </row>
    <row r="3028" customFormat="false" ht="15" hidden="false" customHeight="false" outlineLevel="0" collapsed="false">
      <c r="A3028" s="2" t="s">
        <v>346</v>
      </c>
      <c r="G3028" s="16" t="n">
        <f aca="false">G3026+G3027</f>
        <v>477.49209304</v>
      </c>
      <c r="H3028" s="16" t="n">
        <f aca="false">H3026+H3027</f>
        <v>459.9084363712</v>
      </c>
      <c r="I3028" s="16" t="n">
        <f aca="false">I3026+I3027</f>
        <v>424.989966643408</v>
      </c>
      <c r="J3028" s="16" t="n">
        <f aca="false">J3026+J3027</f>
        <v>-27.1478577441585</v>
      </c>
      <c r="K3028" s="16" t="n">
        <f aca="false">K3026+K3027</f>
        <v>-64.1498554123466</v>
      </c>
    </row>
    <row r="3029" customFormat="false" ht="15" hidden="false" customHeight="false" outlineLevel="0" collapsed="false">
      <c r="A3029" s="3" t="s">
        <v>347</v>
      </c>
      <c r="G3029" s="25" t="n">
        <f aca="false">G2973+G2986+G2999</f>
        <v>0</v>
      </c>
      <c r="H3029" s="25" t="n">
        <f aca="false">H2973+H2986+H2999</f>
        <v>0</v>
      </c>
      <c r="I3029" s="25" t="n">
        <f aca="false">I2973+I2986+I2999</f>
        <v>420.456</v>
      </c>
      <c r="J3029" s="25" t="n">
        <f aca="false">J2973+J2986+J2999</f>
        <v>0</v>
      </c>
      <c r="K3029" s="25" t="n">
        <f aca="false">K2973+K2986+K2999</f>
        <v>0</v>
      </c>
    </row>
    <row r="3030" customFormat="false" ht="15" hidden="false" customHeight="false" outlineLevel="0" collapsed="false">
      <c r="A3030" s="2" t="s">
        <v>348</v>
      </c>
      <c r="G3030" s="16" t="n">
        <f aca="false">G3028-G3029</f>
        <v>477.49209304</v>
      </c>
      <c r="H3030" s="16" t="n">
        <f aca="false">H3028-H3029</f>
        <v>459.9084363712</v>
      </c>
      <c r="I3030" s="16" t="n">
        <f aca="false">I3028-I3029</f>
        <v>4.53396664340795</v>
      </c>
      <c r="J3030" s="16" t="n">
        <f aca="false">J3028-J3029</f>
        <v>-27.1478577441585</v>
      </c>
      <c r="K3030" s="16" t="n">
        <f aca="false">K3028-K3029</f>
        <v>-64.1498554123466</v>
      </c>
    </row>
    <row r="3031" customFormat="false" ht="15" hidden="false" customHeight="false" outlineLevel="0" collapsed="false">
      <c r="A3031" s="3" t="s">
        <v>349</v>
      </c>
      <c r="G3031" s="25" t="n">
        <f aca="false">MAX(0,-G3030)</f>
        <v>0</v>
      </c>
      <c r="H3031" s="25" t="n">
        <f aca="false">MAX(0,-H3030)</f>
        <v>0</v>
      </c>
      <c r="I3031" s="25" t="n">
        <f aca="false">MAX(0,-I3030)</f>
        <v>0</v>
      </c>
      <c r="J3031" s="25" t="n">
        <f aca="false">MAX(0,-J3030)</f>
        <v>27.1478577441585</v>
      </c>
      <c r="K3031" s="25" t="n">
        <f aca="false">MAX(0,-K3030)</f>
        <v>64.1498554123466</v>
      </c>
    </row>
    <row r="3032" customFormat="false" ht="15" hidden="false" customHeight="false" outlineLevel="0" collapsed="false">
      <c r="A3032" s="3" t="s">
        <v>350</v>
      </c>
      <c r="G3032" s="25" t="n">
        <f aca="false">MAX(0,G3030-Assumptions!$C$12)*Assumptions!$C$13</f>
        <v>0</v>
      </c>
      <c r="H3032" s="25" t="n">
        <f aca="false">MAX(0,H3030-Assumptions!$C$12)*Assumptions!$C$13</f>
        <v>0</v>
      </c>
      <c r="I3032" s="25" t="n">
        <f aca="false">MAX(0,I3030-Assumptions!$C$12)*Assumptions!$C$13</f>
        <v>0</v>
      </c>
      <c r="J3032" s="25" t="n">
        <f aca="false">MAX(0,J3030-Assumptions!$C$12)*Assumptions!$C$13</f>
        <v>0</v>
      </c>
      <c r="K3032" s="25" t="n">
        <f aca="false">MAX(0,K3030-Assumptions!$C$12)*Assumptions!$C$13</f>
        <v>0</v>
      </c>
    </row>
    <row r="3033" customFormat="false" ht="15" hidden="false" customHeight="false" outlineLevel="0" collapsed="false">
      <c r="A3033" s="3" t="s">
        <v>351</v>
      </c>
      <c r="G3033" s="25" t="n">
        <f aca="false">G2974+G2987+G3000</f>
        <v>0</v>
      </c>
      <c r="H3033" s="25" t="n">
        <f aca="false">H2974+H2987+H3000</f>
        <v>0</v>
      </c>
      <c r="I3033" s="25" t="n">
        <f aca="false">I2974+I2987+I3000</f>
        <v>0</v>
      </c>
      <c r="J3033" s="25" t="n">
        <f aca="false">J2974+J2987+J3000</f>
        <v>0</v>
      </c>
      <c r="K3033" s="25" t="n">
        <f aca="false">K2974+K2987+K3000</f>
        <v>0</v>
      </c>
    </row>
    <row r="3034" customFormat="false" ht="15" hidden="false" customHeight="false" outlineLevel="0" collapsed="false">
      <c r="A3034" s="2" t="s">
        <v>352</v>
      </c>
      <c r="F3034" s="28" t="n">
        <f aca="false">Assumptions!$C$11</f>
        <v>463.996</v>
      </c>
      <c r="G3034" s="16" t="n">
        <f aca="false">G3030-G3033</f>
        <v>477.49209304</v>
      </c>
      <c r="H3034" s="16" t="n">
        <f aca="false">H3030-H3033</f>
        <v>459.9084363712</v>
      </c>
      <c r="I3034" s="16" t="n">
        <f aca="false">I3030-I3033</f>
        <v>4.53396664340795</v>
      </c>
      <c r="J3034" s="16" t="n">
        <f aca="false">J3030-J3033</f>
        <v>-27.1478577441585</v>
      </c>
      <c r="K3034" s="16" t="n">
        <f aca="false">K3030-K3033</f>
        <v>-64.1498554123466</v>
      </c>
    </row>
    <row r="3035" customFormat="false" ht="15" hidden="false" customHeight="false" outlineLevel="0" collapsed="false">
      <c r="A3035" s="3" t="s">
        <v>353</v>
      </c>
      <c r="G3035" s="25" t="n">
        <f aca="false">G2975+G2988+G3001</f>
        <v>0</v>
      </c>
      <c r="H3035" s="25" t="n">
        <f aca="false">H2975+H2988+H3001</f>
        <v>0</v>
      </c>
      <c r="I3035" s="25" t="n">
        <f aca="false">I2975+I2988+I3001</f>
        <v>0</v>
      </c>
      <c r="J3035" s="25" t="n">
        <f aca="false">J2975+J2988+J3001</f>
        <v>0</v>
      </c>
      <c r="K3035" s="25" t="n">
        <f aca="false">K2975+K2988+K3001</f>
        <v>0</v>
      </c>
    </row>
    <row r="3036" customFormat="false" ht="15" hidden="false" customHeight="false" outlineLevel="0" collapsed="false">
      <c r="A3036" s="3" t="s">
        <v>354</v>
      </c>
      <c r="G3036" s="20" t="n">
        <f aca="false">IF(OR(G3031&gt;0.001,G3035&gt;0.001),1,0)</f>
        <v>0</v>
      </c>
      <c r="H3036" s="20" t="n">
        <f aca="false">IF(OR(H3031&gt;0.001,H3035&gt;0.001),1,0)</f>
        <v>0</v>
      </c>
      <c r="I3036" s="20" t="n">
        <f aca="false">IF(OR(I3031&gt;0.001,I3035&gt;0.001),1,0)</f>
        <v>0</v>
      </c>
      <c r="J3036" s="20" t="n">
        <f aca="false">IF(OR(J3031&gt;0.001,J3035&gt;0.001),1,0)</f>
        <v>1</v>
      </c>
      <c r="K3036" s="20" t="n">
        <f aca="false">IF(OR(K3031&gt;0.001,K3035&gt;0.001),1,0)</f>
        <v>1</v>
      </c>
    </row>
    <row r="3037" customFormat="false" ht="15" hidden="false" customHeight="false" outlineLevel="0" collapsed="false">
      <c r="A3037" s="3" t="s">
        <v>355</v>
      </c>
      <c r="G3037" s="20" t="n">
        <f aca="false">IF(G3036=1,1,0)</f>
        <v>0</v>
      </c>
      <c r="H3037" s="20" t="n">
        <f aca="false">IF(AND(H3036=1,SUM($G$3036:G3036)=0),1,0)</f>
        <v>0</v>
      </c>
      <c r="I3037" s="20" t="n">
        <f aca="false">IF(AND(I3036=1,SUM($G$3036:H3036)=0),1,0)</f>
        <v>0</v>
      </c>
      <c r="J3037" s="20" t="n">
        <f aca="false">IF(AND(J3036=1,SUM($G$3036:I3036)=0),1,0)</f>
        <v>1</v>
      </c>
      <c r="K3037" s="20" t="n">
        <f aca="false">IF(AND(K3036=1,SUM($G$3036:J3036)=0),1,0)</f>
        <v>0</v>
      </c>
    </row>
    <row r="3038" customFormat="false" ht="15" hidden="false" customHeight="false" outlineLevel="0" collapsed="false">
      <c r="A3038" s="3" t="s">
        <v>356</v>
      </c>
      <c r="G3038" s="25" t="n">
        <f aca="false">(G3004-F3004)-(G3027+G2944-G3025-G3029-G3033)</f>
        <v>0</v>
      </c>
      <c r="H3038" s="25" t="n">
        <f aca="false">(H3004-G3004)-(H3027+H2944-H3025-H3029-H3033)</f>
        <v>0</v>
      </c>
      <c r="I3038" s="25" t="n">
        <f aca="false">(I3004-H3004)-(I3027+I2944-I3025-I3029-I3033)</f>
        <v>0</v>
      </c>
      <c r="J3038" s="25" t="n">
        <f aca="false">(J3004-I3004)-(J3027+J2944-J3025-J3029-J3033)</f>
        <v>0</v>
      </c>
      <c r="K3038" s="25" t="n">
        <f aca="false">(K3004-J3004)-(K3027+K2944-K3025-K3029-K3033)</f>
        <v>0</v>
      </c>
    </row>
    <row r="3040" customFormat="false" ht="15" hidden="false" customHeight="false" outlineLevel="0" collapsed="false">
      <c r="A3040" s="23" t="s">
        <v>358</v>
      </c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</row>
    <row r="3041" customFormat="false" ht="15" hidden="false" customHeight="false" outlineLevel="0" collapsed="false">
      <c r="A3041" s="3" t="s">
        <v>359</v>
      </c>
      <c r="G3041" s="25" t="n">
        <f aca="false">G3004</f>
        <v>1735.554</v>
      </c>
      <c r="H3041" s="25" t="n">
        <f aca="false">H3004</f>
        <v>1735.554</v>
      </c>
      <c r="I3041" s="25" t="n">
        <f aca="false">I3004</f>
        <v>1315.098</v>
      </c>
      <c r="J3041" s="25" t="n">
        <f aca="false">J3004</f>
        <v>1315.098</v>
      </c>
      <c r="K3041" s="25" t="n">
        <f aca="false">K3004</f>
        <v>1315.098</v>
      </c>
    </row>
    <row r="3042" customFormat="false" ht="15" hidden="false" customHeight="false" outlineLevel="0" collapsed="false">
      <c r="A3042" s="3" t="s">
        <v>360</v>
      </c>
      <c r="G3042" s="25" t="n">
        <f aca="false">Assumptions!$O$56*G2976+Assumptions!$O$57*G2989+Assumptions!$O$58*G3002</f>
        <v>1315.098</v>
      </c>
      <c r="H3042" s="25" t="n">
        <f aca="false">Assumptions!$O$56*H2976+Assumptions!$O$57*H2989+Assumptions!$O$58*H3002</f>
        <v>1315.098</v>
      </c>
      <c r="I3042" s="25" t="n">
        <f aca="false">Assumptions!$O$56*I2976+Assumptions!$O$57*I2989+Assumptions!$O$58*I3002</f>
        <v>1315.098</v>
      </c>
      <c r="J3042" s="25" t="n">
        <f aca="false">Assumptions!$O$56*J2976+Assumptions!$O$57*J2989+Assumptions!$O$58*J3002</f>
        <v>1315.098</v>
      </c>
      <c r="K3042" s="25" t="n">
        <f aca="false">Assumptions!$O$56*K2976+Assumptions!$O$57*K2989+Assumptions!$O$58*K3002</f>
        <v>1315.098</v>
      </c>
    </row>
    <row r="3043" customFormat="false" ht="15" hidden="false" customHeight="false" outlineLevel="0" collapsed="false">
      <c r="A3043" s="3" t="s">
        <v>361</v>
      </c>
      <c r="G3043" s="25" t="n">
        <f aca="false">G3041-G3034</f>
        <v>1258.06190696</v>
      </c>
      <c r="H3043" s="25" t="n">
        <f aca="false">H3041-H3034</f>
        <v>1275.6455636288</v>
      </c>
      <c r="I3043" s="25" t="n">
        <f aca="false">I3041-I3034</f>
        <v>1310.56403335659</v>
      </c>
      <c r="J3043" s="25" t="n">
        <f aca="false">J3041-J3034</f>
        <v>1342.24585774416</v>
      </c>
      <c r="K3043" s="25" t="n">
        <f aca="false">K3041-K3034</f>
        <v>1379.24785541235</v>
      </c>
    </row>
    <row r="3044" customFormat="false" ht="15" hidden="false" customHeight="false" outlineLevel="0" collapsed="false">
      <c r="A3044" s="3" t="s">
        <v>362</v>
      </c>
      <c r="G3044" s="32" t="n">
        <f aca="false">IF(G2939&gt;0,G3041/G2939,0)</f>
        <v>8.39863010628081</v>
      </c>
      <c r="H3044" s="32" t="n">
        <f aca="false">IF(H2939&gt;0,H3041/H2939,0)</f>
        <v>10.0342056227967</v>
      </c>
      <c r="I3044" s="32" t="n">
        <f aca="false">IF(I2939&gt;0,I3041/I2939,0)</f>
        <v>8.56443490866552</v>
      </c>
      <c r="J3044" s="32" t="n">
        <f aca="false">IF(J2939&gt;0,J3041/J2939,0)</f>
        <v>9.57864430574433</v>
      </c>
      <c r="K3044" s="32" t="n">
        <f aca="false">IF(K2939&gt;0,K3041/K2939,0)</f>
        <v>10.0827834797309</v>
      </c>
    </row>
    <row r="3045" customFormat="false" ht="15" hidden="false" customHeight="false" outlineLevel="0" collapsed="false">
      <c r="A3045" s="3" t="s">
        <v>363</v>
      </c>
      <c r="G3045" s="32" t="n">
        <f aca="false">IF(G2939&gt;0,G3043/G2939,0)</f>
        <v>6.08796765030608</v>
      </c>
      <c r="H3045" s="32" t="n">
        <f aca="false">IF(H2939&gt;0,H3043/H2939,0)</f>
        <v>7.37521845316235</v>
      </c>
      <c r="I3045" s="32" t="n">
        <f aca="false">IF(I2939&gt;0,I3043/I2939,0)</f>
        <v>8.53490793638245</v>
      </c>
      <c r="J3045" s="32" t="n">
        <f aca="false">IF(J2939&gt;0,J3043/J2939,0)</f>
        <v>9.77637837042563</v>
      </c>
      <c r="K3045" s="32" t="n">
        <f aca="false">IF(K2939&gt;0,K3043/K2939,0)</f>
        <v>10.5746168658198</v>
      </c>
    </row>
    <row r="3046" customFormat="false" ht="15" hidden="false" customHeight="false" outlineLevel="0" collapsed="false">
      <c r="A3046" s="3" t="s">
        <v>364</v>
      </c>
      <c r="G3046" s="32" t="n">
        <f aca="false">IF(G2943&gt;0,G2939/G2943,0)</f>
        <v>1.32504702808835</v>
      </c>
      <c r="H3046" s="32" t="n">
        <f aca="false">IF(H2943&gt;0,H2939/H2943,0)</f>
        <v>1.10906436250995</v>
      </c>
      <c r="I3046" s="32" t="n">
        <f aca="false">IF(I2943&gt;0,I2939/I2943,0)</f>
        <v>0.984602695161613</v>
      </c>
      <c r="J3046" s="32" t="n">
        <f aca="false">IF(J2943&gt;0,J2939/J2943,0)</f>
        <v>0.994275308677876</v>
      </c>
      <c r="K3046" s="32" t="n">
        <f aca="false">IF(K2943&gt;0,K2939/K2943,0)</f>
        <v>0.944561543243982</v>
      </c>
    </row>
    <row r="3047" customFormat="false" ht="15" hidden="false" customHeight="false" outlineLevel="0" collapsed="false">
      <c r="A3047" s="3" t="s">
        <v>365</v>
      </c>
      <c r="G3047" s="32" t="n">
        <f aca="false">IF(G2943&gt;0,G2942/G2943,0)</f>
        <v>0.678193426333434</v>
      </c>
      <c r="H3047" s="32" t="n">
        <f aca="false">IF(H2943&gt;0,H2942/H2943,0)</f>
        <v>0.507490512877877</v>
      </c>
      <c r="I3047" s="32" t="n">
        <f aca="false">IF(I2943&gt;0,I2942/I2943,0)</f>
        <v>0.419123276507462</v>
      </c>
      <c r="J3047" s="32" t="n">
        <f aca="false">IF(J2943&gt;0,J2942/J2943,0)</f>
        <v>0.387551027462983</v>
      </c>
      <c r="K3047" s="32" t="n">
        <f aca="false">IF(K2943&gt;0,K2942/K2943,0)</f>
        <v>0.368173476089834</v>
      </c>
    </row>
    <row r="3048" customFormat="false" ht="15" hidden="false" customHeight="false" outlineLevel="0" collapsed="false">
      <c r="A3048" s="3" t="s">
        <v>198</v>
      </c>
      <c r="G3048" s="21" t="n">
        <f aca="false">IF(G3041&gt;0,G2952/G3041,0)</f>
        <v>0.00777624495694169</v>
      </c>
      <c r="H3048" s="21" t="n">
        <f aca="false">IF(H3041&gt;0,H2952/H3041,0)</f>
        <v>-0.010131437378958</v>
      </c>
      <c r="I3048" s="21" t="n">
        <f aca="false">IF(I3041&gt;0,I2952/I3041,0)</f>
        <v>-0.0265519905952195</v>
      </c>
      <c r="J3048" s="21" t="n">
        <f aca="false">IF(J3041&gt;0,J2952/J3041,0)</f>
        <v>-0.0240908467563379</v>
      </c>
      <c r="K3048" s="21" t="n">
        <f aca="false">IF(K3041&gt;0,K2952/K3041,0)</f>
        <v>-0.028136304418521</v>
      </c>
    </row>
    <row r="3049" customFormat="false" ht="15" hidden="false" customHeight="false" outlineLevel="0" collapsed="false">
      <c r="A3049" s="3" t="s">
        <v>366</v>
      </c>
      <c r="G3049" s="32" t="n">
        <f aca="false">IF(G2943+G3025&gt;0,(G2939-G2950-G2947)/(G2943+G3025),0)</f>
        <v>1.15279091443687</v>
      </c>
      <c r="H3049" s="32" t="n">
        <f aca="false">IF(H2943+H3025&gt;0,(H2939-H2950-H2947)/(H2943+H3025),0)</f>
        <v>0.94886617681407</v>
      </c>
      <c r="I3049" s="32" t="n">
        <f aca="false">IF(I2943+I3025&gt;0,(I2939-I2950-I2947)/(I2943+I3025),0)</f>
        <v>0.834016400607484</v>
      </c>
      <c r="J3049" s="32" t="n">
        <f aca="false">IF(J2943+J3025&gt;0,(J2939-J2950-J2947)/(J2943+J3025),0)</f>
        <v>0.832705571017721</v>
      </c>
      <c r="K3049" s="32" t="n">
        <f aca="false">IF(K2943+K3025&gt;0,(K2939-K2950-K2947)/(K2943+K3025),0)</f>
        <v>0.791070292466835</v>
      </c>
    </row>
    <row r="3050" customFormat="false" ht="15" hidden="false" customHeight="false" outlineLevel="0" collapsed="false">
      <c r="A3050" s="3" t="s">
        <v>367</v>
      </c>
      <c r="G3050" s="25" t="n">
        <f aca="false">MAX(0,G3034)+Assumptions!$P$56*MAX(0,Assumptions!$D$56-G2976)+Assumptions!$P$57*MAX(0,Assumptions!$D$57-G2989)+Assumptions!$P$58*MAX(0,Assumptions!$D$58-G3002)</f>
        <v>477.49209304</v>
      </c>
      <c r="H3050" s="25" t="n">
        <f aca="false">MAX(0,H3034)+Assumptions!$P$56*MAX(0,Assumptions!$D$56-H2976)+Assumptions!$P$57*MAX(0,Assumptions!$D$57-H2989)+Assumptions!$P$58*MAX(0,Assumptions!$D$58-H3002)</f>
        <v>459.9084363712</v>
      </c>
      <c r="I3050" s="25" t="n">
        <f aca="false">MAX(0,I3034)+Assumptions!$P$56*MAX(0,Assumptions!$D$56-I2976)+Assumptions!$P$57*MAX(0,Assumptions!$D$57-I2989)+Assumptions!$P$58*MAX(0,Assumptions!$D$58-I3002)</f>
        <v>4.53396664340795</v>
      </c>
      <c r="J3050" s="25" t="n">
        <f aca="false">MAX(0,J3034)+Assumptions!$P$56*MAX(0,Assumptions!$D$56-J2976)+Assumptions!$P$57*MAX(0,Assumptions!$D$57-J2989)+Assumptions!$P$58*MAX(0,Assumptions!$D$58-J3002)</f>
        <v>0</v>
      </c>
      <c r="K3050" s="25" t="n">
        <f aca="false">MAX(0,K3034)+Assumptions!$P$56*MAX(0,Assumptions!$D$56-K2976)+Assumptions!$P$57*MAX(0,Assumptions!$D$57-K2989)+Assumptions!$P$58*MAX(0,Assumptions!$D$58-K3002)</f>
        <v>0</v>
      </c>
    </row>
    <row r="3051" customFormat="false" ht="15" hidden="false" customHeight="false" outlineLevel="0" collapsed="false">
      <c r="A3051" s="3" t="s">
        <v>368</v>
      </c>
      <c r="G3051" s="21" t="n">
        <f aca="false">IF(G3041&gt;0,G3041/(G3041+MAX(0,G2939*CHOOSE($C$2922,Assumptions!$C$82,Assumptions!$C$101,Assumptions!$C$120)-G3043)),0)</f>
        <v>1</v>
      </c>
      <c r="H3051" s="21" t="n">
        <f aca="false">IF(H3041&gt;0,H3041/(H3041+MAX(0,H2939*CHOOSE($C$2922,Assumptions!$C$82,Assumptions!$C$101,Assumptions!$C$120)-H3043)),0)</f>
        <v>1</v>
      </c>
      <c r="I3051" s="21" t="n">
        <f aca="false">IF(I3041&gt;0,I3041/(I3041+MAX(0,I2939*CHOOSE($C$2922,Assumptions!$C$82,Assumptions!$C$101,Assumptions!$C$120)-I3043)),0)</f>
        <v>1</v>
      </c>
      <c r="J3051" s="21" t="n">
        <f aca="false">IF(J3041&gt;0,J3041/(J3041+MAX(0,J2939*CHOOSE($C$2922,Assumptions!$C$82,Assumptions!$C$101,Assumptions!$C$120)-J3043)),0)</f>
        <v>1</v>
      </c>
      <c r="K3051" s="21" t="n">
        <f aca="false">IF(K3041&gt;0,K3041/(K3041+MAX(0,K2939*CHOOSE($C$2922,Assumptions!$C$82,Assumptions!$C$101,Assumptions!$C$120)-K3043)),0)</f>
        <v>1</v>
      </c>
    </row>
    <row r="3052" customFormat="false" ht="15" hidden="false" customHeight="false" outlineLevel="0" collapsed="false">
      <c r="A3052" s="3" t="s">
        <v>369</v>
      </c>
      <c r="G3052" s="21" t="n">
        <f aca="false">IF(G3041&gt;0,MAX(0,G3034)/G3041,0)</f>
        <v>0.275123731696046</v>
      </c>
      <c r="H3052" s="21" t="n">
        <f aca="false">IF(H3041&gt;0,MAX(0,H3034)/H3041,0)</f>
        <v>0.264992294317088</v>
      </c>
      <c r="I3052" s="21" t="n">
        <f aca="false">IF(I3041&gt;0,MAX(0,I3034)/I3041,0)</f>
        <v>0.00344762644563976</v>
      </c>
      <c r="J3052" s="21" t="n">
        <f aca="false">IF(J3041&gt;0,MAX(0,J3034)/J3041,0)</f>
        <v>0</v>
      </c>
      <c r="K3052" s="21" t="n">
        <f aca="false">IF(K3041&gt;0,MAX(0,K3034)/K3041,0)</f>
        <v>0</v>
      </c>
    </row>
    <row r="3053" customFormat="false" ht="15" hidden="false" customHeight="false" outlineLevel="0" collapsed="false">
      <c r="A3053" s="3" t="s">
        <v>370</v>
      </c>
      <c r="G3053" s="25" t="n">
        <f aca="false">Assumptions!$C$30*(1-CHOOSE($C$2922,Assumptions!$C$85,Assumptions!$C$104,Assumptions!$C$123))</f>
        <v>2086.72535</v>
      </c>
      <c r="H3053" s="25" t="n">
        <f aca="false">Assumptions!$C$30*(1-CHOOSE($C$2922,Assumptions!$C$85,Assumptions!$C$104,Assumptions!$C$123))</f>
        <v>2086.72535</v>
      </c>
      <c r="I3053" s="25" t="n">
        <f aca="false">Assumptions!$C$30*(1-CHOOSE($C$2922,Assumptions!$C$85,Assumptions!$C$104,Assumptions!$C$123))</f>
        <v>2086.72535</v>
      </c>
      <c r="J3053" s="25" t="n">
        <f aca="false">Assumptions!$C$30*(1-CHOOSE($C$2922,Assumptions!$C$85,Assumptions!$C$104,Assumptions!$C$123))</f>
        <v>2086.72535</v>
      </c>
      <c r="K3053" s="25" t="n">
        <f aca="false">Assumptions!$C$30*(1-CHOOSE($C$2922,Assumptions!$C$85,Assumptions!$C$104,Assumptions!$C$123))</f>
        <v>2086.72535</v>
      </c>
    </row>
    <row r="3054" customFormat="false" ht="15" hidden="false" customHeight="false" outlineLevel="0" collapsed="false">
      <c r="A3054" s="23" t="s">
        <v>371</v>
      </c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</row>
    <row r="3055" customFormat="false" ht="15" hidden="false" customHeight="false" outlineLevel="0" collapsed="false">
      <c r="A3055" s="23" t="s">
        <v>372</v>
      </c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</row>
    <row r="3056" customFormat="false" ht="15" hidden="false" customHeight="false" outlineLevel="0" collapsed="false">
      <c r="A3056" s="3" t="s">
        <v>373</v>
      </c>
      <c r="G3056" s="32" t="n">
        <f aca="false">IF(G2939&gt;0,G3043/G2939,99)</f>
        <v>6.08796765030608</v>
      </c>
      <c r="H3056" s="32" t="n">
        <f aca="false">IF(H2939&gt;0,H3043/H2939,99)</f>
        <v>7.37521845316235</v>
      </c>
      <c r="I3056" s="32" t="n">
        <f aca="false">IF(I2939&gt;0,I3043/I2939,99)</f>
        <v>8.53490793638245</v>
      </c>
      <c r="J3056" s="32" t="n">
        <f aca="false">IF(J2939&gt;0,J3043/J2939,99)</f>
        <v>9.77637837042563</v>
      </c>
      <c r="K3056" s="32" t="n">
        <f aca="false">IF(K2939&gt;0,K3043/K2939,99)</f>
        <v>10.5746168658198</v>
      </c>
    </row>
    <row r="3057" customFormat="false" ht="15" hidden="false" customHeight="false" outlineLevel="0" collapsed="false">
      <c r="A3057" s="3" t="s">
        <v>374</v>
      </c>
      <c r="G3057" s="33" t="n">
        <f aca="false">Assumptions!$G$65</f>
        <v>5.25</v>
      </c>
      <c r="H3057" s="33" t="n">
        <f aca="false">Assumptions!$H$65</f>
        <v>5.25</v>
      </c>
      <c r="I3057" s="33" t="n">
        <f aca="false">Assumptions!$I$65</f>
        <v>5</v>
      </c>
      <c r="J3057" s="33" t="n">
        <f aca="false">Assumptions!$J$65</f>
        <v>5</v>
      </c>
      <c r="K3057" s="33" t="n">
        <f aca="false">Assumptions!$K$65</f>
        <v>5</v>
      </c>
    </row>
    <row r="3058" customFormat="false" ht="15" hidden="false" customHeight="false" outlineLevel="0" collapsed="false">
      <c r="A3058" s="3" t="s">
        <v>375</v>
      </c>
      <c r="G3058" s="32" t="n">
        <f aca="false">G3057-G3056</f>
        <v>-0.837967650306076</v>
      </c>
      <c r="H3058" s="32" t="n">
        <f aca="false">H3057-H3056</f>
        <v>-2.12521845316235</v>
      </c>
      <c r="I3058" s="32" t="n">
        <f aca="false">I3057-I3056</f>
        <v>-3.53490793638245</v>
      </c>
      <c r="J3058" s="32" t="n">
        <f aca="false">J3057-J3056</f>
        <v>-4.77637837042563</v>
      </c>
      <c r="K3058" s="32" t="n">
        <f aca="false">K3057-K3056</f>
        <v>-5.57461686581977</v>
      </c>
    </row>
    <row r="3059" customFormat="false" ht="15" hidden="false" customHeight="false" outlineLevel="0" collapsed="false">
      <c r="A3059" s="3" t="s">
        <v>376</v>
      </c>
      <c r="G3059" s="21" t="n">
        <f aca="false">IF(G3057=0,0,G3058/ABS(G3057))</f>
        <v>-0.159612885772586</v>
      </c>
      <c r="H3059" s="21" t="n">
        <f aca="false">IF(H3057=0,0,H3058/ABS(H3057))</f>
        <v>-0.404803514888067</v>
      </c>
      <c r="I3059" s="21" t="n">
        <f aca="false">IF(I3057=0,0,I3058/ABS(I3057))</f>
        <v>-0.70698158727649</v>
      </c>
      <c r="J3059" s="21" t="n">
        <f aca="false">IF(J3057=0,0,J3058/ABS(J3057))</f>
        <v>-0.955275674085126</v>
      </c>
      <c r="K3059" s="21" t="n">
        <f aca="false">IF(K3057=0,0,K3058/ABS(K3057))</f>
        <v>-1.11492337316395</v>
      </c>
    </row>
    <row r="3060" customFormat="false" ht="15" hidden="false" customHeight="false" outlineLevel="0" collapsed="false">
      <c r="A3060" s="3" t="s">
        <v>377</v>
      </c>
      <c r="G3060" s="20" t="n">
        <f aca="false">IF(G3058&lt;0,1,0)</f>
        <v>1</v>
      </c>
      <c r="H3060" s="20" t="n">
        <f aca="false">IF(H3058&lt;0,1,0)</f>
        <v>1</v>
      </c>
      <c r="I3060" s="20" t="n">
        <f aca="false">IF(I3058&lt;0,1,0)</f>
        <v>1</v>
      </c>
      <c r="J3060" s="20" t="n">
        <f aca="false">IF(J3058&lt;0,1,0)</f>
        <v>1</v>
      </c>
      <c r="K3060" s="20" t="n">
        <f aca="false">IF(K3058&lt;0,1,0)</f>
        <v>1</v>
      </c>
    </row>
    <row r="3061" customFormat="false" ht="15" hidden="false" customHeight="false" outlineLevel="0" collapsed="false">
      <c r="A3061" s="3" t="s">
        <v>378</v>
      </c>
      <c r="C3061" s="20" t="n">
        <f aca="false">IFERROR(INDEX($G$2929:$K$2929,MATCH(1,$G$3060:$K$3060,0)),0)</f>
        <v>2027</v>
      </c>
    </row>
    <row r="3062" customFormat="false" ht="15" hidden="false" customHeight="false" outlineLevel="0" collapsed="false">
      <c r="A3062" s="3" t="s">
        <v>379</v>
      </c>
      <c r="C3062" s="21" t="n">
        <f aca="false">MIN($G$3059:$K$3059)</f>
        <v>-1.11492337316395</v>
      </c>
    </row>
    <row r="3063" customFormat="false" ht="15" hidden="false" customHeight="false" outlineLevel="0" collapsed="false">
      <c r="A3063" s="23" t="s">
        <v>380</v>
      </c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</row>
    <row r="3064" customFormat="false" ht="15" hidden="false" customHeight="false" outlineLevel="0" collapsed="false">
      <c r="A3064" s="3" t="s">
        <v>373</v>
      </c>
      <c r="G3064" s="32" t="n">
        <f aca="false">IF(G2943&gt;0,G2939/G2943,99)</f>
        <v>1.32504702808835</v>
      </c>
      <c r="H3064" s="32" t="n">
        <f aca="false">IF(H2943&gt;0,H2939/H2943,99)</f>
        <v>1.10906436250995</v>
      </c>
      <c r="I3064" s="32" t="n">
        <f aca="false">IF(I2943&gt;0,I2939/I2943,99)</f>
        <v>0.984602695161613</v>
      </c>
      <c r="J3064" s="32" t="n">
        <f aca="false">IF(J2943&gt;0,J2939/J2943,99)</f>
        <v>0.994275308677876</v>
      </c>
      <c r="K3064" s="32" t="n">
        <f aca="false">IF(K2943&gt;0,K2939/K2943,99)</f>
        <v>0.944561543243982</v>
      </c>
    </row>
    <row r="3065" customFormat="false" ht="15" hidden="false" customHeight="false" outlineLevel="0" collapsed="false">
      <c r="A3065" s="3" t="s">
        <v>374</v>
      </c>
      <c r="G3065" s="33" t="n">
        <f aca="false">Assumptions!$G$66</f>
        <v>1.4</v>
      </c>
      <c r="H3065" s="33" t="n">
        <f aca="false">Assumptions!$H$66</f>
        <v>1.4</v>
      </c>
      <c r="I3065" s="33" t="n">
        <f aca="false">Assumptions!$I$66</f>
        <v>1.4</v>
      </c>
      <c r="J3065" s="33" t="n">
        <f aca="false">Assumptions!$J$66</f>
        <v>1.5</v>
      </c>
      <c r="K3065" s="33" t="n">
        <f aca="false">Assumptions!$K$66</f>
        <v>1.5</v>
      </c>
    </row>
    <row r="3066" customFormat="false" ht="15" hidden="false" customHeight="false" outlineLevel="0" collapsed="false">
      <c r="A3066" s="3" t="s">
        <v>375</v>
      </c>
      <c r="G3066" s="32" t="n">
        <f aca="false">G3064-G3065</f>
        <v>-0.074952971911646</v>
      </c>
      <c r="H3066" s="32" t="n">
        <f aca="false">H3064-H3065</f>
        <v>-0.290935637490048</v>
      </c>
      <c r="I3066" s="32" t="n">
        <f aca="false">I3064-I3065</f>
        <v>-0.415397304838387</v>
      </c>
      <c r="J3066" s="32" t="n">
        <f aca="false">J3064-J3065</f>
        <v>-0.505724691322124</v>
      </c>
      <c r="K3066" s="32" t="n">
        <f aca="false">K3064-K3065</f>
        <v>-0.555438456756018</v>
      </c>
    </row>
    <row r="3067" customFormat="false" ht="15" hidden="false" customHeight="false" outlineLevel="0" collapsed="false">
      <c r="A3067" s="3" t="s">
        <v>376</v>
      </c>
      <c r="G3067" s="21" t="n">
        <f aca="false">IF(G3065=0,0,G3066/ABS(G3065))</f>
        <v>-0.0535378370797471</v>
      </c>
      <c r="H3067" s="21" t="n">
        <f aca="false">IF(H3065=0,0,H3066/ABS(H3065))</f>
        <v>-0.207811169635748</v>
      </c>
      <c r="I3067" s="21" t="n">
        <f aca="false">IF(I3065=0,0,I3066/ABS(I3065))</f>
        <v>-0.296712360598848</v>
      </c>
      <c r="J3067" s="21" t="n">
        <f aca="false">IF(J3065=0,0,J3066/ABS(J3065))</f>
        <v>-0.33714979421475</v>
      </c>
      <c r="K3067" s="21" t="n">
        <f aca="false">IF(K3065=0,0,K3066/ABS(K3065))</f>
        <v>-0.370292304504012</v>
      </c>
    </row>
    <row r="3068" customFormat="false" ht="15" hidden="false" customHeight="false" outlineLevel="0" collapsed="false">
      <c r="A3068" s="3" t="s">
        <v>377</v>
      </c>
      <c r="G3068" s="20" t="n">
        <f aca="false">IF(G3066&lt;0,1,0)</f>
        <v>1</v>
      </c>
      <c r="H3068" s="20" t="n">
        <f aca="false">IF(H3066&lt;0,1,0)</f>
        <v>1</v>
      </c>
      <c r="I3068" s="20" t="n">
        <f aca="false">IF(I3066&lt;0,1,0)</f>
        <v>1</v>
      </c>
      <c r="J3068" s="20" t="n">
        <f aca="false">IF(J3066&lt;0,1,0)</f>
        <v>1</v>
      </c>
      <c r="K3068" s="20" t="n">
        <f aca="false">IF(K3066&lt;0,1,0)</f>
        <v>1</v>
      </c>
    </row>
    <row r="3069" customFormat="false" ht="15" hidden="false" customHeight="false" outlineLevel="0" collapsed="false">
      <c r="A3069" s="3" t="s">
        <v>378</v>
      </c>
      <c r="C3069" s="20" t="n">
        <f aca="false">IFERROR(INDEX($G$2929:$K$2929,MATCH(1,$G$3068:$K$3068,0)),0)</f>
        <v>2027</v>
      </c>
    </row>
    <row r="3070" customFormat="false" ht="15" hidden="false" customHeight="false" outlineLevel="0" collapsed="false">
      <c r="A3070" s="3" t="s">
        <v>379</v>
      </c>
      <c r="C3070" s="21" t="n">
        <f aca="false">MIN($G$3067:$K$3067)</f>
        <v>-0.370292304504012</v>
      </c>
    </row>
    <row r="3071" customFormat="false" ht="15" hidden="false" customHeight="false" outlineLevel="0" collapsed="false">
      <c r="A3071" s="23" t="s">
        <v>381</v>
      </c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</row>
    <row r="3072" customFormat="false" ht="15" hidden="false" customHeight="false" outlineLevel="0" collapsed="false">
      <c r="A3072" s="3" t="s">
        <v>373</v>
      </c>
      <c r="G3072" s="25" t="n">
        <f aca="false">G3050</f>
        <v>477.49209304</v>
      </c>
      <c r="H3072" s="25" t="n">
        <f aca="false">H3050</f>
        <v>459.9084363712</v>
      </c>
      <c r="I3072" s="25" t="n">
        <f aca="false">I3050</f>
        <v>4.53396664340795</v>
      </c>
      <c r="J3072" s="25" t="n">
        <f aca="false">J3050</f>
        <v>0</v>
      </c>
      <c r="K3072" s="25" t="n">
        <f aca="false">K3050</f>
        <v>0</v>
      </c>
    </row>
    <row r="3073" customFormat="false" ht="15" hidden="false" customHeight="false" outlineLevel="0" collapsed="false">
      <c r="A3073" s="3" t="s">
        <v>374</v>
      </c>
      <c r="G3073" s="29" t="n">
        <f aca="false">Assumptions!$G$67</f>
        <v>200</v>
      </c>
      <c r="H3073" s="29" t="n">
        <f aca="false">Assumptions!$H$67</f>
        <v>200</v>
      </c>
      <c r="I3073" s="29" t="n">
        <f aca="false">Assumptions!$I$67</f>
        <v>200</v>
      </c>
      <c r="J3073" s="29" t="n">
        <f aca="false">Assumptions!$J$67</f>
        <v>200</v>
      </c>
      <c r="K3073" s="29" t="n">
        <f aca="false">Assumptions!$K$67</f>
        <v>200</v>
      </c>
    </row>
    <row r="3074" customFormat="false" ht="15" hidden="false" customHeight="false" outlineLevel="0" collapsed="false">
      <c r="A3074" s="3" t="s">
        <v>375</v>
      </c>
      <c r="G3074" s="25" t="n">
        <f aca="false">G3072-G3073</f>
        <v>277.49209304</v>
      </c>
      <c r="H3074" s="25" t="n">
        <f aca="false">H3072-H3073</f>
        <v>259.9084363712</v>
      </c>
      <c r="I3074" s="25" t="n">
        <f aca="false">I3072-I3073</f>
        <v>-195.466033356592</v>
      </c>
      <c r="J3074" s="25" t="n">
        <f aca="false">J3072-J3073</f>
        <v>-200</v>
      </c>
      <c r="K3074" s="25" t="n">
        <f aca="false">K3072-K3073</f>
        <v>-200</v>
      </c>
    </row>
    <row r="3075" customFormat="false" ht="15" hidden="false" customHeight="false" outlineLevel="0" collapsed="false">
      <c r="A3075" s="3" t="s">
        <v>376</v>
      </c>
      <c r="G3075" s="21" t="n">
        <f aca="false">IF(G3073=0,0,G3074/ABS(G3073))</f>
        <v>1.3874604652</v>
      </c>
      <c r="H3075" s="21" t="n">
        <f aca="false">IF(H3073=0,0,H3074/ABS(H3073))</f>
        <v>1.299542181856</v>
      </c>
      <c r="I3075" s="21" t="n">
        <f aca="false">IF(I3073=0,0,I3074/ABS(I3073))</f>
        <v>-0.97733016678296</v>
      </c>
      <c r="J3075" s="21" t="n">
        <f aca="false">IF(J3073=0,0,J3074/ABS(J3073))</f>
        <v>-1</v>
      </c>
      <c r="K3075" s="21" t="n">
        <f aca="false">IF(K3073=0,0,K3074/ABS(K3073))</f>
        <v>-1</v>
      </c>
    </row>
    <row r="3076" customFormat="false" ht="15" hidden="false" customHeight="false" outlineLevel="0" collapsed="false">
      <c r="A3076" s="3" t="s">
        <v>377</v>
      </c>
      <c r="G3076" s="20" t="n">
        <f aca="false">IF(G3074&lt;0,1,0)</f>
        <v>0</v>
      </c>
      <c r="H3076" s="20" t="n">
        <f aca="false">IF(H3074&lt;0,1,0)</f>
        <v>0</v>
      </c>
      <c r="I3076" s="20" t="n">
        <f aca="false">IF(I3074&lt;0,1,0)</f>
        <v>1</v>
      </c>
      <c r="J3076" s="20" t="n">
        <f aca="false">IF(J3074&lt;0,1,0)</f>
        <v>1</v>
      </c>
      <c r="K3076" s="20" t="n">
        <f aca="false">IF(K3074&lt;0,1,0)</f>
        <v>1</v>
      </c>
    </row>
    <row r="3077" customFormat="false" ht="15" hidden="false" customHeight="false" outlineLevel="0" collapsed="false">
      <c r="A3077" s="3" t="s">
        <v>378</v>
      </c>
      <c r="C3077" s="20" t="n">
        <f aca="false">IFERROR(INDEX($G$2929:$K$2929,MATCH(1,$G$3076:$K$3076,0)),0)</f>
        <v>2029</v>
      </c>
    </row>
    <row r="3078" customFormat="false" ht="15" hidden="false" customHeight="false" outlineLevel="0" collapsed="false">
      <c r="A3078" s="3" t="s">
        <v>379</v>
      </c>
      <c r="C3078" s="21" t="n">
        <f aca="false">MIN($G$3075:$K$3075)</f>
        <v>-1</v>
      </c>
    </row>
    <row r="3079" customFormat="false" ht="15" hidden="false" customHeight="false" outlineLevel="0" collapsed="false">
      <c r="A3079" s="3" t="s">
        <v>382</v>
      </c>
      <c r="G3079" s="20" t="n">
        <f aca="false">G3060+G3068+G3076</f>
        <v>2</v>
      </c>
      <c r="H3079" s="20" t="n">
        <f aca="false">H3060+H3068+H3076</f>
        <v>2</v>
      </c>
      <c r="I3079" s="20" t="n">
        <f aca="false">I3060+I3068+I3076</f>
        <v>3</v>
      </c>
      <c r="J3079" s="20" t="n">
        <f aca="false">J3060+J3068+J3076</f>
        <v>3</v>
      </c>
      <c r="K3079" s="20" t="n">
        <f aca="false">K3060+K3068+K3076</f>
        <v>3</v>
      </c>
    </row>
    <row r="3080" customFormat="false" ht="15" hidden="false" customHeight="false" outlineLevel="0" collapsed="false">
      <c r="A3080" s="3" t="s">
        <v>383</v>
      </c>
      <c r="C3080" s="20" t="n">
        <f aca="false">SUM($G$3079:$K$3079)</f>
        <v>13</v>
      </c>
    </row>
    <row r="3081" customFormat="false" ht="15" hidden="false" customHeight="false" outlineLevel="0" collapsed="false">
      <c r="A3081" s="3" t="s">
        <v>384</v>
      </c>
      <c r="C3081" s="21" t="n">
        <f aca="false">MIN(C3062,C3070,C3078)</f>
        <v>-1.11492337316395</v>
      </c>
    </row>
    <row r="3083" customFormat="false" ht="15" hidden="false" customHeight="false" outlineLevel="0" collapsed="false">
      <c r="A3083" s="23" t="s">
        <v>486</v>
      </c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</row>
    <row r="3084" customFormat="false" ht="15" hidden="false" customHeight="false" outlineLevel="0" collapsed="false">
      <c r="A3084" s="3" t="s">
        <v>487</v>
      </c>
      <c r="G3084" s="20" t="n">
        <f aca="false">IF($C$3085=1,G3037,IF(G2939=MIN($G$2939:$K$2939),1,0))</f>
        <v>0</v>
      </c>
      <c r="H3084" s="20" t="n">
        <f aca="false">IF($C$3085=1,H3037,IF(AND(H2939=MIN($G$2939:$K$2939),SUM($G$3084:G3084)=0),1,0))</f>
        <v>0</v>
      </c>
      <c r="I3084" s="20" t="n">
        <f aca="false">IF($C$3085=1,I3037,IF(AND(I2939=MIN($G$2939:$K$2939),SUM($G$3084:H3084)=0),1,0))</f>
        <v>0</v>
      </c>
      <c r="J3084" s="20" t="n">
        <f aca="false">IF($C$3085=1,J3037,IF(AND(J2939=MIN($G$2939:$K$2939),SUM($G$3084:I3084)=0),1,0))</f>
        <v>1</v>
      </c>
      <c r="K3084" s="20" t="n">
        <f aca="false">IF($C$3085=1,K3037,IF(AND(K2939=MIN($G$2939:$K$2939),SUM($G$3084:J3084)=0),1,0))</f>
        <v>0</v>
      </c>
    </row>
    <row r="3085" customFormat="false" ht="15" hidden="false" customHeight="false" outlineLevel="0" collapsed="false">
      <c r="A3085" s="3" t="s">
        <v>488</v>
      </c>
      <c r="C3085" s="20" t="n">
        <f aca="false">IF(SUM($G$3037:$K$3037)&gt;0,1,0)</f>
        <v>1</v>
      </c>
    </row>
    <row r="3086" customFormat="false" ht="15" hidden="false" customHeight="false" outlineLevel="0" collapsed="false">
      <c r="A3086" s="3" t="s">
        <v>489</v>
      </c>
      <c r="C3086" s="20" t="n">
        <f aca="false">SUMPRODUCT($G$3084:$K$3084,$G$2929:$K$2929)</f>
        <v>2030</v>
      </c>
    </row>
    <row r="3087" customFormat="false" ht="15" hidden="false" customHeight="false" outlineLevel="0" collapsed="false">
      <c r="A3087" s="3" t="s">
        <v>490</v>
      </c>
      <c r="C3087" s="25" t="n">
        <f aca="false">SUMPRODUCT($G$3084:$K$3084,$G$2939:$K$2939)</f>
        <v>137.294794338624</v>
      </c>
    </row>
    <row r="3088" customFormat="false" ht="15" hidden="false" customHeight="false" outlineLevel="0" collapsed="false">
      <c r="A3088" s="3" t="s">
        <v>491</v>
      </c>
      <c r="C3088" s="25" t="n">
        <f aca="false">MAX(0,SUMPRODUCT($G$3084:$K$3084,$G$3034:$K$3034))</f>
        <v>0</v>
      </c>
    </row>
    <row r="3089" customFormat="false" ht="15" hidden="false" customHeight="false" outlineLevel="0" collapsed="false">
      <c r="A3089" s="3" t="s">
        <v>492</v>
      </c>
      <c r="C3089" s="25" t="n">
        <f aca="false">(CHOOSE($C$2922,Assumptions!$C$84,Assumptions!$C$103,Assumptions!$C$122)+$C$2926)*C3087</f>
        <v>617.826574523808</v>
      </c>
    </row>
    <row r="3090" customFormat="false" ht="15" hidden="false" customHeight="false" outlineLevel="0" collapsed="false">
      <c r="A3090" s="3" t="s">
        <v>493</v>
      </c>
      <c r="C3090" s="25" t="n">
        <f aca="false">Assumptions!$C$30*(1-CHOOSE($C$2922,Assumptions!$C$85,Assumptions!$C$104,Assumptions!$C$123))*CHOOSE($C$2922,Assumptions!$C$86,Assumptions!$C$105,Assumptions!$C$124)</f>
        <v>626.017605</v>
      </c>
    </row>
    <row r="3091" customFormat="false" ht="15" hidden="false" customHeight="false" outlineLevel="0" collapsed="false">
      <c r="A3091" s="3" t="s">
        <v>494</v>
      </c>
      <c r="C3091" s="25" t="n">
        <f aca="false">MAX(C3089,C3090)+C3088</f>
        <v>626.017605</v>
      </c>
    </row>
    <row r="3092" customFormat="false" ht="15" hidden="false" customHeight="false" outlineLevel="0" collapsed="false">
      <c r="A3092" s="2" t="s">
        <v>495</v>
      </c>
      <c r="C3092" s="16" t="n">
        <f aca="false">IF(ISNUMBER(Assumptions!$C$14),Assumptions!$C$14,C3091)</f>
        <v>626.017605</v>
      </c>
    </row>
    <row r="3093" customFormat="false" ht="15" hidden="false" customHeight="false" outlineLevel="0" collapsed="false">
      <c r="A3093" s="3" t="s">
        <v>496</v>
      </c>
      <c r="C3093" s="25" t="n">
        <f aca="false">C3092*Assumptions!$C$15</f>
        <v>25.0407042</v>
      </c>
    </row>
    <row r="3094" customFormat="false" ht="15" hidden="false" customHeight="false" outlineLevel="0" collapsed="false">
      <c r="A3094" s="2" t="s">
        <v>497</v>
      </c>
      <c r="C3094" s="16" t="n">
        <f aca="false">C3092-C3093</f>
        <v>600.9769008</v>
      </c>
    </row>
    <row r="3095" customFormat="false" ht="15" hidden="false" customHeight="false" outlineLevel="0" collapsed="false">
      <c r="A3095" s="23" t="s">
        <v>498</v>
      </c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</row>
    <row r="3096" customFormat="false" ht="15" hidden="false" customHeight="false" outlineLevel="0" collapsed="false">
      <c r="A3096" s="3" t="s">
        <v>499</v>
      </c>
      <c r="C3096" s="25" t="n">
        <f aca="false">SUMPRODUCT($G$3084:$K$3084,$G$2976:$K$2976)*(1+SUMPRODUCT($G$3084:$K$3084,$G$2968:$K$2968)*Assumptions!$C$16/12)</f>
        <v>1349.6193225</v>
      </c>
    </row>
    <row r="3097" customFormat="false" ht="15" hidden="false" customHeight="false" outlineLevel="0" collapsed="false">
      <c r="A3097" s="3" t="s">
        <v>500</v>
      </c>
      <c r="C3097" s="25" t="n">
        <f aca="false">SUMPRODUCT($G$3084:$K$3084,$G$2989:$K$2989)*(1+SUMPRODUCT($G$3084:$K$3084,$G$2981:$K$2981)*Assumptions!$C$16/12)</f>
        <v>0</v>
      </c>
    </row>
    <row r="3098" customFormat="false" ht="15" hidden="false" customHeight="false" outlineLevel="0" collapsed="false">
      <c r="A3098" s="3" t="s">
        <v>501</v>
      </c>
      <c r="C3098" s="25" t="n">
        <f aca="false">SUMPRODUCT($G$3084:$K$3084,$G$3002:$K$3002)*(1+SUMPRODUCT($G$3084:$K$3084,$G$2994:$K$2994)*Assumptions!$C$16/12)</f>
        <v>0</v>
      </c>
    </row>
    <row r="3099" customFormat="false" ht="15" hidden="false" customHeight="false" outlineLevel="0" collapsed="false">
      <c r="A3099" s="23" t="s">
        <v>502</v>
      </c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</row>
    <row r="3100" customFormat="false" ht="15" hidden="false" customHeight="false" outlineLevel="0" collapsed="false">
      <c r="A3100" s="3" t="s">
        <v>499</v>
      </c>
      <c r="C3100" s="27" t="n">
        <f aca="false">Assumptions!$M$56</f>
        <v>1</v>
      </c>
    </row>
    <row r="3101" customFormat="false" ht="15" hidden="false" customHeight="false" outlineLevel="0" collapsed="false">
      <c r="A3101" s="3" t="s">
        <v>500</v>
      </c>
      <c r="C3101" s="27" t="n">
        <f aca="false">Assumptions!$M$57</f>
        <v>2</v>
      </c>
    </row>
    <row r="3102" customFormat="false" ht="15" hidden="false" customHeight="false" outlineLevel="0" collapsed="false">
      <c r="A3102" s="3" t="s">
        <v>501</v>
      </c>
      <c r="C3102" s="27" t="n">
        <f aca="false">Assumptions!$M$58</f>
        <v>2</v>
      </c>
    </row>
    <row r="3103" customFormat="false" ht="15" hidden="false" customHeight="false" outlineLevel="0" collapsed="false">
      <c r="A3103" s="23" t="s">
        <v>503</v>
      </c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</row>
    <row r="3104" customFormat="false" ht="15" hidden="false" customHeight="false" outlineLevel="0" collapsed="false">
      <c r="A3104" s="3" t="s">
        <v>499</v>
      </c>
      <c r="C3104" s="35" t="n">
        <f aca="false">Assumptions!$Q$56</f>
        <v>0</v>
      </c>
    </row>
    <row r="3105" customFormat="false" ht="15" hidden="false" customHeight="false" outlineLevel="0" collapsed="false">
      <c r="A3105" s="3" t="s">
        <v>500</v>
      </c>
      <c r="C3105" s="35" t="n">
        <f aca="false">Assumptions!$Q$57</f>
        <v>0</v>
      </c>
    </row>
    <row r="3106" customFormat="false" ht="15" hidden="false" customHeight="false" outlineLevel="0" collapsed="false">
      <c r="A3106" s="3" t="s">
        <v>501</v>
      </c>
      <c r="C3106" s="35" t="n">
        <f aca="false">Assumptions!$Q$58</f>
        <v>0</v>
      </c>
    </row>
    <row r="3107" customFormat="false" ht="15" hidden="false" customHeight="false" outlineLevel="0" collapsed="false">
      <c r="A3107" s="23" t="s">
        <v>504</v>
      </c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</row>
    <row r="3108" customFormat="false" ht="15" hidden="false" customHeight="false" outlineLevel="0" collapsed="false">
      <c r="A3108" s="3" t="s">
        <v>499</v>
      </c>
      <c r="C3108" s="25" t="n">
        <f aca="false">IF(C3104&gt;0,MIN(C3096,C3104*$C$3094),0)</f>
        <v>0</v>
      </c>
    </row>
    <row r="3109" customFormat="false" ht="15" hidden="false" customHeight="false" outlineLevel="0" collapsed="false">
      <c r="A3109" s="3" t="s">
        <v>500</v>
      </c>
      <c r="C3109" s="25" t="n">
        <f aca="false">IF(C3105&gt;0,MIN(C3097,C3105*$C$3094),0)</f>
        <v>0</v>
      </c>
    </row>
    <row r="3110" customFormat="false" ht="15" hidden="false" customHeight="false" outlineLevel="0" collapsed="false">
      <c r="A3110" s="3" t="s">
        <v>501</v>
      </c>
      <c r="C3110" s="25" t="n">
        <f aca="false">IF(C3106&gt;0,MIN(C3098,C3106*$C$3094),0)</f>
        <v>0</v>
      </c>
    </row>
    <row r="3111" customFormat="false" ht="15" hidden="false" customHeight="false" outlineLevel="0" collapsed="false">
      <c r="A3111" s="23" t="s">
        <v>505</v>
      </c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</row>
    <row r="3112" customFormat="false" ht="15" hidden="false" customHeight="false" outlineLevel="0" collapsed="false">
      <c r="A3112" s="3" t="s">
        <v>499</v>
      </c>
      <c r="C3112" s="25" t="n">
        <f aca="false">IF(C3104&gt;0,C3096-C3108,0)</f>
        <v>0</v>
      </c>
      <c r="G3112" s="20" t="n">
        <f aca="false">IF(AND(G2966=1,G2963=1),1,0)</f>
        <v>0</v>
      </c>
      <c r="H3112" s="20" t="n">
        <f aca="false">IF(G3112=1,1,IF(AND(H2966=1,H2963=1),1,0))</f>
        <v>0</v>
      </c>
      <c r="I3112" s="20" t="n">
        <f aca="false">IF(H3112=1,1,IF(AND(I2966=1,I2963=1),1,0))</f>
        <v>0</v>
      </c>
      <c r="J3112" s="20" t="n">
        <f aca="false">IF(I3112=1,1,IF(AND(J2966=1,J2963=1),1,0))</f>
        <v>0</v>
      </c>
      <c r="K3112" s="20" t="n">
        <f aca="false">IF(J3112=1,1,IF(AND(K2966=1,K2963=1),1,0))</f>
        <v>0</v>
      </c>
    </row>
    <row r="3113" customFormat="false" ht="15" hidden="false" customHeight="false" outlineLevel="0" collapsed="false">
      <c r="A3113" s="3" t="s">
        <v>500</v>
      </c>
      <c r="C3113" s="25" t="n">
        <f aca="false">IF(C3105&gt;0,C3097-C3109,0)</f>
        <v>0</v>
      </c>
      <c r="G3113" s="20" t="n">
        <f aca="false">IF(AND(G2979=1,G2963=1),1,0)</f>
        <v>0</v>
      </c>
      <c r="H3113" s="20" t="n">
        <f aca="false">IF(G3113=1,1,IF(AND(H2979=1,H2963=1),1,0))</f>
        <v>0</v>
      </c>
      <c r="I3113" s="20" t="n">
        <f aca="false">IF(H3113=1,1,IF(AND(I2979=1,I2963=1),1,0))</f>
        <v>0</v>
      </c>
      <c r="J3113" s="20" t="n">
        <f aca="false">IF(I3113=1,1,IF(AND(J2979=1,J2963=1),1,0))</f>
        <v>0</v>
      </c>
      <c r="K3113" s="20" t="n">
        <f aca="false">IF(J3113=1,1,IF(AND(K2979=1,K2963=1),1,0))</f>
        <v>0</v>
      </c>
    </row>
    <row r="3114" customFormat="false" ht="15" hidden="false" customHeight="false" outlineLevel="0" collapsed="false">
      <c r="A3114" s="3" t="s">
        <v>501</v>
      </c>
      <c r="C3114" s="25" t="n">
        <f aca="false">IF(C3106&gt;0,C3098-C3110,0)</f>
        <v>0</v>
      </c>
      <c r="G3114" s="20" t="n">
        <f aca="false">IF(AND(G2992=1,G2963=1),1,0)</f>
        <v>0</v>
      </c>
      <c r="H3114" s="20" t="n">
        <f aca="false">IF(G3114=1,1,IF(AND(H2992=1,H2963=1),1,0))</f>
        <v>0</v>
      </c>
      <c r="I3114" s="20" t="n">
        <f aca="false">IF(H3114=1,1,IF(AND(I2992=1,I2963=1),1,0))</f>
        <v>0</v>
      </c>
      <c r="J3114" s="20" t="n">
        <f aca="false">IF(I3114=1,1,IF(AND(J2992=1,J2963=1),1,0))</f>
        <v>0</v>
      </c>
      <c r="K3114" s="20" t="n">
        <f aca="false">IF(J3114=1,1,IF(AND(K2992=1,K2963=1),1,0))</f>
        <v>0</v>
      </c>
    </row>
    <row r="3115" customFormat="false" ht="15" hidden="false" customHeight="false" outlineLevel="0" collapsed="false">
      <c r="A3115" s="23" t="s">
        <v>506</v>
      </c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</row>
    <row r="3116" customFormat="false" ht="15" hidden="false" customHeight="false" outlineLevel="0" collapsed="false">
      <c r="A3116" s="3" t="s">
        <v>499</v>
      </c>
      <c r="C3116" s="25" t="n">
        <f aca="false">IF(C3104&gt;0,C3112,C3096)</f>
        <v>1349.6193225</v>
      </c>
    </row>
    <row r="3117" customFormat="false" ht="15" hidden="false" customHeight="false" outlineLevel="0" collapsed="false">
      <c r="A3117" s="3" t="s">
        <v>500</v>
      </c>
      <c r="C3117" s="25" t="n">
        <f aca="false">IF(C3105&gt;0,C3113,C3097)</f>
        <v>0</v>
      </c>
    </row>
    <row r="3118" customFormat="false" ht="15" hidden="false" customHeight="false" outlineLevel="0" collapsed="false">
      <c r="A3118" s="3" t="s">
        <v>501</v>
      </c>
      <c r="C3118" s="25" t="n">
        <f aca="false">IF(C3106&gt;0,C3114,C3098)</f>
        <v>0</v>
      </c>
    </row>
    <row r="3119" customFormat="false" ht="15" hidden="false" customHeight="false" outlineLevel="0" collapsed="false">
      <c r="A3119" s="23" t="s">
        <v>507</v>
      </c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</row>
    <row r="3120" customFormat="false" ht="15" hidden="false" customHeight="false" outlineLevel="0" collapsed="false">
      <c r="A3120" s="3" t="s">
        <v>499</v>
      </c>
      <c r="C3120" s="20" t="n">
        <f aca="false">IF(C3104&gt;0,Assumptions!$C$17,C3100)</f>
        <v>1</v>
      </c>
    </row>
    <row r="3121" customFormat="false" ht="15" hidden="false" customHeight="false" outlineLevel="0" collapsed="false">
      <c r="A3121" s="3" t="s">
        <v>500</v>
      </c>
      <c r="C3121" s="20" t="n">
        <f aca="false">IF(C3105&gt;0,Assumptions!$C$17,C3101)</f>
        <v>2</v>
      </c>
    </row>
    <row r="3122" customFormat="false" ht="15" hidden="false" customHeight="false" outlineLevel="0" collapsed="false">
      <c r="A3122" s="3" t="s">
        <v>501</v>
      </c>
      <c r="C3122" s="20" t="n">
        <f aca="false">IF(C3106&gt;0,Assumptions!$C$17,C3102)</f>
        <v>2</v>
      </c>
    </row>
    <row r="3123" customFormat="false" ht="15" hidden="false" customHeight="false" outlineLevel="0" collapsed="false">
      <c r="A3123" s="23" t="s">
        <v>508</v>
      </c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</row>
    <row r="3124" customFormat="false" ht="15" hidden="false" customHeight="false" outlineLevel="0" collapsed="false">
      <c r="A3124" s="3" t="s">
        <v>499</v>
      </c>
      <c r="C3124" s="25" t="n">
        <f aca="false">SUMPRODUCT(($C$3120:$C$3122&lt;C3120)*$C$3116:$C$3118)</f>
        <v>0</v>
      </c>
    </row>
    <row r="3125" customFormat="false" ht="15" hidden="false" customHeight="false" outlineLevel="0" collapsed="false">
      <c r="A3125" s="3" t="s">
        <v>500</v>
      </c>
      <c r="C3125" s="25" t="n">
        <f aca="false">SUMPRODUCT(($C$3120:$C$3122&lt;C3121)*$C$3116:$C$3118)</f>
        <v>1349.6193225</v>
      </c>
    </row>
    <row r="3126" customFormat="false" ht="15" hidden="false" customHeight="false" outlineLevel="0" collapsed="false">
      <c r="A3126" s="3" t="s">
        <v>501</v>
      </c>
      <c r="C3126" s="25" t="n">
        <f aca="false">SUMPRODUCT(($C$3120:$C$3122&lt;C3122)*$C$3116:$C$3118)</f>
        <v>1349.6193225</v>
      </c>
    </row>
    <row r="3127" customFormat="false" ht="15" hidden="false" customHeight="false" outlineLevel="0" collapsed="false">
      <c r="A3127" s="23" t="s">
        <v>509</v>
      </c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</row>
    <row r="3128" customFormat="false" ht="15" hidden="false" customHeight="false" outlineLevel="0" collapsed="false">
      <c r="A3128" s="3" t="s">
        <v>499</v>
      </c>
      <c r="C3128" s="25" t="n">
        <f aca="false">SUMPRODUCT(($C$3120:$C$3122=C3120)*$C$3116:$C$3118)</f>
        <v>1349.6193225</v>
      </c>
    </row>
    <row r="3129" customFormat="false" ht="15" hidden="false" customHeight="false" outlineLevel="0" collapsed="false">
      <c r="A3129" s="3" t="s">
        <v>500</v>
      </c>
      <c r="C3129" s="25" t="n">
        <f aca="false">SUMPRODUCT(($C$3120:$C$3122=C3121)*$C$3116:$C$3118)</f>
        <v>0</v>
      </c>
    </row>
    <row r="3130" customFormat="false" ht="15" hidden="false" customHeight="false" outlineLevel="0" collapsed="false">
      <c r="A3130" s="3" t="s">
        <v>501</v>
      </c>
      <c r="C3130" s="25" t="n">
        <f aca="false">SUMPRODUCT(($C$3120:$C$3122=C3122)*$C$3116:$C$3118)</f>
        <v>0</v>
      </c>
    </row>
    <row r="3131" customFormat="false" ht="15" hidden="false" customHeight="false" outlineLevel="0" collapsed="false">
      <c r="A3131" s="23" t="s">
        <v>510</v>
      </c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</row>
    <row r="3132" customFormat="false" ht="15" hidden="false" customHeight="false" outlineLevel="0" collapsed="false">
      <c r="A3132" s="3" t="s">
        <v>499</v>
      </c>
      <c r="C3132" s="25" t="n">
        <f aca="false">IF(C3128=0,0,C3116/C3128*MAX(0,MIN(C3128,$C$3094-SUM($C$3108:$C$3110)-C3124)))</f>
        <v>600.9769008</v>
      </c>
    </row>
    <row r="3133" customFormat="false" ht="15" hidden="false" customHeight="false" outlineLevel="0" collapsed="false">
      <c r="A3133" s="3" t="s">
        <v>500</v>
      </c>
      <c r="C3133" s="25" t="n">
        <f aca="false">IF(C3129=0,0,C3117/C3129*MAX(0,MIN(C3129,$C$3094-SUM($C$3108:$C$3110)-C3125)))</f>
        <v>0</v>
      </c>
    </row>
    <row r="3134" customFormat="false" ht="15" hidden="false" customHeight="false" outlineLevel="0" collapsed="false">
      <c r="A3134" s="3" t="s">
        <v>501</v>
      </c>
      <c r="C3134" s="25" t="n">
        <f aca="false">IF(C3130=0,0,C3118/C3130*MAX(0,MIN(C3130,$C$3094-SUM($C$3108:$C$3110)-C3126)))</f>
        <v>0</v>
      </c>
    </row>
    <row r="3135" customFormat="false" ht="15" hidden="false" customHeight="false" outlineLevel="0" collapsed="false">
      <c r="A3135" s="23" t="s">
        <v>511</v>
      </c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</row>
    <row r="3136" customFormat="false" ht="15" hidden="false" customHeight="false" outlineLevel="0" collapsed="false">
      <c r="A3136" s="2" t="s">
        <v>499</v>
      </c>
      <c r="C3136" s="16" t="n">
        <f aca="false">C3108+C3132</f>
        <v>600.9769008</v>
      </c>
    </row>
    <row r="3137" customFormat="false" ht="15" hidden="false" customHeight="false" outlineLevel="0" collapsed="false">
      <c r="A3137" s="2" t="s">
        <v>500</v>
      </c>
      <c r="C3137" s="16" t="n">
        <f aca="false">C3109+C3133</f>
        <v>0</v>
      </c>
    </row>
    <row r="3138" customFormat="false" ht="15" hidden="false" customHeight="false" outlineLevel="0" collapsed="false">
      <c r="A3138" s="2" t="s">
        <v>501</v>
      </c>
      <c r="C3138" s="16" t="n">
        <f aca="false">C3110+C3134</f>
        <v>0</v>
      </c>
    </row>
    <row r="3139" customFormat="false" ht="15" hidden="false" customHeight="false" outlineLevel="0" collapsed="false">
      <c r="A3139" s="23" t="s">
        <v>512</v>
      </c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</row>
    <row r="3140" customFormat="false" ht="15" hidden="false" customHeight="false" outlineLevel="0" collapsed="false">
      <c r="A3140" s="3" t="s">
        <v>499</v>
      </c>
      <c r="C3140" s="21" t="n">
        <f aca="false">IF(C3096=0,1,C3136/C3096)</f>
        <v>0.4452936400516</v>
      </c>
    </row>
    <row r="3141" customFormat="false" ht="15" hidden="false" customHeight="false" outlineLevel="0" collapsed="false">
      <c r="A3141" s="3" t="s">
        <v>500</v>
      </c>
      <c r="C3141" s="21" t="n">
        <f aca="false">IF(C3097=0,1,C3137/C3097)</f>
        <v>1</v>
      </c>
    </row>
    <row r="3142" customFormat="false" ht="15" hidden="false" customHeight="false" outlineLevel="0" collapsed="false">
      <c r="A3142" s="3" t="s">
        <v>501</v>
      </c>
      <c r="C3142" s="21" t="n">
        <f aca="false">IF(C3098=0,1,C3138/C3098)</f>
        <v>1</v>
      </c>
    </row>
    <row r="3143" customFormat="false" ht="15" hidden="false" customHeight="false" outlineLevel="0" collapsed="false">
      <c r="A3143" s="23" t="s">
        <v>513</v>
      </c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</row>
    <row r="3144" customFormat="false" ht="15" hidden="false" customHeight="false" outlineLevel="0" collapsed="false">
      <c r="A3144" s="3" t="s">
        <v>499</v>
      </c>
      <c r="C3144" s="25" t="n">
        <f aca="false">C3096-C3136</f>
        <v>748.6424217</v>
      </c>
    </row>
    <row r="3145" customFormat="false" ht="15" hidden="false" customHeight="false" outlineLevel="0" collapsed="false">
      <c r="A3145" s="3" t="s">
        <v>500</v>
      </c>
      <c r="C3145" s="25" t="n">
        <f aca="false">C3097-C3137</f>
        <v>0</v>
      </c>
    </row>
    <row r="3146" customFormat="false" ht="15" hidden="false" customHeight="false" outlineLevel="0" collapsed="false">
      <c r="A3146" s="3" t="s">
        <v>501</v>
      </c>
      <c r="C3146" s="25" t="n">
        <f aca="false">C3098-C3138</f>
        <v>0</v>
      </c>
    </row>
    <row r="3147" customFormat="false" ht="15" hidden="false" customHeight="false" outlineLevel="0" collapsed="false">
      <c r="A3147" s="23" t="s">
        <v>514</v>
      </c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</row>
    <row r="3148" customFormat="false" ht="15" hidden="false" customHeight="false" outlineLevel="0" collapsed="false">
      <c r="A3148" s="3" t="s">
        <v>499</v>
      </c>
      <c r="C3148" s="21" t="n">
        <f aca="false">IF(C3096=0,0,C3144/C3096)</f>
        <v>0.5547063599484</v>
      </c>
    </row>
    <row r="3149" customFormat="false" ht="15" hidden="false" customHeight="false" outlineLevel="0" collapsed="false">
      <c r="A3149" s="3" t="s">
        <v>500</v>
      </c>
      <c r="C3149" s="21" t="n">
        <f aca="false">IF(C3097=0,0,C3145/C3097)</f>
        <v>0</v>
      </c>
    </row>
    <row r="3150" customFormat="false" ht="15" hidden="false" customHeight="false" outlineLevel="0" collapsed="false">
      <c r="A3150" s="3" t="s">
        <v>501</v>
      </c>
      <c r="C3150" s="21" t="n">
        <f aca="false">IF(C3098=0,0,C3146/C3098)</f>
        <v>0</v>
      </c>
    </row>
    <row r="3151" customFormat="false" ht="15" hidden="false" customHeight="false" outlineLevel="0" collapsed="false">
      <c r="A3151" s="2" t="s">
        <v>515</v>
      </c>
      <c r="C3151" s="16" t="n">
        <f aca="false">MAX(0,$C$3094-SUM($C$3108:$C$3110)-SUM($C$3116:$C$3118))</f>
        <v>0</v>
      </c>
    </row>
    <row r="3152" customFormat="false" ht="15" hidden="false" customHeight="false" outlineLevel="0" collapsed="false">
      <c r="A3152" s="3" t="s">
        <v>516</v>
      </c>
      <c r="C3152" s="25" t="n">
        <f aca="false">SUM($C$3136:$C$3138)+C3151+C3093-C3092</f>
        <v>0</v>
      </c>
    </row>
    <row r="3154" customFormat="false" ht="15" hidden="false" customHeight="false" outlineLevel="0" collapsed="false">
      <c r="A3154" s="23" t="s">
        <v>519</v>
      </c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</row>
    <row r="3155" customFormat="false" ht="15" hidden="false" customHeight="false" outlineLevel="0" collapsed="false">
      <c r="A3155" s="3" t="s">
        <v>520</v>
      </c>
      <c r="C3155" s="27" t="n">
        <f aca="false">Assumptions!$C$33</f>
        <v>1</v>
      </c>
    </row>
    <row r="3156" customFormat="false" ht="15" hidden="false" customHeight="false" outlineLevel="0" collapsed="false">
      <c r="A3156" s="3" t="s">
        <v>521</v>
      </c>
      <c r="C3156" s="29" t="n">
        <f aca="false">Assumptions!$C$34</f>
        <v>100</v>
      </c>
    </row>
    <row r="3157" customFormat="false" ht="15" hidden="false" customHeight="false" outlineLevel="0" collapsed="false">
      <c r="A3157" s="3" t="s">
        <v>522</v>
      </c>
      <c r="C3157" s="40" t="n">
        <f aca="false">Assumptions!$C$35</f>
        <v>95</v>
      </c>
    </row>
    <row r="3158" customFormat="false" ht="15" hidden="false" customHeight="false" outlineLevel="0" collapsed="false">
      <c r="A3158" s="3" t="s">
        <v>523</v>
      </c>
      <c r="C3158" s="25" t="n">
        <f aca="false">C3156*C3157/100*(1+Assumptions!$C$36)</f>
        <v>95</v>
      </c>
    </row>
    <row r="3159" customFormat="false" ht="15" hidden="false" customHeight="false" outlineLevel="0" collapsed="false">
      <c r="A3159" s="3" t="s">
        <v>524</v>
      </c>
      <c r="C3159" s="27" t="n">
        <f aca="false">Assumptions!$C$37</f>
        <v>3</v>
      </c>
    </row>
    <row r="3160" customFormat="false" ht="15" hidden="false" customHeight="false" outlineLevel="0" collapsed="false">
      <c r="A3160" s="3" t="s">
        <v>525</v>
      </c>
      <c r="C3160" s="20" t="n">
        <f aca="false">IF(C3085=1,SUMPRODUCT($G$3037:$K$3037,$G$2930:$K$2930),0)</f>
        <v>4</v>
      </c>
    </row>
    <row r="3161" customFormat="false" ht="15" hidden="false" customHeight="false" outlineLevel="0" collapsed="false">
      <c r="A3161" s="3" t="s">
        <v>526</v>
      </c>
      <c r="C3161" s="21" t="n">
        <f aca="false">IFERROR(C3156/CHOOSE(C3155,SUMPRODUCT($G$3084:$K$3084,$G$2976:$K$2976),SUMPRODUCT($G$3084:$K$3084,$G$2989:$K$2989),SUMPRODUCT($G$3084:$K$3084,$G$3002:$K$3002)),0)</f>
        <v>0.0760399605200525</v>
      </c>
    </row>
    <row r="3162" customFormat="false" ht="15" hidden="false" customHeight="false" outlineLevel="0" collapsed="false">
      <c r="A3162" s="3" t="s">
        <v>527</v>
      </c>
      <c r="C3162" s="25" t="n">
        <f aca="false">CHOOSE(C3155,C3136,C3137,C3138)*C3161</f>
        <v>45.6982598102955</v>
      </c>
    </row>
    <row r="3163" customFormat="false" ht="15" hidden="false" customHeight="false" outlineLevel="0" collapsed="false">
      <c r="A3163" s="3" t="s">
        <v>528</v>
      </c>
      <c r="C3163" s="21" t="n">
        <f aca="false">CHOOSE(C3155,C3140,C3141,C3142)</f>
        <v>0.4452936400516</v>
      </c>
    </row>
    <row r="3164" customFormat="false" ht="15" hidden="false" customHeight="false" outlineLevel="0" collapsed="false">
      <c r="A3164" s="3" t="s">
        <v>529</v>
      </c>
      <c r="C3164" s="20" t="n">
        <f aca="false">IF(C3085=1,C3160,C3159)</f>
        <v>4</v>
      </c>
    </row>
    <row r="3165" customFormat="false" ht="15" hidden="false" customHeight="false" outlineLevel="0" collapsed="false">
      <c r="A3165" s="3" t="s">
        <v>530</v>
      </c>
      <c r="C3165" s="34" t="n">
        <f aca="false">CHOOSE($C$2922,Assumptions!$C$83,Assumptions!$C$102,Assumptions!$C$121)</f>
        <v>95</v>
      </c>
    </row>
    <row r="3166" customFormat="false" ht="15" hidden="false" customHeight="false" outlineLevel="0" collapsed="false">
      <c r="A3166" s="3" t="s">
        <v>531</v>
      </c>
      <c r="C3166" s="25" t="n">
        <f aca="false">INDEX($G$2939:$K$2939,C3159)*CHOOSE($C$2922,Assumptions!$C$82,Assumptions!$C$101,Assumptions!$C$120)+MAX(0,INDEX($G$3034:$K$3034,C3159))</f>
        <v>772.300908668608</v>
      </c>
    </row>
    <row r="3167" customFormat="false" ht="15" hidden="false" customHeight="false" outlineLevel="0" collapsed="false">
      <c r="A3167" s="23" t="s">
        <v>532</v>
      </c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</row>
    <row r="3168" customFormat="false" ht="15" hidden="false" customHeight="false" outlineLevel="0" collapsed="false">
      <c r="A3168" s="3" t="s">
        <v>499</v>
      </c>
      <c r="C3168" s="25" t="n">
        <f aca="false">INDEX($G$2976:$K$2976,C3159)</f>
        <v>1315.098</v>
      </c>
    </row>
    <row r="3169" customFormat="false" ht="15" hidden="false" customHeight="false" outlineLevel="0" collapsed="false">
      <c r="A3169" s="3" t="s">
        <v>500</v>
      </c>
      <c r="C3169" s="25" t="n">
        <f aca="false">INDEX($G$2989:$K$2989,C3159)</f>
        <v>0</v>
      </c>
    </row>
    <row r="3170" customFormat="false" ht="15" hidden="false" customHeight="false" outlineLevel="0" collapsed="false">
      <c r="A3170" s="3" t="s">
        <v>501</v>
      </c>
      <c r="C3170" s="25" t="n">
        <f aca="false">INDEX($G$3002:$K$3002,C3159)</f>
        <v>0</v>
      </c>
    </row>
    <row r="3171" customFormat="false" ht="15" hidden="false" customHeight="false" outlineLevel="0" collapsed="false">
      <c r="A3171" s="23" t="s">
        <v>502</v>
      </c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</row>
    <row r="3172" customFormat="false" ht="15" hidden="false" customHeight="false" outlineLevel="0" collapsed="false">
      <c r="A3172" s="3" t="s">
        <v>499</v>
      </c>
      <c r="C3172" s="27" t="n">
        <f aca="false">Assumptions!$M$56</f>
        <v>1</v>
      </c>
    </row>
    <row r="3173" customFormat="false" ht="15" hidden="false" customHeight="false" outlineLevel="0" collapsed="false">
      <c r="A3173" s="3" t="s">
        <v>500</v>
      </c>
      <c r="C3173" s="27" t="n">
        <f aca="false">Assumptions!$M$57</f>
        <v>2</v>
      </c>
    </row>
    <row r="3174" customFormat="false" ht="15" hidden="false" customHeight="false" outlineLevel="0" collapsed="false">
      <c r="A3174" s="3" t="s">
        <v>501</v>
      </c>
      <c r="C3174" s="27" t="n">
        <f aca="false">Assumptions!$M$58</f>
        <v>2</v>
      </c>
    </row>
    <row r="3175" customFormat="false" ht="15" hidden="false" customHeight="false" outlineLevel="0" collapsed="false">
      <c r="A3175" s="23" t="s">
        <v>503</v>
      </c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</row>
    <row r="3176" customFormat="false" ht="15" hidden="false" customHeight="false" outlineLevel="0" collapsed="false">
      <c r="A3176" s="3" t="s">
        <v>499</v>
      </c>
      <c r="C3176" s="35" t="n">
        <f aca="false">Assumptions!$Q$56</f>
        <v>0</v>
      </c>
    </row>
    <row r="3177" customFormat="false" ht="15" hidden="false" customHeight="false" outlineLevel="0" collapsed="false">
      <c r="A3177" s="3" t="s">
        <v>500</v>
      </c>
      <c r="C3177" s="35" t="n">
        <f aca="false">Assumptions!$Q$57</f>
        <v>0</v>
      </c>
    </row>
    <row r="3178" customFormat="false" ht="15" hidden="false" customHeight="false" outlineLevel="0" collapsed="false">
      <c r="A3178" s="3" t="s">
        <v>501</v>
      </c>
      <c r="C3178" s="35" t="n">
        <f aca="false">Assumptions!$Q$58</f>
        <v>0</v>
      </c>
    </row>
    <row r="3179" customFormat="false" ht="15" hidden="false" customHeight="false" outlineLevel="0" collapsed="false">
      <c r="A3179" s="23" t="s">
        <v>504</v>
      </c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</row>
    <row r="3180" customFormat="false" ht="15" hidden="false" customHeight="false" outlineLevel="0" collapsed="false">
      <c r="A3180" s="3" t="s">
        <v>499</v>
      </c>
      <c r="C3180" s="25" t="n">
        <f aca="false">IF(C3176&gt;0,MIN(C3168,C3176*$C$3166),0)</f>
        <v>0</v>
      </c>
    </row>
    <row r="3181" customFormat="false" ht="15" hidden="false" customHeight="false" outlineLevel="0" collapsed="false">
      <c r="A3181" s="3" t="s">
        <v>500</v>
      </c>
      <c r="C3181" s="25" t="n">
        <f aca="false">IF(C3177&gt;0,MIN(C3169,C3177*$C$3166),0)</f>
        <v>0</v>
      </c>
    </row>
    <row r="3182" customFormat="false" ht="15" hidden="false" customHeight="false" outlineLevel="0" collapsed="false">
      <c r="A3182" s="3" t="s">
        <v>501</v>
      </c>
      <c r="C3182" s="25" t="n">
        <f aca="false">IF(C3178&gt;0,MIN(C3170,C3178*$C$3166),0)</f>
        <v>0</v>
      </c>
    </row>
    <row r="3183" customFormat="false" ht="15" hidden="false" customHeight="false" outlineLevel="0" collapsed="false">
      <c r="A3183" s="23" t="s">
        <v>505</v>
      </c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</row>
    <row r="3184" customFormat="false" ht="15" hidden="false" customHeight="false" outlineLevel="0" collapsed="false">
      <c r="A3184" s="3" t="s">
        <v>499</v>
      </c>
      <c r="C3184" s="25" t="n">
        <f aca="false">IF(C3176&gt;0,C3168-C3180,0)</f>
        <v>0</v>
      </c>
    </row>
    <row r="3185" customFormat="false" ht="15" hidden="false" customHeight="false" outlineLevel="0" collapsed="false">
      <c r="A3185" s="3" t="s">
        <v>500</v>
      </c>
      <c r="C3185" s="25" t="n">
        <f aca="false">IF(C3177&gt;0,C3169-C3181,0)</f>
        <v>0</v>
      </c>
    </row>
    <row r="3186" customFormat="false" ht="15" hidden="false" customHeight="false" outlineLevel="0" collapsed="false">
      <c r="A3186" s="3" t="s">
        <v>501</v>
      </c>
      <c r="C3186" s="25" t="n">
        <f aca="false">IF(C3178&gt;0,C3170-C3182,0)</f>
        <v>0</v>
      </c>
    </row>
    <row r="3187" customFormat="false" ht="15" hidden="false" customHeight="false" outlineLevel="0" collapsed="false">
      <c r="A3187" s="23" t="s">
        <v>506</v>
      </c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</row>
    <row r="3188" customFormat="false" ht="15" hidden="false" customHeight="false" outlineLevel="0" collapsed="false">
      <c r="A3188" s="3" t="s">
        <v>499</v>
      </c>
      <c r="C3188" s="25" t="n">
        <f aca="false">IF(C3176&gt;0,C3184,C3168)</f>
        <v>1315.098</v>
      </c>
    </row>
    <row r="3189" customFormat="false" ht="15" hidden="false" customHeight="false" outlineLevel="0" collapsed="false">
      <c r="A3189" s="3" t="s">
        <v>500</v>
      </c>
      <c r="C3189" s="25" t="n">
        <f aca="false">IF(C3177&gt;0,C3185,C3169)</f>
        <v>0</v>
      </c>
    </row>
    <row r="3190" customFormat="false" ht="15" hidden="false" customHeight="false" outlineLevel="0" collapsed="false">
      <c r="A3190" s="3" t="s">
        <v>501</v>
      </c>
      <c r="C3190" s="25" t="n">
        <f aca="false">IF(C3178&gt;0,C3186,C3170)</f>
        <v>0</v>
      </c>
    </row>
    <row r="3191" customFormat="false" ht="15" hidden="false" customHeight="false" outlineLevel="0" collapsed="false">
      <c r="A3191" s="23" t="s">
        <v>507</v>
      </c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</row>
    <row r="3192" customFormat="false" ht="15" hidden="false" customHeight="false" outlineLevel="0" collapsed="false">
      <c r="A3192" s="3" t="s">
        <v>499</v>
      </c>
      <c r="C3192" s="20" t="n">
        <f aca="false">IF(C3176&gt;0,Assumptions!$C$17,C3172)</f>
        <v>1</v>
      </c>
    </row>
    <row r="3193" customFormat="false" ht="15" hidden="false" customHeight="false" outlineLevel="0" collapsed="false">
      <c r="A3193" s="3" t="s">
        <v>500</v>
      </c>
      <c r="C3193" s="20" t="n">
        <f aca="false">IF(C3177&gt;0,Assumptions!$C$17,C3173)</f>
        <v>2</v>
      </c>
    </row>
    <row r="3194" customFormat="false" ht="15" hidden="false" customHeight="false" outlineLevel="0" collapsed="false">
      <c r="A3194" s="3" t="s">
        <v>501</v>
      </c>
      <c r="C3194" s="20" t="n">
        <f aca="false">IF(C3178&gt;0,Assumptions!$C$17,C3174)</f>
        <v>2</v>
      </c>
    </row>
    <row r="3195" customFormat="false" ht="15" hidden="false" customHeight="false" outlineLevel="0" collapsed="false">
      <c r="A3195" s="23" t="s">
        <v>508</v>
      </c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</row>
    <row r="3196" customFormat="false" ht="15" hidden="false" customHeight="false" outlineLevel="0" collapsed="false">
      <c r="A3196" s="3" t="s">
        <v>499</v>
      </c>
      <c r="C3196" s="25" t="n">
        <f aca="false">SUMPRODUCT(($C$3192:$C$3194&lt;C3192)*$C$3188:$C$3190)</f>
        <v>0</v>
      </c>
    </row>
    <row r="3197" customFormat="false" ht="15" hidden="false" customHeight="false" outlineLevel="0" collapsed="false">
      <c r="A3197" s="3" t="s">
        <v>500</v>
      </c>
      <c r="C3197" s="25" t="n">
        <f aca="false">SUMPRODUCT(($C$3192:$C$3194&lt;C3193)*$C$3188:$C$3190)</f>
        <v>1315.098</v>
      </c>
    </row>
    <row r="3198" customFormat="false" ht="15" hidden="false" customHeight="false" outlineLevel="0" collapsed="false">
      <c r="A3198" s="3" t="s">
        <v>501</v>
      </c>
      <c r="C3198" s="25" t="n">
        <f aca="false">SUMPRODUCT(($C$3192:$C$3194&lt;C3194)*$C$3188:$C$3190)</f>
        <v>1315.098</v>
      </c>
    </row>
    <row r="3199" customFormat="false" ht="15" hidden="false" customHeight="false" outlineLevel="0" collapsed="false">
      <c r="A3199" s="23" t="s">
        <v>509</v>
      </c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</row>
    <row r="3200" customFormat="false" ht="15" hidden="false" customHeight="false" outlineLevel="0" collapsed="false">
      <c r="A3200" s="3" t="s">
        <v>499</v>
      </c>
      <c r="C3200" s="25" t="n">
        <f aca="false">SUMPRODUCT(($C$3192:$C$3194=C3192)*$C$3188:$C$3190)</f>
        <v>1315.098</v>
      </c>
    </row>
    <row r="3201" customFormat="false" ht="15" hidden="false" customHeight="false" outlineLevel="0" collapsed="false">
      <c r="A3201" s="3" t="s">
        <v>500</v>
      </c>
      <c r="C3201" s="25" t="n">
        <f aca="false">SUMPRODUCT(($C$3192:$C$3194=C3193)*$C$3188:$C$3190)</f>
        <v>0</v>
      </c>
    </row>
    <row r="3202" customFormat="false" ht="15" hidden="false" customHeight="false" outlineLevel="0" collapsed="false">
      <c r="A3202" s="3" t="s">
        <v>501</v>
      </c>
      <c r="C3202" s="25" t="n">
        <f aca="false">SUMPRODUCT(($C$3192:$C$3194=C3194)*$C$3188:$C$3190)</f>
        <v>0</v>
      </c>
    </row>
    <row r="3203" customFormat="false" ht="15" hidden="false" customHeight="false" outlineLevel="0" collapsed="false">
      <c r="A3203" s="23" t="s">
        <v>510</v>
      </c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</row>
    <row r="3204" customFormat="false" ht="15" hidden="false" customHeight="false" outlineLevel="0" collapsed="false">
      <c r="A3204" s="3" t="s">
        <v>499</v>
      </c>
      <c r="C3204" s="25" t="n">
        <f aca="false">IF(C3200=0,0,C3188/C3200*MAX(0,MIN(C3200,$C$3166-SUM($C$3180:$C$3182)-C3196)))</f>
        <v>772.300908668608</v>
      </c>
    </row>
    <row r="3205" customFormat="false" ht="15" hidden="false" customHeight="false" outlineLevel="0" collapsed="false">
      <c r="A3205" s="3" t="s">
        <v>500</v>
      </c>
      <c r="C3205" s="25" t="n">
        <f aca="false">IF(C3201=0,0,C3189/C3201*MAX(0,MIN(C3201,$C$3166-SUM($C$3180:$C$3182)-C3197)))</f>
        <v>0</v>
      </c>
    </row>
    <row r="3206" customFormat="false" ht="15" hidden="false" customHeight="false" outlineLevel="0" collapsed="false">
      <c r="A3206" s="3" t="s">
        <v>501</v>
      </c>
      <c r="C3206" s="25" t="n">
        <f aca="false">IF(C3202=0,0,C3190/C3202*MAX(0,MIN(C3202,$C$3166-SUM($C$3180:$C$3182)-C3198)))</f>
        <v>0</v>
      </c>
    </row>
    <row r="3207" customFormat="false" ht="15" hidden="false" customHeight="false" outlineLevel="0" collapsed="false">
      <c r="A3207" s="23" t="s">
        <v>511</v>
      </c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</row>
    <row r="3208" customFormat="false" ht="15" hidden="false" customHeight="false" outlineLevel="0" collapsed="false">
      <c r="A3208" s="2" t="s">
        <v>499</v>
      </c>
      <c r="C3208" s="16" t="n">
        <f aca="false">C3180+C3204</f>
        <v>772.300908668608</v>
      </c>
    </row>
    <row r="3209" customFormat="false" ht="15" hidden="false" customHeight="false" outlineLevel="0" collapsed="false">
      <c r="A3209" s="2" t="s">
        <v>500</v>
      </c>
      <c r="C3209" s="16" t="n">
        <f aca="false">C3181+C3205</f>
        <v>0</v>
      </c>
    </row>
    <row r="3210" customFormat="false" ht="15" hidden="false" customHeight="false" outlineLevel="0" collapsed="false">
      <c r="A3210" s="2" t="s">
        <v>501</v>
      </c>
      <c r="C3210" s="16" t="n">
        <f aca="false">C3182+C3206</f>
        <v>0</v>
      </c>
    </row>
    <row r="3211" customFormat="false" ht="15" hidden="false" customHeight="false" outlineLevel="0" collapsed="false">
      <c r="A3211" s="23" t="s">
        <v>512</v>
      </c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</row>
    <row r="3212" customFormat="false" ht="15" hidden="false" customHeight="false" outlineLevel="0" collapsed="false">
      <c r="A3212" s="3" t="s">
        <v>499</v>
      </c>
      <c r="C3212" s="21" t="n">
        <f aca="false">IF(C3168=0,1,C3208/C3168)</f>
        <v>0.587257306047616</v>
      </c>
    </row>
    <row r="3213" customFormat="false" ht="15" hidden="false" customHeight="false" outlineLevel="0" collapsed="false">
      <c r="A3213" s="3" t="s">
        <v>500</v>
      </c>
      <c r="C3213" s="21" t="n">
        <f aca="false">IF(C3169=0,1,C3209/C3169)</f>
        <v>1</v>
      </c>
    </row>
    <row r="3214" customFormat="false" ht="15" hidden="false" customHeight="false" outlineLevel="0" collapsed="false">
      <c r="A3214" s="3" t="s">
        <v>501</v>
      </c>
      <c r="C3214" s="21" t="n">
        <f aca="false">IF(C3170=0,1,C3210/C3170)</f>
        <v>1</v>
      </c>
    </row>
    <row r="3215" customFormat="false" ht="15" hidden="false" customHeight="false" outlineLevel="0" collapsed="false">
      <c r="A3215" s="23" t="s">
        <v>513</v>
      </c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</row>
    <row r="3216" customFormat="false" ht="15" hidden="false" customHeight="false" outlineLevel="0" collapsed="false">
      <c r="A3216" s="3" t="s">
        <v>499</v>
      </c>
      <c r="C3216" s="25" t="n">
        <f aca="false">C3168-C3208</f>
        <v>542.797091331392</v>
      </c>
    </row>
    <row r="3217" customFormat="false" ht="15" hidden="false" customHeight="false" outlineLevel="0" collapsed="false">
      <c r="A3217" s="3" t="s">
        <v>500</v>
      </c>
      <c r="C3217" s="25" t="n">
        <f aca="false">C3169-C3209</f>
        <v>0</v>
      </c>
    </row>
    <row r="3218" customFormat="false" ht="15" hidden="false" customHeight="false" outlineLevel="0" collapsed="false">
      <c r="A3218" s="3" t="s">
        <v>501</v>
      </c>
      <c r="C3218" s="25" t="n">
        <f aca="false">C3170-C3210</f>
        <v>0</v>
      </c>
    </row>
    <row r="3219" customFormat="false" ht="15" hidden="false" customHeight="false" outlineLevel="0" collapsed="false">
      <c r="A3219" s="23" t="s">
        <v>514</v>
      </c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</row>
    <row r="3220" customFormat="false" ht="15" hidden="false" customHeight="false" outlineLevel="0" collapsed="false">
      <c r="A3220" s="3" t="s">
        <v>499</v>
      </c>
      <c r="C3220" s="21" t="n">
        <f aca="false">IF(C3168=0,0,C3216/C3168)</f>
        <v>0.412742693952384</v>
      </c>
    </row>
    <row r="3221" customFormat="false" ht="15" hidden="false" customHeight="false" outlineLevel="0" collapsed="false">
      <c r="A3221" s="3" t="s">
        <v>500</v>
      </c>
      <c r="C3221" s="21" t="n">
        <f aca="false">IF(C3169=0,0,C3217/C3169)</f>
        <v>0</v>
      </c>
    </row>
    <row r="3222" customFormat="false" ht="15" hidden="false" customHeight="false" outlineLevel="0" collapsed="false">
      <c r="A3222" s="3" t="s">
        <v>501</v>
      </c>
      <c r="C3222" s="21" t="n">
        <f aca="false">IF(C3170=0,0,C3218/C3170)</f>
        <v>0</v>
      </c>
    </row>
    <row r="3223" customFormat="false" ht="15" hidden="false" customHeight="false" outlineLevel="0" collapsed="false">
      <c r="A3223" s="2" t="s">
        <v>515</v>
      </c>
      <c r="C3223" s="16" t="n">
        <f aca="false">MAX(0,$C$3166-SUM($C$3180:$C$3182)-SUM($C$3188:$C$3190))</f>
        <v>0</v>
      </c>
    </row>
    <row r="3224" customFormat="false" ht="15" hidden="false" customHeight="false" outlineLevel="0" collapsed="false">
      <c r="A3224" s="3" t="s">
        <v>533</v>
      </c>
      <c r="C3224" s="34" t="n">
        <f aca="false">MIN(C3165,100*CHOOSE(C3155,C3212,C3213,C3214))</f>
        <v>58.7257306047616</v>
      </c>
    </row>
    <row r="3225" customFormat="false" ht="15" hidden="false" customHeight="false" outlineLevel="0" collapsed="false">
      <c r="A3225" s="3" t="s">
        <v>534</v>
      </c>
      <c r="C3225" s="20" t="n">
        <f aca="false">IF(C3085=1,C3160+Assumptions!$C$39,C3159)</f>
        <v>5</v>
      </c>
    </row>
    <row r="3226" customFormat="false" ht="15" hidden="false" customHeight="false" outlineLevel="0" collapsed="false">
      <c r="A3226" s="23" t="s">
        <v>535</v>
      </c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</row>
    <row r="3227" customFormat="false" ht="15" hidden="false" customHeight="false" outlineLevel="0" collapsed="false">
      <c r="A3227" s="3" t="s">
        <v>536</v>
      </c>
      <c r="C3227" s="20" t="n">
        <f aca="false">COLUMN()-COLUMN($C$1)</f>
        <v>0</v>
      </c>
      <c r="D3227" s="20" t="n">
        <f aca="false">COLUMN()-COLUMN($C$1)</f>
        <v>1</v>
      </c>
      <c r="E3227" s="20" t="n">
        <f aca="false">COLUMN()-COLUMN($C$1)</f>
        <v>2</v>
      </c>
      <c r="F3227" s="20" t="n">
        <f aca="false">COLUMN()-COLUMN($C$1)</f>
        <v>3</v>
      </c>
      <c r="G3227" s="20" t="n">
        <f aca="false">COLUMN()-COLUMN($C$1)</f>
        <v>4</v>
      </c>
      <c r="H3227" s="20" t="n">
        <f aca="false">COLUMN()-COLUMN($C$1)</f>
        <v>5</v>
      </c>
      <c r="I3227" s="20" t="n">
        <f aca="false">COLUMN()-COLUMN($C$1)</f>
        <v>6</v>
      </c>
    </row>
    <row r="3228" customFormat="false" ht="15" hidden="false" customHeight="false" outlineLevel="0" collapsed="false">
      <c r="A3228" s="3" t="s">
        <v>537</v>
      </c>
      <c r="D3228" s="31" t="n">
        <f aca="false">CHOOSE($C$3155,G2968,G2981,G2994)</f>
        <v>0.105</v>
      </c>
      <c r="E3228" s="31" t="n">
        <f aca="false">CHOOSE($C$3155,H2968,H2981,H2994)</f>
        <v>0.105</v>
      </c>
      <c r="F3228" s="31" t="n">
        <f aca="false">CHOOSE($C$3155,I2968,I2981,I2994)</f>
        <v>0.105</v>
      </c>
      <c r="G3228" s="31" t="n">
        <f aca="false">CHOOSE($C$3155,J2968,J2981,J2994)</f>
        <v>0.105</v>
      </c>
      <c r="H3228" s="31" t="n">
        <f aca="false">CHOOSE($C$3155,K2968,K2981,K2994)</f>
        <v>0.105</v>
      </c>
    </row>
    <row r="3229" customFormat="false" ht="15" hidden="false" customHeight="false" outlineLevel="0" collapsed="false">
      <c r="A3229" s="3" t="s">
        <v>538</v>
      </c>
      <c r="D3229" s="25" t="n">
        <f aca="false">IF(D3227&lt;=$C$3164,$C$3156*D3228,0)</f>
        <v>10.5</v>
      </c>
      <c r="E3229" s="25" t="n">
        <f aca="false">IF(E3227&lt;=$C$3164,$C$3156*E3228,0)</f>
        <v>10.5</v>
      </c>
      <c r="F3229" s="25" t="n">
        <f aca="false">IF(F3227&lt;=$C$3164,$C$3156*F3228,0)</f>
        <v>10.5</v>
      </c>
      <c r="G3229" s="25" t="n">
        <f aca="false">IF(G3227&lt;=$C$3164,$C$3156*G3228,0)</f>
        <v>10.5</v>
      </c>
      <c r="H3229" s="25" t="n">
        <f aca="false">IF(H3227&lt;=$C$3164,$C$3156*H3228,0)</f>
        <v>0</v>
      </c>
    </row>
    <row r="3230" customFormat="false" ht="15" hidden="false" customHeight="false" outlineLevel="0" collapsed="false">
      <c r="A3230" s="3" t="s">
        <v>539</v>
      </c>
      <c r="D3230" s="25" t="n">
        <f aca="false">IF(AND($C$3085=0,D3227=$C$3159),$C$3156*$C$3224/100,0)+IF(AND($C$3085=1,D3227=$C$3225),$C$3162,0)</f>
        <v>0</v>
      </c>
      <c r="E3230" s="25" t="n">
        <f aca="false">IF(AND($C$3085=0,E3227=$C$3159),$C$3156*$C$3224/100,0)+IF(AND($C$3085=1,E3227=$C$3225),$C$3162,0)</f>
        <v>0</v>
      </c>
      <c r="F3230" s="25" t="n">
        <f aca="false">IF(AND($C$3085=0,F3227=$C$3159),$C$3156*$C$3224/100,0)+IF(AND($C$3085=1,F3227=$C$3225),$C$3162,0)</f>
        <v>0</v>
      </c>
      <c r="G3230" s="25" t="n">
        <f aca="false">IF(AND($C$3085=0,G3227=$C$3159),$C$3156*$C$3224/100,0)+IF(AND($C$3085=1,G3227=$C$3225),$C$3162,0)</f>
        <v>0</v>
      </c>
      <c r="H3230" s="25" t="n">
        <f aca="false">IF(AND($C$3085=0,H3227=$C$3159),$C$3156*$C$3224/100,0)+IF(AND($C$3085=1,H3227=$C$3225),$C$3162,0)</f>
        <v>45.6982598102955</v>
      </c>
      <c r="I3230" s="25" t="n">
        <f aca="false">IF(AND($C$3085=0,I3227=$C$3159),$C$3156*$C$3224/100,0)+IF(AND($C$3085=1,I3227=$C$3225),$C$3162,0)</f>
        <v>0</v>
      </c>
    </row>
    <row r="3231" customFormat="false" ht="15" hidden="false" customHeight="false" outlineLevel="0" collapsed="false">
      <c r="A3231" s="2" t="s">
        <v>540</v>
      </c>
      <c r="C3231" s="16" t="n">
        <f aca="false">-$C$3158</f>
        <v>-95</v>
      </c>
      <c r="D3231" s="16" t="n">
        <f aca="false">D3229+D3230</f>
        <v>10.5</v>
      </c>
      <c r="E3231" s="16" t="n">
        <f aca="false">E3229+E3230</f>
        <v>10.5</v>
      </c>
      <c r="F3231" s="16" t="n">
        <f aca="false">F3229+F3230</f>
        <v>10.5</v>
      </c>
      <c r="G3231" s="16" t="n">
        <f aca="false">G3229+G3230</f>
        <v>10.5</v>
      </c>
      <c r="H3231" s="16" t="n">
        <f aca="false">H3229+H3230</f>
        <v>45.6982598102955</v>
      </c>
      <c r="I3231" s="16" t="n">
        <f aca="false">I3229+I3230</f>
        <v>0</v>
      </c>
    </row>
    <row r="3232" customFormat="false" ht="15" hidden="false" customHeight="false" outlineLevel="0" collapsed="false">
      <c r="A3232" s="3" t="s">
        <v>541</v>
      </c>
      <c r="C3232" s="25" t="n">
        <f aca="false">SUM($C$3229:$I$3229)</f>
        <v>42</v>
      </c>
    </row>
    <row r="3233" customFormat="false" ht="15" hidden="false" customHeight="false" outlineLevel="0" collapsed="false">
      <c r="A3233" s="3" t="s">
        <v>542</v>
      </c>
      <c r="C3233" s="25" t="n">
        <f aca="false">SUM($C$3230:$I$3230)</f>
        <v>45.6982598102955</v>
      </c>
    </row>
    <row r="3234" customFormat="false" ht="15" hidden="false" customHeight="false" outlineLevel="0" collapsed="false">
      <c r="A3234" s="3" t="s">
        <v>543</v>
      </c>
      <c r="C3234" s="25" t="n">
        <f aca="false">C3232+C3233</f>
        <v>87.6982598102955</v>
      </c>
    </row>
    <row r="3235" customFormat="false" ht="15" hidden="false" customHeight="false" outlineLevel="0" collapsed="false">
      <c r="A3235" s="3" t="s">
        <v>544</v>
      </c>
      <c r="C3235" s="25" t="n">
        <f aca="false">C3233-C3156*C3157/100</f>
        <v>-49.3017401897045</v>
      </c>
    </row>
    <row r="3236" customFormat="false" ht="15" hidden="false" customHeight="false" outlineLevel="0" collapsed="false">
      <c r="A3236" s="3" t="s">
        <v>545</v>
      </c>
      <c r="C3236" s="25" t="n">
        <f aca="false">C3234-C3158</f>
        <v>-7.3017401897045</v>
      </c>
    </row>
    <row r="3237" customFormat="false" ht="15" hidden="false" customHeight="false" outlineLevel="0" collapsed="false">
      <c r="A3237" s="2" t="s">
        <v>427</v>
      </c>
      <c r="C3237" s="44" t="n">
        <f aca="false">C3234/C3158</f>
        <v>0.923139576950479</v>
      </c>
    </row>
    <row r="3238" customFormat="false" ht="15" hidden="false" customHeight="false" outlineLevel="0" collapsed="false">
      <c r="A3238" s="2" t="s">
        <v>426</v>
      </c>
      <c r="C3238" s="42" t="n">
        <f aca="false">IF(C3234&lt;=0,-1,IFERROR(IRR($C$3231:$I$3231,MAX(-0.9,C3237^(1/C3225)-1)),IRR($C$3231:$I$3231,0.1)))</f>
        <v>-0.0206908929736275</v>
      </c>
    </row>
    <row r="3239" customFormat="false" ht="15" hidden="false" customHeight="false" outlineLevel="0" collapsed="false">
      <c r="A3239" s="3" t="s">
        <v>546</v>
      </c>
      <c r="C3239" s="32" t="n">
        <f aca="false">MAX($G$3045:$K$3045)</f>
        <v>10.5746168658198</v>
      </c>
    </row>
    <row r="3240" customFormat="false" ht="15" hidden="false" customHeight="false" outlineLevel="0" collapsed="false">
      <c r="A3240" s="3" t="s">
        <v>547</v>
      </c>
      <c r="C3240" s="32" t="n">
        <f aca="false">MIN($G$3046:$K$3046)</f>
        <v>0.944561543243982</v>
      </c>
    </row>
    <row r="3241" customFormat="false" ht="15" hidden="false" customHeight="false" outlineLevel="0" collapsed="false">
      <c r="A3241" s="3" t="s">
        <v>548</v>
      </c>
      <c r="C3241" s="25" t="n">
        <f aca="false">SUM($G$2952:$K$2952)</f>
        <v>-107.689855412347</v>
      </c>
    </row>
    <row r="3245" customFormat="false" ht="15" hidden="false" customHeight="false" outlineLevel="0" collapsed="false">
      <c r="A3245" s="9" t="s">
        <v>1024</v>
      </c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</row>
    <row r="3246" customFormat="false" ht="15" hidden="false" customHeight="false" outlineLevel="0" collapsed="false">
      <c r="A3246" s="3" t="s">
        <v>1010</v>
      </c>
      <c r="C3246" s="11" t="n">
        <v>2</v>
      </c>
    </row>
    <row r="3247" customFormat="false" ht="15" hidden="false" customHeight="false" outlineLevel="0" collapsed="false">
      <c r="A3247" s="3" t="s">
        <v>1011</v>
      </c>
      <c r="C3247" s="18" t="n">
        <v>0</v>
      </c>
    </row>
    <row r="3248" customFormat="false" ht="15" hidden="false" customHeight="false" outlineLevel="0" collapsed="false">
      <c r="A3248" s="3" t="s">
        <v>1012</v>
      </c>
      <c r="C3248" s="30" t="n">
        <f aca="false">Sensitivities!$A$32</f>
        <v>0</v>
      </c>
    </row>
    <row r="3249" customFormat="false" ht="15" hidden="false" customHeight="false" outlineLevel="0" collapsed="false">
      <c r="A3249" s="3" t="s">
        <v>1013</v>
      </c>
      <c r="C3249" s="18" t="n">
        <v>0</v>
      </c>
    </row>
    <row r="3250" customFormat="false" ht="15" hidden="false" customHeight="false" outlineLevel="0" collapsed="false">
      <c r="A3250" s="3" t="s">
        <v>1014</v>
      </c>
      <c r="C3250" s="15" t="n">
        <v>0</v>
      </c>
    </row>
    <row r="3252" customFormat="false" ht="15" hidden="false" customHeight="false" outlineLevel="0" collapsed="false">
      <c r="A3252" s="23" t="s">
        <v>281</v>
      </c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</row>
    <row r="3253" customFormat="false" ht="15" hidden="false" customHeight="false" outlineLevel="0" collapsed="false">
      <c r="A3253" s="3" t="s">
        <v>282</v>
      </c>
      <c r="F3253" s="27" t="n">
        <f aca="false">Assumptions!$C$6</f>
        <v>2026</v>
      </c>
      <c r="G3253" s="20" t="n">
        <f aca="false">F3253+1</f>
        <v>2027</v>
      </c>
      <c r="H3253" s="20" t="n">
        <f aca="false">G3253+1</f>
        <v>2028</v>
      </c>
      <c r="I3253" s="20" t="n">
        <f aca="false">H3253+1</f>
        <v>2029</v>
      </c>
      <c r="J3253" s="20" t="n">
        <f aca="false">I3253+1</f>
        <v>2030</v>
      </c>
      <c r="K3253" s="20" t="n">
        <f aca="false">J3253+1</f>
        <v>2031</v>
      </c>
    </row>
    <row r="3254" customFormat="false" ht="15" hidden="false" customHeight="false" outlineLevel="0" collapsed="false">
      <c r="A3254" s="3" t="s">
        <v>283</v>
      </c>
      <c r="G3254" s="20" t="n">
        <f aca="false">G3253-Assumptions!$C$6</f>
        <v>1</v>
      </c>
      <c r="H3254" s="20" t="n">
        <f aca="false">H3253-Assumptions!$C$6</f>
        <v>2</v>
      </c>
      <c r="I3254" s="20" t="n">
        <f aca="false">I3253-Assumptions!$C$6</f>
        <v>3</v>
      </c>
      <c r="J3254" s="20" t="n">
        <f aca="false">J3253-Assumptions!$C$6</f>
        <v>4</v>
      </c>
      <c r="K3254" s="20" t="n">
        <f aca="false">K3253-Assumptions!$C$6</f>
        <v>5</v>
      </c>
    </row>
    <row r="3255" customFormat="false" ht="15" hidden="false" customHeight="false" outlineLevel="0" collapsed="false">
      <c r="A3255" s="3" t="s">
        <v>165</v>
      </c>
      <c r="G3255" s="21" t="n">
        <f aca="false">CHOOSE($C$3246,Assumptions!$G$71,Assumptions!$G$90,Assumptions!$G$109)+$C$3247</f>
        <v>-0.08</v>
      </c>
      <c r="H3255" s="21" t="n">
        <f aca="false">CHOOSE($C$3246,Assumptions!$H$71,Assumptions!$H$90,Assumptions!$H$109)+$C$3247</f>
        <v>-0.07</v>
      </c>
      <c r="I3255" s="21" t="n">
        <f aca="false">CHOOSE($C$3246,Assumptions!$I$71,Assumptions!$I$90,Assumptions!$I$109)+$C$3247</f>
        <v>-0.06</v>
      </c>
      <c r="J3255" s="21" t="n">
        <f aca="false">CHOOSE($C$3246,Assumptions!$J$71,Assumptions!$J$90,Assumptions!$J$109)+$C$3247</f>
        <v>-0.05</v>
      </c>
      <c r="K3255" s="21" t="n">
        <f aca="false">CHOOSE($C$3246,Assumptions!$K$71,Assumptions!$K$90,Assumptions!$K$109)+$C$3247</f>
        <v>-0.05</v>
      </c>
    </row>
    <row r="3256" customFormat="false" ht="15" hidden="false" customHeight="false" outlineLevel="0" collapsed="false">
      <c r="A3256" s="3" t="s">
        <v>166</v>
      </c>
      <c r="G3256" s="21" t="n">
        <f aca="false">CHOOSE($C$3246,Assumptions!$G$72,Assumptions!$G$91,Assumptions!$G$110)</f>
        <v>0.463246670103635</v>
      </c>
      <c r="H3256" s="21" t="n">
        <f aca="false">CHOOSE($C$3246,Assumptions!$H$72,Assumptions!$H$91,Assumptions!$H$110)</f>
        <v>0.453246670103635</v>
      </c>
      <c r="I3256" s="21" t="n">
        <f aca="false">CHOOSE($C$3246,Assumptions!$I$72,Assumptions!$I$91,Assumptions!$I$110)</f>
        <v>0.448246670103634</v>
      </c>
      <c r="J3256" s="21" t="n">
        <f aca="false">CHOOSE($C$3246,Assumptions!$J$72,Assumptions!$J$91,Assumptions!$J$110)</f>
        <v>0.443246670103635</v>
      </c>
      <c r="K3256" s="21" t="n">
        <f aca="false">CHOOSE($C$3246,Assumptions!$K$72,Assumptions!$K$91,Assumptions!$K$110)</f>
        <v>0.443246670103635</v>
      </c>
    </row>
    <row r="3257" customFormat="false" ht="15" hidden="false" customHeight="false" outlineLevel="0" collapsed="false">
      <c r="A3257" s="3" t="s">
        <v>167</v>
      </c>
      <c r="G3257" s="21" t="n">
        <f aca="false">CHOOSE($C$3246,Assumptions!$G$73,Assumptions!$G$92,Assumptions!$G$111)+$C$3248</f>
        <v>0.12</v>
      </c>
      <c r="H3257" s="21" t="n">
        <f aca="false">CHOOSE($C$3246,Assumptions!$H$73,Assumptions!$H$92,Assumptions!$H$111)+$C$3248</f>
        <v>0.11</v>
      </c>
      <c r="I3257" s="21" t="n">
        <f aca="false">CHOOSE($C$3246,Assumptions!$I$73,Assumptions!$I$92,Assumptions!$I$111)+$C$3248</f>
        <v>0.105</v>
      </c>
      <c r="J3257" s="21" t="n">
        <f aca="false">CHOOSE($C$3246,Assumptions!$J$73,Assumptions!$J$92,Assumptions!$J$111)+$C$3248</f>
        <v>0.1</v>
      </c>
      <c r="K3257" s="21" t="n">
        <f aca="false">CHOOSE($C$3246,Assumptions!$K$73,Assumptions!$K$92,Assumptions!$K$111)+$C$3248</f>
        <v>0.1</v>
      </c>
    </row>
    <row r="3258" customFormat="false" ht="15" hidden="false" customHeight="false" outlineLevel="0" collapsed="false">
      <c r="A3258" s="23" t="s">
        <v>284</v>
      </c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</row>
    <row r="3259" customFormat="false" ht="15" hidden="false" customHeight="false" outlineLevel="0" collapsed="false">
      <c r="A3259" s="2" t="s">
        <v>256</v>
      </c>
      <c r="F3259" s="28" t="n">
        <f aca="false">'Historical Financials'!G23</f>
        <v>2246.166</v>
      </c>
      <c r="G3259" s="16" t="n">
        <f aca="false">F3259*(1+G3255)</f>
        <v>2066.47272</v>
      </c>
      <c r="H3259" s="16" t="n">
        <f aca="false">G3259*(1+H3255)</f>
        <v>1921.8196296</v>
      </c>
      <c r="I3259" s="16" t="n">
        <f aca="false">H3259*(1+I3255)</f>
        <v>1806.510451824</v>
      </c>
      <c r="J3259" s="16" t="n">
        <f aca="false">I3259*(1+J3255)</f>
        <v>1716.1849292328</v>
      </c>
      <c r="K3259" s="16" t="n">
        <f aca="false">J3259*(1+K3255)</f>
        <v>1630.37568277116</v>
      </c>
    </row>
    <row r="3260" customFormat="false" ht="15" hidden="false" customHeight="false" outlineLevel="0" collapsed="false">
      <c r="A3260" s="3" t="s">
        <v>257</v>
      </c>
      <c r="G3260" s="25" t="n">
        <f aca="false">G3259*(1-G3256)</f>
        <v>1109.1861136</v>
      </c>
      <c r="H3260" s="25" t="n">
        <f aca="false">H3259*(1-H3256)</f>
        <v>1050.761281944</v>
      </c>
      <c r="I3260" s="25" t="n">
        <f aca="false">I3259*(1-I3256)</f>
        <v>996.74815728648</v>
      </c>
      <c r="J3260" s="25" t="n">
        <f aca="false">J3259*(1-J3256)</f>
        <v>955.49167406832</v>
      </c>
      <c r="K3260" s="25" t="n">
        <f aca="false">K3259*(1-K3256)</f>
        <v>907.717090364904</v>
      </c>
    </row>
    <row r="3261" customFormat="false" ht="15" hidden="false" customHeight="false" outlineLevel="0" collapsed="false">
      <c r="A3261" s="2" t="s">
        <v>258</v>
      </c>
      <c r="G3261" s="16" t="n">
        <f aca="false">G3259-G3260</f>
        <v>957.2866064</v>
      </c>
      <c r="H3261" s="16" t="n">
        <f aca="false">H3259-H3260</f>
        <v>871.058347656</v>
      </c>
      <c r="I3261" s="16" t="n">
        <f aca="false">I3259-I3260</f>
        <v>809.76229453752</v>
      </c>
      <c r="J3261" s="16" t="n">
        <f aca="false">J3259-J3260</f>
        <v>760.69325516448</v>
      </c>
      <c r="K3261" s="16" t="n">
        <f aca="false">K3259-K3260</f>
        <v>722.658592406256</v>
      </c>
    </row>
    <row r="3262" customFormat="false" ht="15" hidden="false" customHeight="false" outlineLevel="0" collapsed="false">
      <c r="A3262" s="3" t="s">
        <v>285</v>
      </c>
      <c r="G3262" s="25" t="n">
        <f aca="false">G3261-G3263</f>
        <v>709.30988</v>
      </c>
      <c r="H3262" s="25" t="n">
        <f aca="false">H3261-H3263</f>
        <v>659.6581884</v>
      </c>
      <c r="I3262" s="25" t="n">
        <f aca="false">I3261-I3263</f>
        <v>620.078697096</v>
      </c>
      <c r="J3262" s="25" t="n">
        <f aca="false">J3261-J3263</f>
        <v>589.0747622412</v>
      </c>
      <c r="K3262" s="25" t="n">
        <f aca="false">K3261-K3263</f>
        <v>559.62102412914</v>
      </c>
    </row>
    <row r="3263" customFormat="false" ht="15" hidden="false" customHeight="false" outlineLevel="0" collapsed="false">
      <c r="A3263" s="2" t="s">
        <v>286</v>
      </c>
      <c r="G3263" s="16" t="n">
        <f aca="false">G3259*G3257</f>
        <v>247.9767264</v>
      </c>
      <c r="H3263" s="16" t="n">
        <f aca="false">H3259*H3257</f>
        <v>211.400159256</v>
      </c>
      <c r="I3263" s="16" t="n">
        <f aca="false">I3259*I3257</f>
        <v>189.68359744152</v>
      </c>
      <c r="J3263" s="16" t="n">
        <f aca="false">J3259*J3257</f>
        <v>171.61849292328</v>
      </c>
      <c r="K3263" s="16" t="n">
        <f aca="false">K3259*K3257</f>
        <v>163.037568277116</v>
      </c>
    </row>
    <row r="3264" customFormat="false" ht="15" hidden="false" customHeight="false" outlineLevel="0" collapsed="false">
      <c r="A3264" s="3" t="s">
        <v>287</v>
      </c>
      <c r="G3264" s="25" t="n">
        <f aca="false">G3259*'Historical Financials'!G28/'Historical Financials'!G23</f>
        <v>78.47232</v>
      </c>
      <c r="H3264" s="25" t="n">
        <f aca="false">H3259*'Historical Financials'!G28/'Historical Financials'!G23</f>
        <v>72.9792576</v>
      </c>
      <c r="I3264" s="25" t="n">
        <f aca="false">I3259*'Historical Financials'!G28/'Historical Financials'!G23</f>
        <v>68.600502144</v>
      </c>
      <c r="J3264" s="25" t="n">
        <f aca="false">J3259*'Historical Financials'!G28/'Historical Financials'!G23</f>
        <v>65.1704770368</v>
      </c>
      <c r="K3264" s="25" t="n">
        <f aca="false">K3259*'Historical Financials'!G28/'Historical Financials'!G23</f>
        <v>61.91195318496</v>
      </c>
    </row>
    <row r="3265" customFormat="false" ht="15" hidden="false" customHeight="false" outlineLevel="0" collapsed="false">
      <c r="A3265" s="3" t="s">
        <v>288</v>
      </c>
      <c r="G3265" s="25" t="n">
        <f aca="false">G3259*'Historical Financials'!G29/'Historical Financials'!G23</f>
        <v>22.40752</v>
      </c>
      <c r="H3265" s="25" t="n">
        <f aca="false">H3259*'Historical Financials'!G29/'Historical Financials'!G23</f>
        <v>20.8389936</v>
      </c>
      <c r="I3265" s="25" t="n">
        <f aca="false">I3259*'Historical Financials'!G29/'Historical Financials'!G23</f>
        <v>19.588653984</v>
      </c>
      <c r="J3265" s="25" t="n">
        <f aca="false">J3259*'Historical Financials'!G29/'Historical Financials'!G23</f>
        <v>18.6092212848</v>
      </c>
      <c r="K3265" s="25" t="n">
        <f aca="false">K3259*'Historical Financials'!G29/'Historical Financials'!G23</f>
        <v>17.67876022056</v>
      </c>
    </row>
    <row r="3266" customFormat="false" ht="15" hidden="false" customHeight="false" outlineLevel="0" collapsed="false">
      <c r="A3266" s="2" t="s">
        <v>289</v>
      </c>
      <c r="G3266" s="16" t="n">
        <f aca="false">G3263-G3264-G3265</f>
        <v>147.0968864</v>
      </c>
      <c r="H3266" s="16" t="n">
        <f aca="false">H3263-H3264-H3265</f>
        <v>117.581908056</v>
      </c>
      <c r="I3266" s="16" t="n">
        <f aca="false">I3263-I3264-I3265</f>
        <v>101.49444131352</v>
      </c>
      <c r="J3266" s="16" t="n">
        <f aca="false">J3263-J3264-J3265</f>
        <v>87.83879460168</v>
      </c>
      <c r="K3266" s="16" t="n">
        <f aca="false">K3263-K3264-K3265</f>
        <v>83.446854871596</v>
      </c>
    </row>
    <row r="3267" customFormat="false" ht="15" hidden="false" customHeight="false" outlineLevel="0" collapsed="false">
      <c r="A3267" s="3" t="s">
        <v>290</v>
      </c>
      <c r="G3267" s="25" t="n">
        <f aca="false">G3293+G3306+G3319</f>
        <v>155.95467</v>
      </c>
      <c r="H3267" s="25" t="n">
        <f aca="false">H3293+H3306+H3319</f>
        <v>155.95467</v>
      </c>
      <c r="I3267" s="25" t="n">
        <f aca="false">I3293+I3306+I3319</f>
        <v>155.95467</v>
      </c>
      <c r="J3267" s="25" t="n">
        <f aca="false">J3293+J3306+J3319</f>
        <v>138.08529</v>
      </c>
      <c r="K3267" s="25" t="n">
        <f aca="false">K3293+K3306+K3319</f>
        <v>138.08529</v>
      </c>
    </row>
    <row r="3268" customFormat="false" ht="15" hidden="false" customHeight="false" outlineLevel="0" collapsed="false">
      <c r="A3268" s="3" t="s">
        <v>291</v>
      </c>
      <c r="G3268" s="25" t="n">
        <f aca="false">G3294+G3307+G3320</f>
        <v>0</v>
      </c>
      <c r="H3268" s="25" t="n">
        <f aca="false">H3294+H3307+H3320</f>
        <v>0</v>
      </c>
      <c r="I3268" s="25" t="n">
        <f aca="false">I3294+I3307+I3320</f>
        <v>0</v>
      </c>
      <c r="J3268" s="25" t="n">
        <f aca="false">J3294+J3307+J3320</f>
        <v>0</v>
      </c>
      <c r="K3268" s="25" t="n">
        <f aca="false">K3294+K3307+K3320</f>
        <v>0</v>
      </c>
    </row>
    <row r="3269" customFormat="false" ht="15" hidden="false" customHeight="false" outlineLevel="0" collapsed="false">
      <c r="A3269" s="3" t="s">
        <v>239</v>
      </c>
      <c r="G3269" s="25" t="n">
        <f aca="false">G3267+G3268</f>
        <v>155.95467</v>
      </c>
      <c r="H3269" s="25" t="n">
        <f aca="false">H3267+H3268</f>
        <v>155.95467</v>
      </c>
      <c r="I3269" s="25" t="n">
        <f aca="false">I3267+I3268</f>
        <v>155.95467</v>
      </c>
      <c r="J3269" s="25" t="n">
        <f aca="false">J3267+J3268</f>
        <v>138.08529</v>
      </c>
      <c r="K3269" s="25" t="n">
        <f aca="false">K3267+K3268</f>
        <v>138.08529</v>
      </c>
    </row>
    <row r="3270" customFormat="false" ht="15" hidden="false" customHeight="false" outlineLevel="0" collapsed="false">
      <c r="A3270" s="2" t="s">
        <v>264</v>
      </c>
      <c r="G3270" s="16" t="n">
        <f aca="false">G3266-G3269</f>
        <v>-8.85778360000006</v>
      </c>
      <c r="H3270" s="16" t="n">
        <f aca="false">H3266-H3269</f>
        <v>-38.372761944</v>
      </c>
      <c r="I3270" s="16" t="n">
        <f aca="false">I3266-I3269</f>
        <v>-54.46022868648</v>
      </c>
      <c r="J3270" s="16" t="n">
        <f aca="false">J3266-J3269</f>
        <v>-50.24649539832</v>
      </c>
      <c r="K3270" s="16" t="n">
        <f aca="false">K3266-K3269</f>
        <v>-54.638435128404</v>
      </c>
    </row>
    <row r="3271" customFormat="false" ht="15" hidden="false" customHeight="false" outlineLevel="0" collapsed="false">
      <c r="A3271" s="3" t="s">
        <v>292</v>
      </c>
      <c r="G3271" s="25" t="n">
        <f aca="false">MAX(0,G3270)*Assumptions!$C$9</f>
        <v>0</v>
      </c>
      <c r="H3271" s="25" t="n">
        <f aca="false">MAX(0,H3270)*Assumptions!$C$9</f>
        <v>0</v>
      </c>
      <c r="I3271" s="25" t="n">
        <f aca="false">MAX(0,I3270)*Assumptions!$C$9</f>
        <v>0</v>
      </c>
      <c r="J3271" s="25" t="n">
        <f aca="false">MAX(0,J3270)*Assumptions!$C$9</f>
        <v>0</v>
      </c>
      <c r="K3271" s="25" t="n">
        <f aca="false">MAX(0,K3270)*Assumptions!$C$9</f>
        <v>0</v>
      </c>
    </row>
    <row r="3272" customFormat="false" ht="15" hidden="false" customHeight="false" outlineLevel="0" collapsed="false">
      <c r="A3272" s="2" t="s">
        <v>293</v>
      </c>
      <c r="G3272" s="16" t="n">
        <f aca="false">G3270-G3271</f>
        <v>-8.85778360000006</v>
      </c>
      <c r="H3272" s="16" t="n">
        <f aca="false">H3270-H3271</f>
        <v>-38.372761944</v>
      </c>
      <c r="I3272" s="16" t="n">
        <f aca="false">I3270-I3271</f>
        <v>-54.46022868648</v>
      </c>
      <c r="J3272" s="16" t="n">
        <f aca="false">J3270-J3271</f>
        <v>-50.24649539832</v>
      </c>
      <c r="K3272" s="16" t="n">
        <f aca="false">K3270-K3271</f>
        <v>-54.638435128404</v>
      </c>
    </row>
    <row r="3273" customFormat="false" ht="15" hidden="false" customHeight="false" outlineLevel="0" collapsed="false">
      <c r="A3273" s="23" t="s">
        <v>294</v>
      </c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</row>
    <row r="3274" customFormat="false" ht="15" hidden="false" customHeight="false" outlineLevel="0" collapsed="false">
      <c r="A3274" s="3" t="s">
        <v>169</v>
      </c>
      <c r="G3274" s="25" t="n">
        <f aca="false">G3259*CHOOSE($C$3246,Assumptions!$C$75,Assumptions!$C$94,Assumptions!$C$113)</f>
        <v>26.86414536</v>
      </c>
      <c r="H3274" s="25" t="n">
        <f aca="false">H3259*CHOOSE($C$3246,Assumptions!$C$75,Assumptions!$C$94,Assumptions!$C$113)</f>
        <v>24.9836551848</v>
      </c>
      <c r="I3274" s="25" t="n">
        <f aca="false">I3259*CHOOSE($C$3246,Assumptions!$C$75,Assumptions!$C$94,Assumptions!$C$113)</f>
        <v>23.484635873712</v>
      </c>
      <c r="J3274" s="25" t="n">
        <f aca="false">J3259*CHOOSE($C$3246,Assumptions!$C$75,Assumptions!$C$94,Assumptions!$C$113)</f>
        <v>22.3104040800264</v>
      </c>
      <c r="K3274" s="25" t="n">
        <f aca="false">K3259*CHOOSE($C$3246,Assumptions!$C$75,Assumptions!$C$94,Assumptions!$C$113)</f>
        <v>21.1948838760251</v>
      </c>
    </row>
    <row r="3275" customFormat="false" ht="15" hidden="false" customHeight="false" outlineLevel="0" collapsed="false">
      <c r="A3275" s="3" t="s">
        <v>295</v>
      </c>
      <c r="G3275" s="25" t="n">
        <f aca="false">CHOOSE($C$3246,Assumptions!$C$76,Assumptions!$C$95,Assumptions!$C$114)*(G3259-F3259)+CHOOSE($C$3246,Assumptions!$C$77,Assumptions!$C$96,Assumptions!$C$115)*G3259</f>
        <v>10.3323636</v>
      </c>
      <c r="H3275" s="25" t="n">
        <f aca="false">CHOOSE($C$3246,Assumptions!$C$76,Assumptions!$C$95,Assumptions!$C$114)*(H3259-G3259)+CHOOSE($C$3246,Assumptions!$C$77,Assumptions!$C$96,Assumptions!$C$115)*H3259</f>
        <v>9.609098148</v>
      </c>
      <c r="I3275" s="25" t="n">
        <f aca="false">CHOOSE($C$3246,Assumptions!$C$76,Assumptions!$C$95,Assumptions!$C$114)*(I3259-H3259)+CHOOSE($C$3246,Assumptions!$C$77,Assumptions!$C$96,Assumptions!$C$115)*I3259</f>
        <v>9.03255225912</v>
      </c>
      <c r="J3275" s="25" t="n">
        <f aca="false">CHOOSE($C$3246,Assumptions!$C$76,Assumptions!$C$95,Assumptions!$C$114)*(J3259-I3259)+CHOOSE($C$3246,Assumptions!$C$77,Assumptions!$C$96,Assumptions!$C$115)*J3259</f>
        <v>8.580924646164</v>
      </c>
      <c r="K3275" s="25" t="n">
        <f aca="false">CHOOSE($C$3246,Assumptions!$C$76,Assumptions!$C$95,Assumptions!$C$114)*(K3259-J3259)+CHOOSE($C$3246,Assumptions!$C$77,Assumptions!$C$96,Assumptions!$C$115)*K3259</f>
        <v>8.1518784138558</v>
      </c>
    </row>
    <row r="3276" customFormat="false" ht="15" hidden="false" customHeight="false" outlineLevel="0" collapsed="false">
      <c r="A3276" s="2" t="s">
        <v>296</v>
      </c>
      <c r="G3276" s="16" t="n">
        <f aca="false">G3272+G3264+G3265+G3268-G3274-G3275</f>
        <v>54.8255474399999</v>
      </c>
      <c r="H3276" s="16" t="n">
        <f aca="false">H3272+H3264+H3265+H3268-H3274-H3275</f>
        <v>20.8527359232</v>
      </c>
      <c r="I3276" s="16" t="n">
        <f aca="false">I3272+I3264+I3265+I3268-I3274-I3275</f>
        <v>1.21173930868796</v>
      </c>
      <c r="J3276" s="16" t="n">
        <f aca="false">J3272+J3264+J3265+J3268-J3274-J3275</f>
        <v>2.6418741970896</v>
      </c>
      <c r="K3276" s="16" t="n">
        <f aca="false">K3272+K3264+K3265+K3268-K3274-K3275</f>
        <v>-4.39448401276491</v>
      </c>
    </row>
    <row r="3278" customFormat="false" ht="15" hidden="false" customHeight="false" outlineLevel="0" collapsed="false">
      <c r="A3278" s="23" t="s">
        <v>298</v>
      </c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</row>
    <row r="3279" customFormat="false" ht="15" hidden="false" customHeight="false" outlineLevel="0" collapsed="false">
      <c r="A3279" s="3" t="s">
        <v>299</v>
      </c>
      <c r="G3279" s="30" t="n">
        <f aca="false">Assumptions!$G$52</f>
        <v>0.039</v>
      </c>
      <c r="H3279" s="30" t="n">
        <f aca="false">Assumptions!$H$52</f>
        <v>0.0375</v>
      </c>
      <c r="I3279" s="30" t="n">
        <f aca="false">Assumptions!$I$52</f>
        <v>0.035</v>
      </c>
      <c r="J3279" s="30" t="n">
        <f aca="false">Assumptions!$J$52</f>
        <v>0.035</v>
      </c>
      <c r="K3279" s="30" t="n">
        <f aca="false">Assumptions!$K$52</f>
        <v>0.035</v>
      </c>
    </row>
    <row r="3280" customFormat="false" ht="15" hidden="false" customHeight="false" outlineLevel="0" collapsed="false">
      <c r="A3280" s="3" t="s">
        <v>300</v>
      </c>
      <c r="C3280" s="31" t="n">
        <f aca="false">CHOOSE($C$3246,Assumptions!$C$78,Assumptions!$C$97,Assumptions!$C$116)+$C$3249</f>
        <v>0.015</v>
      </c>
    </row>
    <row r="3281" customFormat="false" ht="15" hidden="false" customHeight="false" outlineLevel="0" collapsed="false">
      <c r="A3281" s="3" t="s">
        <v>301</v>
      </c>
      <c r="C3281" s="31" t="n">
        <f aca="false">CHOOSE($C$3246,Assumptions!$C$79,Assumptions!$C$98,Assumptions!$C$117)</f>
        <v>0.13</v>
      </c>
    </row>
    <row r="3282" customFormat="false" ht="15" hidden="false" customHeight="false" outlineLevel="0" collapsed="false">
      <c r="A3282" s="3" t="s">
        <v>302</v>
      </c>
      <c r="C3282" s="32" t="n">
        <f aca="false">CHOOSE($C$3246,Assumptions!$C$80,Assumptions!$C$99,Assumptions!$C$118)</f>
        <v>5.5</v>
      </c>
    </row>
    <row r="3283" customFormat="false" ht="15" hidden="false" customHeight="false" outlineLevel="0" collapsed="false">
      <c r="A3283" s="3" t="s">
        <v>303</v>
      </c>
      <c r="C3283" s="32" t="n">
        <f aca="false">CHOOSE($C$3246,Assumptions!$C$81,Assumptions!$C$100,Assumptions!$C$119)</f>
        <v>1.5</v>
      </c>
    </row>
    <row r="3284" customFormat="false" ht="15" hidden="false" customHeight="false" outlineLevel="0" collapsed="false">
      <c r="A3284" s="3" t="s">
        <v>304</v>
      </c>
      <c r="G3284" s="25" t="n">
        <f aca="false">G3289+G3302+G3315</f>
        <v>1735.554</v>
      </c>
      <c r="H3284" s="25" t="n">
        <f aca="false">H3289+H3302+H3315</f>
        <v>1735.554</v>
      </c>
      <c r="I3284" s="25" t="n">
        <f aca="false">I3289+I3302+I3315</f>
        <v>1735.554</v>
      </c>
      <c r="J3284" s="25" t="n">
        <f aca="false">J3289+J3302+J3315</f>
        <v>1315.098</v>
      </c>
      <c r="K3284" s="25" t="n">
        <f aca="false">K3289+K3302+K3315</f>
        <v>1315.098</v>
      </c>
    </row>
    <row r="3285" customFormat="false" ht="15" hidden="false" customHeight="false" outlineLevel="0" collapsed="false">
      <c r="A3285" s="3" t="s">
        <v>305</v>
      </c>
      <c r="G3285" s="25" t="n">
        <f aca="false">F3358</f>
        <v>463.996</v>
      </c>
      <c r="H3285" s="25" t="n">
        <f aca="false">G3358</f>
        <v>518.82154744</v>
      </c>
      <c r="I3285" s="25" t="n">
        <f aca="false">H3358</f>
        <v>539.6742833632</v>
      </c>
      <c r="J3285" s="25" t="n">
        <f aca="false">I3358</f>
        <v>120.430022671888</v>
      </c>
      <c r="K3285" s="25" t="n">
        <f aca="false">J3358</f>
        <v>123.071896868977</v>
      </c>
    </row>
    <row r="3286" customFormat="false" ht="15" hidden="false" customHeight="false" outlineLevel="0" collapsed="false">
      <c r="A3286" s="3" t="s">
        <v>306</v>
      </c>
      <c r="G3286" s="25" t="n">
        <f aca="false">G3289*IF(G3290=1,$C$3281,IF(Assumptions!$I$56=1,MAX(G3279,Assumptions!$G$56)+Assumptions!$F$56+$C$3280,Assumptions!$E$56))+G3302*IF(G3303=1,$C$3281,IF(Assumptions!$I$57=1,MAX(G3279,Assumptions!$G$57)+Assumptions!$F$57+$C$3280,Assumptions!$E$57))+G3315*IF(G3316=1,$C$3281,IF(Assumptions!$I$58=1,MAX(G3279,Assumptions!$G$58)+Assumptions!$F$58+$C$3280,Assumptions!$E$58))</f>
        <v>155.95467</v>
      </c>
      <c r="H3286" s="25" t="n">
        <f aca="false">H3289*IF(OR(H3290=1,G3436=1),$C$3281,IF(Assumptions!$I$56=1,MAX(H3279,Assumptions!$G$56)+Assumptions!$F$56+$C$3280,Assumptions!$E$56))+H3302*IF(OR(H3303=1,G3437=1),$C$3281,IF(Assumptions!$I$57=1,MAX(H3279,Assumptions!$G$57)+Assumptions!$F$57+$C$3280,Assumptions!$E$57))+H3315*IF(OR(H3316=1,G3438=1),$C$3281,IF(Assumptions!$I$58=1,MAX(H3279,Assumptions!$G$58)+Assumptions!$F$58+$C$3280,Assumptions!$E$58))</f>
        <v>155.95467</v>
      </c>
      <c r="I3286" s="25" t="n">
        <f aca="false">I3289*IF(OR(I3290=1,H3436=1),$C$3281,IF(Assumptions!$I$56=1,MAX(I3279,Assumptions!$G$56)+Assumptions!$F$56+$C$3280,Assumptions!$E$56))+I3302*IF(OR(I3303=1,H3437=1),$C$3281,IF(Assumptions!$I$57=1,MAX(I3279,Assumptions!$G$57)+Assumptions!$F$57+$C$3280,Assumptions!$E$57))+I3315*IF(OR(I3316=1,H3438=1),$C$3281,IF(Assumptions!$I$58=1,MAX(I3279,Assumptions!$G$58)+Assumptions!$F$58+$C$3280,Assumptions!$E$58))</f>
        <v>192.74457</v>
      </c>
      <c r="J3286" s="25" t="n">
        <f aca="false">J3289*IF(OR(J3290=1,I3436=1),$C$3281,IF(Assumptions!$I$56=1,MAX(J3279,Assumptions!$G$56)+Assumptions!$F$56+$C$3280,Assumptions!$E$56))+J3302*IF(OR(J3303=1,I3437=1),$C$3281,IF(Assumptions!$I$57=1,MAX(J3279,Assumptions!$G$57)+Assumptions!$F$57+$C$3280,Assumptions!$E$57))+J3315*IF(OR(J3316=1,I3438=1),$C$3281,IF(Assumptions!$I$58=1,MAX(J3279,Assumptions!$G$58)+Assumptions!$F$58+$C$3280,Assumptions!$E$58))</f>
        <v>138.08529</v>
      </c>
      <c r="K3286" s="25" t="n">
        <f aca="false">K3289*IF(OR(K3290=1,J3436=1),$C$3281,IF(Assumptions!$I$56=1,MAX(K3279,Assumptions!$G$56)+Assumptions!$F$56+$C$3280,Assumptions!$E$56))+K3302*IF(OR(K3303=1,J3437=1),$C$3281,IF(Assumptions!$I$57=1,MAX(K3279,Assumptions!$G$57)+Assumptions!$F$57+$C$3280,Assumptions!$E$57))+K3315*IF(OR(K3316=1,J3438=1),$C$3281,IF(Assumptions!$I$58=1,MAX(K3279,Assumptions!$G$58)+Assumptions!$F$58+$C$3280,Assumptions!$E$58))</f>
        <v>138.08529</v>
      </c>
    </row>
    <row r="3287" customFormat="false" ht="15" hidden="false" customHeight="false" outlineLevel="0" collapsed="false">
      <c r="A3287" s="3" t="s">
        <v>307</v>
      </c>
      <c r="G3287" s="20" t="n">
        <f aca="false">IF(G3263&lt;=0,0,IF(AND((G3284-G3285)/G3263&lt;=$C$3282,G3263/G3286&gt;=$C$3283),1,0))</f>
        <v>1</v>
      </c>
      <c r="H3287" s="20" t="n">
        <f aca="false">IF(H3263&lt;=0,0,IF(AND((H3284-H3285)/H3263&lt;=$C$3282,H3263/H3286&gt;=$C$3283),1,0))</f>
        <v>0</v>
      </c>
      <c r="I3287" s="20" t="n">
        <f aca="false">IF(I3263&lt;=0,0,IF(AND((I3284-I3285)/I3263&lt;=$C$3282,I3263/I3286&gt;=$C$3283),1,0))</f>
        <v>0</v>
      </c>
      <c r="J3287" s="20" t="n">
        <f aca="false">IF(J3263&lt;=0,0,IF(AND((J3284-J3285)/J3263&lt;=$C$3282,J3263/J3286&gt;=$C$3283),1,0))</f>
        <v>0</v>
      </c>
      <c r="K3287" s="20" t="n">
        <f aca="false">IF(K3263&lt;=0,0,IF(AND((K3284-K3285)/K3263&lt;=$C$3282,K3263/K3286&gt;=$C$3283),1,0))</f>
        <v>0</v>
      </c>
    </row>
    <row r="3288" customFormat="false" ht="15" hidden="false" customHeight="false" outlineLevel="0" collapsed="false">
      <c r="A3288" s="23" t="s">
        <v>308</v>
      </c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</row>
    <row r="3289" customFormat="false" ht="15" hidden="false" customHeight="false" outlineLevel="0" collapsed="false">
      <c r="A3289" s="3" t="s">
        <v>309</v>
      </c>
      <c r="G3289" s="25" t="n">
        <f aca="false">F3300</f>
        <v>1315.098</v>
      </c>
      <c r="H3289" s="25" t="n">
        <f aca="false">G3300</f>
        <v>1315.098</v>
      </c>
      <c r="I3289" s="25" t="n">
        <f aca="false">H3300</f>
        <v>1315.098</v>
      </c>
      <c r="J3289" s="25" t="n">
        <f aca="false">I3300</f>
        <v>1315.098</v>
      </c>
      <c r="K3289" s="25" t="n">
        <f aca="false">J3300</f>
        <v>1315.098</v>
      </c>
    </row>
    <row r="3290" customFormat="false" ht="15" hidden="false" customHeight="false" outlineLevel="0" collapsed="false">
      <c r="A3290" s="3" t="s">
        <v>310</v>
      </c>
      <c r="G3290" s="20" t="n">
        <f aca="false">IF(G3253=Assumptions!$K$56,1,0)</f>
        <v>0</v>
      </c>
      <c r="H3290" s="20" t="n">
        <f aca="false">IF(H3253=Assumptions!$K$56,1,0)</f>
        <v>0</v>
      </c>
      <c r="I3290" s="20" t="n">
        <f aca="false">IF(I3253=Assumptions!$K$56,1,0)</f>
        <v>0</v>
      </c>
      <c r="J3290" s="20" t="n">
        <f aca="false">IF(J3253=Assumptions!$K$56,1,0)</f>
        <v>0</v>
      </c>
      <c r="K3290" s="20" t="n">
        <f aca="false">IF(K3253=Assumptions!$K$56,1,0)</f>
        <v>0</v>
      </c>
    </row>
    <row r="3292" customFormat="false" ht="15" hidden="false" customHeight="false" outlineLevel="0" collapsed="false">
      <c r="A3292" s="3" t="s">
        <v>311</v>
      </c>
      <c r="G3292" s="31" t="n">
        <f aca="false">IF(Assumptions!$I$56=1,MAX(G3279,Assumptions!$G$56)+Assumptions!$F$56+$C$3280,Assumptions!$E$56)</f>
        <v>0.105</v>
      </c>
      <c r="H3292" s="31" t="n">
        <f aca="false">IF(G3436=1,$C$3281,IF(Assumptions!$I$56=1,MAX(H3279,Assumptions!$G$56)+Assumptions!$F$56+$C$3280,Assumptions!$E$56))</f>
        <v>0.105</v>
      </c>
      <c r="I3292" s="31" t="n">
        <f aca="false">IF(H3436=1,$C$3281,IF(Assumptions!$I$56=1,MAX(I3279,Assumptions!$G$56)+Assumptions!$F$56+$C$3280,Assumptions!$E$56))</f>
        <v>0.105</v>
      </c>
      <c r="J3292" s="31" t="n">
        <f aca="false">IF(I3436=1,$C$3281,IF(Assumptions!$I$56=1,MAX(J3279,Assumptions!$G$56)+Assumptions!$F$56+$C$3280,Assumptions!$E$56))</f>
        <v>0.105</v>
      </c>
      <c r="K3292" s="31" t="n">
        <f aca="false">IF(J3436=1,$C$3281,IF(Assumptions!$I$56=1,MAX(K3279,Assumptions!$G$56)+Assumptions!$F$56+$C$3280,Assumptions!$E$56))</f>
        <v>0.105</v>
      </c>
    </row>
    <row r="3293" customFormat="false" ht="15" hidden="false" customHeight="false" outlineLevel="0" collapsed="false">
      <c r="A3293" s="3" t="s">
        <v>312</v>
      </c>
      <c r="G3293" s="25" t="n">
        <f aca="false">G3289*G3292</f>
        <v>138.08529</v>
      </c>
      <c r="H3293" s="25" t="n">
        <f aca="false">H3289*H3292</f>
        <v>138.08529</v>
      </c>
      <c r="I3293" s="25" t="n">
        <f aca="false">I3289*I3292</f>
        <v>138.08529</v>
      </c>
      <c r="J3293" s="25" t="n">
        <f aca="false">J3289*J3292</f>
        <v>138.08529</v>
      </c>
      <c r="K3293" s="25" t="n">
        <f aca="false">K3289*K3292</f>
        <v>138.08529</v>
      </c>
    </row>
    <row r="3294" customFormat="false" ht="15" hidden="false" customHeight="false" outlineLevel="0" collapsed="false">
      <c r="A3294" s="3" t="s">
        <v>313</v>
      </c>
      <c r="G3294" s="25" t="n">
        <f aca="false">G3289*Assumptions!$H$56</f>
        <v>0</v>
      </c>
      <c r="H3294" s="25" t="n">
        <f aca="false">H3289*Assumptions!$H$56</f>
        <v>0</v>
      </c>
      <c r="I3294" s="25" t="n">
        <f aca="false">I3289*Assumptions!$H$56</f>
        <v>0</v>
      </c>
      <c r="J3294" s="25" t="n">
        <f aca="false">J3289*Assumptions!$H$56</f>
        <v>0</v>
      </c>
      <c r="K3294" s="25" t="n">
        <f aca="false">K3289*Assumptions!$H$56</f>
        <v>0</v>
      </c>
    </row>
    <row r="3295" customFormat="false" ht="15" hidden="false" customHeight="false" outlineLevel="0" collapsed="false">
      <c r="A3295" s="3" t="s">
        <v>314</v>
      </c>
      <c r="G3295" s="25" t="n">
        <f aca="false">MIN(G3289,Assumptions!$L$56*Assumptions!$C$56)</f>
        <v>0</v>
      </c>
      <c r="H3295" s="25" t="n">
        <f aca="false">MIN(H3289,Assumptions!$L$56*Assumptions!$C$56)</f>
        <v>0</v>
      </c>
      <c r="I3295" s="25" t="n">
        <f aca="false">MIN(I3289,Assumptions!$L$56*Assumptions!$C$56)</f>
        <v>0</v>
      </c>
      <c r="J3295" s="25" t="n">
        <f aca="false">MIN(J3289,Assumptions!$L$56*Assumptions!$C$56)</f>
        <v>0</v>
      </c>
      <c r="K3295" s="25" t="n">
        <f aca="false">MIN(K3289,Assumptions!$L$56*Assumptions!$C$56)</f>
        <v>0</v>
      </c>
    </row>
    <row r="3296" customFormat="false" ht="15" hidden="false" customHeight="false" outlineLevel="0" collapsed="false">
      <c r="A3296" s="3" t="s">
        <v>315</v>
      </c>
      <c r="G3296" s="25" t="n">
        <f aca="false">IF(AND(Assumptions!$P$56=1,G3253&lt;Assumptions!$K$56),MIN(MAX(0,-G3350),MAX(0,Assumptions!$D$56-G3289)),0)</f>
        <v>0</v>
      </c>
      <c r="H3296" s="25" t="n">
        <f aca="false">IF(AND(Assumptions!$P$56=1,OR(H3253&lt;Assumptions!$K$56,G3436=1)),MIN(MAX(0,-H3350),MAX(0,Assumptions!$D$56-H3289)),0)</f>
        <v>0</v>
      </c>
      <c r="I3296" s="25" t="n">
        <f aca="false">IF(AND(Assumptions!$P$56=1,OR(I3253&lt;Assumptions!$K$56,H3436=1)),MIN(MAX(0,-I3350),MAX(0,Assumptions!$D$56-I3289)),0)</f>
        <v>0</v>
      </c>
      <c r="J3296" s="25" t="n">
        <f aca="false">IF(AND(Assumptions!$P$56=1,OR(J3253&lt;Assumptions!$K$56,I3436=1)),MIN(MAX(0,-J3350),MAX(0,Assumptions!$D$56-J3289)),0)</f>
        <v>0</v>
      </c>
      <c r="K3296" s="25" t="n">
        <f aca="false">IF(AND(Assumptions!$P$56=1,OR(K3253&lt;Assumptions!$K$56,J3436=1)),MIN(MAX(0,-K3350),MAX(0,Assumptions!$D$56-K3289)),0)</f>
        <v>0</v>
      </c>
    </row>
    <row r="3297" customFormat="false" ht="15" hidden="false" customHeight="false" outlineLevel="0" collapsed="false">
      <c r="A3297" s="3" t="s">
        <v>316</v>
      </c>
      <c r="G3297" s="25" t="n">
        <f aca="false">G3290*MIN(G3289-G3295+G3294,MAX(0,G3352-Assumptions!$C$12*G3287))</f>
        <v>0</v>
      </c>
      <c r="H3297" s="25" t="n">
        <f aca="false">H3290*MIN(H3289-H3295+H3294,MAX(0,H3352-Assumptions!$C$12*H3287))</f>
        <v>0</v>
      </c>
      <c r="I3297" s="25" t="n">
        <f aca="false">I3290*MIN(I3289-I3295+I3294,MAX(0,I3352-Assumptions!$C$12*I3287))</f>
        <v>0</v>
      </c>
      <c r="J3297" s="25" t="n">
        <f aca="false">J3290*MIN(J3289-J3295+J3294,MAX(0,J3352-Assumptions!$C$12*J3287))</f>
        <v>0</v>
      </c>
      <c r="K3297" s="25" t="n">
        <f aca="false">K3290*MIN(K3289-K3295+K3294,MAX(0,K3352-Assumptions!$C$12*K3287))</f>
        <v>0</v>
      </c>
    </row>
    <row r="3298" customFormat="false" ht="15" hidden="false" customHeight="false" outlineLevel="0" collapsed="false">
      <c r="A3298" s="3" t="s">
        <v>317</v>
      </c>
      <c r="G3298" s="25" t="n">
        <f aca="false">Assumptions!$N$56*MIN(G3289+G3296+G3294-G3295-G3297,MAX(0,G3356))</f>
        <v>0</v>
      </c>
      <c r="H3298" s="25" t="n">
        <f aca="false">Assumptions!$N$56*MIN(H3289+H3296+H3294-H3295-H3297,MAX(0,H3356))</f>
        <v>0</v>
      </c>
      <c r="I3298" s="25" t="n">
        <f aca="false">Assumptions!$N$56*MIN(I3289+I3296+I3294-I3295-I3297,MAX(0,I3356))</f>
        <v>0</v>
      </c>
      <c r="J3298" s="25" t="n">
        <f aca="false">Assumptions!$N$56*MIN(J3289+J3296+J3294-J3295-J3297,MAX(0,J3356))</f>
        <v>0</v>
      </c>
      <c r="K3298" s="25" t="n">
        <f aca="false">Assumptions!$N$56*MIN(K3289+K3296+K3294-K3295-K3297,MAX(0,K3356))</f>
        <v>0</v>
      </c>
    </row>
    <row r="3299" customFormat="false" ht="15" hidden="false" customHeight="false" outlineLevel="0" collapsed="false">
      <c r="A3299" s="3" t="s">
        <v>318</v>
      </c>
      <c r="G3299" s="25" t="n">
        <f aca="false">G3290*(1-G3287)*(G3289-G3295+G3294-G3297)</f>
        <v>0</v>
      </c>
      <c r="H3299" s="25" t="n">
        <f aca="false">H3290*(1-H3287)*(H3289-H3295+H3294-H3297)</f>
        <v>0</v>
      </c>
      <c r="I3299" s="25" t="n">
        <f aca="false">I3290*(1-I3287)*(I3289-I3295+I3294-I3297)</f>
        <v>0</v>
      </c>
      <c r="J3299" s="25" t="n">
        <f aca="false">J3290*(1-J3287)*(J3289-J3295+J3294-J3297)</f>
        <v>0</v>
      </c>
      <c r="K3299" s="25" t="n">
        <f aca="false">K3290*(1-K3287)*(K3289-K3295+K3294-K3297)</f>
        <v>0</v>
      </c>
    </row>
    <row r="3300" customFormat="false" ht="15" hidden="false" customHeight="false" outlineLevel="0" collapsed="false">
      <c r="A3300" s="2" t="s">
        <v>319</v>
      </c>
      <c r="F3300" s="28" t="n">
        <f aca="false">Assumptions!$C$56</f>
        <v>1315.098</v>
      </c>
      <c r="G3300" s="16" t="n">
        <f aca="false">G3289+G3296+G3294-G3295-G3297-G3298</f>
        <v>1315.098</v>
      </c>
      <c r="H3300" s="16" t="n">
        <f aca="false">H3289+H3296+H3294-H3295-H3297-H3298</f>
        <v>1315.098</v>
      </c>
      <c r="I3300" s="16" t="n">
        <f aca="false">I3289+I3296+I3294-I3295-I3297-I3298</f>
        <v>1315.098</v>
      </c>
      <c r="J3300" s="16" t="n">
        <f aca="false">J3289+J3296+J3294-J3295-J3297-J3298</f>
        <v>1315.098</v>
      </c>
      <c r="K3300" s="16" t="n">
        <f aca="false">K3289+K3296+K3294-K3295-K3297-K3298</f>
        <v>1315.098</v>
      </c>
    </row>
    <row r="3301" customFormat="false" ht="15" hidden="false" customHeight="false" outlineLevel="0" collapsed="false">
      <c r="A3301" s="23" t="s">
        <v>320</v>
      </c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</row>
    <row r="3302" customFormat="false" ht="15" hidden="false" customHeight="false" outlineLevel="0" collapsed="false">
      <c r="A3302" s="3" t="s">
        <v>309</v>
      </c>
      <c r="G3302" s="25" t="n">
        <f aca="false">F3313</f>
        <v>276.706</v>
      </c>
      <c r="H3302" s="25" t="n">
        <f aca="false">G3313</f>
        <v>276.706</v>
      </c>
      <c r="I3302" s="25" t="n">
        <f aca="false">H3313</f>
        <v>276.706</v>
      </c>
      <c r="J3302" s="25" t="n">
        <f aca="false">I3313</f>
        <v>0</v>
      </c>
      <c r="K3302" s="25" t="n">
        <f aca="false">J3313</f>
        <v>0</v>
      </c>
    </row>
    <row r="3303" customFormat="false" ht="15" hidden="false" customHeight="false" outlineLevel="0" collapsed="false">
      <c r="A3303" s="3" t="s">
        <v>310</v>
      </c>
      <c r="G3303" s="20" t="n">
        <f aca="false">IF(G3253=Assumptions!$K$57,1,0)</f>
        <v>0</v>
      </c>
      <c r="H3303" s="20" t="n">
        <f aca="false">IF(H3253=Assumptions!$K$57,1,0)</f>
        <v>0</v>
      </c>
      <c r="I3303" s="20" t="n">
        <f aca="false">IF(I3253=Assumptions!$K$57,1,0)</f>
        <v>1</v>
      </c>
      <c r="J3303" s="20" t="n">
        <f aca="false">IF(J3253=Assumptions!$K$57,1,0)</f>
        <v>0</v>
      </c>
      <c r="K3303" s="20" t="n">
        <f aca="false">IF(K3253=Assumptions!$K$57,1,0)</f>
        <v>0</v>
      </c>
    </row>
    <row r="3305" customFormat="false" ht="15" hidden="false" customHeight="false" outlineLevel="0" collapsed="false">
      <c r="A3305" s="3" t="s">
        <v>311</v>
      </c>
      <c r="G3305" s="31" t="n">
        <f aca="false">IF(Assumptions!$I$57=1,MAX(G3279,Assumptions!$G$57)+Assumptions!$F$57+$C$3280,Assumptions!$E$57)</f>
        <v>0.0425</v>
      </c>
      <c r="H3305" s="31" t="n">
        <f aca="false">IF(G3437=1,$C$3281,IF(Assumptions!$I$57=1,MAX(H3279,Assumptions!$G$57)+Assumptions!$F$57+$C$3280,Assumptions!$E$57))</f>
        <v>0.0425</v>
      </c>
      <c r="I3305" s="31" t="n">
        <f aca="false">IF(H3437=1,$C$3281,IF(Assumptions!$I$57=1,MAX(I3279,Assumptions!$G$57)+Assumptions!$F$57+$C$3280,Assumptions!$E$57))</f>
        <v>0.0425</v>
      </c>
      <c r="J3305" s="31" t="n">
        <f aca="false">IF(I3437=1,$C$3281,IF(Assumptions!$I$57=1,MAX(J3279,Assumptions!$G$57)+Assumptions!$F$57+$C$3280,Assumptions!$E$57))</f>
        <v>0.0425</v>
      </c>
      <c r="K3305" s="31" t="n">
        <f aca="false">IF(J3437=1,$C$3281,IF(Assumptions!$I$57=1,MAX(K3279,Assumptions!$G$57)+Assumptions!$F$57+$C$3280,Assumptions!$E$57))</f>
        <v>0.0425</v>
      </c>
    </row>
    <row r="3306" customFormat="false" ht="15" hidden="false" customHeight="false" outlineLevel="0" collapsed="false">
      <c r="A3306" s="3" t="s">
        <v>312</v>
      </c>
      <c r="G3306" s="25" t="n">
        <f aca="false">G3302*G3305</f>
        <v>11.760005</v>
      </c>
      <c r="H3306" s="25" t="n">
        <f aca="false">H3302*H3305</f>
        <v>11.760005</v>
      </c>
      <c r="I3306" s="25" t="n">
        <f aca="false">I3302*I3305</f>
        <v>11.760005</v>
      </c>
      <c r="J3306" s="25" t="n">
        <f aca="false">J3302*J3305</f>
        <v>0</v>
      </c>
      <c r="K3306" s="25" t="n">
        <f aca="false">K3302*K3305</f>
        <v>0</v>
      </c>
    </row>
    <row r="3307" customFormat="false" ht="15" hidden="false" customHeight="false" outlineLevel="0" collapsed="false">
      <c r="A3307" s="3" t="s">
        <v>313</v>
      </c>
      <c r="G3307" s="25" t="n">
        <f aca="false">G3302*Assumptions!$H$57</f>
        <v>0</v>
      </c>
      <c r="H3307" s="25" t="n">
        <f aca="false">H3302*Assumptions!$H$57</f>
        <v>0</v>
      </c>
      <c r="I3307" s="25" t="n">
        <f aca="false">I3302*Assumptions!$H$57</f>
        <v>0</v>
      </c>
      <c r="J3307" s="25" t="n">
        <f aca="false">J3302*Assumptions!$H$57</f>
        <v>0</v>
      </c>
      <c r="K3307" s="25" t="n">
        <f aca="false">K3302*Assumptions!$H$57</f>
        <v>0</v>
      </c>
    </row>
    <row r="3308" customFormat="false" ht="15" hidden="false" customHeight="false" outlineLevel="0" collapsed="false">
      <c r="A3308" s="3" t="s">
        <v>314</v>
      </c>
      <c r="G3308" s="25" t="n">
        <f aca="false">MIN(G3302,Assumptions!$L$57*Assumptions!$C$57)</f>
        <v>0</v>
      </c>
      <c r="H3308" s="25" t="n">
        <f aca="false">MIN(H3302,Assumptions!$L$57*Assumptions!$C$57)</f>
        <v>0</v>
      </c>
      <c r="I3308" s="25" t="n">
        <f aca="false">MIN(I3302,Assumptions!$L$57*Assumptions!$C$57)</f>
        <v>0</v>
      </c>
      <c r="J3308" s="25" t="n">
        <f aca="false">MIN(J3302,Assumptions!$L$57*Assumptions!$C$57)</f>
        <v>0</v>
      </c>
      <c r="K3308" s="25" t="n">
        <f aca="false">MIN(K3302,Assumptions!$L$57*Assumptions!$C$57)</f>
        <v>0</v>
      </c>
    </row>
    <row r="3309" customFormat="false" ht="15" hidden="false" customHeight="false" outlineLevel="0" collapsed="false">
      <c r="A3309" s="3" t="s">
        <v>315</v>
      </c>
      <c r="G3309" s="25" t="n">
        <f aca="false">IF(AND(Assumptions!$P$57=1,G3253&lt;Assumptions!$K$57),MIN(MAX(0,-G3350),MAX(0,Assumptions!$D$57-G3302)),0)</f>
        <v>0</v>
      </c>
      <c r="H3309" s="25" t="n">
        <f aca="false">IF(AND(Assumptions!$P$57=1,OR(H3253&lt;Assumptions!$K$57,G3437=1)),MIN(MAX(0,-H3350),MAX(0,Assumptions!$D$57-H3302)),0)</f>
        <v>0</v>
      </c>
      <c r="I3309" s="25" t="n">
        <f aca="false">IF(AND(Assumptions!$P$57=1,OR(I3253&lt;Assumptions!$K$57,H3437=1)),MIN(MAX(0,-I3350),MAX(0,Assumptions!$D$57-I3302)),0)</f>
        <v>0</v>
      </c>
      <c r="J3309" s="25" t="n">
        <f aca="false">IF(AND(Assumptions!$P$57=1,OR(J3253&lt;Assumptions!$K$57,I3437=1)),MIN(MAX(0,-J3350),MAX(0,Assumptions!$D$57-J3302)),0)</f>
        <v>0</v>
      </c>
      <c r="K3309" s="25" t="n">
        <f aca="false">IF(AND(Assumptions!$P$57=1,OR(K3253&lt;Assumptions!$K$57,J3437=1)),MIN(MAX(0,-K3350),MAX(0,Assumptions!$D$57-K3302)),0)</f>
        <v>0</v>
      </c>
    </row>
    <row r="3310" customFormat="false" ht="15" hidden="false" customHeight="false" outlineLevel="0" collapsed="false">
      <c r="A3310" s="3" t="s">
        <v>316</v>
      </c>
      <c r="G3310" s="25" t="n">
        <f aca="false">G3303*MIN(G3302-G3308+G3307,MAX(0,G3352-Assumptions!$C$12*G3287-G3297))</f>
        <v>0</v>
      </c>
      <c r="H3310" s="25" t="n">
        <f aca="false">H3303*MIN(H3302-H3308+H3307,MAX(0,H3352-Assumptions!$C$12*H3287-H3297))</f>
        <v>0</v>
      </c>
      <c r="I3310" s="25" t="n">
        <f aca="false">I3303*MIN(I3302-I3308+I3307,MAX(0,I3352-Assumptions!$C$12*I3287-I3297))</f>
        <v>276.706</v>
      </c>
      <c r="J3310" s="25" t="n">
        <f aca="false">J3303*MIN(J3302-J3308+J3307,MAX(0,J3352-Assumptions!$C$12*J3287-J3297))</f>
        <v>0</v>
      </c>
      <c r="K3310" s="25" t="n">
        <f aca="false">K3303*MIN(K3302-K3308+K3307,MAX(0,K3352-Assumptions!$C$12*K3287-K3297))</f>
        <v>0</v>
      </c>
    </row>
    <row r="3311" customFormat="false" ht="15" hidden="false" customHeight="false" outlineLevel="0" collapsed="false">
      <c r="A3311" s="3" t="s">
        <v>317</v>
      </c>
      <c r="G3311" s="25" t="n">
        <f aca="false">Assumptions!$N$57*MIN(G3302+G3309+G3307-G3308-G3310,MAX(0,G3356-G3298))</f>
        <v>0</v>
      </c>
      <c r="H3311" s="25" t="n">
        <f aca="false">Assumptions!$N$57*MIN(H3302+H3309+H3307-H3308-H3310,MAX(0,H3356-H3298))</f>
        <v>0</v>
      </c>
      <c r="I3311" s="25" t="n">
        <f aca="false">Assumptions!$N$57*MIN(I3302+I3309+I3307-I3308-I3310,MAX(0,I3356-I3298))</f>
        <v>0</v>
      </c>
      <c r="J3311" s="25" t="n">
        <f aca="false">Assumptions!$N$57*MIN(J3302+J3309+J3307-J3308-J3310,MAX(0,J3356-J3298))</f>
        <v>0</v>
      </c>
      <c r="K3311" s="25" t="n">
        <f aca="false">Assumptions!$N$57*MIN(K3302+K3309+K3307-K3308-K3310,MAX(0,K3356-K3298))</f>
        <v>0</v>
      </c>
    </row>
    <row r="3312" customFormat="false" ht="15" hidden="false" customHeight="false" outlineLevel="0" collapsed="false">
      <c r="A3312" s="3" t="s">
        <v>318</v>
      </c>
      <c r="G3312" s="25" t="n">
        <f aca="false">G3303*(1-G3287)*(G3302-G3308+G3307-G3310)</f>
        <v>0</v>
      </c>
      <c r="H3312" s="25" t="n">
        <f aca="false">H3303*(1-H3287)*(H3302-H3308+H3307-H3310)</f>
        <v>0</v>
      </c>
      <c r="I3312" s="25" t="n">
        <f aca="false">I3303*(1-I3287)*(I3302-I3308+I3307-I3310)</f>
        <v>0</v>
      </c>
      <c r="J3312" s="25" t="n">
        <f aca="false">J3303*(1-J3287)*(J3302-J3308+J3307-J3310)</f>
        <v>0</v>
      </c>
      <c r="K3312" s="25" t="n">
        <f aca="false">K3303*(1-K3287)*(K3302-K3308+K3307-K3310)</f>
        <v>0</v>
      </c>
    </row>
    <row r="3313" customFormat="false" ht="15" hidden="false" customHeight="false" outlineLevel="0" collapsed="false">
      <c r="A3313" s="2" t="s">
        <v>319</v>
      </c>
      <c r="F3313" s="28" t="n">
        <f aca="false">Assumptions!$C$57</f>
        <v>276.706</v>
      </c>
      <c r="G3313" s="16" t="n">
        <f aca="false">G3302+G3309+G3307-G3308-G3310-G3311</f>
        <v>276.706</v>
      </c>
      <c r="H3313" s="16" t="n">
        <f aca="false">H3302+H3309+H3307-H3308-H3310-H3311</f>
        <v>276.706</v>
      </c>
      <c r="I3313" s="16" t="n">
        <f aca="false">I3302+I3309+I3307-I3308-I3310-I3311</f>
        <v>0</v>
      </c>
      <c r="J3313" s="16" t="n">
        <f aca="false">J3302+J3309+J3307-J3308-J3310-J3311</f>
        <v>0</v>
      </c>
      <c r="K3313" s="16" t="n">
        <f aca="false">K3302+K3309+K3307-K3308-K3310-K3311</f>
        <v>0</v>
      </c>
    </row>
    <row r="3314" customFormat="false" ht="15" hidden="false" customHeight="false" outlineLevel="0" collapsed="false">
      <c r="A3314" s="23" t="s">
        <v>321</v>
      </c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</row>
    <row r="3315" customFormat="false" ht="15" hidden="false" customHeight="false" outlineLevel="0" collapsed="false">
      <c r="A3315" s="3" t="s">
        <v>309</v>
      </c>
      <c r="G3315" s="25" t="n">
        <f aca="false">F3326</f>
        <v>143.75</v>
      </c>
      <c r="H3315" s="25" t="n">
        <f aca="false">G3326</f>
        <v>143.75</v>
      </c>
      <c r="I3315" s="25" t="n">
        <f aca="false">H3326</f>
        <v>143.75</v>
      </c>
      <c r="J3315" s="25" t="n">
        <f aca="false">I3326</f>
        <v>0</v>
      </c>
      <c r="K3315" s="25" t="n">
        <f aca="false">J3326</f>
        <v>0</v>
      </c>
    </row>
    <row r="3316" customFormat="false" ht="15" hidden="false" customHeight="false" outlineLevel="0" collapsed="false">
      <c r="A3316" s="3" t="s">
        <v>310</v>
      </c>
      <c r="G3316" s="20" t="n">
        <f aca="false">IF(G3253=Assumptions!$K$58,1,0)</f>
        <v>0</v>
      </c>
      <c r="H3316" s="20" t="n">
        <f aca="false">IF(H3253=Assumptions!$K$58,1,0)</f>
        <v>0</v>
      </c>
      <c r="I3316" s="20" t="n">
        <f aca="false">IF(I3253=Assumptions!$K$58,1,0)</f>
        <v>1</v>
      </c>
      <c r="J3316" s="20" t="n">
        <f aca="false">IF(J3253=Assumptions!$K$58,1,0)</f>
        <v>0</v>
      </c>
      <c r="K3316" s="20" t="n">
        <f aca="false">IF(K3253=Assumptions!$K$58,1,0)</f>
        <v>0</v>
      </c>
    </row>
    <row r="3318" customFormat="false" ht="15" hidden="false" customHeight="false" outlineLevel="0" collapsed="false">
      <c r="A3318" s="3" t="s">
        <v>311</v>
      </c>
      <c r="G3318" s="31" t="n">
        <f aca="false">IF(Assumptions!$I$58=1,MAX(G3279,Assumptions!$G$58)+Assumptions!$F$58+$C$3280,Assumptions!$E$58)</f>
        <v>0.0425</v>
      </c>
      <c r="H3318" s="31" t="n">
        <f aca="false">IF(G3438=1,$C$3281,IF(Assumptions!$I$58=1,MAX(H3279,Assumptions!$G$58)+Assumptions!$F$58+$C$3280,Assumptions!$E$58))</f>
        <v>0.0425</v>
      </c>
      <c r="I3318" s="31" t="n">
        <f aca="false">IF(H3438=1,$C$3281,IF(Assumptions!$I$58=1,MAX(I3279,Assumptions!$G$58)+Assumptions!$F$58+$C$3280,Assumptions!$E$58))</f>
        <v>0.0425</v>
      </c>
      <c r="J3318" s="31" t="n">
        <f aca="false">IF(I3438=1,$C$3281,IF(Assumptions!$I$58=1,MAX(J3279,Assumptions!$G$58)+Assumptions!$F$58+$C$3280,Assumptions!$E$58))</f>
        <v>0.0425</v>
      </c>
      <c r="K3318" s="31" t="n">
        <f aca="false">IF(J3438=1,$C$3281,IF(Assumptions!$I$58=1,MAX(K3279,Assumptions!$G$58)+Assumptions!$F$58+$C$3280,Assumptions!$E$58))</f>
        <v>0.0425</v>
      </c>
    </row>
    <row r="3319" customFormat="false" ht="15" hidden="false" customHeight="false" outlineLevel="0" collapsed="false">
      <c r="A3319" s="3" t="s">
        <v>312</v>
      </c>
      <c r="G3319" s="25" t="n">
        <f aca="false">G3315*G3318</f>
        <v>6.109375</v>
      </c>
      <c r="H3319" s="25" t="n">
        <f aca="false">H3315*H3318</f>
        <v>6.109375</v>
      </c>
      <c r="I3319" s="25" t="n">
        <f aca="false">I3315*I3318</f>
        <v>6.109375</v>
      </c>
      <c r="J3319" s="25" t="n">
        <f aca="false">J3315*J3318</f>
        <v>0</v>
      </c>
      <c r="K3319" s="25" t="n">
        <f aca="false">K3315*K3318</f>
        <v>0</v>
      </c>
    </row>
    <row r="3320" customFormat="false" ht="15" hidden="false" customHeight="false" outlineLevel="0" collapsed="false">
      <c r="A3320" s="3" t="s">
        <v>313</v>
      </c>
      <c r="G3320" s="25" t="n">
        <f aca="false">G3315*Assumptions!$H$58</f>
        <v>0</v>
      </c>
      <c r="H3320" s="25" t="n">
        <f aca="false">H3315*Assumptions!$H$58</f>
        <v>0</v>
      </c>
      <c r="I3320" s="25" t="n">
        <f aca="false">I3315*Assumptions!$H$58</f>
        <v>0</v>
      </c>
      <c r="J3320" s="25" t="n">
        <f aca="false">J3315*Assumptions!$H$58</f>
        <v>0</v>
      </c>
      <c r="K3320" s="25" t="n">
        <f aca="false">K3315*Assumptions!$H$58</f>
        <v>0</v>
      </c>
    </row>
    <row r="3321" customFormat="false" ht="15" hidden="false" customHeight="false" outlineLevel="0" collapsed="false">
      <c r="A3321" s="3" t="s">
        <v>314</v>
      </c>
      <c r="G3321" s="25" t="n">
        <f aca="false">MIN(G3315,Assumptions!$L$58*Assumptions!$C$58)</f>
        <v>0</v>
      </c>
      <c r="H3321" s="25" t="n">
        <f aca="false">MIN(H3315,Assumptions!$L$58*Assumptions!$C$58)</f>
        <v>0</v>
      </c>
      <c r="I3321" s="25" t="n">
        <f aca="false">MIN(I3315,Assumptions!$L$58*Assumptions!$C$58)</f>
        <v>0</v>
      </c>
      <c r="J3321" s="25" t="n">
        <f aca="false">MIN(J3315,Assumptions!$L$58*Assumptions!$C$58)</f>
        <v>0</v>
      </c>
      <c r="K3321" s="25" t="n">
        <f aca="false">MIN(K3315,Assumptions!$L$58*Assumptions!$C$58)</f>
        <v>0</v>
      </c>
    </row>
    <row r="3322" customFormat="false" ht="15" hidden="false" customHeight="false" outlineLevel="0" collapsed="false">
      <c r="A3322" s="3" t="s">
        <v>315</v>
      </c>
      <c r="G3322" s="25" t="n">
        <f aca="false">IF(AND(Assumptions!$P$58=1,G3253&lt;Assumptions!$K$58),MIN(MAX(0,-G3350),MAX(0,Assumptions!$D$58-G3315)),0)</f>
        <v>0</v>
      </c>
      <c r="H3322" s="25" t="n">
        <f aca="false">IF(AND(Assumptions!$P$58=1,OR(H3253&lt;Assumptions!$K$58,G3438=1)),MIN(MAX(0,-H3350),MAX(0,Assumptions!$D$58-H3315)),0)</f>
        <v>0</v>
      </c>
      <c r="I3322" s="25" t="n">
        <f aca="false">IF(AND(Assumptions!$P$58=1,OR(I3253&lt;Assumptions!$K$58,H3438=1)),MIN(MAX(0,-I3350),MAX(0,Assumptions!$D$58-I3315)),0)</f>
        <v>0</v>
      </c>
      <c r="J3322" s="25" t="n">
        <f aca="false">IF(AND(Assumptions!$P$58=1,OR(J3253&lt;Assumptions!$K$58,I3438=1)),MIN(MAX(0,-J3350),MAX(0,Assumptions!$D$58-J3315)),0)</f>
        <v>0</v>
      </c>
      <c r="K3322" s="25" t="n">
        <f aca="false">IF(AND(Assumptions!$P$58=1,OR(K3253&lt;Assumptions!$K$58,J3438=1)),MIN(MAX(0,-K3350),MAX(0,Assumptions!$D$58-K3315)),0)</f>
        <v>0</v>
      </c>
    </row>
    <row r="3323" customFormat="false" ht="15" hidden="false" customHeight="false" outlineLevel="0" collapsed="false">
      <c r="A3323" s="3" t="s">
        <v>316</v>
      </c>
      <c r="G3323" s="25" t="n">
        <f aca="false">G3316*MIN(G3315-G3321+G3320,MAX(0,G3352-Assumptions!$C$12*G3287-G3297-G3310))</f>
        <v>0</v>
      </c>
      <c r="H3323" s="25" t="n">
        <f aca="false">H3316*MIN(H3315-H3321+H3320,MAX(0,H3352-Assumptions!$C$12*H3287-H3297-H3310))</f>
        <v>0</v>
      </c>
      <c r="I3323" s="25" t="n">
        <f aca="false">I3316*MIN(I3315-I3321+I3320,MAX(0,I3352-Assumptions!$C$12*I3287-I3297-I3310))</f>
        <v>143.75</v>
      </c>
      <c r="J3323" s="25" t="n">
        <f aca="false">J3316*MIN(J3315-J3321+J3320,MAX(0,J3352-Assumptions!$C$12*J3287-J3297-J3310))</f>
        <v>0</v>
      </c>
      <c r="K3323" s="25" t="n">
        <f aca="false">K3316*MIN(K3315-K3321+K3320,MAX(0,K3352-Assumptions!$C$12*K3287-K3297-K3310))</f>
        <v>0</v>
      </c>
    </row>
    <row r="3324" customFormat="false" ht="15" hidden="false" customHeight="false" outlineLevel="0" collapsed="false">
      <c r="A3324" s="3" t="s">
        <v>317</v>
      </c>
      <c r="G3324" s="25" t="n">
        <f aca="false">Assumptions!$N$58*MIN(G3315+G3322+G3320-G3321-G3323,MAX(0,G3356-G3298-G3311))</f>
        <v>0</v>
      </c>
      <c r="H3324" s="25" t="n">
        <f aca="false">Assumptions!$N$58*MIN(H3315+H3322+H3320-H3321-H3323,MAX(0,H3356-H3298-H3311))</f>
        <v>0</v>
      </c>
      <c r="I3324" s="25" t="n">
        <f aca="false">Assumptions!$N$58*MIN(I3315+I3322+I3320-I3321-I3323,MAX(0,I3356-I3298-I3311))</f>
        <v>0</v>
      </c>
      <c r="J3324" s="25" t="n">
        <f aca="false">Assumptions!$N$58*MIN(J3315+J3322+J3320-J3321-J3323,MAX(0,J3356-J3298-J3311))</f>
        <v>0</v>
      </c>
      <c r="K3324" s="25" t="n">
        <f aca="false">Assumptions!$N$58*MIN(K3315+K3322+K3320-K3321-K3323,MAX(0,K3356-K3298-K3311))</f>
        <v>0</v>
      </c>
    </row>
    <row r="3325" customFormat="false" ht="15" hidden="false" customHeight="false" outlineLevel="0" collapsed="false">
      <c r="A3325" s="3" t="s">
        <v>318</v>
      </c>
      <c r="G3325" s="25" t="n">
        <f aca="false">G3316*(1-G3287)*(G3315-G3321+G3320-G3323)</f>
        <v>0</v>
      </c>
      <c r="H3325" s="25" t="n">
        <f aca="false">H3316*(1-H3287)*(H3315-H3321+H3320-H3323)</f>
        <v>0</v>
      </c>
      <c r="I3325" s="25" t="n">
        <f aca="false">I3316*(1-I3287)*(I3315-I3321+I3320-I3323)</f>
        <v>0</v>
      </c>
      <c r="J3325" s="25" t="n">
        <f aca="false">J3316*(1-J3287)*(J3315-J3321+J3320-J3323)</f>
        <v>0</v>
      </c>
      <c r="K3325" s="25" t="n">
        <f aca="false">K3316*(1-K3287)*(K3315-K3321+K3320-K3323)</f>
        <v>0</v>
      </c>
    </row>
    <row r="3326" customFormat="false" ht="15" hidden="false" customHeight="false" outlineLevel="0" collapsed="false">
      <c r="A3326" s="2" t="s">
        <v>319</v>
      </c>
      <c r="F3326" s="28" t="n">
        <f aca="false">Assumptions!$C$58</f>
        <v>143.75</v>
      </c>
      <c r="G3326" s="16" t="n">
        <f aca="false">G3315+G3322+G3320-G3321-G3323-G3324</f>
        <v>143.75</v>
      </c>
      <c r="H3326" s="16" t="n">
        <f aca="false">H3315+H3322+H3320-H3321-H3323-H3324</f>
        <v>143.75</v>
      </c>
      <c r="I3326" s="16" t="n">
        <f aca="false">I3315+I3322+I3320-I3321-I3323-I3324</f>
        <v>0</v>
      </c>
      <c r="J3326" s="16" t="n">
        <f aca="false">J3315+J3322+J3320-J3321-J3323-J3324</f>
        <v>0</v>
      </c>
      <c r="K3326" s="16" t="n">
        <f aca="false">K3315+K3322+K3320-K3321-K3323-K3324</f>
        <v>0</v>
      </c>
    </row>
    <row r="3327" customFormat="false" ht="15" hidden="false" customHeight="false" outlineLevel="0" collapsed="false">
      <c r="A3327" s="23" t="s">
        <v>322</v>
      </c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</row>
    <row r="3328" customFormat="false" ht="15" hidden="false" customHeight="false" outlineLevel="0" collapsed="false">
      <c r="A3328" s="2" t="s">
        <v>323</v>
      </c>
      <c r="F3328" s="16" t="n">
        <f aca="false">F3300+F3313+F3326</f>
        <v>1735.554</v>
      </c>
      <c r="G3328" s="16" t="n">
        <f aca="false">G3300+G3313+G3326</f>
        <v>1735.554</v>
      </c>
      <c r="H3328" s="16" t="n">
        <f aca="false">H3300+H3313+H3326</f>
        <v>1735.554</v>
      </c>
      <c r="I3328" s="16" t="n">
        <f aca="false">I3300+I3313+I3326</f>
        <v>1315.098</v>
      </c>
      <c r="J3328" s="16" t="n">
        <f aca="false">J3300+J3313+J3326</f>
        <v>1315.098</v>
      </c>
      <c r="K3328" s="16" t="n">
        <f aca="false">K3300+K3313+K3326</f>
        <v>1315.098</v>
      </c>
    </row>
    <row r="3329" customFormat="false" ht="15" hidden="false" customHeight="false" outlineLevel="0" collapsed="false">
      <c r="A3329" s="3" t="s">
        <v>324</v>
      </c>
      <c r="G3329" s="25" t="n">
        <f aca="false">G3290*Assumptions!$C$56+G3303*Assumptions!$C$57+G3316*Assumptions!$C$58</f>
        <v>0</v>
      </c>
      <c r="H3329" s="25" t="n">
        <f aca="false">H3290*Assumptions!$C$56+H3303*Assumptions!$C$57+H3316*Assumptions!$C$58</f>
        <v>0</v>
      </c>
      <c r="I3329" s="25" t="n">
        <f aca="false">I3290*Assumptions!$C$56+I3303*Assumptions!$C$57+I3316*Assumptions!$C$58</f>
        <v>420.456</v>
      </c>
      <c r="J3329" s="25" t="n">
        <f aca="false">J3290*Assumptions!$C$56+J3303*Assumptions!$C$57+J3316*Assumptions!$C$58</f>
        <v>0</v>
      </c>
      <c r="K3329" s="25" t="n">
        <f aca="false">K3290*Assumptions!$C$56+K3303*Assumptions!$C$57+K3316*Assumptions!$C$58</f>
        <v>0</v>
      </c>
    </row>
    <row r="3330" customFormat="false" ht="15" hidden="false" customHeight="false" outlineLevel="0" collapsed="false">
      <c r="A3330" s="23" t="s">
        <v>325</v>
      </c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</row>
    <row r="3331" customFormat="false" ht="15" hidden="false" customHeight="false" outlineLevel="0" collapsed="false">
      <c r="A3331" s="3" t="s">
        <v>326</v>
      </c>
      <c r="C3331" s="25" t="n">
        <f aca="false">SUMPRODUCT($G$3290:$K$3290,$G$3289:$K$3289-$G$3295:$K$3295+$G$3294:$K$3294)</f>
        <v>0</v>
      </c>
    </row>
    <row r="3332" customFormat="false" ht="15" hidden="false" customHeight="false" outlineLevel="0" collapsed="false">
      <c r="A3332" s="3" t="s">
        <v>327</v>
      </c>
      <c r="C3332" s="25" t="n">
        <f aca="false">SUMPRODUCT($G$3290:$K$3290,$G$3297:$K$3297)</f>
        <v>0</v>
      </c>
    </row>
    <row r="3333" customFormat="false" ht="15" hidden="false" customHeight="false" outlineLevel="0" collapsed="false">
      <c r="A3333" s="3" t="s">
        <v>328</v>
      </c>
      <c r="C3333" s="3" t="str">
        <f aca="false">IF(SUM($G$3290:$K$3290)=0,"n/a (beyond horizon)",IF(SUMPRODUCT($G$3290:$K$3290,$G$3287:$K$3287)&gt;0,"REFINANCING PASS","REFINANCING FAILURE"))</f>
        <v>n/a (beyond horizon)</v>
      </c>
    </row>
    <row r="3334" customFormat="false" ht="15" hidden="false" customHeight="false" outlineLevel="0" collapsed="false">
      <c r="A3334" s="3" t="s">
        <v>329</v>
      </c>
      <c r="C3334" s="3" t="str">
        <f aca="false">IF(SUM($G$3290:$K$3290)=0,"n/a",IF(C3332&gt;=C3331-0.001,"Repaid from cash",IF(SUMPRODUCT($G$3290:$K$3290,$G$3287:$K$3287)&gt;0,IF(C3332&gt;0,"Partly repaid; remainder refinanced","Refinanced"),IF(SUM($G$3299:$K$3299)&gt;0.001,IF(C3332&gt;0,"Partial repayment; PAYMENT DEFAULT","PAYMENT DEFAULT"),"Repaid from cash"))))</f>
        <v>n/a</v>
      </c>
    </row>
    <row r="3335" customFormat="false" ht="15" hidden="false" customHeight="false" outlineLevel="0" collapsed="false">
      <c r="A3335" s="3" t="s">
        <v>330</v>
      </c>
      <c r="C3335" s="25" t="n">
        <f aca="false">SUMPRODUCT($G$3303:$K$3303,$G$3302:$K$3302-$G$3308:$K$3308+$G$3307:$K$3307)</f>
        <v>276.706</v>
      </c>
    </row>
    <row r="3336" customFormat="false" ht="15" hidden="false" customHeight="false" outlineLevel="0" collapsed="false">
      <c r="A3336" s="3" t="s">
        <v>331</v>
      </c>
      <c r="C3336" s="25" t="n">
        <f aca="false">SUMPRODUCT($G$3303:$K$3303,$G$3310:$K$3310)</f>
        <v>276.706</v>
      </c>
    </row>
    <row r="3337" customFormat="false" ht="15" hidden="false" customHeight="false" outlineLevel="0" collapsed="false">
      <c r="A3337" s="3" t="s">
        <v>332</v>
      </c>
      <c r="C3337" s="3" t="str">
        <f aca="false">IF(SUM($G$3303:$K$3303)=0,"n/a (beyond horizon)",IF(SUMPRODUCT($G$3303:$K$3303,$G$3287:$K$3287)&gt;0,"REFINANCING PASS","REFINANCING FAILURE"))</f>
        <v>REFINANCING FAILURE</v>
      </c>
    </row>
    <row r="3338" customFormat="false" ht="15" hidden="false" customHeight="false" outlineLevel="0" collapsed="false">
      <c r="A3338" s="3" t="s">
        <v>333</v>
      </c>
      <c r="C3338" s="3" t="str">
        <f aca="false">IF(SUM($G$3303:$K$3303)=0,"n/a",IF(C3336&gt;=C3335-0.001,"Repaid from cash",IF(SUMPRODUCT($G$3303:$K$3303,$G$3287:$K$3287)&gt;0,IF(C3336&gt;0,"Partly repaid; remainder refinanced","Refinanced"),IF(SUM($G$3312:$K$3312)&gt;0.001,IF(C3336&gt;0,"Partial repayment; PAYMENT DEFAULT","PAYMENT DEFAULT"),"Repaid from cash"))))</f>
        <v>Repaid from cash</v>
      </c>
    </row>
    <row r="3339" customFormat="false" ht="15" hidden="false" customHeight="false" outlineLevel="0" collapsed="false">
      <c r="A3339" s="3" t="s">
        <v>334</v>
      </c>
      <c r="C3339" s="25" t="n">
        <f aca="false">SUMPRODUCT($G$3316:$K$3316,$G$3315:$K$3315-$G$3321:$K$3321+$G$3320:$K$3320)</f>
        <v>143.75</v>
      </c>
    </row>
    <row r="3340" customFormat="false" ht="15" hidden="false" customHeight="false" outlineLevel="0" collapsed="false">
      <c r="A3340" s="3" t="s">
        <v>335</v>
      </c>
      <c r="C3340" s="25" t="n">
        <f aca="false">SUMPRODUCT($G$3316:$K$3316,$G$3323:$K$3323)</f>
        <v>143.75</v>
      </c>
    </row>
    <row r="3341" customFormat="false" ht="15" hidden="false" customHeight="false" outlineLevel="0" collapsed="false">
      <c r="A3341" s="3" t="s">
        <v>336</v>
      </c>
      <c r="C3341" s="3" t="str">
        <f aca="false">IF(SUM($G$3316:$K$3316)=0,"n/a (beyond horizon)",IF(SUMPRODUCT($G$3316:$K$3316,$G$3287:$K$3287)&gt;0,"REFINANCING PASS","REFINANCING FAILURE"))</f>
        <v>REFINANCING FAILURE</v>
      </c>
    </row>
    <row r="3342" customFormat="false" ht="15" hidden="false" customHeight="false" outlineLevel="0" collapsed="false">
      <c r="A3342" s="3" t="s">
        <v>337</v>
      </c>
      <c r="C3342" s="3" t="str">
        <f aca="false">IF(SUM($G$3316:$K$3316)=0,"n/a",IF(C3340&gt;=C3339-0.001,"Repaid from cash",IF(SUMPRODUCT($G$3316:$K$3316,$G$3287:$K$3287)&gt;0,IF(C3340&gt;0,"Partly repaid; remainder refinanced","Refinanced"),IF(SUM($G$3325:$K$3325)&gt;0.001,IF(C3340&gt;0,"Partial repayment; PAYMENT DEFAULT","PAYMENT DEFAULT"),"Repaid from cash"))))</f>
        <v>Repaid from cash</v>
      </c>
    </row>
    <row r="3343" customFormat="false" ht="15" hidden="false" customHeight="false" outlineLevel="0" collapsed="false">
      <c r="A3343" s="3" t="s">
        <v>338</v>
      </c>
      <c r="C3343" s="20" t="n">
        <f aca="false">IF(C3333="REFINANCING FAILURE",1,0)+IF(C3337="REFINANCING FAILURE",1,0)+IF(C3341="REFINANCING FAILURE",1,0)</f>
        <v>2</v>
      </c>
    </row>
    <row r="3345" customFormat="false" ht="15" hidden="false" customHeight="false" outlineLevel="0" collapsed="false">
      <c r="A3345" s="23" t="s">
        <v>340</v>
      </c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</row>
    <row r="3346" customFormat="false" ht="15" hidden="false" customHeight="false" outlineLevel="0" collapsed="false">
      <c r="A3346" s="3" t="s">
        <v>305</v>
      </c>
      <c r="G3346" s="25" t="n">
        <f aca="false">F3358</f>
        <v>463.996</v>
      </c>
      <c r="H3346" s="25" t="n">
        <f aca="false">G3358</f>
        <v>518.82154744</v>
      </c>
      <c r="I3346" s="25" t="n">
        <f aca="false">H3358</f>
        <v>539.6742833632</v>
      </c>
      <c r="J3346" s="25" t="n">
        <f aca="false">I3358</f>
        <v>120.430022671888</v>
      </c>
      <c r="K3346" s="25" t="n">
        <f aca="false">J3358</f>
        <v>123.071896868977</v>
      </c>
    </row>
    <row r="3347" customFormat="false" ht="15" hidden="false" customHeight="false" outlineLevel="0" collapsed="false">
      <c r="A3347" s="3" t="s">
        <v>341</v>
      </c>
      <c r="G3347" s="25" t="n">
        <f aca="false">G3276</f>
        <v>54.8255474399999</v>
      </c>
      <c r="H3347" s="25" t="n">
        <f aca="false">H3276</f>
        <v>20.8527359232</v>
      </c>
      <c r="I3347" s="25" t="n">
        <f aca="false">I3276</f>
        <v>1.21173930868796</v>
      </c>
      <c r="J3347" s="25" t="n">
        <f aca="false">J3276</f>
        <v>2.6418741970896</v>
      </c>
      <c r="K3347" s="25" t="n">
        <f aca="false">K3276</f>
        <v>-4.39448401276491</v>
      </c>
    </row>
    <row r="3348" customFormat="false" ht="15" hidden="false" customHeight="false" outlineLevel="0" collapsed="false">
      <c r="A3348" s="3" t="s">
        <v>342</v>
      </c>
      <c r="G3348" s="25" t="n">
        <f aca="false">CHOOSE($C$3246,Assumptions!$G$74,Assumptions!$G$93,Assumptions!$G$112)</f>
        <v>0</v>
      </c>
      <c r="H3348" s="25" t="n">
        <f aca="false">CHOOSE($C$3246,Assumptions!$H$74,Assumptions!$H$93,Assumptions!$H$112)</f>
        <v>0</v>
      </c>
      <c r="I3348" s="25" t="n">
        <f aca="false">CHOOSE($C$3246,Assumptions!$I$74,Assumptions!$I$93,Assumptions!$I$112)</f>
        <v>0</v>
      </c>
      <c r="J3348" s="25" t="n">
        <f aca="false">CHOOSE($C$3246,Assumptions!$J$74,Assumptions!$J$93,Assumptions!$J$112)</f>
        <v>0</v>
      </c>
      <c r="K3348" s="25" t="n">
        <f aca="false">CHOOSE($C$3246,Assumptions!$K$74,Assumptions!$K$93,Assumptions!$K$112)</f>
        <v>0</v>
      </c>
    </row>
    <row r="3349" customFormat="false" ht="15" hidden="false" customHeight="false" outlineLevel="0" collapsed="false">
      <c r="A3349" s="3" t="s">
        <v>343</v>
      </c>
      <c r="G3349" s="25" t="n">
        <f aca="false">G3295+G3308+G3321</f>
        <v>0</v>
      </c>
      <c r="H3349" s="25" t="n">
        <f aca="false">H3295+H3308+H3321</f>
        <v>0</v>
      </c>
      <c r="I3349" s="25" t="n">
        <f aca="false">I3295+I3308+I3321</f>
        <v>0</v>
      </c>
      <c r="J3349" s="25" t="n">
        <f aca="false">J3295+J3308+J3321</f>
        <v>0</v>
      </c>
      <c r="K3349" s="25" t="n">
        <f aca="false">K3295+K3308+K3321</f>
        <v>0</v>
      </c>
    </row>
    <row r="3350" customFormat="false" ht="15" hidden="false" customHeight="false" outlineLevel="0" collapsed="false">
      <c r="A3350" s="2" t="s">
        <v>344</v>
      </c>
      <c r="G3350" s="16" t="n">
        <f aca="false">G3346+G3347+G3348-G3349</f>
        <v>518.82154744</v>
      </c>
      <c r="H3350" s="16" t="n">
        <f aca="false">H3346+H3347+H3348-H3349</f>
        <v>539.6742833632</v>
      </c>
      <c r="I3350" s="16" t="n">
        <f aca="false">I3346+I3347+I3348-I3349</f>
        <v>540.886022671888</v>
      </c>
      <c r="J3350" s="16" t="n">
        <f aca="false">J3346+J3347+J3348-J3349</f>
        <v>123.071896868977</v>
      </c>
      <c r="K3350" s="16" t="n">
        <f aca="false">K3346+K3347+K3348-K3349</f>
        <v>118.677412856212</v>
      </c>
    </row>
    <row r="3351" customFormat="false" ht="15" hidden="false" customHeight="false" outlineLevel="0" collapsed="false">
      <c r="A3351" s="3" t="s">
        <v>345</v>
      </c>
      <c r="G3351" s="25" t="n">
        <f aca="false">G3296+G3309+G3322</f>
        <v>0</v>
      </c>
      <c r="H3351" s="25" t="n">
        <f aca="false">H3296+H3309+H3322</f>
        <v>0</v>
      </c>
      <c r="I3351" s="25" t="n">
        <f aca="false">I3296+I3309+I3322</f>
        <v>0</v>
      </c>
      <c r="J3351" s="25" t="n">
        <f aca="false">J3296+J3309+J3322</f>
        <v>0</v>
      </c>
      <c r="K3351" s="25" t="n">
        <f aca="false">K3296+K3309+K3322</f>
        <v>0</v>
      </c>
    </row>
    <row r="3352" customFormat="false" ht="15" hidden="false" customHeight="false" outlineLevel="0" collapsed="false">
      <c r="A3352" s="2" t="s">
        <v>346</v>
      </c>
      <c r="G3352" s="16" t="n">
        <f aca="false">G3350+G3351</f>
        <v>518.82154744</v>
      </c>
      <c r="H3352" s="16" t="n">
        <f aca="false">H3350+H3351</f>
        <v>539.6742833632</v>
      </c>
      <c r="I3352" s="16" t="n">
        <f aca="false">I3350+I3351</f>
        <v>540.886022671888</v>
      </c>
      <c r="J3352" s="16" t="n">
        <f aca="false">J3350+J3351</f>
        <v>123.071896868977</v>
      </c>
      <c r="K3352" s="16" t="n">
        <f aca="false">K3350+K3351</f>
        <v>118.677412856212</v>
      </c>
    </row>
    <row r="3353" customFormat="false" ht="15" hidden="false" customHeight="false" outlineLevel="0" collapsed="false">
      <c r="A3353" s="3" t="s">
        <v>347</v>
      </c>
      <c r="G3353" s="25" t="n">
        <f aca="false">G3297+G3310+G3323</f>
        <v>0</v>
      </c>
      <c r="H3353" s="25" t="n">
        <f aca="false">H3297+H3310+H3323</f>
        <v>0</v>
      </c>
      <c r="I3353" s="25" t="n">
        <f aca="false">I3297+I3310+I3323</f>
        <v>420.456</v>
      </c>
      <c r="J3353" s="25" t="n">
        <f aca="false">J3297+J3310+J3323</f>
        <v>0</v>
      </c>
      <c r="K3353" s="25" t="n">
        <f aca="false">K3297+K3310+K3323</f>
        <v>0</v>
      </c>
    </row>
    <row r="3354" customFormat="false" ht="15" hidden="false" customHeight="false" outlineLevel="0" collapsed="false">
      <c r="A3354" s="2" t="s">
        <v>348</v>
      </c>
      <c r="G3354" s="16" t="n">
        <f aca="false">G3352-G3353</f>
        <v>518.82154744</v>
      </c>
      <c r="H3354" s="16" t="n">
        <f aca="false">H3352-H3353</f>
        <v>539.6742833632</v>
      </c>
      <c r="I3354" s="16" t="n">
        <f aca="false">I3352-I3353</f>
        <v>120.430022671888</v>
      </c>
      <c r="J3354" s="16" t="n">
        <f aca="false">J3352-J3353</f>
        <v>123.071896868977</v>
      </c>
      <c r="K3354" s="16" t="n">
        <f aca="false">K3352-K3353</f>
        <v>118.677412856212</v>
      </c>
    </row>
    <row r="3355" customFormat="false" ht="15" hidden="false" customHeight="false" outlineLevel="0" collapsed="false">
      <c r="A3355" s="3" t="s">
        <v>349</v>
      </c>
      <c r="G3355" s="25" t="n">
        <f aca="false">MAX(0,-G3354)</f>
        <v>0</v>
      </c>
      <c r="H3355" s="25" t="n">
        <f aca="false">MAX(0,-H3354)</f>
        <v>0</v>
      </c>
      <c r="I3355" s="25" t="n">
        <f aca="false">MAX(0,-I3354)</f>
        <v>0</v>
      </c>
      <c r="J3355" s="25" t="n">
        <f aca="false">MAX(0,-J3354)</f>
        <v>0</v>
      </c>
      <c r="K3355" s="25" t="n">
        <f aca="false">MAX(0,-K3354)</f>
        <v>0</v>
      </c>
    </row>
    <row r="3356" customFormat="false" ht="15" hidden="false" customHeight="false" outlineLevel="0" collapsed="false">
      <c r="A3356" s="3" t="s">
        <v>350</v>
      </c>
      <c r="G3356" s="25" t="n">
        <f aca="false">MAX(0,G3354-Assumptions!$C$12)*Assumptions!$C$13</f>
        <v>0</v>
      </c>
      <c r="H3356" s="25" t="n">
        <f aca="false">MAX(0,H3354-Assumptions!$C$12)*Assumptions!$C$13</f>
        <v>0</v>
      </c>
      <c r="I3356" s="25" t="n">
        <f aca="false">MAX(0,I3354-Assumptions!$C$12)*Assumptions!$C$13</f>
        <v>0</v>
      </c>
      <c r="J3356" s="25" t="n">
        <f aca="false">MAX(0,J3354-Assumptions!$C$12)*Assumptions!$C$13</f>
        <v>0</v>
      </c>
      <c r="K3356" s="25" t="n">
        <f aca="false">MAX(0,K3354-Assumptions!$C$12)*Assumptions!$C$13</f>
        <v>0</v>
      </c>
    </row>
    <row r="3357" customFormat="false" ht="15" hidden="false" customHeight="false" outlineLevel="0" collapsed="false">
      <c r="A3357" s="3" t="s">
        <v>351</v>
      </c>
      <c r="G3357" s="25" t="n">
        <f aca="false">G3298+G3311+G3324</f>
        <v>0</v>
      </c>
      <c r="H3357" s="25" t="n">
        <f aca="false">H3298+H3311+H3324</f>
        <v>0</v>
      </c>
      <c r="I3357" s="25" t="n">
        <f aca="false">I3298+I3311+I3324</f>
        <v>0</v>
      </c>
      <c r="J3357" s="25" t="n">
        <f aca="false">J3298+J3311+J3324</f>
        <v>0</v>
      </c>
      <c r="K3357" s="25" t="n">
        <f aca="false">K3298+K3311+K3324</f>
        <v>0</v>
      </c>
    </row>
    <row r="3358" customFormat="false" ht="15" hidden="false" customHeight="false" outlineLevel="0" collapsed="false">
      <c r="A3358" s="2" t="s">
        <v>352</v>
      </c>
      <c r="F3358" s="28" t="n">
        <f aca="false">Assumptions!$C$11</f>
        <v>463.996</v>
      </c>
      <c r="G3358" s="16" t="n">
        <f aca="false">G3354-G3357</f>
        <v>518.82154744</v>
      </c>
      <c r="H3358" s="16" t="n">
        <f aca="false">H3354-H3357</f>
        <v>539.6742833632</v>
      </c>
      <c r="I3358" s="16" t="n">
        <f aca="false">I3354-I3357</f>
        <v>120.430022671888</v>
      </c>
      <c r="J3358" s="16" t="n">
        <f aca="false">J3354-J3357</f>
        <v>123.071896868977</v>
      </c>
      <c r="K3358" s="16" t="n">
        <f aca="false">K3354-K3357</f>
        <v>118.677412856212</v>
      </c>
    </row>
    <row r="3359" customFormat="false" ht="15" hidden="false" customHeight="false" outlineLevel="0" collapsed="false">
      <c r="A3359" s="3" t="s">
        <v>353</v>
      </c>
      <c r="G3359" s="25" t="n">
        <f aca="false">G3299+G3312+G3325</f>
        <v>0</v>
      </c>
      <c r="H3359" s="25" t="n">
        <f aca="false">H3299+H3312+H3325</f>
        <v>0</v>
      </c>
      <c r="I3359" s="25" t="n">
        <f aca="false">I3299+I3312+I3325</f>
        <v>0</v>
      </c>
      <c r="J3359" s="25" t="n">
        <f aca="false">J3299+J3312+J3325</f>
        <v>0</v>
      </c>
      <c r="K3359" s="25" t="n">
        <f aca="false">K3299+K3312+K3325</f>
        <v>0</v>
      </c>
    </row>
    <row r="3360" customFormat="false" ht="15" hidden="false" customHeight="false" outlineLevel="0" collapsed="false">
      <c r="A3360" s="3" t="s">
        <v>354</v>
      </c>
      <c r="G3360" s="20" t="n">
        <f aca="false">IF(OR(G3355&gt;0.001,G3359&gt;0.001),1,0)</f>
        <v>0</v>
      </c>
      <c r="H3360" s="20" t="n">
        <f aca="false">IF(OR(H3355&gt;0.001,H3359&gt;0.001),1,0)</f>
        <v>0</v>
      </c>
      <c r="I3360" s="20" t="n">
        <f aca="false">IF(OR(I3355&gt;0.001,I3359&gt;0.001),1,0)</f>
        <v>0</v>
      </c>
      <c r="J3360" s="20" t="n">
        <f aca="false">IF(OR(J3355&gt;0.001,J3359&gt;0.001),1,0)</f>
        <v>0</v>
      </c>
      <c r="K3360" s="20" t="n">
        <f aca="false">IF(OR(K3355&gt;0.001,K3359&gt;0.001),1,0)</f>
        <v>0</v>
      </c>
    </row>
    <row r="3361" customFormat="false" ht="15" hidden="false" customHeight="false" outlineLevel="0" collapsed="false">
      <c r="A3361" s="3" t="s">
        <v>355</v>
      </c>
      <c r="G3361" s="20" t="n">
        <f aca="false">IF(G3360=1,1,0)</f>
        <v>0</v>
      </c>
      <c r="H3361" s="20" t="n">
        <f aca="false">IF(AND(H3360=1,SUM($G$3360:G3360)=0),1,0)</f>
        <v>0</v>
      </c>
      <c r="I3361" s="20" t="n">
        <f aca="false">IF(AND(I3360=1,SUM($G$3360:H3360)=0),1,0)</f>
        <v>0</v>
      </c>
      <c r="J3361" s="20" t="n">
        <f aca="false">IF(AND(J3360=1,SUM($G$3360:I3360)=0),1,0)</f>
        <v>0</v>
      </c>
      <c r="K3361" s="20" t="n">
        <f aca="false">IF(AND(K3360=1,SUM($G$3360:J3360)=0),1,0)</f>
        <v>0</v>
      </c>
    </row>
    <row r="3362" customFormat="false" ht="15" hidden="false" customHeight="false" outlineLevel="0" collapsed="false">
      <c r="A3362" s="3" t="s">
        <v>356</v>
      </c>
      <c r="G3362" s="25" t="n">
        <f aca="false">(G3328-F3328)-(G3351+G3268-G3349-G3353-G3357)</f>
        <v>0</v>
      </c>
      <c r="H3362" s="25" t="n">
        <f aca="false">(H3328-G3328)-(H3351+H3268-H3349-H3353-H3357)</f>
        <v>0</v>
      </c>
      <c r="I3362" s="25" t="n">
        <f aca="false">(I3328-H3328)-(I3351+I3268-I3349-I3353-I3357)</f>
        <v>0</v>
      </c>
      <c r="J3362" s="25" t="n">
        <f aca="false">(J3328-I3328)-(J3351+J3268-J3349-J3353-J3357)</f>
        <v>0</v>
      </c>
      <c r="K3362" s="25" t="n">
        <f aca="false">(K3328-J3328)-(K3351+K3268-K3349-K3353-K3357)</f>
        <v>0</v>
      </c>
    </row>
    <row r="3364" customFormat="false" ht="15" hidden="false" customHeight="false" outlineLevel="0" collapsed="false">
      <c r="A3364" s="23" t="s">
        <v>358</v>
      </c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</row>
    <row r="3365" customFormat="false" ht="15" hidden="false" customHeight="false" outlineLevel="0" collapsed="false">
      <c r="A3365" s="3" t="s">
        <v>359</v>
      </c>
      <c r="G3365" s="25" t="n">
        <f aca="false">G3328</f>
        <v>1735.554</v>
      </c>
      <c r="H3365" s="25" t="n">
        <f aca="false">H3328</f>
        <v>1735.554</v>
      </c>
      <c r="I3365" s="25" t="n">
        <f aca="false">I3328</f>
        <v>1315.098</v>
      </c>
      <c r="J3365" s="25" t="n">
        <f aca="false">J3328</f>
        <v>1315.098</v>
      </c>
      <c r="K3365" s="25" t="n">
        <f aca="false">K3328</f>
        <v>1315.098</v>
      </c>
    </row>
    <row r="3366" customFormat="false" ht="15" hidden="false" customHeight="false" outlineLevel="0" collapsed="false">
      <c r="A3366" s="3" t="s">
        <v>360</v>
      </c>
      <c r="G3366" s="25" t="n">
        <f aca="false">Assumptions!$O$56*G3300+Assumptions!$O$57*G3313+Assumptions!$O$58*G3326</f>
        <v>1315.098</v>
      </c>
      <c r="H3366" s="25" t="n">
        <f aca="false">Assumptions!$O$56*H3300+Assumptions!$O$57*H3313+Assumptions!$O$58*H3326</f>
        <v>1315.098</v>
      </c>
      <c r="I3366" s="25" t="n">
        <f aca="false">Assumptions!$O$56*I3300+Assumptions!$O$57*I3313+Assumptions!$O$58*I3326</f>
        <v>1315.098</v>
      </c>
      <c r="J3366" s="25" t="n">
        <f aca="false">Assumptions!$O$56*J3300+Assumptions!$O$57*J3313+Assumptions!$O$58*J3326</f>
        <v>1315.098</v>
      </c>
      <c r="K3366" s="25" t="n">
        <f aca="false">Assumptions!$O$56*K3300+Assumptions!$O$57*K3313+Assumptions!$O$58*K3326</f>
        <v>1315.098</v>
      </c>
    </row>
    <row r="3367" customFormat="false" ht="15" hidden="false" customHeight="false" outlineLevel="0" collapsed="false">
      <c r="A3367" s="3" t="s">
        <v>361</v>
      </c>
      <c r="G3367" s="25" t="n">
        <f aca="false">G3365-G3358</f>
        <v>1216.73245256</v>
      </c>
      <c r="H3367" s="25" t="n">
        <f aca="false">H3365-H3358</f>
        <v>1195.8797166368</v>
      </c>
      <c r="I3367" s="25" t="n">
        <f aca="false">I3365-I3358</f>
        <v>1194.66797732811</v>
      </c>
      <c r="J3367" s="25" t="n">
        <f aca="false">J3365-J3358</f>
        <v>1192.02610313102</v>
      </c>
      <c r="K3367" s="25" t="n">
        <f aca="false">K3365-K3358</f>
        <v>1196.42058714379</v>
      </c>
    </row>
    <row r="3368" customFormat="false" ht="15" hidden="false" customHeight="false" outlineLevel="0" collapsed="false">
      <c r="A3368" s="3" t="s">
        <v>362</v>
      </c>
      <c r="G3368" s="32" t="n">
        <f aca="false">IF(G3263&gt;0,G3365/G3263,0)</f>
        <v>6.99885842190068</v>
      </c>
      <c r="H3368" s="32" t="n">
        <f aca="false">IF(H3263&gt;0,H3365/H3263,0)</f>
        <v>8.20980460047</v>
      </c>
      <c r="I3368" s="32" t="n">
        <f aca="false">IF(I3263&gt;0,I3365/I3263,0)</f>
        <v>6.93311397368161</v>
      </c>
      <c r="J3368" s="32" t="n">
        <f aca="false">IF(J3263&gt;0,J3365/J3263,0)</f>
        <v>7.66291544459547</v>
      </c>
      <c r="K3368" s="32" t="n">
        <f aca="false">IF(K3263&gt;0,K3365/K3263,0)</f>
        <v>8.0662267837847</v>
      </c>
    </row>
    <row r="3369" customFormat="false" ht="15" hidden="false" customHeight="false" outlineLevel="0" collapsed="false">
      <c r="A3369" s="3" t="s">
        <v>363</v>
      </c>
      <c r="G3369" s="32" t="n">
        <f aca="false">IF(G3263&gt;0,G3367/G3263,0)</f>
        <v>4.9066397085884</v>
      </c>
      <c r="H3369" s="32" t="n">
        <f aca="false">IF(H3263&gt;0,H3367/H3263,0)</f>
        <v>5.65694804036842</v>
      </c>
      <c r="I3369" s="32" t="n">
        <f aca="false">IF(I3263&gt;0,I3367/I3263,0)</f>
        <v>6.29821446578391</v>
      </c>
      <c r="J3369" s="32" t="n">
        <f aca="false">IF(J3263&gt;0,J3367/J3263,0)</f>
        <v>6.94579053123316</v>
      </c>
      <c r="K3369" s="32" t="n">
        <f aca="false">IF(K3263&gt;0,K3367/K3263,0)</f>
        <v>7.33831226622703</v>
      </c>
    </row>
    <row r="3370" customFormat="false" ht="15" hidden="false" customHeight="false" outlineLevel="0" collapsed="false">
      <c r="A3370" s="3" t="s">
        <v>364</v>
      </c>
      <c r="G3370" s="32" t="n">
        <f aca="false">IF(G3267&gt;0,G3263/G3267,0)</f>
        <v>1.59005643370602</v>
      </c>
      <c r="H3370" s="32" t="n">
        <f aca="false">IF(H3267&gt;0,H3263/H3267,0)</f>
        <v>1.35552310973439</v>
      </c>
      <c r="I3370" s="32" t="n">
        <f aca="false">IF(I3267&gt;0,I3263/I3267,0)</f>
        <v>1.21627391755258</v>
      </c>
      <c r="J3370" s="32" t="n">
        <f aca="false">IF(J3267&gt;0,J3263/J3267,0)</f>
        <v>1.24284413584734</v>
      </c>
      <c r="K3370" s="32" t="n">
        <f aca="false">IF(K3267&gt;0,K3263/K3267,0)</f>
        <v>1.18070192905498</v>
      </c>
    </row>
    <row r="3371" customFormat="false" ht="15" hidden="false" customHeight="false" outlineLevel="0" collapsed="false">
      <c r="A3371" s="3" t="s">
        <v>365</v>
      </c>
      <c r="G3371" s="32" t="n">
        <f aca="false">IF(G3267&gt;0,G3266/G3267,0)</f>
        <v>0.943202831951104</v>
      </c>
      <c r="H3371" s="32" t="n">
        <f aca="false">IF(H3267&gt;0,H3266/H3267,0)</f>
        <v>0.75394926010231</v>
      </c>
      <c r="I3371" s="32" t="n">
        <f aca="false">IF(I3267&gt;0,I3266/I3267,0)</f>
        <v>0.65079449889843</v>
      </c>
      <c r="J3371" s="32" t="n">
        <f aca="false">IF(J3267&gt;0,J3266/J3267,0)</f>
        <v>0.636119854632452</v>
      </c>
      <c r="K3371" s="32" t="n">
        <f aca="false">IF(K3267&gt;0,K3266/K3267,0)</f>
        <v>0.604313861900829</v>
      </c>
    </row>
    <row r="3372" customFormat="false" ht="15" hidden="false" customHeight="false" outlineLevel="0" collapsed="false">
      <c r="A3372" s="3" t="s">
        <v>198</v>
      </c>
      <c r="G3372" s="21" t="n">
        <f aca="false">IF(G3365&gt;0,G3276/G3365,0)</f>
        <v>0.0315896523185104</v>
      </c>
      <c r="H3372" s="21" t="n">
        <f aca="false">IF(H3365&gt;0,H3276/H3365,0)</f>
        <v>0.0120150314673009</v>
      </c>
      <c r="I3372" s="21" t="n">
        <f aca="false">IF(I3365&gt;0,I3276/I3365,0)</f>
        <v>0.000921406091932281</v>
      </c>
      <c r="J3372" s="21" t="n">
        <f aca="false">IF(J3365&gt;0,J3276/J3365,0)</f>
        <v>0.00200888009645638</v>
      </c>
      <c r="K3372" s="21" t="n">
        <f aca="false">IF(K3365&gt;0,K3276/K3365,0)</f>
        <v>-0.00334156390836645</v>
      </c>
    </row>
    <row r="3373" customFormat="false" ht="15" hidden="false" customHeight="false" outlineLevel="0" collapsed="false">
      <c r="A3373" s="3" t="s">
        <v>366</v>
      </c>
      <c r="G3373" s="32" t="n">
        <f aca="false">IF(G3267+G3349&gt;0,(G3263-G3274-G3271)/(G3267+G3349),0)</f>
        <v>1.41780032005454</v>
      </c>
      <c r="H3373" s="32" t="n">
        <f aca="false">IF(H3267+H3349&gt;0,(H3263-H3274-H3271)/(H3267+H3349),0)</f>
        <v>1.1953249240385</v>
      </c>
      <c r="I3373" s="32" t="n">
        <f aca="false">IF(I3267+I3349&gt;0,(I3263-I3274-I3271)/(I3267+I3349),0)</f>
        <v>1.06568762299845</v>
      </c>
      <c r="J3373" s="32" t="n">
        <f aca="false">IF(J3267+J3349&gt;0,(J3263-J3274-J3271)/(J3267+J3349),0)</f>
        <v>1.08127439818719</v>
      </c>
      <c r="K3373" s="32" t="n">
        <f aca="false">IF(K3267+K3349&gt;0,(K3263-K3274-K3271)/(K3267+K3349),0)</f>
        <v>1.02721067827783</v>
      </c>
    </row>
    <row r="3374" customFormat="false" ht="15" hidden="false" customHeight="false" outlineLevel="0" collapsed="false">
      <c r="A3374" s="3" t="s">
        <v>367</v>
      </c>
      <c r="G3374" s="25" t="n">
        <f aca="false">MAX(0,G3358)+Assumptions!$P$56*MAX(0,Assumptions!$D$56-G3300)+Assumptions!$P$57*MAX(0,Assumptions!$D$57-G3313)+Assumptions!$P$58*MAX(0,Assumptions!$D$58-G3326)</f>
        <v>518.82154744</v>
      </c>
      <c r="H3374" s="25" t="n">
        <f aca="false">MAX(0,H3358)+Assumptions!$P$56*MAX(0,Assumptions!$D$56-H3300)+Assumptions!$P$57*MAX(0,Assumptions!$D$57-H3313)+Assumptions!$P$58*MAX(0,Assumptions!$D$58-H3326)</f>
        <v>539.6742833632</v>
      </c>
      <c r="I3374" s="25" t="n">
        <f aca="false">MAX(0,I3358)+Assumptions!$P$56*MAX(0,Assumptions!$D$56-I3300)+Assumptions!$P$57*MAX(0,Assumptions!$D$57-I3313)+Assumptions!$P$58*MAX(0,Assumptions!$D$58-I3326)</f>
        <v>120.430022671888</v>
      </c>
      <c r="J3374" s="25" t="n">
        <f aca="false">MAX(0,J3358)+Assumptions!$P$56*MAX(0,Assumptions!$D$56-J3300)+Assumptions!$P$57*MAX(0,Assumptions!$D$57-J3313)+Assumptions!$P$58*MAX(0,Assumptions!$D$58-J3326)</f>
        <v>123.071896868977</v>
      </c>
      <c r="K3374" s="25" t="n">
        <f aca="false">MAX(0,K3358)+Assumptions!$P$56*MAX(0,Assumptions!$D$56-K3300)+Assumptions!$P$57*MAX(0,Assumptions!$D$57-K3313)+Assumptions!$P$58*MAX(0,Assumptions!$D$58-K3326)</f>
        <v>118.677412856212</v>
      </c>
    </row>
    <row r="3375" customFormat="false" ht="15" hidden="false" customHeight="false" outlineLevel="0" collapsed="false">
      <c r="A3375" s="3" t="s">
        <v>368</v>
      </c>
      <c r="G3375" s="21" t="n">
        <f aca="false">IF(G3365&gt;0,G3365/(G3365+MAX(0,G3263*CHOOSE($C$3246,Assumptions!$C$82,Assumptions!$C$101,Assumptions!$C$120)-G3367)),0)</f>
        <v>0.986836236277321</v>
      </c>
      <c r="H3375" s="21" t="n">
        <f aca="false">IF(H3365&gt;0,H3365/(H3365+MAX(0,H3263*CHOOSE($C$3246,Assumptions!$C$82,Assumptions!$C$101,Assumptions!$C$120)-H3367)),0)</f>
        <v>1</v>
      </c>
      <c r="I3375" s="21" t="n">
        <f aca="false">IF(I3365&gt;0,I3365/(I3365+MAX(0,I3263*CHOOSE($C$3246,Assumptions!$C$82,Assumptions!$C$101,Assumptions!$C$120)-I3367)),0)</f>
        <v>1</v>
      </c>
      <c r="J3375" s="21" t="n">
        <f aca="false">IF(J3365&gt;0,J3365/(J3365+MAX(0,J3263*CHOOSE($C$3246,Assumptions!$C$82,Assumptions!$C$101,Assumptions!$C$120)-J3367)),0)</f>
        <v>1</v>
      </c>
      <c r="K3375" s="21" t="n">
        <f aca="false">IF(K3365&gt;0,K3365/(K3365+MAX(0,K3263*CHOOSE($C$3246,Assumptions!$C$82,Assumptions!$C$101,Assumptions!$C$120)-K3367)),0)</f>
        <v>1</v>
      </c>
    </row>
    <row r="3376" customFormat="false" ht="15" hidden="false" customHeight="false" outlineLevel="0" collapsed="false">
      <c r="A3376" s="3" t="s">
        <v>369</v>
      </c>
      <c r="G3376" s="21" t="n">
        <f aca="false">IF(G3365&gt;0,MAX(0,G3358)/G3365,0)</f>
        <v>0.298937139057615</v>
      </c>
      <c r="H3376" s="21" t="n">
        <f aca="false">IF(H3365&gt;0,MAX(0,H3358)/H3365,0)</f>
        <v>0.310952170524916</v>
      </c>
      <c r="I3376" s="21" t="n">
        <f aca="false">IF(I3365&gt;0,MAX(0,I3358)/I3365,0)</f>
        <v>0.0915749416939937</v>
      </c>
      <c r="J3376" s="21" t="n">
        <f aca="false">IF(J3365&gt;0,MAX(0,J3358)/J3365,0)</f>
        <v>0.0935838217904501</v>
      </c>
      <c r="K3376" s="21" t="n">
        <f aca="false">IF(K3365&gt;0,MAX(0,K3358)/K3365,0)</f>
        <v>0.0902422578820836</v>
      </c>
    </row>
    <row r="3377" customFormat="false" ht="15" hidden="false" customHeight="false" outlineLevel="0" collapsed="false">
      <c r="A3377" s="3" t="s">
        <v>370</v>
      </c>
      <c r="G3377" s="25" t="n">
        <f aca="false">Assumptions!$C$30*(1-CHOOSE($C$3246,Assumptions!$C$85,Assumptions!$C$104,Assumptions!$C$123))</f>
        <v>2086.72535</v>
      </c>
      <c r="H3377" s="25" t="n">
        <f aca="false">Assumptions!$C$30*(1-CHOOSE($C$3246,Assumptions!$C$85,Assumptions!$C$104,Assumptions!$C$123))</f>
        <v>2086.72535</v>
      </c>
      <c r="I3377" s="25" t="n">
        <f aca="false">Assumptions!$C$30*(1-CHOOSE($C$3246,Assumptions!$C$85,Assumptions!$C$104,Assumptions!$C$123))</f>
        <v>2086.72535</v>
      </c>
      <c r="J3377" s="25" t="n">
        <f aca="false">Assumptions!$C$30*(1-CHOOSE($C$3246,Assumptions!$C$85,Assumptions!$C$104,Assumptions!$C$123))</f>
        <v>2086.72535</v>
      </c>
      <c r="K3377" s="25" t="n">
        <f aca="false">Assumptions!$C$30*(1-CHOOSE($C$3246,Assumptions!$C$85,Assumptions!$C$104,Assumptions!$C$123))</f>
        <v>2086.72535</v>
      </c>
    </row>
    <row r="3378" customFormat="false" ht="15" hidden="false" customHeight="false" outlineLevel="0" collapsed="false">
      <c r="A3378" s="23" t="s">
        <v>371</v>
      </c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</row>
    <row r="3379" customFormat="false" ht="15" hidden="false" customHeight="false" outlineLevel="0" collapsed="false">
      <c r="A3379" s="23" t="s">
        <v>372</v>
      </c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</row>
    <row r="3380" customFormat="false" ht="15" hidden="false" customHeight="false" outlineLevel="0" collapsed="false">
      <c r="A3380" s="3" t="s">
        <v>373</v>
      </c>
      <c r="G3380" s="32" t="n">
        <f aca="false">IF(G3263&gt;0,G3367/G3263,99)</f>
        <v>4.9066397085884</v>
      </c>
      <c r="H3380" s="32" t="n">
        <f aca="false">IF(H3263&gt;0,H3367/H3263,99)</f>
        <v>5.65694804036842</v>
      </c>
      <c r="I3380" s="32" t="n">
        <f aca="false">IF(I3263&gt;0,I3367/I3263,99)</f>
        <v>6.29821446578391</v>
      </c>
      <c r="J3380" s="32" t="n">
        <f aca="false">IF(J3263&gt;0,J3367/J3263,99)</f>
        <v>6.94579053123316</v>
      </c>
      <c r="K3380" s="32" t="n">
        <f aca="false">IF(K3263&gt;0,K3367/K3263,99)</f>
        <v>7.33831226622703</v>
      </c>
    </row>
    <row r="3381" customFormat="false" ht="15" hidden="false" customHeight="false" outlineLevel="0" collapsed="false">
      <c r="A3381" s="3" t="s">
        <v>374</v>
      </c>
      <c r="G3381" s="33" t="n">
        <f aca="false">Assumptions!$G$65</f>
        <v>5.25</v>
      </c>
      <c r="H3381" s="33" t="n">
        <f aca="false">Assumptions!$H$65</f>
        <v>5.25</v>
      </c>
      <c r="I3381" s="33" t="n">
        <f aca="false">Assumptions!$I$65</f>
        <v>5</v>
      </c>
      <c r="J3381" s="33" t="n">
        <f aca="false">Assumptions!$J$65</f>
        <v>5</v>
      </c>
      <c r="K3381" s="33" t="n">
        <f aca="false">Assumptions!$K$65</f>
        <v>5</v>
      </c>
    </row>
    <row r="3382" customFormat="false" ht="15" hidden="false" customHeight="false" outlineLevel="0" collapsed="false">
      <c r="A3382" s="3" t="s">
        <v>375</v>
      </c>
      <c r="G3382" s="32" t="n">
        <f aca="false">G3381-G3380</f>
        <v>0.343360291411604</v>
      </c>
      <c r="H3382" s="32" t="n">
        <f aca="false">H3381-H3380</f>
        <v>-0.406948040368418</v>
      </c>
      <c r="I3382" s="32" t="n">
        <f aca="false">I3381-I3380</f>
        <v>-1.29821446578391</v>
      </c>
      <c r="J3382" s="32" t="n">
        <f aca="false">J3381-J3380</f>
        <v>-1.94579053123316</v>
      </c>
      <c r="K3382" s="32" t="n">
        <f aca="false">K3381-K3380</f>
        <v>-2.33831226622703</v>
      </c>
    </row>
    <row r="3383" customFormat="false" ht="15" hidden="false" customHeight="false" outlineLevel="0" collapsed="false">
      <c r="A3383" s="3" t="s">
        <v>376</v>
      </c>
      <c r="G3383" s="21" t="n">
        <f aca="false">IF(G3381=0,0,G3382/ABS(G3381))</f>
        <v>0.0654019602688769</v>
      </c>
      <c r="H3383" s="21" t="n">
        <f aca="false">IF(H3381=0,0,H3382/ABS(H3381))</f>
        <v>-0.0775139124511272</v>
      </c>
      <c r="I3383" s="21" t="n">
        <f aca="false">IF(I3381=0,0,I3382/ABS(I3381))</f>
        <v>-0.259642893156781</v>
      </c>
      <c r="J3383" s="21" t="n">
        <f aca="false">IF(J3381=0,0,J3382/ABS(J3381))</f>
        <v>-0.389158106246632</v>
      </c>
      <c r="K3383" s="21" t="n">
        <f aca="false">IF(K3381=0,0,K3382/ABS(K3381))</f>
        <v>-0.467662453245407</v>
      </c>
    </row>
    <row r="3384" customFormat="false" ht="15" hidden="false" customHeight="false" outlineLevel="0" collapsed="false">
      <c r="A3384" s="3" t="s">
        <v>377</v>
      </c>
      <c r="G3384" s="20" t="n">
        <f aca="false">IF(G3382&lt;0,1,0)</f>
        <v>0</v>
      </c>
      <c r="H3384" s="20" t="n">
        <f aca="false">IF(H3382&lt;0,1,0)</f>
        <v>1</v>
      </c>
      <c r="I3384" s="20" t="n">
        <f aca="false">IF(I3382&lt;0,1,0)</f>
        <v>1</v>
      </c>
      <c r="J3384" s="20" t="n">
        <f aca="false">IF(J3382&lt;0,1,0)</f>
        <v>1</v>
      </c>
      <c r="K3384" s="20" t="n">
        <f aca="false">IF(K3382&lt;0,1,0)</f>
        <v>1</v>
      </c>
    </row>
    <row r="3385" customFormat="false" ht="15" hidden="false" customHeight="false" outlineLevel="0" collapsed="false">
      <c r="A3385" s="3" t="s">
        <v>378</v>
      </c>
      <c r="C3385" s="20" t="n">
        <f aca="false">IFERROR(INDEX($G$3253:$K$3253,MATCH(1,$G$3384:$K$3384,0)),0)</f>
        <v>2028</v>
      </c>
    </row>
    <row r="3386" customFormat="false" ht="15" hidden="false" customHeight="false" outlineLevel="0" collapsed="false">
      <c r="A3386" s="3" t="s">
        <v>379</v>
      </c>
      <c r="C3386" s="21" t="n">
        <f aca="false">MIN($G$3383:$K$3383)</f>
        <v>-0.467662453245407</v>
      </c>
    </row>
    <row r="3387" customFormat="false" ht="15" hidden="false" customHeight="false" outlineLevel="0" collapsed="false">
      <c r="A3387" s="23" t="s">
        <v>380</v>
      </c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</row>
    <row r="3388" customFormat="false" ht="15" hidden="false" customHeight="false" outlineLevel="0" collapsed="false">
      <c r="A3388" s="3" t="s">
        <v>373</v>
      </c>
      <c r="G3388" s="32" t="n">
        <f aca="false">IF(G3267&gt;0,G3263/G3267,99)</f>
        <v>1.59005643370602</v>
      </c>
      <c r="H3388" s="32" t="n">
        <f aca="false">IF(H3267&gt;0,H3263/H3267,99)</f>
        <v>1.35552310973439</v>
      </c>
      <c r="I3388" s="32" t="n">
        <f aca="false">IF(I3267&gt;0,I3263/I3267,99)</f>
        <v>1.21627391755258</v>
      </c>
      <c r="J3388" s="32" t="n">
        <f aca="false">IF(J3267&gt;0,J3263/J3267,99)</f>
        <v>1.24284413584734</v>
      </c>
      <c r="K3388" s="32" t="n">
        <f aca="false">IF(K3267&gt;0,K3263/K3267,99)</f>
        <v>1.18070192905498</v>
      </c>
    </row>
    <row r="3389" customFormat="false" ht="15" hidden="false" customHeight="false" outlineLevel="0" collapsed="false">
      <c r="A3389" s="3" t="s">
        <v>374</v>
      </c>
      <c r="G3389" s="33" t="n">
        <f aca="false">Assumptions!$G$66</f>
        <v>1.4</v>
      </c>
      <c r="H3389" s="33" t="n">
        <f aca="false">Assumptions!$H$66</f>
        <v>1.4</v>
      </c>
      <c r="I3389" s="33" t="n">
        <f aca="false">Assumptions!$I$66</f>
        <v>1.4</v>
      </c>
      <c r="J3389" s="33" t="n">
        <f aca="false">Assumptions!$J$66</f>
        <v>1.5</v>
      </c>
      <c r="K3389" s="33" t="n">
        <f aca="false">Assumptions!$K$66</f>
        <v>1.5</v>
      </c>
    </row>
    <row r="3390" customFormat="false" ht="15" hidden="false" customHeight="false" outlineLevel="0" collapsed="false">
      <c r="A3390" s="3" t="s">
        <v>375</v>
      </c>
      <c r="G3390" s="32" t="n">
        <f aca="false">G3388-G3389</f>
        <v>0.190056433706025</v>
      </c>
      <c r="H3390" s="32" t="n">
        <f aca="false">H3388-H3389</f>
        <v>-0.0444768902656139</v>
      </c>
      <c r="I3390" s="32" t="n">
        <f aca="false">I3388-I3389</f>
        <v>-0.183726082447419</v>
      </c>
      <c r="J3390" s="32" t="n">
        <f aca="false">J3388-J3389</f>
        <v>-0.257155864152655</v>
      </c>
      <c r="K3390" s="32" t="n">
        <f aca="false">K3388-K3389</f>
        <v>-0.319298070945023</v>
      </c>
    </row>
    <row r="3391" customFormat="false" ht="15" hidden="false" customHeight="false" outlineLevel="0" collapsed="false">
      <c r="A3391" s="3" t="s">
        <v>376</v>
      </c>
      <c r="G3391" s="21" t="n">
        <f aca="false">IF(G3389=0,0,G3390/ABS(G3389))</f>
        <v>0.135754595504304</v>
      </c>
      <c r="H3391" s="21" t="n">
        <f aca="false">IF(H3389=0,0,H3390/ABS(H3389))</f>
        <v>-0.0317692073325813</v>
      </c>
      <c r="I3391" s="21" t="n">
        <f aca="false">IF(I3389=0,0,I3390/ABS(I3389))</f>
        <v>-0.131232916033871</v>
      </c>
      <c r="J3391" s="21" t="n">
        <f aca="false">IF(J3389=0,0,J3390/ABS(J3389))</f>
        <v>-0.171437242768437</v>
      </c>
      <c r="K3391" s="21" t="n">
        <f aca="false">IF(K3389=0,0,K3390/ABS(K3389))</f>
        <v>-0.212865380630015</v>
      </c>
    </row>
    <row r="3392" customFormat="false" ht="15" hidden="false" customHeight="false" outlineLevel="0" collapsed="false">
      <c r="A3392" s="3" t="s">
        <v>377</v>
      </c>
      <c r="G3392" s="20" t="n">
        <f aca="false">IF(G3390&lt;0,1,0)</f>
        <v>0</v>
      </c>
      <c r="H3392" s="20" t="n">
        <f aca="false">IF(H3390&lt;0,1,0)</f>
        <v>1</v>
      </c>
      <c r="I3392" s="20" t="n">
        <f aca="false">IF(I3390&lt;0,1,0)</f>
        <v>1</v>
      </c>
      <c r="J3392" s="20" t="n">
        <f aca="false">IF(J3390&lt;0,1,0)</f>
        <v>1</v>
      </c>
      <c r="K3392" s="20" t="n">
        <f aca="false">IF(K3390&lt;0,1,0)</f>
        <v>1</v>
      </c>
    </row>
    <row r="3393" customFormat="false" ht="15" hidden="false" customHeight="false" outlineLevel="0" collapsed="false">
      <c r="A3393" s="3" t="s">
        <v>378</v>
      </c>
      <c r="C3393" s="20" t="n">
        <f aca="false">IFERROR(INDEX($G$3253:$K$3253,MATCH(1,$G$3392:$K$3392,0)),0)</f>
        <v>2028</v>
      </c>
    </row>
    <row r="3394" customFormat="false" ht="15" hidden="false" customHeight="false" outlineLevel="0" collapsed="false">
      <c r="A3394" s="3" t="s">
        <v>379</v>
      </c>
      <c r="C3394" s="21" t="n">
        <f aca="false">MIN($G$3391:$K$3391)</f>
        <v>-0.212865380630015</v>
      </c>
    </row>
    <row r="3395" customFormat="false" ht="15" hidden="false" customHeight="false" outlineLevel="0" collapsed="false">
      <c r="A3395" s="23" t="s">
        <v>381</v>
      </c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</row>
    <row r="3396" customFormat="false" ht="15" hidden="false" customHeight="false" outlineLevel="0" collapsed="false">
      <c r="A3396" s="3" t="s">
        <v>373</v>
      </c>
      <c r="G3396" s="25" t="n">
        <f aca="false">G3374</f>
        <v>518.82154744</v>
      </c>
      <c r="H3396" s="25" t="n">
        <f aca="false">H3374</f>
        <v>539.6742833632</v>
      </c>
      <c r="I3396" s="25" t="n">
        <f aca="false">I3374</f>
        <v>120.430022671888</v>
      </c>
      <c r="J3396" s="25" t="n">
        <f aca="false">J3374</f>
        <v>123.071896868977</v>
      </c>
      <c r="K3396" s="25" t="n">
        <f aca="false">K3374</f>
        <v>118.677412856212</v>
      </c>
    </row>
    <row r="3397" customFormat="false" ht="15" hidden="false" customHeight="false" outlineLevel="0" collapsed="false">
      <c r="A3397" s="3" t="s">
        <v>374</v>
      </c>
      <c r="G3397" s="29" t="n">
        <f aca="false">Assumptions!$G$67</f>
        <v>200</v>
      </c>
      <c r="H3397" s="29" t="n">
        <f aca="false">Assumptions!$H$67</f>
        <v>200</v>
      </c>
      <c r="I3397" s="29" t="n">
        <f aca="false">Assumptions!$I$67</f>
        <v>200</v>
      </c>
      <c r="J3397" s="29" t="n">
        <f aca="false">Assumptions!$J$67</f>
        <v>200</v>
      </c>
      <c r="K3397" s="29" t="n">
        <f aca="false">Assumptions!$K$67</f>
        <v>200</v>
      </c>
    </row>
    <row r="3398" customFormat="false" ht="15" hidden="false" customHeight="false" outlineLevel="0" collapsed="false">
      <c r="A3398" s="3" t="s">
        <v>375</v>
      </c>
      <c r="G3398" s="25" t="n">
        <f aca="false">G3396-G3397</f>
        <v>318.82154744</v>
      </c>
      <c r="H3398" s="25" t="n">
        <f aca="false">H3396-H3397</f>
        <v>339.6742833632</v>
      </c>
      <c r="I3398" s="25" t="n">
        <f aca="false">I3396-I3397</f>
        <v>-79.5699773281123</v>
      </c>
      <c r="J3398" s="25" t="n">
        <f aca="false">J3396-J3397</f>
        <v>-76.9281031310227</v>
      </c>
      <c r="K3398" s="25" t="n">
        <f aca="false">K3396-K3397</f>
        <v>-81.3225871437876</v>
      </c>
    </row>
    <row r="3399" customFormat="false" ht="15" hidden="false" customHeight="false" outlineLevel="0" collapsed="false">
      <c r="A3399" s="3" t="s">
        <v>376</v>
      </c>
      <c r="G3399" s="21" t="n">
        <f aca="false">IF(G3397=0,0,G3398/ABS(G3397))</f>
        <v>1.5941077372</v>
      </c>
      <c r="H3399" s="21" t="n">
        <f aca="false">IF(H3397=0,0,H3398/ABS(H3397))</f>
        <v>1.698371416816</v>
      </c>
      <c r="I3399" s="21" t="n">
        <f aca="false">IF(I3397=0,0,I3398/ABS(I3397))</f>
        <v>-0.397849886640561</v>
      </c>
      <c r="J3399" s="21" t="n">
        <f aca="false">IF(J3397=0,0,J3398/ABS(J3397))</f>
        <v>-0.384640515655113</v>
      </c>
      <c r="K3399" s="21" t="n">
        <f aca="false">IF(K3397=0,0,K3398/ABS(K3397))</f>
        <v>-0.406612935718938</v>
      </c>
    </row>
    <row r="3400" customFormat="false" ht="15" hidden="false" customHeight="false" outlineLevel="0" collapsed="false">
      <c r="A3400" s="3" t="s">
        <v>377</v>
      </c>
      <c r="G3400" s="20" t="n">
        <f aca="false">IF(G3398&lt;0,1,0)</f>
        <v>0</v>
      </c>
      <c r="H3400" s="20" t="n">
        <f aca="false">IF(H3398&lt;0,1,0)</f>
        <v>0</v>
      </c>
      <c r="I3400" s="20" t="n">
        <f aca="false">IF(I3398&lt;0,1,0)</f>
        <v>1</v>
      </c>
      <c r="J3400" s="20" t="n">
        <f aca="false">IF(J3398&lt;0,1,0)</f>
        <v>1</v>
      </c>
      <c r="K3400" s="20" t="n">
        <f aca="false">IF(K3398&lt;0,1,0)</f>
        <v>1</v>
      </c>
    </row>
    <row r="3401" customFormat="false" ht="15" hidden="false" customHeight="false" outlineLevel="0" collapsed="false">
      <c r="A3401" s="3" t="s">
        <v>378</v>
      </c>
      <c r="C3401" s="20" t="n">
        <f aca="false">IFERROR(INDEX($G$3253:$K$3253,MATCH(1,$G$3400:$K$3400,0)),0)</f>
        <v>2029</v>
      </c>
    </row>
    <row r="3402" customFormat="false" ht="15" hidden="false" customHeight="false" outlineLevel="0" collapsed="false">
      <c r="A3402" s="3" t="s">
        <v>379</v>
      </c>
      <c r="C3402" s="21" t="n">
        <f aca="false">MIN($G$3399:$K$3399)</f>
        <v>-0.406612935718938</v>
      </c>
    </row>
    <row r="3403" customFormat="false" ht="15" hidden="false" customHeight="false" outlineLevel="0" collapsed="false">
      <c r="A3403" s="3" t="s">
        <v>382</v>
      </c>
      <c r="G3403" s="20" t="n">
        <f aca="false">G3384+G3392+G3400</f>
        <v>0</v>
      </c>
      <c r="H3403" s="20" t="n">
        <f aca="false">H3384+H3392+H3400</f>
        <v>2</v>
      </c>
      <c r="I3403" s="20" t="n">
        <f aca="false">I3384+I3392+I3400</f>
        <v>3</v>
      </c>
      <c r="J3403" s="20" t="n">
        <f aca="false">J3384+J3392+J3400</f>
        <v>3</v>
      </c>
      <c r="K3403" s="20" t="n">
        <f aca="false">K3384+K3392+K3400</f>
        <v>3</v>
      </c>
    </row>
    <row r="3404" customFormat="false" ht="15" hidden="false" customHeight="false" outlineLevel="0" collapsed="false">
      <c r="A3404" s="3" t="s">
        <v>383</v>
      </c>
      <c r="C3404" s="20" t="n">
        <f aca="false">SUM($G$3403:$K$3403)</f>
        <v>11</v>
      </c>
    </row>
    <row r="3405" customFormat="false" ht="15" hidden="false" customHeight="false" outlineLevel="0" collapsed="false">
      <c r="A3405" s="3" t="s">
        <v>384</v>
      </c>
      <c r="C3405" s="21" t="n">
        <f aca="false">MIN(C3386,C3394,C3402)</f>
        <v>-0.467662453245407</v>
      </c>
    </row>
    <row r="3407" customFormat="false" ht="15" hidden="false" customHeight="false" outlineLevel="0" collapsed="false">
      <c r="A3407" s="23" t="s">
        <v>486</v>
      </c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</row>
    <row r="3408" customFormat="false" ht="15" hidden="false" customHeight="false" outlineLevel="0" collapsed="false">
      <c r="A3408" s="3" t="s">
        <v>487</v>
      </c>
      <c r="G3408" s="20" t="n">
        <f aca="false">IF($C$3409=1,G3361,IF(G3263=MIN($G$3263:$K$3263),1,0))</f>
        <v>0</v>
      </c>
      <c r="H3408" s="20" t="n">
        <f aca="false">IF($C$3409=1,H3361,IF(AND(H3263=MIN($G$3263:$K$3263),SUM($G$3408:G3408)=0),1,0))</f>
        <v>0</v>
      </c>
      <c r="I3408" s="20" t="n">
        <f aca="false">IF($C$3409=1,I3361,IF(AND(I3263=MIN($G$3263:$K$3263),SUM($G$3408:H3408)=0),1,0))</f>
        <v>0</v>
      </c>
      <c r="J3408" s="20" t="n">
        <f aca="false">IF($C$3409=1,J3361,IF(AND(J3263=MIN($G$3263:$K$3263),SUM($G$3408:I3408)=0),1,0))</f>
        <v>0</v>
      </c>
      <c r="K3408" s="20" t="n">
        <f aca="false">IF($C$3409=1,K3361,IF(AND(K3263=MIN($G$3263:$K$3263),SUM($G$3408:J3408)=0),1,0))</f>
        <v>1</v>
      </c>
    </row>
    <row r="3409" customFormat="false" ht="15" hidden="false" customHeight="false" outlineLevel="0" collapsed="false">
      <c r="A3409" s="3" t="s">
        <v>488</v>
      </c>
      <c r="C3409" s="20" t="n">
        <f aca="false">IF(SUM($G$3361:$K$3361)&gt;0,1,0)</f>
        <v>0</v>
      </c>
    </row>
    <row r="3410" customFormat="false" ht="15" hidden="false" customHeight="false" outlineLevel="0" collapsed="false">
      <c r="A3410" s="3" t="s">
        <v>489</v>
      </c>
      <c r="C3410" s="20" t="n">
        <f aca="false">SUMPRODUCT($G$3408:$K$3408,$G$3253:$K$3253)</f>
        <v>2031</v>
      </c>
    </row>
    <row r="3411" customFormat="false" ht="15" hidden="false" customHeight="false" outlineLevel="0" collapsed="false">
      <c r="A3411" s="3" t="s">
        <v>490</v>
      </c>
      <c r="C3411" s="25" t="n">
        <f aca="false">SUMPRODUCT($G$3408:$K$3408,$G$3263:$K$3263)</f>
        <v>163.037568277116</v>
      </c>
    </row>
    <row r="3412" customFormat="false" ht="15" hidden="false" customHeight="false" outlineLevel="0" collapsed="false">
      <c r="A3412" s="3" t="s">
        <v>491</v>
      </c>
      <c r="C3412" s="25" t="n">
        <f aca="false">MAX(0,SUMPRODUCT($G$3408:$K$3408,$G$3358:$K$3358))</f>
        <v>118.677412856212</v>
      </c>
    </row>
    <row r="3413" customFormat="false" ht="15" hidden="false" customHeight="false" outlineLevel="0" collapsed="false">
      <c r="A3413" s="3" t="s">
        <v>492</v>
      </c>
      <c r="C3413" s="25" t="n">
        <f aca="false">(CHOOSE($C$3246,Assumptions!$C$84,Assumptions!$C$103,Assumptions!$C$122)+$C$3250)*C3411</f>
        <v>733.669057247022</v>
      </c>
    </row>
    <row r="3414" customFormat="false" ht="15" hidden="false" customHeight="false" outlineLevel="0" collapsed="false">
      <c r="A3414" s="3" t="s">
        <v>493</v>
      </c>
      <c r="C3414" s="25" t="n">
        <f aca="false">Assumptions!$C$30*(1-CHOOSE($C$3246,Assumptions!$C$85,Assumptions!$C$104,Assumptions!$C$123))*CHOOSE($C$3246,Assumptions!$C$86,Assumptions!$C$105,Assumptions!$C$124)</f>
        <v>626.017605</v>
      </c>
    </row>
    <row r="3415" customFormat="false" ht="15" hidden="false" customHeight="false" outlineLevel="0" collapsed="false">
      <c r="A3415" s="3" t="s">
        <v>494</v>
      </c>
      <c r="C3415" s="25" t="n">
        <f aca="false">MAX(C3413,C3414)+C3412</f>
        <v>852.346470103234</v>
      </c>
    </row>
    <row r="3416" customFormat="false" ht="15" hidden="false" customHeight="false" outlineLevel="0" collapsed="false">
      <c r="A3416" s="2" t="s">
        <v>495</v>
      </c>
      <c r="C3416" s="16" t="n">
        <f aca="false">IF(ISNUMBER(Assumptions!$C$14),Assumptions!$C$14,C3415)</f>
        <v>852.346470103234</v>
      </c>
    </row>
    <row r="3417" customFormat="false" ht="15" hidden="false" customHeight="false" outlineLevel="0" collapsed="false">
      <c r="A3417" s="3" t="s">
        <v>496</v>
      </c>
      <c r="C3417" s="25" t="n">
        <f aca="false">C3416*Assumptions!$C$15</f>
        <v>34.0938588041294</v>
      </c>
    </row>
    <row r="3418" customFormat="false" ht="15" hidden="false" customHeight="false" outlineLevel="0" collapsed="false">
      <c r="A3418" s="2" t="s">
        <v>497</v>
      </c>
      <c r="C3418" s="16" t="n">
        <f aca="false">C3416-C3417</f>
        <v>818.252611299105</v>
      </c>
    </row>
    <row r="3419" customFormat="false" ht="15" hidden="false" customHeight="false" outlineLevel="0" collapsed="false">
      <c r="A3419" s="23" t="s">
        <v>498</v>
      </c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</row>
    <row r="3420" customFormat="false" ht="15" hidden="false" customHeight="false" outlineLevel="0" collapsed="false">
      <c r="A3420" s="3" t="s">
        <v>499</v>
      </c>
      <c r="C3420" s="25" t="n">
        <f aca="false">SUMPRODUCT($G$3408:$K$3408,$G$3300:$K$3300)*(1+SUMPRODUCT($G$3408:$K$3408,$G$3292:$K$3292)*Assumptions!$C$16/12)</f>
        <v>1349.6193225</v>
      </c>
    </row>
    <row r="3421" customFormat="false" ht="15" hidden="false" customHeight="false" outlineLevel="0" collapsed="false">
      <c r="A3421" s="3" t="s">
        <v>500</v>
      </c>
      <c r="C3421" s="25" t="n">
        <f aca="false">SUMPRODUCT($G$3408:$K$3408,$G$3313:$K$3313)*(1+SUMPRODUCT($G$3408:$K$3408,$G$3305:$K$3305)*Assumptions!$C$16/12)</f>
        <v>0</v>
      </c>
    </row>
    <row r="3422" customFormat="false" ht="15" hidden="false" customHeight="false" outlineLevel="0" collapsed="false">
      <c r="A3422" s="3" t="s">
        <v>501</v>
      </c>
      <c r="C3422" s="25" t="n">
        <f aca="false">SUMPRODUCT($G$3408:$K$3408,$G$3326:$K$3326)*(1+SUMPRODUCT($G$3408:$K$3408,$G$3318:$K$3318)*Assumptions!$C$16/12)</f>
        <v>0</v>
      </c>
    </row>
    <row r="3423" customFormat="false" ht="15" hidden="false" customHeight="false" outlineLevel="0" collapsed="false">
      <c r="A3423" s="23" t="s">
        <v>502</v>
      </c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</row>
    <row r="3424" customFormat="false" ht="15" hidden="false" customHeight="false" outlineLevel="0" collapsed="false">
      <c r="A3424" s="3" t="s">
        <v>499</v>
      </c>
      <c r="C3424" s="27" t="n">
        <f aca="false">Assumptions!$M$56</f>
        <v>1</v>
      </c>
    </row>
    <row r="3425" customFormat="false" ht="15" hidden="false" customHeight="false" outlineLevel="0" collapsed="false">
      <c r="A3425" s="3" t="s">
        <v>500</v>
      </c>
      <c r="C3425" s="27" t="n">
        <f aca="false">Assumptions!$M$57</f>
        <v>2</v>
      </c>
    </row>
    <row r="3426" customFormat="false" ht="15" hidden="false" customHeight="false" outlineLevel="0" collapsed="false">
      <c r="A3426" s="3" t="s">
        <v>501</v>
      </c>
      <c r="C3426" s="27" t="n">
        <f aca="false">Assumptions!$M$58</f>
        <v>2</v>
      </c>
    </row>
    <row r="3427" customFormat="false" ht="15" hidden="false" customHeight="false" outlineLevel="0" collapsed="false">
      <c r="A3427" s="23" t="s">
        <v>503</v>
      </c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</row>
    <row r="3428" customFormat="false" ht="15" hidden="false" customHeight="false" outlineLevel="0" collapsed="false">
      <c r="A3428" s="3" t="s">
        <v>499</v>
      </c>
      <c r="C3428" s="35" t="n">
        <f aca="false">Assumptions!$Q$56</f>
        <v>0</v>
      </c>
    </row>
    <row r="3429" customFormat="false" ht="15" hidden="false" customHeight="false" outlineLevel="0" collapsed="false">
      <c r="A3429" s="3" t="s">
        <v>500</v>
      </c>
      <c r="C3429" s="35" t="n">
        <f aca="false">Assumptions!$Q$57</f>
        <v>0</v>
      </c>
    </row>
    <row r="3430" customFormat="false" ht="15" hidden="false" customHeight="false" outlineLevel="0" collapsed="false">
      <c r="A3430" s="3" t="s">
        <v>501</v>
      </c>
      <c r="C3430" s="35" t="n">
        <f aca="false">Assumptions!$Q$58</f>
        <v>0</v>
      </c>
    </row>
    <row r="3431" customFormat="false" ht="15" hidden="false" customHeight="false" outlineLevel="0" collapsed="false">
      <c r="A3431" s="23" t="s">
        <v>504</v>
      </c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</row>
    <row r="3432" customFormat="false" ht="15" hidden="false" customHeight="false" outlineLevel="0" collapsed="false">
      <c r="A3432" s="3" t="s">
        <v>499</v>
      </c>
      <c r="C3432" s="25" t="n">
        <f aca="false">IF(C3428&gt;0,MIN(C3420,C3428*$C$3418),0)</f>
        <v>0</v>
      </c>
    </row>
    <row r="3433" customFormat="false" ht="15" hidden="false" customHeight="false" outlineLevel="0" collapsed="false">
      <c r="A3433" s="3" t="s">
        <v>500</v>
      </c>
      <c r="C3433" s="25" t="n">
        <f aca="false">IF(C3429&gt;0,MIN(C3421,C3429*$C$3418),0)</f>
        <v>0</v>
      </c>
    </row>
    <row r="3434" customFormat="false" ht="15" hidden="false" customHeight="false" outlineLevel="0" collapsed="false">
      <c r="A3434" s="3" t="s">
        <v>501</v>
      </c>
      <c r="C3434" s="25" t="n">
        <f aca="false">IF(C3430&gt;0,MIN(C3422,C3430*$C$3418),0)</f>
        <v>0</v>
      </c>
    </row>
    <row r="3435" customFormat="false" ht="15" hidden="false" customHeight="false" outlineLevel="0" collapsed="false">
      <c r="A3435" s="23" t="s">
        <v>505</v>
      </c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</row>
    <row r="3436" customFormat="false" ht="15" hidden="false" customHeight="false" outlineLevel="0" collapsed="false">
      <c r="A3436" s="3" t="s">
        <v>499</v>
      </c>
      <c r="C3436" s="25" t="n">
        <f aca="false">IF(C3428&gt;0,C3420-C3432,0)</f>
        <v>0</v>
      </c>
      <c r="G3436" s="20" t="n">
        <f aca="false">IF(AND(G3290=1,G3287=1),1,0)</f>
        <v>0</v>
      </c>
      <c r="H3436" s="20" t="n">
        <f aca="false">IF(G3436=1,1,IF(AND(H3290=1,H3287=1),1,0))</f>
        <v>0</v>
      </c>
      <c r="I3436" s="20" t="n">
        <f aca="false">IF(H3436=1,1,IF(AND(I3290=1,I3287=1),1,0))</f>
        <v>0</v>
      </c>
      <c r="J3436" s="20" t="n">
        <f aca="false">IF(I3436=1,1,IF(AND(J3290=1,J3287=1),1,0))</f>
        <v>0</v>
      </c>
      <c r="K3436" s="20" t="n">
        <f aca="false">IF(J3436=1,1,IF(AND(K3290=1,K3287=1),1,0))</f>
        <v>0</v>
      </c>
    </row>
    <row r="3437" customFormat="false" ht="15" hidden="false" customHeight="false" outlineLevel="0" collapsed="false">
      <c r="A3437" s="3" t="s">
        <v>500</v>
      </c>
      <c r="C3437" s="25" t="n">
        <f aca="false">IF(C3429&gt;0,C3421-C3433,0)</f>
        <v>0</v>
      </c>
      <c r="G3437" s="20" t="n">
        <f aca="false">IF(AND(G3303=1,G3287=1),1,0)</f>
        <v>0</v>
      </c>
      <c r="H3437" s="20" t="n">
        <f aca="false">IF(G3437=1,1,IF(AND(H3303=1,H3287=1),1,0))</f>
        <v>0</v>
      </c>
      <c r="I3437" s="20" t="n">
        <f aca="false">IF(H3437=1,1,IF(AND(I3303=1,I3287=1),1,0))</f>
        <v>0</v>
      </c>
      <c r="J3437" s="20" t="n">
        <f aca="false">IF(I3437=1,1,IF(AND(J3303=1,J3287=1),1,0))</f>
        <v>0</v>
      </c>
      <c r="K3437" s="20" t="n">
        <f aca="false">IF(J3437=1,1,IF(AND(K3303=1,K3287=1),1,0))</f>
        <v>0</v>
      </c>
    </row>
    <row r="3438" customFormat="false" ht="15" hidden="false" customHeight="false" outlineLevel="0" collapsed="false">
      <c r="A3438" s="3" t="s">
        <v>501</v>
      </c>
      <c r="C3438" s="25" t="n">
        <f aca="false">IF(C3430&gt;0,C3422-C3434,0)</f>
        <v>0</v>
      </c>
      <c r="G3438" s="20" t="n">
        <f aca="false">IF(AND(G3316=1,G3287=1),1,0)</f>
        <v>0</v>
      </c>
      <c r="H3438" s="20" t="n">
        <f aca="false">IF(G3438=1,1,IF(AND(H3316=1,H3287=1),1,0))</f>
        <v>0</v>
      </c>
      <c r="I3438" s="20" t="n">
        <f aca="false">IF(H3438=1,1,IF(AND(I3316=1,I3287=1),1,0))</f>
        <v>0</v>
      </c>
      <c r="J3438" s="20" t="n">
        <f aca="false">IF(I3438=1,1,IF(AND(J3316=1,J3287=1),1,0))</f>
        <v>0</v>
      </c>
      <c r="K3438" s="20" t="n">
        <f aca="false">IF(J3438=1,1,IF(AND(K3316=1,K3287=1),1,0))</f>
        <v>0</v>
      </c>
    </row>
    <row r="3439" customFormat="false" ht="15" hidden="false" customHeight="false" outlineLevel="0" collapsed="false">
      <c r="A3439" s="23" t="s">
        <v>506</v>
      </c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</row>
    <row r="3440" customFormat="false" ht="15" hidden="false" customHeight="false" outlineLevel="0" collapsed="false">
      <c r="A3440" s="3" t="s">
        <v>499</v>
      </c>
      <c r="C3440" s="25" t="n">
        <f aca="false">IF(C3428&gt;0,C3436,C3420)</f>
        <v>1349.6193225</v>
      </c>
    </row>
    <row r="3441" customFormat="false" ht="15" hidden="false" customHeight="false" outlineLevel="0" collapsed="false">
      <c r="A3441" s="3" t="s">
        <v>500</v>
      </c>
      <c r="C3441" s="25" t="n">
        <f aca="false">IF(C3429&gt;0,C3437,C3421)</f>
        <v>0</v>
      </c>
    </row>
    <row r="3442" customFormat="false" ht="15" hidden="false" customHeight="false" outlineLevel="0" collapsed="false">
      <c r="A3442" s="3" t="s">
        <v>501</v>
      </c>
      <c r="C3442" s="25" t="n">
        <f aca="false">IF(C3430&gt;0,C3438,C3422)</f>
        <v>0</v>
      </c>
    </row>
    <row r="3443" customFormat="false" ht="15" hidden="false" customHeight="false" outlineLevel="0" collapsed="false">
      <c r="A3443" s="23" t="s">
        <v>507</v>
      </c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</row>
    <row r="3444" customFormat="false" ht="15" hidden="false" customHeight="false" outlineLevel="0" collapsed="false">
      <c r="A3444" s="3" t="s">
        <v>499</v>
      </c>
      <c r="C3444" s="20" t="n">
        <f aca="false">IF(C3428&gt;0,Assumptions!$C$17,C3424)</f>
        <v>1</v>
      </c>
    </row>
    <row r="3445" customFormat="false" ht="15" hidden="false" customHeight="false" outlineLevel="0" collapsed="false">
      <c r="A3445" s="3" t="s">
        <v>500</v>
      </c>
      <c r="C3445" s="20" t="n">
        <f aca="false">IF(C3429&gt;0,Assumptions!$C$17,C3425)</f>
        <v>2</v>
      </c>
    </row>
    <row r="3446" customFormat="false" ht="15" hidden="false" customHeight="false" outlineLevel="0" collapsed="false">
      <c r="A3446" s="3" t="s">
        <v>501</v>
      </c>
      <c r="C3446" s="20" t="n">
        <f aca="false">IF(C3430&gt;0,Assumptions!$C$17,C3426)</f>
        <v>2</v>
      </c>
    </row>
    <row r="3447" customFormat="false" ht="15" hidden="false" customHeight="false" outlineLevel="0" collapsed="false">
      <c r="A3447" s="23" t="s">
        <v>508</v>
      </c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</row>
    <row r="3448" customFormat="false" ht="15" hidden="false" customHeight="false" outlineLevel="0" collapsed="false">
      <c r="A3448" s="3" t="s">
        <v>499</v>
      </c>
      <c r="C3448" s="25" t="n">
        <f aca="false">SUMPRODUCT(($C$3444:$C$3446&lt;C3444)*$C$3440:$C$3442)</f>
        <v>0</v>
      </c>
    </row>
    <row r="3449" customFormat="false" ht="15" hidden="false" customHeight="false" outlineLevel="0" collapsed="false">
      <c r="A3449" s="3" t="s">
        <v>500</v>
      </c>
      <c r="C3449" s="25" t="n">
        <f aca="false">SUMPRODUCT(($C$3444:$C$3446&lt;C3445)*$C$3440:$C$3442)</f>
        <v>1349.6193225</v>
      </c>
    </row>
    <row r="3450" customFormat="false" ht="15" hidden="false" customHeight="false" outlineLevel="0" collapsed="false">
      <c r="A3450" s="3" t="s">
        <v>501</v>
      </c>
      <c r="C3450" s="25" t="n">
        <f aca="false">SUMPRODUCT(($C$3444:$C$3446&lt;C3446)*$C$3440:$C$3442)</f>
        <v>1349.6193225</v>
      </c>
    </row>
    <row r="3451" customFormat="false" ht="15" hidden="false" customHeight="false" outlineLevel="0" collapsed="false">
      <c r="A3451" s="23" t="s">
        <v>509</v>
      </c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</row>
    <row r="3452" customFormat="false" ht="15" hidden="false" customHeight="false" outlineLevel="0" collapsed="false">
      <c r="A3452" s="3" t="s">
        <v>499</v>
      </c>
      <c r="C3452" s="25" t="n">
        <f aca="false">SUMPRODUCT(($C$3444:$C$3446=C3444)*$C$3440:$C$3442)</f>
        <v>1349.6193225</v>
      </c>
    </row>
    <row r="3453" customFormat="false" ht="15" hidden="false" customHeight="false" outlineLevel="0" collapsed="false">
      <c r="A3453" s="3" t="s">
        <v>500</v>
      </c>
      <c r="C3453" s="25" t="n">
        <f aca="false">SUMPRODUCT(($C$3444:$C$3446=C3445)*$C$3440:$C$3442)</f>
        <v>0</v>
      </c>
    </row>
    <row r="3454" customFormat="false" ht="15" hidden="false" customHeight="false" outlineLevel="0" collapsed="false">
      <c r="A3454" s="3" t="s">
        <v>501</v>
      </c>
      <c r="C3454" s="25" t="n">
        <f aca="false">SUMPRODUCT(($C$3444:$C$3446=C3446)*$C$3440:$C$3442)</f>
        <v>0</v>
      </c>
    </row>
    <row r="3455" customFormat="false" ht="15" hidden="false" customHeight="false" outlineLevel="0" collapsed="false">
      <c r="A3455" s="23" t="s">
        <v>510</v>
      </c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</row>
    <row r="3456" customFormat="false" ht="15" hidden="false" customHeight="false" outlineLevel="0" collapsed="false">
      <c r="A3456" s="3" t="s">
        <v>499</v>
      </c>
      <c r="C3456" s="25" t="n">
        <f aca="false">IF(C3452=0,0,C3440/C3452*MAX(0,MIN(C3452,$C$3418-SUM($C$3432:$C$3434)-C3448)))</f>
        <v>818.252611299105</v>
      </c>
    </row>
    <row r="3457" customFormat="false" ht="15" hidden="false" customHeight="false" outlineLevel="0" collapsed="false">
      <c r="A3457" s="3" t="s">
        <v>500</v>
      </c>
      <c r="C3457" s="25" t="n">
        <f aca="false">IF(C3453=0,0,C3441/C3453*MAX(0,MIN(C3453,$C$3418-SUM($C$3432:$C$3434)-C3449)))</f>
        <v>0</v>
      </c>
    </row>
    <row r="3458" customFormat="false" ht="15" hidden="false" customHeight="false" outlineLevel="0" collapsed="false">
      <c r="A3458" s="3" t="s">
        <v>501</v>
      </c>
      <c r="C3458" s="25" t="n">
        <f aca="false">IF(C3454=0,0,C3442/C3454*MAX(0,MIN(C3454,$C$3418-SUM($C$3432:$C$3434)-C3450)))</f>
        <v>0</v>
      </c>
    </row>
    <row r="3459" customFormat="false" ht="15" hidden="false" customHeight="false" outlineLevel="0" collapsed="false">
      <c r="A3459" s="23" t="s">
        <v>511</v>
      </c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</row>
    <row r="3460" customFormat="false" ht="15" hidden="false" customHeight="false" outlineLevel="0" collapsed="false">
      <c r="A3460" s="2" t="s">
        <v>499</v>
      </c>
      <c r="C3460" s="16" t="n">
        <f aca="false">C3432+C3456</f>
        <v>818.252611299105</v>
      </c>
    </row>
    <row r="3461" customFormat="false" ht="15" hidden="false" customHeight="false" outlineLevel="0" collapsed="false">
      <c r="A3461" s="2" t="s">
        <v>500</v>
      </c>
      <c r="C3461" s="16" t="n">
        <f aca="false">C3433+C3457</f>
        <v>0</v>
      </c>
    </row>
    <row r="3462" customFormat="false" ht="15" hidden="false" customHeight="false" outlineLevel="0" collapsed="false">
      <c r="A3462" s="2" t="s">
        <v>501</v>
      </c>
      <c r="C3462" s="16" t="n">
        <f aca="false">C3434+C3458</f>
        <v>0</v>
      </c>
    </row>
    <row r="3463" customFormat="false" ht="15" hidden="false" customHeight="false" outlineLevel="0" collapsed="false">
      <c r="A3463" s="23" t="s">
        <v>512</v>
      </c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</row>
    <row r="3464" customFormat="false" ht="15" hidden="false" customHeight="false" outlineLevel="0" collapsed="false">
      <c r="A3464" s="3" t="s">
        <v>499</v>
      </c>
      <c r="C3464" s="21" t="n">
        <f aca="false">IF(C3420=0,1,C3460/C3420)</f>
        <v>0.606284007392095</v>
      </c>
    </row>
    <row r="3465" customFormat="false" ht="15" hidden="false" customHeight="false" outlineLevel="0" collapsed="false">
      <c r="A3465" s="3" t="s">
        <v>500</v>
      </c>
      <c r="C3465" s="21" t="n">
        <f aca="false">IF(C3421=0,1,C3461/C3421)</f>
        <v>1</v>
      </c>
    </row>
    <row r="3466" customFormat="false" ht="15" hidden="false" customHeight="false" outlineLevel="0" collapsed="false">
      <c r="A3466" s="3" t="s">
        <v>501</v>
      </c>
      <c r="C3466" s="21" t="n">
        <f aca="false">IF(C3422=0,1,C3462/C3422)</f>
        <v>1</v>
      </c>
    </row>
    <row r="3467" customFormat="false" ht="15" hidden="false" customHeight="false" outlineLevel="0" collapsed="false">
      <c r="A3467" s="23" t="s">
        <v>513</v>
      </c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</row>
    <row r="3468" customFormat="false" ht="15" hidden="false" customHeight="false" outlineLevel="0" collapsed="false">
      <c r="A3468" s="3" t="s">
        <v>499</v>
      </c>
      <c r="C3468" s="25" t="n">
        <f aca="false">C3420-C3460</f>
        <v>531.366711200895</v>
      </c>
    </row>
    <row r="3469" customFormat="false" ht="15" hidden="false" customHeight="false" outlineLevel="0" collapsed="false">
      <c r="A3469" s="3" t="s">
        <v>500</v>
      </c>
      <c r="C3469" s="25" t="n">
        <f aca="false">C3421-C3461</f>
        <v>0</v>
      </c>
    </row>
    <row r="3470" customFormat="false" ht="15" hidden="false" customHeight="false" outlineLevel="0" collapsed="false">
      <c r="A3470" s="3" t="s">
        <v>501</v>
      </c>
      <c r="C3470" s="25" t="n">
        <f aca="false">C3422-C3462</f>
        <v>0</v>
      </c>
    </row>
    <row r="3471" customFormat="false" ht="15" hidden="false" customHeight="false" outlineLevel="0" collapsed="false">
      <c r="A3471" s="23" t="s">
        <v>514</v>
      </c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</row>
    <row r="3472" customFormat="false" ht="15" hidden="false" customHeight="false" outlineLevel="0" collapsed="false">
      <c r="A3472" s="3" t="s">
        <v>499</v>
      </c>
      <c r="C3472" s="21" t="n">
        <f aca="false">IF(C3420=0,0,C3468/C3420)</f>
        <v>0.393715992607905</v>
      </c>
    </row>
    <row r="3473" customFormat="false" ht="15" hidden="false" customHeight="false" outlineLevel="0" collapsed="false">
      <c r="A3473" s="3" t="s">
        <v>500</v>
      </c>
      <c r="C3473" s="21" t="n">
        <f aca="false">IF(C3421=0,0,C3469/C3421)</f>
        <v>0</v>
      </c>
    </row>
    <row r="3474" customFormat="false" ht="15" hidden="false" customHeight="false" outlineLevel="0" collapsed="false">
      <c r="A3474" s="3" t="s">
        <v>501</v>
      </c>
      <c r="C3474" s="21" t="n">
        <f aca="false">IF(C3422=0,0,C3470/C3422)</f>
        <v>0</v>
      </c>
    </row>
    <row r="3475" customFormat="false" ht="15" hidden="false" customHeight="false" outlineLevel="0" collapsed="false">
      <c r="A3475" s="2" t="s">
        <v>515</v>
      </c>
      <c r="C3475" s="16" t="n">
        <f aca="false">MAX(0,$C$3418-SUM($C$3432:$C$3434)-SUM($C$3440:$C$3442))</f>
        <v>0</v>
      </c>
    </row>
    <row r="3476" customFormat="false" ht="15" hidden="false" customHeight="false" outlineLevel="0" collapsed="false">
      <c r="A3476" s="3" t="s">
        <v>516</v>
      </c>
      <c r="C3476" s="25" t="n">
        <f aca="false">SUM($C$3460:$C$3462)+C3475+C3417-C3416</f>
        <v>0</v>
      </c>
    </row>
    <row r="3478" customFormat="false" ht="15" hidden="false" customHeight="false" outlineLevel="0" collapsed="false">
      <c r="A3478" s="23" t="s">
        <v>519</v>
      </c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</row>
    <row r="3479" customFormat="false" ht="15" hidden="false" customHeight="false" outlineLevel="0" collapsed="false">
      <c r="A3479" s="3" t="s">
        <v>520</v>
      </c>
      <c r="C3479" s="27" t="n">
        <f aca="false">Assumptions!$C$33</f>
        <v>1</v>
      </c>
    </row>
    <row r="3480" customFormat="false" ht="15" hidden="false" customHeight="false" outlineLevel="0" collapsed="false">
      <c r="A3480" s="3" t="s">
        <v>521</v>
      </c>
      <c r="C3480" s="29" t="n">
        <f aca="false">Assumptions!$C$34</f>
        <v>100</v>
      </c>
    </row>
    <row r="3481" customFormat="false" ht="15" hidden="false" customHeight="false" outlineLevel="0" collapsed="false">
      <c r="A3481" s="3" t="s">
        <v>522</v>
      </c>
      <c r="C3481" s="40" t="n">
        <f aca="false">Assumptions!$C$35</f>
        <v>95</v>
      </c>
    </row>
    <row r="3482" customFormat="false" ht="15" hidden="false" customHeight="false" outlineLevel="0" collapsed="false">
      <c r="A3482" s="3" t="s">
        <v>523</v>
      </c>
      <c r="C3482" s="25" t="n">
        <f aca="false">C3480*C3481/100*(1+Assumptions!$C$36)</f>
        <v>95</v>
      </c>
    </row>
    <row r="3483" customFormat="false" ht="15" hidden="false" customHeight="false" outlineLevel="0" collapsed="false">
      <c r="A3483" s="3" t="s">
        <v>524</v>
      </c>
      <c r="C3483" s="27" t="n">
        <f aca="false">Assumptions!$C$37</f>
        <v>3</v>
      </c>
    </row>
    <row r="3484" customFormat="false" ht="15" hidden="false" customHeight="false" outlineLevel="0" collapsed="false">
      <c r="A3484" s="3" t="s">
        <v>525</v>
      </c>
      <c r="C3484" s="20" t="n">
        <f aca="false">IF(C3409=1,SUMPRODUCT($G$3361:$K$3361,$G$3254:$K$3254),0)</f>
        <v>0</v>
      </c>
    </row>
    <row r="3485" customFormat="false" ht="15" hidden="false" customHeight="false" outlineLevel="0" collapsed="false">
      <c r="A3485" s="3" t="s">
        <v>526</v>
      </c>
      <c r="C3485" s="21" t="n">
        <f aca="false">IFERROR(C3480/CHOOSE(C3479,SUMPRODUCT($G$3408:$K$3408,$G$3300:$K$3300),SUMPRODUCT($G$3408:$K$3408,$G$3313:$K$3313),SUMPRODUCT($G$3408:$K$3408,$G$3326:$K$3326)),0)</f>
        <v>0.0760399605200525</v>
      </c>
    </row>
    <row r="3486" customFormat="false" ht="15" hidden="false" customHeight="false" outlineLevel="0" collapsed="false">
      <c r="A3486" s="3" t="s">
        <v>527</v>
      </c>
      <c r="C3486" s="25" t="n">
        <f aca="false">CHOOSE(C3479,C3460,C3461,C3462)*C3485</f>
        <v>62.2198962586138</v>
      </c>
    </row>
    <row r="3487" customFormat="false" ht="15" hidden="false" customHeight="false" outlineLevel="0" collapsed="false">
      <c r="A3487" s="3" t="s">
        <v>528</v>
      </c>
      <c r="C3487" s="21" t="n">
        <f aca="false">CHOOSE(C3479,C3464,C3465,C3466)</f>
        <v>0.606284007392095</v>
      </c>
    </row>
    <row r="3488" customFormat="false" ht="15" hidden="false" customHeight="false" outlineLevel="0" collapsed="false">
      <c r="A3488" s="3" t="s">
        <v>529</v>
      </c>
      <c r="C3488" s="20" t="n">
        <f aca="false">IF(C3409=1,C3484,C3483)</f>
        <v>3</v>
      </c>
    </row>
    <row r="3489" customFormat="false" ht="15" hidden="false" customHeight="false" outlineLevel="0" collapsed="false">
      <c r="A3489" s="3" t="s">
        <v>530</v>
      </c>
      <c r="C3489" s="34" t="n">
        <f aca="false">CHOOSE($C$3246,Assumptions!$C$83,Assumptions!$C$102,Assumptions!$C$121)</f>
        <v>95</v>
      </c>
    </row>
    <row r="3490" customFormat="false" ht="15" hidden="false" customHeight="false" outlineLevel="0" collapsed="false">
      <c r="A3490" s="3" t="s">
        <v>531</v>
      </c>
      <c r="C3490" s="25" t="n">
        <f aca="false">INDEX($G$3263:$K$3263,C3483)*CHOOSE($C$3246,Assumptions!$C$82,Assumptions!$C$101,Assumptions!$C$120)+MAX(0,INDEX($G$3358:$K$3358,C3483))</f>
        <v>1068.84800987949</v>
      </c>
    </row>
    <row r="3491" customFormat="false" ht="15" hidden="false" customHeight="false" outlineLevel="0" collapsed="false">
      <c r="A3491" s="23" t="s">
        <v>532</v>
      </c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</row>
    <row r="3492" customFormat="false" ht="15" hidden="false" customHeight="false" outlineLevel="0" collapsed="false">
      <c r="A3492" s="3" t="s">
        <v>499</v>
      </c>
      <c r="C3492" s="25" t="n">
        <f aca="false">INDEX($G$3300:$K$3300,C3483)</f>
        <v>1315.098</v>
      </c>
    </row>
    <row r="3493" customFormat="false" ht="15" hidden="false" customHeight="false" outlineLevel="0" collapsed="false">
      <c r="A3493" s="3" t="s">
        <v>500</v>
      </c>
      <c r="C3493" s="25" t="n">
        <f aca="false">INDEX($G$3313:$K$3313,C3483)</f>
        <v>0</v>
      </c>
    </row>
    <row r="3494" customFormat="false" ht="15" hidden="false" customHeight="false" outlineLevel="0" collapsed="false">
      <c r="A3494" s="3" t="s">
        <v>501</v>
      </c>
      <c r="C3494" s="25" t="n">
        <f aca="false">INDEX($G$3326:$K$3326,C3483)</f>
        <v>0</v>
      </c>
    </row>
    <row r="3495" customFormat="false" ht="15" hidden="false" customHeight="false" outlineLevel="0" collapsed="false">
      <c r="A3495" s="23" t="s">
        <v>502</v>
      </c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</row>
    <row r="3496" customFormat="false" ht="15" hidden="false" customHeight="false" outlineLevel="0" collapsed="false">
      <c r="A3496" s="3" t="s">
        <v>499</v>
      </c>
      <c r="C3496" s="27" t="n">
        <f aca="false">Assumptions!$M$56</f>
        <v>1</v>
      </c>
    </row>
    <row r="3497" customFormat="false" ht="15" hidden="false" customHeight="false" outlineLevel="0" collapsed="false">
      <c r="A3497" s="3" t="s">
        <v>500</v>
      </c>
      <c r="C3497" s="27" t="n">
        <f aca="false">Assumptions!$M$57</f>
        <v>2</v>
      </c>
    </row>
    <row r="3498" customFormat="false" ht="15" hidden="false" customHeight="false" outlineLevel="0" collapsed="false">
      <c r="A3498" s="3" t="s">
        <v>501</v>
      </c>
      <c r="C3498" s="27" t="n">
        <f aca="false">Assumptions!$M$58</f>
        <v>2</v>
      </c>
    </row>
    <row r="3499" customFormat="false" ht="15" hidden="false" customHeight="false" outlineLevel="0" collapsed="false">
      <c r="A3499" s="23" t="s">
        <v>503</v>
      </c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</row>
    <row r="3500" customFormat="false" ht="15" hidden="false" customHeight="false" outlineLevel="0" collapsed="false">
      <c r="A3500" s="3" t="s">
        <v>499</v>
      </c>
      <c r="C3500" s="35" t="n">
        <f aca="false">Assumptions!$Q$56</f>
        <v>0</v>
      </c>
    </row>
    <row r="3501" customFormat="false" ht="15" hidden="false" customHeight="false" outlineLevel="0" collapsed="false">
      <c r="A3501" s="3" t="s">
        <v>500</v>
      </c>
      <c r="C3501" s="35" t="n">
        <f aca="false">Assumptions!$Q$57</f>
        <v>0</v>
      </c>
    </row>
    <row r="3502" customFormat="false" ht="15" hidden="false" customHeight="false" outlineLevel="0" collapsed="false">
      <c r="A3502" s="3" t="s">
        <v>501</v>
      </c>
      <c r="C3502" s="35" t="n">
        <f aca="false">Assumptions!$Q$58</f>
        <v>0</v>
      </c>
    </row>
    <row r="3503" customFormat="false" ht="15" hidden="false" customHeight="false" outlineLevel="0" collapsed="false">
      <c r="A3503" s="23" t="s">
        <v>504</v>
      </c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</row>
    <row r="3504" customFormat="false" ht="15" hidden="false" customHeight="false" outlineLevel="0" collapsed="false">
      <c r="A3504" s="3" t="s">
        <v>499</v>
      </c>
      <c r="C3504" s="25" t="n">
        <f aca="false">IF(C3500&gt;0,MIN(C3492,C3500*$C$3490),0)</f>
        <v>0</v>
      </c>
    </row>
    <row r="3505" customFormat="false" ht="15" hidden="false" customHeight="false" outlineLevel="0" collapsed="false">
      <c r="A3505" s="3" t="s">
        <v>500</v>
      </c>
      <c r="C3505" s="25" t="n">
        <f aca="false">IF(C3501&gt;0,MIN(C3493,C3501*$C$3490),0)</f>
        <v>0</v>
      </c>
    </row>
    <row r="3506" customFormat="false" ht="15" hidden="false" customHeight="false" outlineLevel="0" collapsed="false">
      <c r="A3506" s="3" t="s">
        <v>501</v>
      </c>
      <c r="C3506" s="25" t="n">
        <f aca="false">IF(C3502&gt;0,MIN(C3494,C3502*$C$3490),0)</f>
        <v>0</v>
      </c>
    </row>
    <row r="3507" customFormat="false" ht="15" hidden="false" customHeight="false" outlineLevel="0" collapsed="false">
      <c r="A3507" s="23" t="s">
        <v>505</v>
      </c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</row>
    <row r="3508" customFormat="false" ht="15" hidden="false" customHeight="false" outlineLevel="0" collapsed="false">
      <c r="A3508" s="3" t="s">
        <v>499</v>
      </c>
      <c r="C3508" s="25" t="n">
        <f aca="false">IF(C3500&gt;0,C3492-C3504,0)</f>
        <v>0</v>
      </c>
    </row>
    <row r="3509" customFormat="false" ht="15" hidden="false" customHeight="false" outlineLevel="0" collapsed="false">
      <c r="A3509" s="3" t="s">
        <v>500</v>
      </c>
      <c r="C3509" s="25" t="n">
        <f aca="false">IF(C3501&gt;0,C3493-C3505,0)</f>
        <v>0</v>
      </c>
    </row>
    <row r="3510" customFormat="false" ht="15" hidden="false" customHeight="false" outlineLevel="0" collapsed="false">
      <c r="A3510" s="3" t="s">
        <v>501</v>
      </c>
      <c r="C3510" s="25" t="n">
        <f aca="false">IF(C3502&gt;0,C3494-C3506,0)</f>
        <v>0</v>
      </c>
    </row>
    <row r="3511" customFormat="false" ht="15" hidden="false" customHeight="false" outlineLevel="0" collapsed="false">
      <c r="A3511" s="23" t="s">
        <v>506</v>
      </c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</row>
    <row r="3512" customFormat="false" ht="15" hidden="false" customHeight="false" outlineLevel="0" collapsed="false">
      <c r="A3512" s="3" t="s">
        <v>499</v>
      </c>
      <c r="C3512" s="25" t="n">
        <f aca="false">IF(C3500&gt;0,C3508,C3492)</f>
        <v>1315.098</v>
      </c>
    </row>
    <row r="3513" customFormat="false" ht="15" hidden="false" customHeight="false" outlineLevel="0" collapsed="false">
      <c r="A3513" s="3" t="s">
        <v>500</v>
      </c>
      <c r="C3513" s="25" t="n">
        <f aca="false">IF(C3501&gt;0,C3509,C3493)</f>
        <v>0</v>
      </c>
    </row>
    <row r="3514" customFormat="false" ht="15" hidden="false" customHeight="false" outlineLevel="0" collapsed="false">
      <c r="A3514" s="3" t="s">
        <v>501</v>
      </c>
      <c r="C3514" s="25" t="n">
        <f aca="false">IF(C3502&gt;0,C3510,C3494)</f>
        <v>0</v>
      </c>
    </row>
    <row r="3515" customFormat="false" ht="15" hidden="false" customHeight="false" outlineLevel="0" collapsed="false">
      <c r="A3515" s="23" t="s">
        <v>507</v>
      </c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</row>
    <row r="3516" customFormat="false" ht="15" hidden="false" customHeight="false" outlineLevel="0" collapsed="false">
      <c r="A3516" s="3" t="s">
        <v>499</v>
      </c>
      <c r="C3516" s="20" t="n">
        <f aca="false">IF(C3500&gt;0,Assumptions!$C$17,C3496)</f>
        <v>1</v>
      </c>
    </row>
    <row r="3517" customFormat="false" ht="15" hidden="false" customHeight="false" outlineLevel="0" collapsed="false">
      <c r="A3517" s="3" t="s">
        <v>500</v>
      </c>
      <c r="C3517" s="20" t="n">
        <f aca="false">IF(C3501&gt;0,Assumptions!$C$17,C3497)</f>
        <v>2</v>
      </c>
    </row>
    <row r="3518" customFormat="false" ht="15" hidden="false" customHeight="false" outlineLevel="0" collapsed="false">
      <c r="A3518" s="3" t="s">
        <v>501</v>
      </c>
      <c r="C3518" s="20" t="n">
        <f aca="false">IF(C3502&gt;0,Assumptions!$C$17,C3498)</f>
        <v>2</v>
      </c>
    </row>
    <row r="3519" customFormat="false" ht="15" hidden="false" customHeight="false" outlineLevel="0" collapsed="false">
      <c r="A3519" s="23" t="s">
        <v>508</v>
      </c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</row>
    <row r="3520" customFormat="false" ht="15" hidden="false" customHeight="false" outlineLevel="0" collapsed="false">
      <c r="A3520" s="3" t="s">
        <v>499</v>
      </c>
      <c r="C3520" s="25" t="n">
        <f aca="false">SUMPRODUCT(($C$3516:$C$3518&lt;C3516)*$C$3512:$C$3514)</f>
        <v>0</v>
      </c>
    </row>
    <row r="3521" customFormat="false" ht="15" hidden="false" customHeight="false" outlineLevel="0" collapsed="false">
      <c r="A3521" s="3" t="s">
        <v>500</v>
      </c>
      <c r="C3521" s="25" t="n">
        <f aca="false">SUMPRODUCT(($C$3516:$C$3518&lt;C3517)*$C$3512:$C$3514)</f>
        <v>1315.098</v>
      </c>
    </row>
    <row r="3522" customFormat="false" ht="15" hidden="false" customHeight="false" outlineLevel="0" collapsed="false">
      <c r="A3522" s="3" t="s">
        <v>501</v>
      </c>
      <c r="C3522" s="25" t="n">
        <f aca="false">SUMPRODUCT(($C$3516:$C$3518&lt;C3518)*$C$3512:$C$3514)</f>
        <v>1315.098</v>
      </c>
    </row>
    <row r="3523" customFormat="false" ht="15" hidden="false" customHeight="false" outlineLevel="0" collapsed="false">
      <c r="A3523" s="23" t="s">
        <v>509</v>
      </c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</row>
    <row r="3524" customFormat="false" ht="15" hidden="false" customHeight="false" outlineLevel="0" collapsed="false">
      <c r="A3524" s="3" t="s">
        <v>499</v>
      </c>
      <c r="C3524" s="25" t="n">
        <f aca="false">SUMPRODUCT(($C$3516:$C$3518=C3516)*$C$3512:$C$3514)</f>
        <v>1315.098</v>
      </c>
    </row>
    <row r="3525" customFormat="false" ht="15" hidden="false" customHeight="false" outlineLevel="0" collapsed="false">
      <c r="A3525" s="3" t="s">
        <v>500</v>
      </c>
      <c r="C3525" s="25" t="n">
        <f aca="false">SUMPRODUCT(($C$3516:$C$3518=C3517)*$C$3512:$C$3514)</f>
        <v>0</v>
      </c>
    </row>
    <row r="3526" customFormat="false" ht="15" hidden="false" customHeight="false" outlineLevel="0" collapsed="false">
      <c r="A3526" s="3" t="s">
        <v>501</v>
      </c>
      <c r="C3526" s="25" t="n">
        <f aca="false">SUMPRODUCT(($C$3516:$C$3518=C3518)*$C$3512:$C$3514)</f>
        <v>0</v>
      </c>
    </row>
    <row r="3527" customFormat="false" ht="15" hidden="false" customHeight="false" outlineLevel="0" collapsed="false">
      <c r="A3527" s="23" t="s">
        <v>510</v>
      </c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</row>
    <row r="3528" customFormat="false" ht="15" hidden="false" customHeight="false" outlineLevel="0" collapsed="false">
      <c r="A3528" s="3" t="s">
        <v>499</v>
      </c>
      <c r="C3528" s="25" t="n">
        <f aca="false">IF(C3524=0,0,C3512/C3524*MAX(0,MIN(C3524,$C$3490-SUM($C$3504:$C$3506)-C3520)))</f>
        <v>1068.84800987949</v>
      </c>
    </row>
    <row r="3529" customFormat="false" ht="15" hidden="false" customHeight="false" outlineLevel="0" collapsed="false">
      <c r="A3529" s="3" t="s">
        <v>500</v>
      </c>
      <c r="C3529" s="25" t="n">
        <f aca="false">IF(C3525=0,0,C3513/C3525*MAX(0,MIN(C3525,$C$3490-SUM($C$3504:$C$3506)-C3521)))</f>
        <v>0</v>
      </c>
    </row>
    <row r="3530" customFormat="false" ht="15" hidden="false" customHeight="false" outlineLevel="0" collapsed="false">
      <c r="A3530" s="3" t="s">
        <v>501</v>
      </c>
      <c r="C3530" s="25" t="n">
        <f aca="false">IF(C3526=0,0,C3514/C3526*MAX(0,MIN(C3526,$C$3490-SUM($C$3504:$C$3506)-C3522)))</f>
        <v>0</v>
      </c>
    </row>
    <row r="3531" customFormat="false" ht="15" hidden="false" customHeight="false" outlineLevel="0" collapsed="false">
      <c r="A3531" s="23" t="s">
        <v>511</v>
      </c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</row>
    <row r="3532" customFormat="false" ht="15" hidden="false" customHeight="false" outlineLevel="0" collapsed="false">
      <c r="A3532" s="2" t="s">
        <v>499</v>
      </c>
      <c r="C3532" s="16" t="n">
        <f aca="false">C3504+C3528</f>
        <v>1068.84800987949</v>
      </c>
    </row>
    <row r="3533" customFormat="false" ht="15" hidden="false" customHeight="false" outlineLevel="0" collapsed="false">
      <c r="A3533" s="2" t="s">
        <v>500</v>
      </c>
      <c r="C3533" s="16" t="n">
        <f aca="false">C3505+C3529</f>
        <v>0</v>
      </c>
    </row>
    <row r="3534" customFormat="false" ht="15" hidden="false" customHeight="false" outlineLevel="0" collapsed="false">
      <c r="A3534" s="2" t="s">
        <v>501</v>
      </c>
      <c r="C3534" s="16" t="n">
        <f aca="false">C3506+C3530</f>
        <v>0</v>
      </c>
    </row>
    <row r="3535" customFormat="false" ht="15" hidden="false" customHeight="false" outlineLevel="0" collapsed="false">
      <c r="A3535" s="23" t="s">
        <v>512</v>
      </c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</row>
    <row r="3536" customFormat="false" ht="15" hidden="false" customHeight="false" outlineLevel="0" collapsed="false">
      <c r="A3536" s="3" t="s">
        <v>499</v>
      </c>
      <c r="C3536" s="21" t="n">
        <f aca="false">IF(C3492=0,1,C3532/C3492)</f>
        <v>0.812751604731729</v>
      </c>
    </row>
    <row r="3537" customFormat="false" ht="15" hidden="false" customHeight="false" outlineLevel="0" collapsed="false">
      <c r="A3537" s="3" t="s">
        <v>500</v>
      </c>
      <c r="C3537" s="21" t="n">
        <f aca="false">IF(C3493=0,1,C3533/C3493)</f>
        <v>1</v>
      </c>
    </row>
    <row r="3538" customFormat="false" ht="15" hidden="false" customHeight="false" outlineLevel="0" collapsed="false">
      <c r="A3538" s="3" t="s">
        <v>501</v>
      </c>
      <c r="C3538" s="21" t="n">
        <f aca="false">IF(C3494=0,1,C3534/C3494)</f>
        <v>1</v>
      </c>
    </row>
    <row r="3539" customFormat="false" ht="15" hidden="false" customHeight="false" outlineLevel="0" collapsed="false">
      <c r="A3539" s="23" t="s">
        <v>513</v>
      </c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</row>
    <row r="3540" customFormat="false" ht="15" hidden="false" customHeight="false" outlineLevel="0" collapsed="false">
      <c r="A3540" s="3" t="s">
        <v>499</v>
      </c>
      <c r="C3540" s="25" t="n">
        <f aca="false">C3492-C3532</f>
        <v>246.249990120512</v>
      </c>
    </row>
    <row r="3541" customFormat="false" ht="15" hidden="false" customHeight="false" outlineLevel="0" collapsed="false">
      <c r="A3541" s="3" t="s">
        <v>500</v>
      </c>
      <c r="C3541" s="25" t="n">
        <f aca="false">C3493-C3533</f>
        <v>0</v>
      </c>
    </row>
    <row r="3542" customFormat="false" ht="15" hidden="false" customHeight="false" outlineLevel="0" collapsed="false">
      <c r="A3542" s="3" t="s">
        <v>501</v>
      </c>
      <c r="C3542" s="25" t="n">
        <f aca="false">C3494-C3534</f>
        <v>0</v>
      </c>
    </row>
    <row r="3543" customFormat="false" ht="15" hidden="false" customHeight="false" outlineLevel="0" collapsed="false">
      <c r="A3543" s="23" t="s">
        <v>514</v>
      </c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</row>
    <row r="3544" customFormat="false" ht="15" hidden="false" customHeight="false" outlineLevel="0" collapsed="false">
      <c r="A3544" s="3" t="s">
        <v>499</v>
      </c>
      <c r="C3544" s="21" t="n">
        <f aca="false">IF(C3492=0,0,C3540/C3492)</f>
        <v>0.187248395268271</v>
      </c>
    </row>
    <row r="3545" customFormat="false" ht="15" hidden="false" customHeight="false" outlineLevel="0" collapsed="false">
      <c r="A3545" s="3" t="s">
        <v>500</v>
      </c>
      <c r="C3545" s="21" t="n">
        <f aca="false">IF(C3493=0,0,C3541/C3493)</f>
        <v>0</v>
      </c>
    </row>
    <row r="3546" customFormat="false" ht="15" hidden="false" customHeight="false" outlineLevel="0" collapsed="false">
      <c r="A3546" s="3" t="s">
        <v>501</v>
      </c>
      <c r="C3546" s="21" t="n">
        <f aca="false">IF(C3494=0,0,C3542/C3494)</f>
        <v>0</v>
      </c>
    </row>
    <row r="3547" customFormat="false" ht="15" hidden="false" customHeight="false" outlineLevel="0" collapsed="false">
      <c r="A3547" s="2" t="s">
        <v>515</v>
      </c>
      <c r="C3547" s="16" t="n">
        <f aca="false">MAX(0,$C$3490-SUM($C$3504:$C$3506)-SUM($C$3512:$C$3514))</f>
        <v>0</v>
      </c>
    </row>
    <row r="3548" customFormat="false" ht="15" hidden="false" customHeight="false" outlineLevel="0" collapsed="false">
      <c r="A3548" s="3" t="s">
        <v>533</v>
      </c>
      <c r="C3548" s="34" t="n">
        <f aca="false">MIN(C3489,100*CHOOSE(C3479,C3536,C3537,C3538))</f>
        <v>81.2751604731729</v>
      </c>
    </row>
    <row r="3549" customFormat="false" ht="15" hidden="false" customHeight="false" outlineLevel="0" collapsed="false">
      <c r="A3549" s="3" t="s">
        <v>534</v>
      </c>
      <c r="C3549" s="20" t="n">
        <f aca="false">IF(C3409=1,C3484+Assumptions!$C$39,C3483)</f>
        <v>3</v>
      </c>
    </row>
    <row r="3550" customFormat="false" ht="15" hidden="false" customHeight="false" outlineLevel="0" collapsed="false">
      <c r="A3550" s="23" t="s">
        <v>535</v>
      </c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</row>
    <row r="3551" customFormat="false" ht="15" hidden="false" customHeight="false" outlineLevel="0" collapsed="false">
      <c r="A3551" s="3" t="s">
        <v>536</v>
      </c>
      <c r="C3551" s="20" t="n">
        <f aca="false">COLUMN()-COLUMN($C$1)</f>
        <v>0</v>
      </c>
      <c r="D3551" s="20" t="n">
        <f aca="false">COLUMN()-COLUMN($C$1)</f>
        <v>1</v>
      </c>
      <c r="E3551" s="20" t="n">
        <f aca="false">COLUMN()-COLUMN($C$1)</f>
        <v>2</v>
      </c>
      <c r="F3551" s="20" t="n">
        <f aca="false">COLUMN()-COLUMN($C$1)</f>
        <v>3</v>
      </c>
      <c r="G3551" s="20" t="n">
        <f aca="false">COLUMN()-COLUMN($C$1)</f>
        <v>4</v>
      </c>
      <c r="H3551" s="20" t="n">
        <f aca="false">COLUMN()-COLUMN($C$1)</f>
        <v>5</v>
      </c>
      <c r="I3551" s="20" t="n">
        <f aca="false">COLUMN()-COLUMN($C$1)</f>
        <v>6</v>
      </c>
    </row>
    <row r="3552" customFormat="false" ht="15" hidden="false" customHeight="false" outlineLevel="0" collapsed="false">
      <c r="A3552" s="3" t="s">
        <v>537</v>
      </c>
      <c r="D3552" s="31" t="n">
        <f aca="false">CHOOSE($C$3479,G3292,G3305,G3318)</f>
        <v>0.105</v>
      </c>
      <c r="E3552" s="31" t="n">
        <f aca="false">CHOOSE($C$3479,H3292,H3305,H3318)</f>
        <v>0.105</v>
      </c>
      <c r="F3552" s="31" t="n">
        <f aca="false">CHOOSE($C$3479,I3292,I3305,I3318)</f>
        <v>0.105</v>
      </c>
      <c r="G3552" s="31" t="n">
        <f aca="false">CHOOSE($C$3479,J3292,J3305,J3318)</f>
        <v>0.105</v>
      </c>
      <c r="H3552" s="31" t="n">
        <f aca="false">CHOOSE($C$3479,K3292,K3305,K3318)</f>
        <v>0.105</v>
      </c>
    </row>
    <row r="3553" customFormat="false" ht="15" hidden="false" customHeight="false" outlineLevel="0" collapsed="false">
      <c r="A3553" s="3" t="s">
        <v>538</v>
      </c>
      <c r="D3553" s="25" t="n">
        <f aca="false">IF(D3551&lt;=$C$3488,$C$3480*D3552,0)</f>
        <v>10.5</v>
      </c>
      <c r="E3553" s="25" t="n">
        <f aca="false">IF(E3551&lt;=$C$3488,$C$3480*E3552,0)</f>
        <v>10.5</v>
      </c>
      <c r="F3553" s="25" t="n">
        <f aca="false">IF(F3551&lt;=$C$3488,$C$3480*F3552,0)</f>
        <v>10.5</v>
      </c>
      <c r="G3553" s="25" t="n">
        <f aca="false">IF(G3551&lt;=$C$3488,$C$3480*G3552,0)</f>
        <v>0</v>
      </c>
      <c r="H3553" s="25" t="n">
        <f aca="false">IF(H3551&lt;=$C$3488,$C$3480*H3552,0)</f>
        <v>0</v>
      </c>
    </row>
    <row r="3554" customFormat="false" ht="15" hidden="false" customHeight="false" outlineLevel="0" collapsed="false">
      <c r="A3554" s="3" t="s">
        <v>539</v>
      </c>
      <c r="D3554" s="25" t="n">
        <f aca="false">IF(AND($C$3409=0,D3551=$C$3483),$C$3480*$C$3548/100,0)+IF(AND($C$3409=1,D3551=$C$3549),$C$3486,0)</f>
        <v>0</v>
      </c>
      <c r="E3554" s="25" t="n">
        <f aca="false">IF(AND($C$3409=0,E3551=$C$3483),$C$3480*$C$3548/100,0)+IF(AND($C$3409=1,E3551=$C$3549),$C$3486,0)</f>
        <v>0</v>
      </c>
      <c r="F3554" s="25" t="n">
        <f aca="false">IF(AND($C$3409=0,F3551=$C$3483),$C$3480*$C$3548/100,0)+IF(AND($C$3409=1,F3551=$C$3549),$C$3486,0)</f>
        <v>81.2751604731729</v>
      </c>
      <c r="G3554" s="25" t="n">
        <f aca="false">IF(AND($C$3409=0,G3551=$C$3483),$C$3480*$C$3548/100,0)+IF(AND($C$3409=1,G3551=$C$3549),$C$3486,0)</f>
        <v>0</v>
      </c>
      <c r="H3554" s="25" t="n">
        <f aca="false">IF(AND($C$3409=0,H3551=$C$3483),$C$3480*$C$3548/100,0)+IF(AND($C$3409=1,H3551=$C$3549),$C$3486,0)</f>
        <v>0</v>
      </c>
      <c r="I3554" s="25" t="n">
        <f aca="false">IF(AND($C$3409=0,I3551=$C$3483),$C$3480*$C$3548/100,0)+IF(AND($C$3409=1,I3551=$C$3549),$C$3486,0)</f>
        <v>0</v>
      </c>
    </row>
    <row r="3555" customFormat="false" ht="15" hidden="false" customHeight="false" outlineLevel="0" collapsed="false">
      <c r="A3555" s="2" t="s">
        <v>540</v>
      </c>
      <c r="C3555" s="16" t="n">
        <f aca="false">-$C$3482</f>
        <v>-95</v>
      </c>
      <c r="D3555" s="16" t="n">
        <f aca="false">D3553+D3554</f>
        <v>10.5</v>
      </c>
      <c r="E3555" s="16" t="n">
        <f aca="false">E3553+E3554</f>
        <v>10.5</v>
      </c>
      <c r="F3555" s="16" t="n">
        <f aca="false">F3553+F3554</f>
        <v>91.7751604731729</v>
      </c>
      <c r="G3555" s="16" t="n">
        <f aca="false">G3553+G3554</f>
        <v>0</v>
      </c>
      <c r="H3555" s="16" t="n">
        <f aca="false">H3553+H3554</f>
        <v>0</v>
      </c>
      <c r="I3555" s="16" t="n">
        <f aca="false">I3553+I3554</f>
        <v>0</v>
      </c>
    </row>
    <row r="3556" customFormat="false" ht="15" hidden="false" customHeight="false" outlineLevel="0" collapsed="false">
      <c r="A3556" s="3" t="s">
        <v>541</v>
      </c>
      <c r="C3556" s="25" t="n">
        <f aca="false">SUM($C$3553:$I$3553)</f>
        <v>31.5</v>
      </c>
    </row>
    <row r="3557" customFormat="false" ht="15" hidden="false" customHeight="false" outlineLevel="0" collapsed="false">
      <c r="A3557" s="3" t="s">
        <v>542</v>
      </c>
      <c r="C3557" s="25" t="n">
        <f aca="false">SUM($C$3554:$I$3554)</f>
        <v>81.2751604731729</v>
      </c>
    </row>
    <row r="3558" customFormat="false" ht="15" hidden="false" customHeight="false" outlineLevel="0" collapsed="false">
      <c r="A3558" s="3" t="s">
        <v>543</v>
      </c>
      <c r="C3558" s="25" t="n">
        <f aca="false">C3556+C3557</f>
        <v>112.775160473173</v>
      </c>
    </row>
    <row r="3559" customFormat="false" ht="15" hidden="false" customHeight="false" outlineLevel="0" collapsed="false">
      <c r="A3559" s="3" t="s">
        <v>544</v>
      </c>
      <c r="C3559" s="25" t="n">
        <f aca="false">C3557-C3480*C3481/100</f>
        <v>-13.7248395268271</v>
      </c>
    </row>
    <row r="3560" customFormat="false" ht="15" hidden="false" customHeight="false" outlineLevel="0" collapsed="false">
      <c r="A3560" s="3" t="s">
        <v>545</v>
      </c>
      <c r="C3560" s="25" t="n">
        <f aca="false">C3558-C3482</f>
        <v>17.7751604731729</v>
      </c>
    </row>
    <row r="3561" customFormat="false" ht="15" hidden="false" customHeight="false" outlineLevel="0" collapsed="false">
      <c r="A3561" s="2" t="s">
        <v>427</v>
      </c>
      <c r="C3561" s="44" t="n">
        <f aca="false">C3558/C3482</f>
        <v>1.18710695234919</v>
      </c>
    </row>
    <row r="3562" customFormat="false" ht="15" hidden="false" customHeight="false" outlineLevel="0" collapsed="false">
      <c r="A3562" s="2" t="s">
        <v>426</v>
      </c>
      <c r="C3562" s="42" t="n">
        <f aca="false">IF(C3558&lt;=0,-1,IFERROR(IRR($C$3555:$I$3555,MAX(-0.9,C3561^(1/C3549)-1)),IRR($C$3555:$I$3555,0.1)))</f>
        <v>0.0653848807562152</v>
      </c>
    </row>
    <row r="3563" customFormat="false" ht="15" hidden="false" customHeight="false" outlineLevel="0" collapsed="false">
      <c r="A3563" s="3" t="s">
        <v>546</v>
      </c>
      <c r="C3563" s="32" t="n">
        <f aca="false">MAX($G$3369:$K$3369)</f>
        <v>7.33831226622703</v>
      </c>
    </row>
    <row r="3564" customFormat="false" ht="15" hidden="false" customHeight="false" outlineLevel="0" collapsed="false">
      <c r="A3564" s="3" t="s">
        <v>547</v>
      </c>
      <c r="C3564" s="32" t="n">
        <f aca="false">MIN($G$3370:$K$3370)</f>
        <v>1.18070192905498</v>
      </c>
    </row>
    <row r="3565" customFormat="false" ht="15" hidden="false" customHeight="false" outlineLevel="0" collapsed="false">
      <c r="A3565" s="3" t="s">
        <v>548</v>
      </c>
      <c r="C3565" s="25" t="n">
        <f aca="false">SUM($G$3276:$K$3276)</f>
        <v>75.1374128562126</v>
      </c>
    </row>
    <row r="3569" customFormat="false" ht="15" hidden="false" customHeight="false" outlineLevel="0" collapsed="false">
      <c r="A3569" s="9" t="s">
        <v>1025</v>
      </c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</row>
    <row r="3570" customFormat="false" ht="15" hidden="false" customHeight="false" outlineLevel="0" collapsed="false">
      <c r="A3570" s="3" t="s">
        <v>1010</v>
      </c>
      <c r="C3570" s="11" t="n">
        <v>2</v>
      </c>
    </row>
    <row r="3571" customFormat="false" ht="15" hidden="false" customHeight="false" outlineLevel="0" collapsed="false">
      <c r="A3571" s="3" t="s">
        <v>1011</v>
      </c>
      <c r="C3571" s="18" t="n">
        <v>0</v>
      </c>
    </row>
    <row r="3572" customFormat="false" ht="15" hidden="false" customHeight="false" outlineLevel="0" collapsed="false">
      <c r="A3572" s="3" t="s">
        <v>1012</v>
      </c>
      <c r="C3572" s="30" t="n">
        <f aca="false">Sensitivities!$A$33</f>
        <v>0.02</v>
      </c>
    </row>
    <row r="3573" customFormat="false" ht="15" hidden="false" customHeight="false" outlineLevel="0" collapsed="false">
      <c r="A3573" s="3" t="s">
        <v>1013</v>
      </c>
      <c r="C3573" s="18" t="n">
        <v>0</v>
      </c>
    </row>
    <row r="3574" customFormat="false" ht="15" hidden="false" customHeight="false" outlineLevel="0" collapsed="false">
      <c r="A3574" s="3" t="s">
        <v>1014</v>
      </c>
      <c r="C3574" s="15" t="n">
        <v>0</v>
      </c>
    </row>
    <row r="3576" customFormat="false" ht="15" hidden="false" customHeight="false" outlineLevel="0" collapsed="false">
      <c r="A3576" s="23" t="s">
        <v>281</v>
      </c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</row>
    <row r="3577" customFormat="false" ht="15" hidden="false" customHeight="false" outlineLevel="0" collapsed="false">
      <c r="A3577" s="3" t="s">
        <v>282</v>
      </c>
      <c r="F3577" s="27" t="n">
        <f aca="false">Assumptions!$C$6</f>
        <v>2026</v>
      </c>
      <c r="G3577" s="20" t="n">
        <f aca="false">F3577+1</f>
        <v>2027</v>
      </c>
      <c r="H3577" s="20" t="n">
        <f aca="false">G3577+1</f>
        <v>2028</v>
      </c>
      <c r="I3577" s="20" t="n">
        <f aca="false">H3577+1</f>
        <v>2029</v>
      </c>
      <c r="J3577" s="20" t="n">
        <f aca="false">I3577+1</f>
        <v>2030</v>
      </c>
      <c r="K3577" s="20" t="n">
        <f aca="false">J3577+1</f>
        <v>2031</v>
      </c>
    </row>
    <row r="3578" customFormat="false" ht="15" hidden="false" customHeight="false" outlineLevel="0" collapsed="false">
      <c r="A3578" s="3" t="s">
        <v>283</v>
      </c>
      <c r="G3578" s="20" t="n">
        <f aca="false">G3577-Assumptions!$C$6</f>
        <v>1</v>
      </c>
      <c r="H3578" s="20" t="n">
        <f aca="false">H3577-Assumptions!$C$6</f>
        <v>2</v>
      </c>
      <c r="I3578" s="20" t="n">
        <f aca="false">I3577-Assumptions!$C$6</f>
        <v>3</v>
      </c>
      <c r="J3578" s="20" t="n">
        <f aca="false">J3577-Assumptions!$C$6</f>
        <v>4</v>
      </c>
      <c r="K3578" s="20" t="n">
        <f aca="false">K3577-Assumptions!$C$6</f>
        <v>5</v>
      </c>
    </row>
    <row r="3579" customFormat="false" ht="15" hidden="false" customHeight="false" outlineLevel="0" collapsed="false">
      <c r="A3579" s="3" t="s">
        <v>165</v>
      </c>
      <c r="G3579" s="21" t="n">
        <f aca="false">CHOOSE($C$3570,Assumptions!$G$71,Assumptions!$G$90,Assumptions!$G$109)+$C$3571</f>
        <v>-0.08</v>
      </c>
      <c r="H3579" s="21" t="n">
        <f aca="false">CHOOSE($C$3570,Assumptions!$H$71,Assumptions!$H$90,Assumptions!$H$109)+$C$3571</f>
        <v>-0.07</v>
      </c>
      <c r="I3579" s="21" t="n">
        <f aca="false">CHOOSE($C$3570,Assumptions!$I$71,Assumptions!$I$90,Assumptions!$I$109)+$C$3571</f>
        <v>-0.06</v>
      </c>
      <c r="J3579" s="21" t="n">
        <f aca="false">CHOOSE($C$3570,Assumptions!$J$71,Assumptions!$J$90,Assumptions!$J$109)+$C$3571</f>
        <v>-0.05</v>
      </c>
      <c r="K3579" s="21" t="n">
        <f aca="false">CHOOSE($C$3570,Assumptions!$K$71,Assumptions!$K$90,Assumptions!$K$109)+$C$3571</f>
        <v>-0.05</v>
      </c>
    </row>
    <row r="3580" customFormat="false" ht="15" hidden="false" customHeight="false" outlineLevel="0" collapsed="false">
      <c r="A3580" s="3" t="s">
        <v>166</v>
      </c>
      <c r="G3580" s="21" t="n">
        <f aca="false">CHOOSE($C$3570,Assumptions!$G$72,Assumptions!$G$91,Assumptions!$G$110)</f>
        <v>0.463246670103635</v>
      </c>
      <c r="H3580" s="21" t="n">
        <f aca="false">CHOOSE($C$3570,Assumptions!$H$72,Assumptions!$H$91,Assumptions!$H$110)</f>
        <v>0.453246670103635</v>
      </c>
      <c r="I3580" s="21" t="n">
        <f aca="false">CHOOSE($C$3570,Assumptions!$I$72,Assumptions!$I$91,Assumptions!$I$110)</f>
        <v>0.448246670103634</v>
      </c>
      <c r="J3580" s="21" t="n">
        <f aca="false">CHOOSE($C$3570,Assumptions!$J$72,Assumptions!$J$91,Assumptions!$J$110)</f>
        <v>0.443246670103635</v>
      </c>
      <c r="K3580" s="21" t="n">
        <f aca="false">CHOOSE($C$3570,Assumptions!$K$72,Assumptions!$K$91,Assumptions!$K$110)</f>
        <v>0.443246670103635</v>
      </c>
    </row>
    <row r="3581" customFormat="false" ht="15" hidden="false" customHeight="false" outlineLevel="0" collapsed="false">
      <c r="A3581" s="3" t="s">
        <v>167</v>
      </c>
      <c r="G3581" s="21" t="n">
        <f aca="false">CHOOSE($C$3570,Assumptions!$G$73,Assumptions!$G$92,Assumptions!$G$111)+$C$3572</f>
        <v>0.14</v>
      </c>
      <c r="H3581" s="21" t="n">
        <f aca="false">CHOOSE($C$3570,Assumptions!$H$73,Assumptions!$H$92,Assumptions!$H$111)+$C$3572</f>
        <v>0.13</v>
      </c>
      <c r="I3581" s="21" t="n">
        <f aca="false">CHOOSE($C$3570,Assumptions!$I$73,Assumptions!$I$92,Assumptions!$I$111)+$C$3572</f>
        <v>0.125</v>
      </c>
      <c r="J3581" s="21" t="n">
        <f aca="false">CHOOSE($C$3570,Assumptions!$J$73,Assumptions!$J$92,Assumptions!$J$111)+$C$3572</f>
        <v>0.12</v>
      </c>
      <c r="K3581" s="21" t="n">
        <f aca="false">CHOOSE($C$3570,Assumptions!$K$73,Assumptions!$K$92,Assumptions!$K$111)+$C$3572</f>
        <v>0.12</v>
      </c>
    </row>
    <row r="3582" customFormat="false" ht="15" hidden="false" customHeight="false" outlineLevel="0" collapsed="false">
      <c r="A3582" s="23" t="s">
        <v>284</v>
      </c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</row>
    <row r="3583" customFormat="false" ht="15" hidden="false" customHeight="false" outlineLevel="0" collapsed="false">
      <c r="A3583" s="2" t="s">
        <v>256</v>
      </c>
      <c r="F3583" s="28" t="n">
        <f aca="false">'Historical Financials'!G23</f>
        <v>2246.166</v>
      </c>
      <c r="G3583" s="16" t="n">
        <f aca="false">F3583*(1+G3579)</f>
        <v>2066.47272</v>
      </c>
      <c r="H3583" s="16" t="n">
        <f aca="false">G3583*(1+H3579)</f>
        <v>1921.8196296</v>
      </c>
      <c r="I3583" s="16" t="n">
        <f aca="false">H3583*(1+I3579)</f>
        <v>1806.510451824</v>
      </c>
      <c r="J3583" s="16" t="n">
        <f aca="false">I3583*(1+J3579)</f>
        <v>1716.1849292328</v>
      </c>
      <c r="K3583" s="16" t="n">
        <f aca="false">J3583*(1+K3579)</f>
        <v>1630.37568277116</v>
      </c>
    </row>
    <row r="3584" customFormat="false" ht="15" hidden="false" customHeight="false" outlineLevel="0" collapsed="false">
      <c r="A3584" s="3" t="s">
        <v>257</v>
      </c>
      <c r="G3584" s="25" t="n">
        <f aca="false">G3583*(1-G3580)</f>
        <v>1109.1861136</v>
      </c>
      <c r="H3584" s="25" t="n">
        <f aca="false">H3583*(1-H3580)</f>
        <v>1050.761281944</v>
      </c>
      <c r="I3584" s="25" t="n">
        <f aca="false">I3583*(1-I3580)</f>
        <v>996.74815728648</v>
      </c>
      <c r="J3584" s="25" t="n">
        <f aca="false">J3583*(1-J3580)</f>
        <v>955.49167406832</v>
      </c>
      <c r="K3584" s="25" t="n">
        <f aca="false">K3583*(1-K3580)</f>
        <v>907.717090364904</v>
      </c>
    </row>
    <row r="3585" customFormat="false" ht="15" hidden="false" customHeight="false" outlineLevel="0" collapsed="false">
      <c r="A3585" s="2" t="s">
        <v>258</v>
      </c>
      <c r="G3585" s="16" t="n">
        <f aca="false">G3583-G3584</f>
        <v>957.2866064</v>
      </c>
      <c r="H3585" s="16" t="n">
        <f aca="false">H3583-H3584</f>
        <v>871.058347656</v>
      </c>
      <c r="I3585" s="16" t="n">
        <f aca="false">I3583-I3584</f>
        <v>809.76229453752</v>
      </c>
      <c r="J3585" s="16" t="n">
        <f aca="false">J3583-J3584</f>
        <v>760.69325516448</v>
      </c>
      <c r="K3585" s="16" t="n">
        <f aca="false">K3583-K3584</f>
        <v>722.658592406256</v>
      </c>
    </row>
    <row r="3586" customFormat="false" ht="15" hidden="false" customHeight="false" outlineLevel="0" collapsed="false">
      <c r="A3586" s="3" t="s">
        <v>285</v>
      </c>
      <c r="G3586" s="25" t="n">
        <f aca="false">G3585-G3587</f>
        <v>667.9804256</v>
      </c>
      <c r="H3586" s="25" t="n">
        <f aca="false">H3585-H3587</f>
        <v>621.221795808</v>
      </c>
      <c r="I3586" s="25" t="n">
        <f aca="false">I3585-I3587</f>
        <v>583.94848805952</v>
      </c>
      <c r="J3586" s="25" t="n">
        <f aca="false">J3585-J3587</f>
        <v>554.751063656544</v>
      </c>
      <c r="K3586" s="25" t="n">
        <f aca="false">K3585-K3587</f>
        <v>527.013510473717</v>
      </c>
    </row>
    <row r="3587" customFormat="false" ht="15" hidden="false" customHeight="false" outlineLevel="0" collapsed="false">
      <c r="A3587" s="2" t="s">
        <v>286</v>
      </c>
      <c r="G3587" s="16" t="n">
        <f aca="false">G3583*G3581</f>
        <v>289.3061808</v>
      </c>
      <c r="H3587" s="16" t="n">
        <f aca="false">H3583*H3581</f>
        <v>249.836551848</v>
      </c>
      <c r="I3587" s="16" t="n">
        <f aca="false">I3583*I3581</f>
        <v>225.813806478</v>
      </c>
      <c r="J3587" s="16" t="n">
        <f aca="false">J3583*J3581</f>
        <v>205.942191507936</v>
      </c>
      <c r="K3587" s="16" t="n">
        <f aca="false">K3583*K3581</f>
        <v>195.645081932539</v>
      </c>
    </row>
    <row r="3588" customFormat="false" ht="15" hidden="false" customHeight="false" outlineLevel="0" collapsed="false">
      <c r="A3588" s="3" t="s">
        <v>287</v>
      </c>
      <c r="G3588" s="25" t="n">
        <f aca="false">G3583*'Historical Financials'!G28/'Historical Financials'!G23</f>
        <v>78.47232</v>
      </c>
      <c r="H3588" s="25" t="n">
        <f aca="false">H3583*'Historical Financials'!G28/'Historical Financials'!G23</f>
        <v>72.9792576</v>
      </c>
      <c r="I3588" s="25" t="n">
        <f aca="false">I3583*'Historical Financials'!G28/'Historical Financials'!G23</f>
        <v>68.600502144</v>
      </c>
      <c r="J3588" s="25" t="n">
        <f aca="false">J3583*'Historical Financials'!G28/'Historical Financials'!G23</f>
        <v>65.1704770368</v>
      </c>
      <c r="K3588" s="25" t="n">
        <f aca="false">K3583*'Historical Financials'!G28/'Historical Financials'!G23</f>
        <v>61.91195318496</v>
      </c>
    </row>
    <row r="3589" customFormat="false" ht="15" hidden="false" customHeight="false" outlineLevel="0" collapsed="false">
      <c r="A3589" s="3" t="s">
        <v>288</v>
      </c>
      <c r="G3589" s="25" t="n">
        <f aca="false">G3583*'Historical Financials'!G29/'Historical Financials'!G23</f>
        <v>22.40752</v>
      </c>
      <c r="H3589" s="25" t="n">
        <f aca="false">H3583*'Historical Financials'!G29/'Historical Financials'!G23</f>
        <v>20.8389936</v>
      </c>
      <c r="I3589" s="25" t="n">
        <f aca="false">I3583*'Historical Financials'!G29/'Historical Financials'!G23</f>
        <v>19.588653984</v>
      </c>
      <c r="J3589" s="25" t="n">
        <f aca="false">J3583*'Historical Financials'!G29/'Historical Financials'!G23</f>
        <v>18.6092212848</v>
      </c>
      <c r="K3589" s="25" t="n">
        <f aca="false">K3583*'Historical Financials'!G29/'Historical Financials'!G23</f>
        <v>17.67876022056</v>
      </c>
    </row>
    <row r="3590" customFormat="false" ht="15" hidden="false" customHeight="false" outlineLevel="0" collapsed="false">
      <c r="A3590" s="2" t="s">
        <v>289</v>
      </c>
      <c r="G3590" s="16" t="n">
        <f aca="false">G3587-G3588-G3589</f>
        <v>188.4263408</v>
      </c>
      <c r="H3590" s="16" t="n">
        <f aca="false">H3587-H3588-H3589</f>
        <v>156.018300648</v>
      </c>
      <c r="I3590" s="16" t="n">
        <f aca="false">I3587-I3588-I3589</f>
        <v>137.62465035</v>
      </c>
      <c r="J3590" s="16" t="n">
        <f aca="false">J3587-J3588-J3589</f>
        <v>122.162493186336</v>
      </c>
      <c r="K3590" s="16" t="n">
        <f aca="false">K3587-K3588-K3589</f>
        <v>116.054368527019</v>
      </c>
    </row>
    <row r="3591" customFormat="false" ht="15" hidden="false" customHeight="false" outlineLevel="0" collapsed="false">
      <c r="A3591" s="3" t="s">
        <v>290</v>
      </c>
      <c r="G3591" s="25" t="n">
        <f aca="false">G3617+G3630+G3643</f>
        <v>155.95467</v>
      </c>
      <c r="H3591" s="25" t="n">
        <f aca="false">H3617+H3630+H3643</f>
        <v>155.95467</v>
      </c>
      <c r="I3591" s="25" t="n">
        <f aca="false">I3617+I3630+I3643</f>
        <v>155.95467</v>
      </c>
      <c r="J3591" s="25" t="n">
        <f aca="false">J3617+J3630+J3643</f>
        <v>138.08529</v>
      </c>
      <c r="K3591" s="25" t="n">
        <f aca="false">K3617+K3630+K3643</f>
        <v>138.08529</v>
      </c>
    </row>
    <row r="3592" customFormat="false" ht="15" hidden="false" customHeight="false" outlineLevel="0" collapsed="false">
      <c r="A3592" s="3" t="s">
        <v>291</v>
      </c>
      <c r="G3592" s="25" t="n">
        <f aca="false">G3618+G3631+G3644</f>
        <v>0</v>
      </c>
      <c r="H3592" s="25" t="n">
        <f aca="false">H3618+H3631+H3644</f>
        <v>0</v>
      </c>
      <c r="I3592" s="25" t="n">
        <f aca="false">I3618+I3631+I3644</f>
        <v>0</v>
      </c>
      <c r="J3592" s="25" t="n">
        <f aca="false">J3618+J3631+J3644</f>
        <v>0</v>
      </c>
      <c r="K3592" s="25" t="n">
        <f aca="false">K3618+K3631+K3644</f>
        <v>0</v>
      </c>
    </row>
    <row r="3593" customFormat="false" ht="15" hidden="false" customHeight="false" outlineLevel="0" collapsed="false">
      <c r="A3593" s="3" t="s">
        <v>239</v>
      </c>
      <c r="G3593" s="25" t="n">
        <f aca="false">G3591+G3592</f>
        <v>155.95467</v>
      </c>
      <c r="H3593" s="25" t="n">
        <f aca="false">H3591+H3592</f>
        <v>155.95467</v>
      </c>
      <c r="I3593" s="25" t="n">
        <f aca="false">I3591+I3592</f>
        <v>155.95467</v>
      </c>
      <c r="J3593" s="25" t="n">
        <f aca="false">J3591+J3592</f>
        <v>138.08529</v>
      </c>
      <c r="K3593" s="25" t="n">
        <f aca="false">K3591+K3592</f>
        <v>138.08529</v>
      </c>
    </row>
    <row r="3594" customFormat="false" ht="15" hidden="false" customHeight="false" outlineLevel="0" collapsed="false">
      <c r="A3594" s="2" t="s">
        <v>264</v>
      </c>
      <c r="G3594" s="16" t="n">
        <f aca="false">G3590-G3593</f>
        <v>32.4716707999999</v>
      </c>
      <c r="H3594" s="16" t="n">
        <f aca="false">H3590-H3593</f>
        <v>0.063630647999986</v>
      </c>
      <c r="I3594" s="16" t="n">
        <f aca="false">I3590-I3593</f>
        <v>-18.33001965</v>
      </c>
      <c r="J3594" s="16" t="n">
        <f aca="false">J3590-J3593</f>
        <v>-15.922796813664</v>
      </c>
      <c r="K3594" s="16" t="n">
        <f aca="false">K3590-K3593</f>
        <v>-22.0309214729808</v>
      </c>
    </row>
    <row r="3595" customFormat="false" ht="15" hidden="false" customHeight="false" outlineLevel="0" collapsed="false">
      <c r="A3595" s="3" t="s">
        <v>292</v>
      </c>
      <c r="G3595" s="25" t="n">
        <f aca="false">MAX(0,G3594)*Assumptions!$C$9</f>
        <v>8.11791769999998</v>
      </c>
      <c r="H3595" s="25" t="n">
        <f aca="false">MAX(0,H3594)*Assumptions!$C$9</f>
        <v>0.0159076619999965</v>
      </c>
      <c r="I3595" s="25" t="n">
        <f aca="false">MAX(0,I3594)*Assumptions!$C$9</f>
        <v>0</v>
      </c>
      <c r="J3595" s="25" t="n">
        <f aca="false">MAX(0,J3594)*Assumptions!$C$9</f>
        <v>0</v>
      </c>
      <c r="K3595" s="25" t="n">
        <f aca="false">MAX(0,K3594)*Assumptions!$C$9</f>
        <v>0</v>
      </c>
    </row>
    <row r="3596" customFormat="false" ht="15" hidden="false" customHeight="false" outlineLevel="0" collapsed="false">
      <c r="A3596" s="2" t="s">
        <v>293</v>
      </c>
      <c r="G3596" s="16" t="n">
        <f aca="false">G3594-G3595</f>
        <v>24.3537530999999</v>
      </c>
      <c r="H3596" s="16" t="n">
        <f aca="false">H3594-H3595</f>
        <v>0.0477229859999895</v>
      </c>
      <c r="I3596" s="16" t="n">
        <f aca="false">I3594-I3595</f>
        <v>-18.33001965</v>
      </c>
      <c r="J3596" s="16" t="n">
        <f aca="false">J3594-J3595</f>
        <v>-15.922796813664</v>
      </c>
      <c r="K3596" s="16" t="n">
        <f aca="false">K3594-K3595</f>
        <v>-22.0309214729808</v>
      </c>
    </row>
    <row r="3597" customFormat="false" ht="15" hidden="false" customHeight="false" outlineLevel="0" collapsed="false">
      <c r="A3597" s="23" t="s">
        <v>294</v>
      </c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</row>
    <row r="3598" customFormat="false" ht="15" hidden="false" customHeight="false" outlineLevel="0" collapsed="false">
      <c r="A3598" s="3" t="s">
        <v>169</v>
      </c>
      <c r="G3598" s="25" t="n">
        <f aca="false">G3583*CHOOSE($C$3570,Assumptions!$C$75,Assumptions!$C$94,Assumptions!$C$113)</f>
        <v>26.86414536</v>
      </c>
      <c r="H3598" s="25" t="n">
        <f aca="false">H3583*CHOOSE($C$3570,Assumptions!$C$75,Assumptions!$C$94,Assumptions!$C$113)</f>
        <v>24.9836551848</v>
      </c>
      <c r="I3598" s="25" t="n">
        <f aca="false">I3583*CHOOSE($C$3570,Assumptions!$C$75,Assumptions!$C$94,Assumptions!$C$113)</f>
        <v>23.484635873712</v>
      </c>
      <c r="J3598" s="25" t="n">
        <f aca="false">J3583*CHOOSE($C$3570,Assumptions!$C$75,Assumptions!$C$94,Assumptions!$C$113)</f>
        <v>22.3104040800264</v>
      </c>
      <c r="K3598" s="25" t="n">
        <f aca="false">K3583*CHOOSE($C$3570,Assumptions!$C$75,Assumptions!$C$94,Assumptions!$C$113)</f>
        <v>21.1948838760251</v>
      </c>
    </row>
    <row r="3599" customFormat="false" ht="15" hidden="false" customHeight="false" outlineLevel="0" collapsed="false">
      <c r="A3599" s="3" t="s">
        <v>295</v>
      </c>
      <c r="G3599" s="25" t="n">
        <f aca="false">CHOOSE($C$3570,Assumptions!$C$76,Assumptions!$C$95,Assumptions!$C$114)*(G3583-F3583)+CHOOSE($C$3570,Assumptions!$C$77,Assumptions!$C$96,Assumptions!$C$115)*G3583</f>
        <v>10.3323636</v>
      </c>
      <c r="H3599" s="25" t="n">
        <f aca="false">CHOOSE($C$3570,Assumptions!$C$76,Assumptions!$C$95,Assumptions!$C$114)*(H3583-G3583)+CHOOSE($C$3570,Assumptions!$C$77,Assumptions!$C$96,Assumptions!$C$115)*H3583</f>
        <v>9.609098148</v>
      </c>
      <c r="I3599" s="25" t="n">
        <f aca="false">CHOOSE($C$3570,Assumptions!$C$76,Assumptions!$C$95,Assumptions!$C$114)*(I3583-H3583)+CHOOSE($C$3570,Assumptions!$C$77,Assumptions!$C$96,Assumptions!$C$115)*I3583</f>
        <v>9.03255225912</v>
      </c>
      <c r="J3599" s="25" t="n">
        <f aca="false">CHOOSE($C$3570,Assumptions!$C$76,Assumptions!$C$95,Assumptions!$C$114)*(J3583-I3583)+CHOOSE($C$3570,Assumptions!$C$77,Assumptions!$C$96,Assumptions!$C$115)*J3583</f>
        <v>8.580924646164</v>
      </c>
      <c r="K3599" s="25" t="n">
        <f aca="false">CHOOSE($C$3570,Assumptions!$C$76,Assumptions!$C$95,Assumptions!$C$114)*(K3583-J3583)+CHOOSE($C$3570,Assumptions!$C$77,Assumptions!$C$96,Assumptions!$C$115)*K3583</f>
        <v>8.1518784138558</v>
      </c>
    </row>
    <row r="3600" customFormat="false" ht="15" hidden="false" customHeight="false" outlineLevel="0" collapsed="false">
      <c r="A3600" s="2" t="s">
        <v>296</v>
      </c>
      <c r="G3600" s="16" t="n">
        <f aca="false">G3596+G3588+G3589+G3592-G3598-G3599</f>
        <v>88.03708414</v>
      </c>
      <c r="H3600" s="16" t="n">
        <f aca="false">H3596+H3588+H3589+H3592-H3598-H3599</f>
        <v>59.2732208532</v>
      </c>
      <c r="I3600" s="16" t="n">
        <f aca="false">I3596+I3588+I3589+I3592-I3598-I3599</f>
        <v>37.341948345168</v>
      </c>
      <c r="J3600" s="16" t="n">
        <f aca="false">J3596+J3588+J3589+J3592-J3598-J3599</f>
        <v>36.9655727817456</v>
      </c>
      <c r="K3600" s="16" t="n">
        <f aca="false">K3596+K3588+K3589+K3592-K3598-K3599</f>
        <v>28.2130296426583</v>
      </c>
    </row>
    <row r="3602" customFormat="false" ht="15" hidden="false" customHeight="false" outlineLevel="0" collapsed="false">
      <c r="A3602" s="23" t="s">
        <v>298</v>
      </c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</row>
    <row r="3603" customFormat="false" ht="15" hidden="false" customHeight="false" outlineLevel="0" collapsed="false">
      <c r="A3603" s="3" t="s">
        <v>299</v>
      </c>
      <c r="G3603" s="30" t="n">
        <f aca="false">Assumptions!$G$52</f>
        <v>0.039</v>
      </c>
      <c r="H3603" s="30" t="n">
        <f aca="false">Assumptions!$H$52</f>
        <v>0.0375</v>
      </c>
      <c r="I3603" s="30" t="n">
        <f aca="false">Assumptions!$I$52</f>
        <v>0.035</v>
      </c>
      <c r="J3603" s="30" t="n">
        <f aca="false">Assumptions!$J$52</f>
        <v>0.035</v>
      </c>
      <c r="K3603" s="30" t="n">
        <f aca="false">Assumptions!$K$52</f>
        <v>0.035</v>
      </c>
    </row>
    <row r="3604" customFormat="false" ht="15" hidden="false" customHeight="false" outlineLevel="0" collapsed="false">
      <c r="A3604" s="3" t="s">
        <v>300</v>
      </c>
      <c r="C3604" s="31" t="n">
        <f aca="false">CHOOSE($C$3570,Assumptions!$C$78,Assumptions!$C$97,Assumptions!$C$116)+$C$3573</f>
        <v>0.015</v>
      </c>
    </row>
    <row r="3605" customFormat="false" ht="15" hidden="false" customHeight="false" outlineLevel="0" collapsed="false">
      <c r="A3605" s="3" t="s">
        <v>301</v>
      </c>
      <c r="C3605" s="31" t="n">
        <f aca="false">CHOOSE($C$3570,Assumptions!$C$79,Assumptions!$C$98,Assumptions!$C$117)</f>
        <v>0.13</v>
      </c>
    </row>
    <row r="3606" customFormat="false" ht="15" hidden="false" customHeight="false" outlineLevel="0" collapsed="false">
      <c r="A3606" s="3" t="s">
        <v>302</v>
      </c>
      <c r="C3606" s="32" t="n">
        <f aca="false">CHOOSE($C$3570,Assumptions!$C$80,Assumptions!$C$99,Assumptions!$C$118)</f>
        <v>5.5</v>
      </c>
    </row>
    <row r="3607" customFormat="false" ht="15" hidden="false" customHeight="false" outlineLevel="0" collapsed="false">
      <c r="A3607" s="3" t="s">
        <v>303</v>
      </c>
      <c r="C3607" s="32" t="n">
        <f aca="false">CHOOSE($C$3570,Assumptions!$C$81,Assumptions!$C$100,Assumptions!$C$119)</f>
        <v>1.5</v>
      </c>
    </row>
    <row r="3608" customFormat="false" ht="15" hidden="false" customHeight="false" outlineLevel="0" collapsed="false">
      <c r="A3608" s="3" t="s">
        <v>304</v>
      </c>
      <c r="G3608" s="25" t="n">
        <f aca="false">G3613+G3626+G3639</f>
        <v>1735.554</v>
      </c>
      <c r="H3608" s="25" t="n">
        <f aca="false">H3613+H3626+H3639</f>
        <v>1735.554</v>
      </c>
      <c r="I3608" s="25" t="n">
        <f aca="false">I3613+I3626+I3639</f>
        <v>1735.554</v>
      </c>
      <c r="J3608" s="25" t="n">
        <f aca="false">J3613+J3626+J3639</f>
        <v>1315.098</v>
      </c>
      <c r="K3608" s="25" t="n">
        <f aca="false">K3613+K3626+K3639</f>
        <v>1315.098</v>
      </c>
    </row>
    <row r="3609" customFormat="false" ht="15" hidden="false" customHeight="false" outlineLevel="0" collapsed="false">
      <c r="A3609" s="3" t="s">
        <v>305</v>
      </c>
      <c r="G3609" s="25" t="n">
        <f aca="false">F3682</f>
        <v>463.996</v>
      </c>
      <c r="H3609" s="25" t="n">
        <f aca="false">G3682</f>
        <v>552.03308414</v>
      </c>
      <c r="I3609" s="25" t="n">
        <f aca="false">H3682</f>
        <v>611.3063049932</v>
      </c>
      <c r="J3609" s="25" t="n">
        <f aca="false">I3682</f>
        <v>228.192253338368</v>
      </c>
      <c r="K3609" s="25" t="n">
        <f aca="false">J3682</f>
        <v>265.157826120113</v>
      </c>
    </row>
    <row r="3610" customFormat="false" ht="15" hidden="false" customHeight="false" outlineLevel="0" collapsed="false">
      <c r="A3610" s="3" t="s">
        <v>306</v>
      </c>
      <c r="G3610" s="25" t="n">
        <f aca="false">G3613*IF(G3614=1,$C$3605,IF(Assumptions!$I$56=1,MAX(G3603,Assumptions!$G$56)+Assumptions!$F$56+$C$3604,Assumptions!$E$56))+G3626*IF(G3627=1,$C$3605,IF(Assumptions!$I$57=1,MAX(G3603,Assumptions!$G$57)+Assumptions!$F$57+$C$3604,Assumptions!$E$57))+G3639*IF(G3640=1,$C$3605,IF(Assumptions!$I$58=1,MAX(G3603,Assumptions!$G$58)+Assumptions!$F$58+$C$3604,Assumptions!$E$58))</f>
        <v>155.95467</v>
      </c>
      <c r="H3610" s="25" t="n">
        <f aca="false">H3613*IF(OR(H3614=1,G3760=1),$C$3605,IF(Assumptions!$I$56=1,MAX(H3603,Assumptions!$G$56)+Assumptions!$F$56+$C$3604,Assumptions!$E$56))+H3626*IF(OR(H3627=1,G3761=1),$C$3605,IF(Assumptions!$I$57=1,MAX(H3603,Assumptions!$G$57)+Assumptions!$F$57+$C$3604,Assumptions!$E$57))+H3639*IF(OR(H3640=1,G3762=1),$C$3605,IF(Assumptions!$I$58=1,MAX(H3603,Assumptions!$G$58)+Assumptions!$F$58+$C$3604,Assumptions!$E$58))</f>
        <v>155.95467</v>
      </c>
      <c r="I3610" s="25" t="n">
        <f aca="false">I3613*IF(OR(I3614=1,H3760=1),$C$3605,IF(Assumptions!$I$56=1,MAX(I3603,Assumptions!$G$56)+Assumptions!$F$56+$C$3604,Assumptions!$E$56))+I3626*IF(OR(I3627=1,H3761=1),$C$3605,IF(Assumptions!$I$57=1,MAX(I3603,Assumptions!$G$57)+Assumptions!$F$57+$C$3604,Assumptions!$E$57))+I3639*IF(OR(I3640=1,H3762=1),$C$3605,IF(Assumptions!$I$58=1,MAX(I3603,Assumptions!$G$58)+Assumptions!$F$58+$C$3604,Assumptions!$E$58))</f>
        <v>192.74457</v>
      </c>
      <c r="J3610" s="25" t="n">
        <f aca="false">J3613*IF(OR(J3614=1,I3760=1),$C$3605,IF(Assumptions!$I$56=1,MAX(J3603,Assumptions!$G$56)+Assumptions!$F$56+$C$3604,Assumptions!$E$56))+J3626*IF(OR(J3627=1,I3761=1),$C$3605,IF(Assumptions!$I$57=1,MAX(J3603,Assumptions!$G$57)+Assumptions!$F$57+$C$3604,Assumptions!$E$57))+J3639*IF(OR(J3640=1,I3762=1),$C$3605,IF(Assumptions!$I$58=1,MAX(J3603,Assumptions!$G$58)+Assumptions!$F$58+$C$3604,Assumptions!$E$58))</f>
        <v>138.08529</v>
      </c>
      <c r="K3610" s="25" t="n">
        <f aca="false">K3613*IF(OR(K3614=1,J3760=1),$C$3605,IF(Assumptions!$I$56=1,MAX(K3603,Assumptions!$G$56)+Assumptions!$F$56+$C$3604,Assumptions!$E$56))+K3626*IF(OR(K3627=1,J3761=1),$C$3605,IF(Assumptions!$I$57=1,MAX(K3603,Assumptions!$G$57)+Assumptions!$F$57+$C$3604,Assumptions!$E$57))+K3639*IF(OR(K3640=1,J3762=1),$C$3605,IF(Assumptions!$I$58=1,MAX(K3603,Assumptions!$G$58)+Assumptions!$F$58+$C$3604,Assumptions!$E$58))</f>
        <v>138.08529</v>
      </c>
    </row>
    <row r="3611" customFormat="false" ht="15" hidden="false" customHeight="false" outlineLevel="0" collapsed="false">
      <c r="A3611" s="3" t="s">
        <v>307</v>
      </c>
      <c r="G3611" s="20" t="n">
        <f aca="false">IF(G3587&lt;=0,0,IF(AND((G3608-G3609)/G3587&lt;=$C$3606,G3587/G3610&gt;=$C$3607),1,0))</f>
        <v>1</v>
      </c>
      <c r="H3611" s="20" t="n">
        <f aca="false">IF(H3587&lt;=0,0,IF(AND((H3608-H3609)/H3587&lt;=$C$3606,H3587/H3610&gt;=$C$3607),1,0))</f>
        <v>1</v>
      </c>
      <c r="I3611" s="20" t="n">
        <f aca="false">IF(I3587&lt;=0,0,IF(AND((I3608-I3609)/I3587&lt;=$C$3606,I3587/I3610&gt;=$C$3607),1,0))</f>
        <v>0</v>
      </c>
      <c r="J3611" s="20" t="n">
        <f aca="false">IF(J3587&lt;=0,0,IF(AND((J3608-J3609)/J3587&lt;=$C$3606,J3587/J3610&gt;=$C$3607),1,0))</f>
        <v>0</v>
      </c>
      <c r="K3611" s="20" t="n">
        <f aca="false">IF(K3587&lt;=0,0,IF(AND((K3608-K3609)/K3587&lt;=$C$3606,K3587/K3610&gt;=$C$3607),1,0))</f>
        <v>0</v>
      </c>
    </row>
    <row r="3612" customFormat="false" ht="15" hidden="false" customHeight="false" outlineLevel="0" collapsed="false">
      <c r="A3612" s="23" t="s">
        <v>308</v>
      </c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</row>
    <row r="3613" customFormat="false" ht="15" hidden="false" customHeight="false" outlineLevel="0" collapsed="false">
      <c r="A3613" s="3" t="s">
        <v>309</v>
      </c>
      <c r="G3613" s="25" t="n">
        <f aca="false">F3624</f>
        <v>1315.098</v>
      </c>
      <c r="H3613" s="25" t="n">
        <f aca="false">G3624</f>
        <v>1315.098</v>
      </c>
      <c r="I3613" s="25" t="n">
        <f aca="false">H3624</f>
        <v>1315.098</v>
      </c>
      <c r="J3613" s="25" t="n">
        <f aca="false">I3624</f>
        <v>1315.098</v>
      </c>
      <c r="K3613" s="25" t="n">
        <f aca="false">J3624</f>
        <v>1315.098</v>
      </c>
    </row>
    <row r="3614" customFormat="false" ht="15" hidden="false" customHeight="false" outlineLevel="0" collapsed="false">
      <c r="A3614" s="3" t="s">
        <v>310</v>
      </c>
      <c r="G3614" s="20" t="n">
        <f aca="false">IF(G3577=Assumptions!$K$56,1,0)</f>
        <v>0</v>
      </c>
      <c r="H3614" s="20" t="n">
        <f aca="false">IF(H3577=Assumptions!$K$56,1,0)</f>
        <v>0</v>
      </c>
      <c r="I3614" s="20" t="n">
        <f aca="false">IF(I3577=Assumptions!$K$56,1,0)</f>
        <v>0</v>
      </c>
      <c r="J3614" s="20" t="n">
        <f aca="false">IF(J3577=Assumptions!$K$56,1,0)</f>
        <v>0</v>
      </c>
      <c r="K3614" s="20" t="n">
        <f aca="false">IF(K3577=Assumptions!$K$56,1,0)</f>
        <v>0</v>
      </c>
    </row>
    <row r="3616" customFormat="false" ht="15" hidden="false" customHeight="false" outlineLevel="0" collapsed="false">
      <c r="A3616" s="3" t="s">
        <v>311</v>
      </c>
      <c r="G3616" s="31" t="n">
        <f aca="false">IF(Assumptions!$I$56=1,MAX(G3603,Assumptions!$G$56)+Assumptions!$F$56+$C$3604,Assumptions!$E$56)</f>
        <v>0.105</v>
      </c>
      <c r="H3616" s="31" t="n">
        <f aca="false">IF(G3760=1,$C$3605,IF(Assumptions!$I$56=1,MAX(H3603,Assumptions!$G$56)+Assumptions!$F$56+$C$3604,Assumptions!$E$56))</f>
        <v>0.105</v>
      </c>
      <c r="I3616" s="31" t="n">
        <f aca="false">IF(H3760=1,$C$3605,IF(Assumptions!$I$56=1,MAX(I3603,Assumptions!$G$56)+Assumptions!$F$56+$C$3604,Assumptions!$E$56))</f>
        <v>0.105</v>
      </c>
      <c r="J3616" s="31" t="n">
        <f aca="false">IF(I3760=1,$C$3605,IF(Assumptions!$I$56=1,MAX(J3603,Assumptions!$G$56)+Assumptions!$F$56+$C$3604,Assumptions!$E$56))</f>
        <v>0.105</v>
      </c>
      <c r="K3616" s="31" t="n">
        <f aca="false">IF(J3760=1,$C$3605,IF(Assumptions!$I$56=1,MAX(K3603,Assumptions!$G$56)+Assumptions!$F$56+$C$3604,Assumptions!$E$56))</f>
        <v>0.105</v>
      </c>
    </row>
    <row r="3617" customFormat="false" ht="15" hidden="false" customHeight="false" outlineLevel="0" collapsed="false">
      <c r="A3617" s="3" t="s">
        <v>312</v>
      </c>
      <c r="G3617" s="25" t="n">
        <f aca="false">G3613*G3616</f>
        <v>138.08529</v>
      </c>
      <c r="H3617" s="25" t="n">
        <f aca="false">H3613*H3616</f>
        <v>138.08529</v>
      </c>
      <c r="I3617" s="25" t="n">
        <f aca="false">I3613*I3616</f>
        <v>138.08529</v>
      </c>
      <c r="J3617" s="25" t="n">
        <f aca="false">J3613*J3616</f>
        <v>138.08529</v>
      </c>
      <c r="K3617" s="25" t="n">
        <f aca="false">K3613*K3616</f>
        <v>138.08529</v>
      </c>
    </row>
    <row r="3618" customFormat="false" ht="15" hidden="false" customHeight="false" outlineLevel="0" collapsed="false">
      <c r="A3618" s="3" t="s">
        <v>313</v>
      </c>
      <c r="G3618" s="25" t="n">
        <f aca="false">G3613*Assumptions!$H$56</f>
        <v>0</v>
      </c>
      <c r="H3618" s="25" t="n">
        <f aca="false">H3613*Assumptions!$H$56</f>
        <v>0</v>
      </c>
      <c r="I3618" s="25" t="n">
        <f aca="false">I3613*Assumptions!$H$56</f>
        <v>0</v>
      </c>
      <c r="J3618" s="25" t="n">
        <f aca="false">J3613*Assumptions!$H$56</f>
        <v>0</v>
      </c>
      <c r="K3618" s="25" t="n">
        <f aca="false">K3613*Assumptions!$H$56</f>
        <v>0</v>
      </c>
    </row>
    <row r="3619" customFormat="false" ht="15" hidden="false" customHeight="false" outlineLevel="0" collapsed="false">
      <c r="A3619" s="3" t="s">
        <v>314</v>
      </c>
      <c r="G3619" s="25" t="n">
        <f aca="false">MIN(G3613,Assumptions!$L$56*Assumptions!$C$56)</f>
        <v>0</v>
      </c>
      <c r="H3619" s="25" t="n">
        <f aca="false">MIN(H3613,Assumptions!$L$56*Assumptions!$C$56)</f>
        <v>0</v>
      </c>
      <c r="I3619" s="25" t="n">
        <f aca="false">MIN(I3613,Assumptions!$L$56*Assumptions!$C$56)</f>
        <v>0</v>
      </c>
      <c r="J3619" s="25" t="n">
        <f aca="false">MIN(J3613,Assumptions!$L$56*Assumptions!$C$56)</f>
        <v>0</v>
      </c>
      <c r="K3619" s="25" t="n">
        <f aca="false">MIN(K3613,Assumptions!$L$56*Assumptions!$C$56)</f>
        <v>0</v>
      </c>
    </row>
    <row r="3620" customFormat="false" ht="15" hidden="false" customHeight="false" outlineLevel="0" collapsed="false">
      <c r="A3620" s="3" t="s">
        <v>315</v>
      </c>
      <c r="G3620" s="25" t="n">
        <f aca="false">IF(AND(Assumptions!$P$56=1,G3577&lt;Assumptions!$K$56),MIN(MAX(0,-G3674),MAX(0,Assumptions!$D$56-G3613)),0)</f>
        <v>0</v>
      </c>
      <c r="H3620" s="25" t="n">
        <f aca="false">IF(AND(Assumptions!$P$56=1,OR(H3577&lt;Assumptions!$K$56,G3760=1)),MIN(MAX(0,-H3674),MAX(0,Assumptions!$D$56-H3613)),0)</f>
        <v>0</v>
      </c>
      <c r="I3620" s="25" t="n">
        <f aca="false">IF(AND(Assumptions!$P$56=1,OR(I3577&lt;Assumptions!$K$56,H3760=1)),MIN(MAX(0,-I3674),MAX(0,Assumptions!$D$56-I3613)),0)</f>
        <v>0</v>
      </c>
      <c r="J3620" s="25" t="n">
        <f aca="false">IF(AND(Assumptions!$P$56=1,OR(J3577&lt;Assumptions!$K$56,I3760=1)),MIN(MAX(0,-J3674),MAX(0,Assumptions!$D$56-J3613)),0)</f>
        <v>0</v>
      </c>
      <c r="K3620" s="25" t="n">
        <f aca="false">IF(AND(Assumptions!$P$56=1,OR(K3577&lt;Assumptions!$K$56,J3760=1)),MIN(MAX(0,-K3674),MAX(0,Assumptions!$D$56-K3613)),0)</f>
        <v>0</v>
      </c>
    </row>
    <row r="3621" customFormat="false" ht="15" hidden="false" customHeight="false" outlineLevel="0" collapsed="false">
      <c r="A3621" s="3" t="s">
        <v>316</v>
      </c>
      <c r="G3621" s="25" t="n">
        <f aca="false">G3614*MIN(G3613-G3619+G3618,MAX(0,G3676-Assumptions!$C$12*G3611))</f>
        <v>0</v>
      </c>
      <c r="H3621" s="25" t="n">
        <f aca="false">H3614*MIN(H3613-H3619+H3618,MAX(0,H3676-Assumptions!$C$12*H3611))</f>
        <v>0</v>
      </c>
      <c r="I3621" s="25" t="n">
        <f aca="false">I3614*MIN(I3613-I3619+I3618,MAX(0,I3676-Assumptions!$C$12*I3611))</f>
        <v>0</v>
      </c>
      <c r="J3621" s="25" t="n">
        <f aca="false">J3614*MIN(J3613-J3619+J3618,MAX(0,J3676-Assumptions!$C$12*J3611))</f>
        <v>0</v>
      </c>
      <c r="K3621" s="25" t="n">
        <f aca="false">K3614*MIN(K3613-K3619+K3618,MAX(0,K3676-Assumptions!$C$12*K3611))</f>
        <v>0</v>
      </c>
    </row>
    <row r="3622" customFormat="false" ht="15" hidden="false" customHeight="false" outlineLevel="0" collapsed="false">
      <c r="A3622" s="3" t="s">
        <v>317</v>
      </c>
      <c r="G3622" s="25" t="n">
        <f aca="false">Assumptions!$N$56*MIN(G3613+G3620+G3618-G3619-G3621,MAX(0,G3680))</f>
        <v>0</v>
      </c>
      <c r="H3622" s="25" t="n">
        <f aca="false">Assumptions!$N$56*MIN(H3613+H3620+H3618-H3619-H3621,MAX(0,H3680))</f>
        <v>0</v>
      </c>
      <c r="I3622" s="25" t="n">
        <f aca="false">Assumptions!$N$56*MIN(I3613+I3620+I3618-I3619-I3621,MAX(0,I3680))</f>
        <v>0</v>
      </c>
      <c r="J3622" s="25" t="n">
        <f aca="false">Assumptions!$N$56*MIN(J3613+J3620+J3618-J3619-J3621,MAX(0,J3680))</f>
        <v>0</v>
      </c>
      <c r="K3622" s="25" t="n">
        <f aca="false">Assumptions!$N$56*MIN(K3613+K3620+K3618-K3619-K3621,MAX(0,K3680))</f>
        <v>0</v>
      </c>
    </row>
    <row r="3623" customFormat="false" ht="15" hidden="false" customHeight="false" outlineLevel="0" collapsed="false">
      <c r="A3623" s="3" t="s">
        <v>318</v>
      </c>
      <c r="G3623" s="25" t="n">
        <f aca="false">G3614*(1-G3611)*(G3613-G3619+G3618-G3621)</f>
        <v>0</v>
      </c>
      <c r="H3623" s="25" t="n">
        <f aca="false">H3614*(1-H3611)*(H3613-H3619+H3618-H3621)</f>
        <v>0</v>
      </c>
      <c r="I3623" s="25" t="n">
        <f aca="false">I3614*(1-I3611)*(I3613-I3619+I3618-I3621)</f>
        <v>0</v>
      </c>
      <c r="J3623" s="25" t="n">
        <f aca="false">J3614*(1-J3611)*(J3613-J3619+J3618-J3621)</f>
        <v>0</v>
      </c>
      <c r="K3623" s="25" t="n">
        <f aca="false">K3614*(1-K3611)*(K3613-K3619+K3618-K3621)</f>
        <v>0</v>
      </c>
    </row>
    <row r="3624" customFormat="false" ht="15" hidden="false" customHeight="false" outlineLevel="0" collapsed="false">
      <c r="A3624" s="2" t="s">
        <v>319</v>
      </c>
      <c r="F3624" s="28" t="n">
        <f aca="false">Assumptions!$C$56</f>
        <v>1315.098</v>
      </c>
      <c r="G3624" s="16" t="n">
        <f aca="false">G3613+G3620+G3618-G3619-G3621-G3622</f>
        <v>1315.098</v>
      </c>
      <c r="H3624" s="16" t="n">
        <f aca="false">H3613+H3620+H3618-H3619-H3621-H3622</f>
        <v>1315.098</v>
      </c>
      <c r="I3624" s="16" t="n">
        <f aca="false">I3613+I3620+I3618-I3619-I3621-I3622</f>
        <v>1315.098</v>
      </c>
      <c r="J3624" s="16" t="n">
        <f aca="false">J3613+J3620+J3618-J3619-J3621-J3622</f>
        <v>1315.098</v>
      </c>
      <c r="K3624" s="16" t="n">
        <f aca="false">K3613+K3620+K3618-K3619-K3621-K3622</f>
        <v>1315.098</v>
      </c>
    </row>
    <row r="3625" customFormat="false" ht="15" hidden="false" customHeight="false" outlineLevel="0" collapsed="false">
      <c r="A3625" s="23" t="s">
        <v>320</v>
      </c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</row>
    <row r="3626" customFormat="false" ht="15" hidden="false" customHeight="false" outlineLevel="0" collapsed="false">
      <c r="A3626" s="3" t="s">
        <v>309</v>
      </c>
      <c r="G3626" s="25" t="n">
        <f aca="false">F3637</f>
        <v>276.706</v>
      </c>
      <c r="H3626" s="25" t="n">
        <f aca="false">G3637</f>
        <v>276.706</v>
      </c>
      <c r="I3626" s="25" t="n">
        <f aca="false">H3637</f>
        <v>276.706</v>
      </c>
      <c r="J3626" s="25" t="n">
        <f aca="false">I3637</f>
        <v>0</v>
      </c>
      <c r="K3626" s="25" t="n">
        <f aca="false">J3637</f>
        <v>0</v>
      </c>
    </row>
    <row r="3627" customFormat="false" ht="15" hidden="false" customHeight="false" outlineLevel="0" collapsed="false">
      <c r="A3627" s="3" t="s">
        <v>310</v>
      </c>
      <c r="G3627" s="20" t="n">
        <f aca="false">IF(G3577=Assumptions!$K$57,1,0)</f>
        <v>0</v>
      </c>
      <c r="H3627" s="20" t="n">
        <f aca="false">IF(H3577=Assumptions!$K$57,1,0)</f>
        <v>0</v>
      </c>
      <c r="I3627" s="20" t="n">
        <f aca="false">IF(I3577=Assumptions!$K$57,1,0)</f>
        <v>1</v>
      </c>
      <c r="J3627" s="20" t="n">
        <f aca="false">IF(J3577=Assumptions!$K$57,1,0)</f>
        <v>0</v>
      </c>
      <c r="K3627" s="20" t="n">
        <f aca="false">IF(K3577=Assumptions!$K$57,1,0)</f>
        <v>0</v>
      </c>
    </row>
    <row r="3629" customFormat="false" ht="15" hidden="false" customHeight="false" outlineLevel="0" collapsed="false">
      <c r="A3629" s="3" t="s">
        <v>311</v>
      </c>
      <c r="G3629" s="31" t="n">
        <f aca="false">IF(Assumptions!$I$57=1,MAX(G3603,Assumptions!$G$57)+Assumptions!$F$57+$C$3604,Assumptions!$E$57)</f>
        <v>0.0425</v>
      </c>
      <c r="H3629" s="31" t="n">
        <f aca="false">IF(G3761=1,$C$3605,IF(Assumptions!$I$57=1,MAX(H3603,Assumptions!$G$57)+Assumptions!$F$57+$C$3604,Assumptions!$E$57))</f>
        <v>0.0425</v>
      </c>
      <c r="I3629" s="31" t="n">
        <f aca="false">IF(H3761=1,$C$3605,IF(Assumptions!$I$57=1,MAX(I3603,Assumptions!$G$57)+Assumptions!$F$57+$C$3604,Assumptions!$E$57))</f>
        <v>0.0425</v>
      </c>
      <c r="J3629" s="31" t="n">
        <f aca="false">IF(I3761=1,$C$3605,IF(Assumptions!$I$57=1,MAX(J3603,Assumptions!$G$57)+Assumptions!$F$57+$C$3604,Assumptions!$E$57))</f>
        <v>0.0425</v>
      </c>
      <c r="K3629" s="31" t="n">
        <f aca="false">IF(J3761=1,$C$3605,IF(Assumptions!$I$57=1,MAX(K3603,Assumptions!$G$57)+Assumptions!$F$57+$C$3604,Assumptions!$E$57))</f>
        <v>0.0425</v>
      </c>
    </row>
    <row r="3630" customFormat="false" ht="15" hidden="false" customHeight="false" outlineLevel="0" collapsed="false">
      <c r="A3630" s="3" t="s">
        <v>312</v>
      </c>
      <c r="G3630" s="25" t="n">
        <f aca="false">G3626*G3629</f>
        <v>11.760005</v>
      </c>
      <c r="H3630" s="25" t="n">
        <f aca="false">H3626*H3629</f>
        <v>11.760005</v>
      </c>
      <c r="I3630" s="25" t="n">
        <f aca="false">I3626*I3629</f>
        <v>11.760005</v>
      </c>
      <c r="J3630" s="25" t="n">
        <f aca="false">J3626*J3629</f>
        <v>0</v>
      </c>
      <c r="K3630" s="25" t="n">
        <f aca="false">K3626*K3629</f>
        <v>0</v>
      </c>
    </row>
    <row r="3631" customFormat="false" ht="15" hidden="false" customHeight="false" outlineLevel="0" collapsed="false">
      <c r="A3631" s="3" t="s">
        <v>313</v>
      </c>
      <c r="G3631" s="25" t="n">
        <f aca="false">G3626*Assumptions!$H$57</f>
        <v>0</v>
      </c>
      <c r="H3631" s="25" t="n">
        <f aca="false">H3626*Assumptions!$H$57</f>
        <v>0</v>
      </c>
      <c r="I3631" s="25" t="n">
        <f aca="false">I3626*Assumptions!$H$57</f>
        <v>0</v>
      </c>
      <c r="J3631" s="25" t="n">
        <f aca="false">J3626*Assumptions!$H$57</f>
        <v>0</v>
      </c>
      <c r="K3631" s="25" t="n">
        <f aca="false">K3626*Assumptions!$H$57</f>
        <v>0</v>
      </c>
    </row>
    <row r="3632" customFormat="false" ht="15" hidden="false" customHeight="false" outlineLevel="0" collapsed="false">
      <c r="A3632" s="3" t="s">
        <v>314</v>
      </c>
      <c r="G3632" s="25" t="n">
        <f aca="false">MIN(G3626,Assumptions!$L$57*Assumptions!$C$57)</f>
        <v>0</v>
      </c>
      <c r="H3632" s="25" t="n">
        <f aca="false">MIN(H3626,Assumptions!$L$57*Assumptions!$C$57)</f>
        <v>0</v>
      </c>
      <c r="I3632" s="25" t="n">
        <f aca="false">MIN(I3626,Assumptions!$L$57*Assumptions!$C$57)</f>
        <v>0</v>
      </c>
      <c r="J3632" s="25" t="n">
        <f aca="false">MIN(J3626,Assumptions!$L$57*Assumptions!$C$57)</f>
        <v>0</v>
      </c>
      <c r="K3632" s="25" t="n">
        <f aca="false">MIN(K3626,Assumptions!$L$57*Assumptions!$C$57)</f>
        <v>0</v>
      </c>
    </row>
    <row r="3633" customFormat="false" ht="15" hidden="false" customHeight="false" outlineLevel="0" collapsed="false">
      <c r="A3633" s="3" t="s">
        <v>315</v>
      </c>
      <c r="G3633" s="25" t="n">
        <f aca="false">IF(AND(Assumptions!$P$57=1,G3577&lt;Assumptions!$K$57),MIN(MAX(0,-G3674),MAX(0,Assumptions!$D$57-G3626)),0)</f>
        <v>0</v>
      </c>
      <c r="H3633" s="25" t="n">
        <f aca="false">IF(AND(Assumptions!$P$57=1,OR(H3577&lt;Assumptions!$K$57,G3761=1)),MIN(MAX(0,-H3674),MAX(0,Assumptions!$D$57-H3626)),0)</f>
        <v>0</v>
      </c>
      <c r="I3633" s="25" t="n">
        <f aca="false">IF(AND(Assumptions!$P$57=1,OR(I3577&lt;Assumptions!$K$57,H3761=1)),MIN(MAX(0,-I3674),MAX(0,Assumptions!$D$57-I3626)),0)</f>
        <v>0</v>
      </c>
      <c r="J3633" s="25" t="n">
        <f aca="false">IF(AND(Assumptions!$P$57=1,OR(J3577&lt;Assumptions!$K$57,I3761=1)),MIN(MAX(0,-J3674),MAX(0,Assumptions!$D$57-J3626)),0)</f>
        <v>0</v>
      </c>
      <c r="K3633" s="25" t="n">
        <f aca="false">IF(AND(Assumptions!$P$57=1,OR(K3577&lt;Assumptions!$K$57,J3761=1)),MIN(MAX(0,-K3674),MAX(0,Assumptions!$D$57-K3626)),0)</f>
        <v>0</v>
      </c>
    </row>
    <row r="3634" customFormat="false" ht="15" hidden="false" customHeight="false" outlineLevel="0" collapsed="false">
      <c r="A3634" s="3" t="s">
        <v>316</v>
      </c>
      <c r="G3634" s="25" t="n">
        <f aca="false">G3627*MIN(G3626-G3632+G3631,MAX(0,G3676-Assumptions!$C$12*G3611-G3621))</f>
        <v>0</v>
      </c>
      <c r="H3634" s="25" t="n">
        <f aca="false">H3627*MIN(H3626-H3632+H3631,MAX(0,H3676-Assumptions!$C$12*H3611-H3621))</f>
        <v>0</v>
      </c>
      <c r="I3634" s="25" t="n">
        <f aca="false">I3627*MIN(I3626-I3632+I3631,MAX(0,I3676-Assumptions!$C$12*I3611-I3621))</f>
        <v>276.706</v>
      </c>
      <c r="J3634" s="25" t="n">
        <f aca="false">J3627*MIN(J3626-J3632+J3631,MAX(0,J3676-Assumptions!$C$12*J3611-J3621))</f>
        <v>0</v>
      </c>
      <c r="K3634" s="25" t="n">
        <f aca="false">K3627*MIN(K3626-K3632+K3631,MAX(0,K3676-Assumptions!$C$12*K3611-K3621))</f>
        <v>0</v>
      </c>
    </row>
    <row r="3635" customFormat="false" ht="15" hidden="false" customHeight="false" outlineLevel="0" collapsed="false">
      <c r="A3635" s="3" t="s">
        <v>317</v>
      </c>
      <c r="G3635" s="25" t="n">
        <f aca="false">Assumptions!$N$57*MIN(G3626+G3633+G3631-G3632-G3634,MAX(0,G3680-G3622))</f>
        <v>0</v>
      </c>
      <c r="H3635" s="25" t="n">
        <f aca="false">Assumptions!$N$57*MIN(H3626+H3633+H3631-H3632-H3634,MAX(0,H3680-H3622))</f>
        <v>0</v>
      </c>
      <c r="I3635" s="25" t="n">
        <f aca="false">Assumptions!$N$57*MIN(I3626+I3633+I3631-I3632-I3634,MAX(0,I3680-I3622))</f>
        <v>0</v>
      </c>
      <c r="J3635" s="25" t="n">
        <f aca="false">Assumptions!$N$57*MIN(J3626+J3633+J3631-J3632-J3634,MAX(0,J3680-J3622))</f>
        <v>0</v>
      </c>
      <c r="K3635" s="25" t="n">
        <f aca="false">Assumptions!$N$57*MIN(K3626+K3633+K3631-K3632-K3634,MAX(0,K3680-K3622))</f>
        <v>0</v>
      </c>
    </row>
    <row r="3636" customFormat="false" ht="15" hidden="false" customHeight="false" outlineLevel="0" collapsed="false">
      <c r="A3636" s="3" t="s">
        <v>318</v>
      </c>
      <c r="G3636" s="25" t="n">
        <f aca="false">G3627*(1-G3611)*(G3626-G3632+G3631-G3634)</f>
        <v>0</v>
      </c>
      <c r="H3636" s="25" t="n">
        <f aca="false">H3627*(1-H3611)*(H3626-H3632+H3631-H3634)</f>
        <v>0</v>
      </c>
      <c r="I3636" s="25" t="n">
        <f aca="false">I3627*(1-I3611)*(I3626-I3632+I3631-I3634)</f>
        <v>0</v>
      </c>
      <c r="J3636" s="25" t="n">
        <f aca="false">J3627*(1-J3611)*(J3626-J3632+J3631-J3634)</f>
        <v>0</v>
      </c>
      <c r="K3636" s="25" t="n">
        <f aca="false">K3627*(1-K3611)*(K3626-K3632+K3631-K3634)</f>
        <v>0</v>
      </c>
    </row>
    <row r="3637" customFormat="false" ht="15" hidden="false" customHeight="false" outlineLevel="0" collapsed="false">
      <c r="A3637" s="2" t="s">
        <v>319</v>
      </c>
      <c r="F3637" s="28" t="n">
        <f aca="false">Assumptions!$C$57</f>
        <v>276.706</v>
      </c>
      <c r="G3637" s="16" t="n">
        <f aca="false">G3626+G3633+G3631-G3632-G3634-G3635</f>
        <v>276.706</v>
      </c>
      <c r="H3637" s="16" t="n">
        <f aca="false">H3626+H3633+H3631-H3632-H3634-H3635</f>
        <v>276.706</v>
      </c>
      <c r="I3637" s="16" t="n">
        <f aca="false">I3626+I3633+I3631-I3632-I3634-I3635</f>
        <v>0</v>
      </c>
      <c r="J3637" s="16" t="n">
        <f aca="false">J3626+J3633+J3631-J3632-J3634-J3635</f>
        <v>0</v>
      </c>
      <c r="K3637" s="16" t="n">
        <f aca="false">K3626+K3633+K3631-K3632-K3634-K3635</f>
        <v>0</v>
      </c>
    </row>
    <row r="3638" customFormat="false" ht="15" hidden="false" customHeight="false" outlineLevel="0" collapsed="false">
      <c r="A3638" s="23" t="s">
        <v>321</v>
      </c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</row>
    <row r="3639" customFormat="false" ht="15" hidden="false" customHeight="false" outlineLevel="0" collapsed="false">
      <c r="A3639" s="3" t="s">
        <v>309</v>
      </c>
      <c r="G3639" s="25" t="n">
        <f aca="false">F3650</f>
        <v>143.75</v>
      </c>
      <c r="H3639" s="25" t="n">
        <f aca="false">G3650</f>
        <v>143.75</v>
      </c>
      <c r="I3639" s="25" t="n">
        <f aca="false">H3650</f>
        <v>143.75</v>
      </c>
      <c r="J3639" s="25" t="n">
        <f aca="false">I3650</f>
        <v>0</v>
      </c>
      <c r="K3639" s="25" t="n">
        <f aca="false">J3650</f>
        <v>0</v>
      </c>
    </row>
    <row r="3640" customFormat="false" ht="15" hidden="false" customHeight="false" outlineLevel="0" collapsed="false">
      <c r="A3640" s="3" t="s">
        <v>310</v>
      </c>
      <c r="G3640" s="20" t="n">
        <f aca="false">IF(G3577=Assumptions!$K$58,1,0)</f>
        <v>0</v>
      </c>
      <c r="H3640" s="20" t="n">
        <f aca="false">IF(H3577=Assumptions!$K$58,1,0)</f>
        <v>0</v>
      </c>
      <c r="I3640" s="20" t="n">
        <f aca="false">IF(I3577=Assumptions!$K$58,1,0)</f>
        <v>1</v>
      </c>
      <c r="J3640" s="20" t="n">
        <f aca="false">IF(J3577=Assumptions!$K$58,1,0)</f>
        <v>0</v>
      </c>
      <c r="K3640" s="20" t="n">
        <f aca="false">IF(K3577=Assumptions!$K$58,1,0)</f>
        <v>0</v>
      </c>
    </row>
    <row r="3642" customFormat="false" ht="15" hidden="false" customHeight="false" outlineLevel="0" collapsed="false">
      <c r="A3642" s="3" t="s">
        <v>311</v>
      </c>
      <c r="G3642" s="31" t="n">
        <f aca="false">IF(Assumptions!$I$58=1,MAX(G3603,Assumptions!$G$58)+Assumptions!$F$58+$C$3604,Assumptions!$E$58)</f>
        <v>0.0425</v>
      </c>
      <c r="H3642" s="31" t="n">
        <f aca="false">IF(G3762=1,$C$3605,IF(Assumptions!$I$58=1,MAX(H3603,Assumptions!$G$58)+Assumptions!$F$58+$C$3604,Assumptions!$E$58))</f>
        <v>0.0425</v>
      </c>
      <c r="I3642" s="31" t="n">
        <f aca="false">IF(H3762=1,$C$3605,IF(Assumptions!$I$58=1,MAX(I3603,Assumptions!$G$58)+Assumptions!$F$58+$C$3604,Assumptions!$E$58))</f>
        <v>0.0425</v>
      </c>
      <c r="J3642" s="31" t="n">
        <f aca="false">IF(I3762=1,$C$3605,IF(Assumptions!$I$58=1,MAX(J3603,Assumptions!$G$58)+Assumptions!$F$58+$C$3604,Assumptions!$E$58))</f>
        <v>0.0425</v>
      </c>
      <c r="K3642" s="31" t="n">
        <f aca="false">IF(J3762=1,$C$3605,IF(Assumptions!$I$58=1,MAX(K3603,Assumptions!$G$58)+Assumptions!$F$58+$C$3604,Assumptions!$E$58))</f>
        <v>0.0425</v>
      </c>
    </row>
    <row r="3643" customFormat="false" ht="15" hidden="false" customHeight="false" outlineLevel="0" collapsed="false">
      <c r="A3643" s="3" t="s">
        <v>312</v>
      </c>
      <c r="G3643" s="25" t="n">
        <f aca="false">G3639*G3642</f>
        <v>6.109375</v>
      </c>
      <c r="H3643" s="25" t="n">
        <f aca="false">H3639*H3642</f>
        <v>6.109375</v>
      </c>
      <c r="I3643" s="25" t="n">
        <f aca="false">I3639*I3642</f>
        <v>6.109375</v>
      </c>
      <c r="J3643" s="25" t="n">
        <f aca="false">J3639*J3642</f>
        <v>0</v>
      </c>
      <c r="K3643" s="25" t="n">
        <f aca="false">K3639*K3642</f>
        <v>0</v>
      </c>
    </row>
    <row r="3644" customFormat="false" ht="15" hidden="false" customHeight="false" outlineLevel="0" collapsed="false">
      <c r="A3644" s="3" t="s">
        <v>313</v>
      </c>
      <c r="G3644" s="25" t="n">
        <f aca="false">G3639*Assumptions!$H$58</f>
        <v>0</v>
      </c>
      <c r="H3644" s="25" t="n">
        <f aca="false">H3639*Assumptions!$H$58</f>
        <v>0</v>
      </c>
      <c r="I3644" s="25" t="n">
        <f aca="false">I3639*Assumptions!$H$58</f>
        <v>0</v>
      </c>
      <c r="J3644" s="25" t="n">
        <f aca="false">J3639*Assumptions!$H$58</f>
        <v>0</v>
      </c>
      <c r="K3644" s="25" t="n">
        <f aca="false">K3639*Assumptions!$H$58</f>
        <v>0</v>
      </c>
    </row>
    <row r="3645" customFormat="false" ht="15" hidden="false" customHeight="false" outlineLevel="0" collapsed="false">
      <c r="A3645" s="3" t="s">
        <v>314</v>
      </c>
      <c r="G3645" s="25" t="n">
        <f aca="false">MIN(G3639,Assumptions!$L$58*Assumptions!$C$58)</f>
        <v>0</v>
      </c>
      <c r="H3645" s="25" t="n">
        <f aca="false">MIN(H3639,Assumptions!$L$58*Assumptions!$C$58)</f>
        <v>0</v>
      </c>
      <c r="I3645" s="25" t="n">
        <f aca="false">MIN(I3639,Assumptions!$L$58*Assumptions!$C$58)</f>
        <v>0</v>
      </c>
      <c r="J3645" s="25" t="n">
        <f aca="false">MIN(J3639,Assumptions!$L$58*Assumptions!$C$58)</f>
        <v>0</v>
      </c>
      <c r="K3645" s="25" t="n">
        <f aca="false">MIN(K3639,Assumptions!$L$58*Assumptions!$C$58)</f>
        <v>0</v>
      </c>
    </row>
    <row r="3646" customFormat="false" ht="15" hidden="false" customHeight="false" outlineLevel="0" collapsed="false">
      <c r="A3646" s="3" t="s">
        <v>315</v>
      </c>
      <c r="G3646" s="25" t="n">
        <f aca="false">IF(AND(Assumptions!$P$58=1,G3577&lt;Assumptions!$K$58),MIN(MAX(0,-G3674),MAX(0,Assumptions!$D$58-G3639)),0)</f>
        <v>0</v>
      </c>
      <c r="H3646" s="25" t="n">
        <f aca="false">IF(AND(Assumptions!$P$58=1,OR(H3577&lt;Assumptions!$K$58,G3762=1)),MIN(MAX(0,-H3674),MAX(0,Assumptions!$D$58-H3639)),0)</f>
        <v>0</v>
      </c>
      <c r="I3646" s="25" t="n">
        <f aca="false">IF(AND(Assumptions!$P$58=1,OR(I3577&lt;Assumptions!$K$58,H3762=1)),MIN(MAX(0,-I3674),MAX(0,Assumptions!$D$58-I3639)),0)</f>
        <v>0</v>
      </c>
      <c r="J3646" s="25" t="n">
        <f aca="false">IF(AND(Assumptions!$P$58=1,OR(J3577&lt;Assumptions!$K$58,I3762=1)),MIN(MAX(0,-J3674),MAX(0,Assumptions!$D$58-J3639)),0)</f>
        <v>0</v>
      </c>
      <c r="K3646" s="25" t="n">
        <f aca="false">IF(AND(Assumptions!$P$58=1,OR(K3577&lt;Assumptions!$K$58,J3762=1)),MIN(MAX(0,-K3674),MAX(0,Assumptions!$D$58-K3639)),0)</f>
        <v>0</v>
      </c>
    </row>
    <row r="3647" customFormat="false" ht="15" hidden="false" customHeight="false" outlineLevel="0" collapsed="false">
      <c r="A3647" s="3" t="s">
        <v>316</v>
      </c>
      <c r="G3647" s="25" t="n">
        <f aca="false">G3640*MIN(G3639-G3645+G3644,MAX(0,G3676-Assumptions!$C$12*G3611-G3621-G3634))</f>
        <v>0</v>
      </c>
      <c r="H3647" s="25" t="n">
        <f aca="false">H3640*MIN(H3639-H3645+H3644,MAX(0,H3676-Assumptions!$C$12*H3611-H3621-H3634))</f>
        <v>0</v>
      </c>
      <c r="I3647" s="25" t="n">
        <f aca="false">I3640*MIN(I3639-I3645+I3644,MAX(0,I3676-Assumptions!$C$12*I3611-I3621-I3634))</f>
        <v>143.75</v>
      </c>
      <c r="J3647" s="25" t="n">
        <f aca="false">J3640*MIN(J3639-J3645+J3644,MAX(0,J3676-Assumptions!$C$12*J3611-J3621-J3634))</f>
        <v>0</v>
      </c>
      <c r="K3647" s="25" t="n">
        <f aca="false">K3640*MIN(K3639-K3645+K3644,MAX(0,K3676-Assumptions!$C$12*K3611-K3621-K3634))</f>
        <v>0</v>
      </c>
    </row>
    <row r="3648" customFormat="false" ht="15" hidden="false" customHeight="false" outlineLevel="0" collapsed="false">
      <c r="A3648" s="3" t="s">
        <v>317</v>
      </c>
      <c r="G3648" s="25" t="n">
        <f aca="false">Assumptions!$N$58*MIN(G3639+G3646+G3644-G3645-G3647,MAX(0,G3680-G3622-G3635))</f>
        <v>0</v>
      </c>
      <c r="H3648" s="25" t="n">
        <f aca="false">Assumptions!$N$58*MIN(H3639+H3646+H3644-H3645-H3647,MAX(0,H3680-H3622-H3635))</f>
        <v>0</v>
      </c>
      <c r="I3648" s="25" t="n">
        <f aca="false">Assumptions!$N$58*MIN(I3639+I3646+I3644-I3645-I3647,MAX(0,I3680-I3622-I3635))</f>
        <v>0</v>
      </c>
      <c r="J3648" s="25" t="n">
        <f aca="false">Assumptions!$N$58*MIN(J3639+J3646+J3644-J3645-J3647,MAX(0,J3680-J3622-J3635))</f>
        <v>0</v>
      </c>
      <c r="K3648" s="25" t="n">
        <f aca="false">Assumptions!$N$58*MIN(K3639+K3646+K3644-K3645-K3647,MAX(0,K3680-K3622-K3635))</f>
        <v>0</v>
      </c>
    </row>
    <row r="3649" customFormat="false" ht="15" hidden="false" customHeight="false" outlineLevel="0" collapsed="false">
      <c r="A3649" s="3" t="s">
        <v>318</v>
      </c>
      <c r="G3649" s="25" t="n">
        <f aca="false">G3640*(1-G3611)*(G3639-G3645+G3644-G3647)</f>
        <v>0</v>
      </c>
      <c r="H3649" s="25" t="n">
        <f aca="false">H3640*(1-H3611)*(H3639-H3645+H3644-H3647)</f>
        <v>0</v>
      </c>
      <c r="I3649" s="25" t="n">
        <f aca="false">I3640*(1-I3611)*(I3639-I3645+I3644-I3647)</f>
        <v>0</v>
      </c>
      <c r="J3649" s="25" t="n">
        <f aca="false">J3640*(1-J3611)*(J3639-J3645+J3644-J3647)</f>
        <v>0</v>
      </c>
      <c r="K3649" s="25" t="n">
        <f aca="false">K3640*(1-K3611)*(K3639-K3645+K3644-K3647)</f>
        <v>0</v>
      </c>
    </row>
    <row r="3650" customFormat="false" ht="15" hidden="false" customHeight="false" outlineLevel="0" collapsed="false">
      <c r="A3650" s="2" t="s">
        <v>319</v>
      </c>
      <c r="F3650" s="28" t="n">
        <f aca="false">Assumptions!$C$58</f>
        <v>143.75</v>
      </c>
      <c r="G3650" s="16" t="n">
        <f aca="false">G3639+G3646+G3644-G3645-G3647-G3648</f>
        <v>143.75</v>
      </c>
      <c r="H3650" s="16" t="n">
        <f aca="false">H3639+H3646+H3644-H3645-H3647-H3648</f>
        <v>143.75</v>
      </c>
      <c r="I3650" s="16" t="n">
        <f aca="false">I3639+I3646+I3644-I3645-I3647-I3648</f>
        <v>0</v>
      </c>
      <c r="J3650" s="16" t="n">
        <f aca="false">J3639+J3646+J3644-J3645-J3647-J3648</f>
        <v>0</v>
      </c>
      <c r="K3650" s="16" t="n">
        <f aca="false">K3639+K3646+K3644-K3645-K3647-K3648</f>
        <v>0</v>
      </c>
    </row>
    <row r="3651" customFormat="false" ht="15" hidden="false" customHeight="false" outlineLevel="0" collapsed="false">
      <c r="A3651" s="23" t="s">
        <v>322</v>
      </c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</row>
    <row r="3652" customFormat="false" ht="15" hidden="false" customHeight="false" outlineLevel="0" collapsed="false">
      <c r="A3652" s="2" t="s">
        <v>323</v>
      </c>
      <c r="F3652" s="16" t="n">
        <f aca="false">F3624+F3637+F3650</f>
        <v>1735.554</v>
      </c>
      <c r="G3652" s="16" t="n">
        <f aca="false">G3624+G3637+G3650</f>
        <v>1735.554</v>
      </c>
      <c r="H3652" s="16" t="n">
        <f aca="false">H3624+H3637+H3650</f>
        <v>1735.554</v>
      </c>
      <c r="I3652" s="16" t="n">
        <f aca="false">I3624+I3637+I3650</f>
        <v>1315.098</v>
      </c>
      <c r="J3652" s="16" t="n">
        <f aca="false">J3624+J3637+J3650</f>
        <v>1315.098</v>
      </c>
      <c r="K3652" s="16" t="n">
        <f aca="false">K3624+K3637+K3650</f>
        <v>1315.098</v>
      </c>
    </row>
    <row r="3653" customFormat="false" ht="15" hidden="false" customHeight="false" outlineLevel="0" collapsed="false">
      <c r="A3653" s="3" t="s">
        <v>324</v>
      </c>
      <c r="G3653" s="25" t="n">
        <f aca="false">G3614*Assumptions!$C$56+G3627*Assumptions!$C$57+G3640*Assumptions!$C$58</f>
        <v>0</v>
      </c>
      <c r="H3653" s="25" t="n">
        <f aca="false">H3614*Assumptions!$C$56+H3627*Assumptions!$C$57+H3640*Assumptions!$C$58</f>
        <v>0</v>
      </c>
      <c r="I3653" s="25" t="n">
        <f aca="false">I3614*Assumptions!$C$56+I3627*Assumptions!$C$57+I3640*Assumptions!$C$58</f>
        <v>420.456</v>
      </c>
      <c r="J3653" s="25" t="n">
        <f aca="false">J3614*Assumptions!$C$56+J3627*Assumptions!$C$57+J3640*Assumptions!$C$58</f>
        <v>0</v>
      </c>
      <c r="K3653" s="25" t="n">
        <f aca="false">K3614*Assumptions!$C$56+K3627*Assumptions!$C$57+K3640*Assumptions!$C$58</f>
        <v>0</v>
      </c>
    </row>
    <row r="3654" customFormat="false" ht="15" hidden="false" customHeight="false" outlineLevel="0" collapsed="false">
      <c r="A3654" s="23" t="s">
        <v>325</v>
      </c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</row>
    <row r="3655" customFormat="false" ht="15" hidden="false" customHeight="false" outlineLevel="0" collapsed="false">
      <c r="A3655" s="3" t="s">
        <v>326</v>
      </c>
      <c r="C3655" s="25" t="n">
        <f aca="false">SUMPRODUCT($G$3614:$K$3614,$G$3613:$K$3613-$G$3619:$K$3619+$G$3618:$K$3618)</f>
        <v>0</v>
      </c>
    </row>
    <row r="3656" customFormat="false" ht="15" hidden="false" customHeight="false" outlineLevel="0" collapsed="false">
      <c r="A3656" s="3" t="s">
        <v>327</v>
      </c>
      <c r="C3656" s="25" t="n">
        <f aca="false">SUMPRODUCT($G$3614:$K$3614,$G$3621:$K$3621)</f>
        <v>0</v>
      </c>
    </row>
    <row r="3657" customFormat="false" ht="15" hidden="false" customHeight="false" outlineLevel="0" collapsed="false">
      <c r="A3657" s="3" t="s">
        <v>328</v>
      </c>
      <c r="C3657" s="3" t="str">
        <f aca="false">IF(SUM($G$3614:$K$3614)=0,"n/a (beyond horizon)",IF(SUMPRODUCT($G$3614:$K$3614,$G$3611:$K$3611)&gt;0,"REFINANCING PASS","REFINANCING FAILURE"))</f>
        <v>n/a (beyond horizon)</v>
      </c>
    </row>
    <row r="3658" customFormat="false" ht="15" hidden="false" customHeight="false" outlineLevel="0" collapsed="false">
      <c r="A3658" s="3" t="s">
        <v>329</v>
      </c>
      <c r="C3658" s="3" t="str">
        <f aca="false">IF(SUM($G$3614:$K$3614)=0,"n/a",IF(C3656&gt;=C3655-0.001,"Repaid from cash",IF(SUMPRODUCT($G$3614:$K$3614,$G$3611:$K$3611)&gt;0,IF(C3656&gt;0,"Partly repaid; remainder refinanced","Refinanced"),IF(SUM($G$3623:$K$3623)&gt;0.001,IF(C3656&gt;0,"Partial repayment; PAYMENT DEFAULT","PAYMENT DEFAULT"),"Repaid from cash"))))</f>
        <v>n/a</v>
      </c>
    </row>
    <row r="3659" customFormat="false" ht="15" hidden="false" customHeight="false" outlineLevel="0" collapsed="false">
      <c r="A3659" s="3" t="s">
        <v>330</v>
      </c>
      <c r="C3659" s="25" t="n">
        <f aca="false">SUMPRODUCT($G$3627:$K$3627,$G$3626:$K$3626-$G$3632:$K$3632+$G$3631:$K$3631)</f>
        <v>276.706</v>
      </c>
    </row>
    <row r="3660" customFormat="false" ht="15" hidden="false" customHeight="false" outlineLevel="0" collapsed="false">
      <c r="A3660" s="3" t="s">
        <v>331</v>
      </c>
      <c r="C3660" s="25" t="n">
        <f aca="false">SUMPRODUCT($G$3627:$K$3627,$G$3634:$K$3634)</f>
        <v>276.706</v>
      </c>
    </row>
    <row r="3661" customFormat="false" ht="15" hidden="false" customHeight="false" outlineLevel="0" collapsed="false">
      <c r="A3661" s="3" t="s">
        <v>332</v>
      </c>
      <c r="C3661" s="3" t="str">
        <f aca="false">IF(SUM($G$3627:$K$3627)=0,"n/a (beyond horizon)",IF(SUMPRODUCT($G$3627:$K$3627,$G$3611:$K$3611)&gt;0,"REFINANCING PASS","REFINANCING FAILURE"))</f>
        <v>REFINANCING FAILURE</v>
      </c>
    </row>
    <row r="3662" customFormat="false" ht="15" hidden="false" customHeight="false" outlineLevel="0" collapsed="false">
      <c r="A3662" s="3" t="s">
        <v>333</v>
      </c>
      <c r="C3662" s="3" t="str">
        <f aca="false">IF(SUM($G$3627:$K$3627)=0,"n/a",IF(C3660&gt;=C3659-0.001,"Repaid from cash",IF(SUMPRODUCT($G$3627:$K$3627,$G$3611:$K$3611)&gt;0,IF(C3660&gt;0,"Partly repaid; remainder refinanced","Refinanced"),IF(SUM($G$3636:$K$3636)&gt;0.001,IF(C3660&gt;0,"Partial repayment; PAYMENT DEFAULT","PAYMENT DEFAULT"),"Repaid from cash"))))</f>
        <v>Repaid from cash</v>
      </c>
    </row>
    <row r="3663" customFormat="false" ht="15" hidden="false" customHeight="false" outlineLevel="0" collapsed="false">
      <c r="A3663" s="3" t="s">
        <v>334</v>
      </c>
      <c r="C3663" s="25" t="n">
        <f aca="false">SUMPRODUCT($G$3640:$K$3640,$G$3639:$K$3639-$G$3645:$K$3645+$G$3644:$K$3644)</f>
        <v>143.75</v>
      </c>
    </row>
    <row r="3664" customFormat="false" ht="15" hidden="false" customHeight="false" outlineLevel="0" collapsed="false">
      <c r="A3664" s="3" t="s">
        <v>335</v>
      </c>
      <c r="C3664" s="25" t="n">
        <f aca="false">SUMPRODUCT($G$3640:$K$3640,$G$3647:$K$3647)</f>
        <v>143.75</v>
      </c>
    </row>
    <row r="3665" customFormat="false" ht="15" hidden="false" customHeight="false" outlineLevel="0" collapsed="false">
      <c r="A3665" s="3" t="s">
        <v>336</v>
      </c>
      <c r="C3665" s="3" t="str">
        <f aca="false">IF(SUM($G$3640:$K$3640)=0,"n/a (beyond horizon)",IF(SUMPRODUCT($G$3640:$K$3640,$G$3611:$K$3611)&gt;0,"REFINANCING PASS","REFINANCING FAILURE"))</f>
        <v>REFINANCING FAILURE</v>
      </c>
    </row>
    <row r="3666" customFormat="false" ht="15" hidden="false" customHeight="false" outlineLevel="0" collapsed="false">
      <c r="A3666" s="3" t="s">
        <v>337</v>
      </c>
      <c r="C3666" s="3" t="str">
        <f aca="false">IF(SUM($G$3640:$K$3640)=0,"n/a",IF(C3664&gt;=C3663-0.001,"Repaid from cash",IF(SUMPRODUCT($G$3640:$K$3640,$G$3611:$K$3611)&gt;0,IF(C3664&gt;0,"Partly repaid; remainder refinanced","Refinanced"),IF(SUM($G$3649:$K$3649)&gt;0.001,IF(C3664&gt;0,"Partial repayment; PAYMENT DEFAULT","PAYMENT DEFAULT"),"Repaid from cash"))))</f>
        <v>Repaid from cash</v>
      </c>
    </row>
    <row r="3667" customFormat="false" ht="15" hidden="false" customHeight="false" outlineLevel="0" collapsed="false">
      <c r="A3667" s="3" t="s">
        <v>338</v>
      </c>
      <c r="C3667" s="20" t="n">
        <f aca="false">IF(C3657="REFINANCING FAILURE",1,0)+IF(C3661="REFINANCING FAILURE",1,0)+IF(C3665="REFINANCING FAILURE",1,0)</f>
        <v>2</v>
      </c>
    </row>
    <row r="3669" customFormat="false" ht="15" hidden="false" customHeight="false" outlineLevel="0" collapsed="false">
      <c r="A3669" s="23" t="s">
        <v>340</v>
      </c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</row>
    <row r="3670" customFormat="false" ht="15" hidden="false" customHeight="false" outlineLevel="0" collapsed="false">
      <c r="A3670" s="3" t="s">
        <v>305</v>
      </c>
      <c r="G3670" s="25" t="n">
        <f aca="false">F3682</f>
        <v>463.996</v>
      </c>
      <c r="H3670" s="25" t="n">
        <f aca="false">G3682</f>
        <v>552.03308414</v>
      </c>
      <c r="I3670" s="25" t="n">
        <f aca="false">H3682</f>
        <v>611.3063049932</v>
      </c>
      <c r="J3670" s="25" t="n">
        <f aca="false">I3682</f>
        <v>228.192253338368</v>
      </c>
      <c r="K3670" s="25" t="n">
        <f aca="false">J3682</f>
        <v>265.157826120113</v>
      </c>
    </row>
    <row r="3671" customFormat="false" ht="15" hidden="false" customHeight="false" outlineLevel="0" collapsed="false">
      <c r="A3671" s="3" t="s">
        <v>341</v>
      </c>
      <c r="G3671" s="25" t="n">
        <f aca="false">G3600</f>
        <v>88.03708414</v>
      </c>
      <c r="H3671" s="25" t="n">
        <f aca="false">H3600</f>
        <v>59.2732208532</v>
      </c>
      <c r="I3671" s="25" t="n">
        <f aca="false">I3600</f>
        <v>37.341948345168</v>
      </c>
      <c r="J3671" s="25" t="n">
        <f aca="false">J3600</f>
        <v>36.9655727817456</v>
      </c>
      <c r="K3671" s="25" t="n">
        <f aca="false">K3600</f>
        <v>28.2130296426583</v>
      </c>
    </row>
    <row r="3672" customFormat="false" ht="15" hidden="false" customHeight="false" outlineLevel="0" collapsed="false">
      <c r="A3672" s="3" t="s">
        <v>342</v>
      </c>
      <c r="G3672" s="25" t="n">
        <f aca="false">CHOOSE($C$3570,Assumptions!$G$74,Assumptions!$G$93,Assumptions!$G$112)</f>
        <v>0</v>
      </c>
      <c r="H3672" s="25" t="n">
        <f aca="false">CHOOSE($C$3570,Assumptions!$H$74,Assumptions!$H$93,Assumptions!$H$112)</f>
        <v>0</v>
      </c>
      <c r="I3672" s="25" t="n">
        <f aca="false">CHOOSE($C$3570,Assumptions!$I$74,Assumptions!$I$93,Assumptions!$I$112)</f>
        <v>0</v>
      </c>
      <c r="J3672" s="25" t="n">
        <f aca="false">CHOOSE($C$3570,Assumptions!$J$74,Assumptions!$J$93,Assumptions!$J$112)</f>
        <v>0</v>
      </c>
      <c r="K3672" s="25" t="n">
        <f aca="false">CHOOSE($C$3570,Assumptions!$K$74,Assumptions!$K$93,Assumptions!$K$112)</f>
        <v>0</v>
      </c>
    </row>
    <row r="3673" customFormat="false" ht="15" hidden="false" customHeight="false" outlineLevel="0" collapsed="false">
      <c r="A3673" s="3" t="s">
        <v>343</v>
      </c>
      <c r="G3673" s="25" t="n">
        <f aca="false">G3619+G3632+G3645</f>
        <v>0</v>
      </c>
      <c r="H3673" s="25" t="n">
        <f aca="false">H3619+H3632+H3645</f>
        <v>0</v>
      </c>
      <c r="I3673" s="25" t="n">
        <f aca="false">I3619+I3632+I3645</f>
        <v>0</v>
      </c>
      <c r="J3673" s="25" t="n">
        <f aca="false">J3619+J3632+J3645</f>
        <v>0</v>
      </c>
      <c r="K3673" s="25" t="n">
        <f aca="false">K3619+K3632+K3645</f>
        <v>0</v>
      </c>
    </row>
    <row r="3674" customFormat="false" ht="15" hidden="false" customHeight="false" outlineLevel="0" collapsed="false">
      <c r="A3674" s="2" t="s">
        <v>344</v>
      </c>
      <c r="G3674" s="16" t="n">
        <f aca="false">G3670+G3671+G3672-G3673</f>
        <v>552.03308414</v>
      </c>
      <c r="H3674" s="16" t="n">
        <f aca="false">H3670+H3671+H3672-H3673</f>
        <v>611.3063049932</v>
      </c>
      <c r="I3674" s="16" t="n">
        <f aca="false">I3670+I3671+I3672-I3673</f>
        <v>648.648253338368</v>
      </c>
      <c r="J3674" s="16" t="n">
        <f aca="false">J3670+J3671+J3672-J3673</f>
        <v>265.157826120113</v>
      </c>
      <c r="K3674" s="16" t="n">
        <f aca="false">K3670+K3671+K3672-K3673</f>
        <v>293.370855762772</v>
      </c>
    </row>
    <row r="3675" customFormat="false" ht="15" hidden="false" customHeight="false" outlineLevel="0" collapsed="false">
      <c r="A3675" s="3" t="s">
        <v>345</v>
      </c>
      <c r="G3675" s="25" t="n">
        <f aca="false">G3620+G3633+G3646</f>
        <v>0</v>
      </c>
      <c r="H3675" s="25" t="n">
        <f aca="false">H3620+H3633+H3646</f>
        <v>0</v>
      </c>
      <c r="I3675" s="25" t="n">
        <f aca="false">I3620+I3633+I3646</f>
        <v>0</v>
      </c>
      <c r="J3675" s="25" t="n">
        <f aca="false">J3620+J3633+J3646</f>
        <v>0</v>
      </c>
      <c r="K3675" s="25" t="n">
        <f aca="false">K3620+K3633+K3646</f>
        <v>0</v>
      </c>
    </row>
    <row r="3676" customFormat="false" ht="15" hidden="false" customHeight="false" outlineLevel="0" collapsed="false">
      <c r="A3676" s="2" t="s">
        <v>346</v>
      </c>
      <c r="G3676" s="16" t="n">
        <f aca="false">G3674+G3675</f>
        <v>552.03308414</v>
      </c>
      <c r="H3676" s="16" t="n">
        <f aca="false">H3674+H3675</f>
        <v>611.3063049932</v>
      </c>
      <c r="I3676" s="16" t="n">
        <f aca="false">I3674+I3675</f>
        <v>648.648253338368</v>
      </c>
      <c r="J3676" s="16" t="n">
        <f aca="false">J3674+J3675</f>
        <v>265.157826120113</v>
      </c>
      <c r="K3676" s="16" t="n">
        <f aca="false">K3674+K3675</f>
        <v>293.370855762772</v>
      </c>
    </row>
    <row r="3677" customFormat="false" ht="15" hidden="false" customHeight="false" outlineLevel="0" collapsed="false">
      <c r="A3677" s="3" t="s">
        <v>347</v>
      </c>
      <c r="G3677" s="25" t="n">
        <f aca="false">G3621+G3634+G3647</f>
        <v>0</v>
      </c>
      <c r="H3677" s="25" t="n">
        <f aca="false">H3621+H3634+H3647</f>
        <v>0</v>
      </c>
      <c r="I3677" s="25" t="n">
        <f aca="false">I3621+I3634+I3647</f>
        <v>420.456</v>
      </c>
      <c r="J3677" s="25" t="n">
        <f aca="false">J3621+J3634+J3647</f>
        <v>0</v>
      </c>
      <c r="K3677" s="25" t="n">
        <f aca="false">K3621+K3634+K3647</f>
        <v>0</v>
      </c>
    </row>
    <row r="3678" customFormat="false" ht="15" hidden="false" customHeight="false" outlineLevel="0" collapsed="false">
      <c r="A3678" s="2" t="s">
        <v>348</v>
      </c>
      <c r="G3678" s="16" t="n">
        <f aca="false">G3676-G3677</f>
        <v>552.03308414</v>
      </c>
      <c r="H3678" s="16" t="n">
        <f aca="false">H3676-H3677</f>
        <v>611.3063049932</v>
      </c>
      <c r="I3678" s="16" t="n">
        <f aca="false">I3676-I3677</f>
        <v>228.192253338368</v>
      </c>
      <c r="J3678" s="16" t="n">
        <f aca="false">J3676-J3677</f>
        <v>265.157826120113</v>
      </c>
      <c r="K3678" s="16" t="n">
        <f aca="false">K3676-K3677</f>
        <v>293.370855762772</v>
      </c>
    </row>
    <row r="3679" customFormat="false" ht="15" hidden="false" customHeight="false" outlineLevel="0" collapsed="false">
      <c r="A3679" s="3" t="s">
        <v>349</v>
      </c>
      <c r="G3679" s="25" t="n">
        <f aca="false">MAX(0,-G3678)</f>
        <v>0</v>
      </c>
      <c r="H3679" s="25" t="n">
        <f aca="false">MAX(0,-H3678)</f>
        <v>0</v>
      </c>
      <c r="I3679" s="25" t="n">
        <f aca="false">MAX(0,-I3678)</f>
        <v>0</v>
      </c>
      <c r="J3679" s="25" t="n">
        <f aca="false">MAX(0,-J3678)</f>
        <v>0</v>
      </c>
      <c r="K3679" s="25" t="n">
        <f aca="false">MAX(0,-K3678)</f>
        <v>0</v>
      </c>
    </row>
    <row r="3680" customFormat="false" ht="15" hidden="false" customHeight="false" outlineLevel="0" collapsed="false">
      <c r="A3680" s="3" t="s">
        <v>350</v>
      </c>
      <c r="G3680" s="25" t="n">
        <f aca="false">MAX(0,G3678-Assumptions!$C$12)*Assumptions!$C$13</f>
        <v>0</v>
      </c>
      <c r="H3680" s="25" t="n">
        <f aca="false">MAX(0,H3678-Assumptions!$C$12)*Assumptions!$C$13</f>
        <v>0</v>
      </c>
      <c r="I3680" s="25" t="n">
        <f aca="false">MAX(0,I3678-Assumptions!$C$12)*Assumptions!$C$13</f>
        <v>0</v>
      </c>
      <c r="J3680" s="25" t="n">
        <f aca="false">MAX(0,J3678-Assumptions!$C$12)*Assumptions!$C$13</f>
        <v>0</v>
      </c>
      <c r="K3680" s="25" t="n">
        <f aca="false">MAX(0,K3678-Assumptions!$C$12)*Assumptions!$C$13</f>
        <v>0</v>
      </c>
    </row>
    <row r="3681" customFormat="false" ht="15" hidden="false" customHeight="false" outlineLevel="0" collapsed="false">
      <c r="A3681" s="3" t="s">
        <v>351</v>
      </c>
      <c r="G3681" s="25" t="n">
        <f aca="false">G3622+G3635+G3648</f>
        <v>0</v>
      </c>
      <c r="H3681" s="25" t="n">
        <f aca="false">H3622+H3635+H3648</f>
        <v>0</v>
      </c>
      <c r="I3681" s="25" t="n">
        <f aca="false">I3622+I3635+I3648</f>
        <v>0</v>
      </c>
      <c r="J3681" s="25" t="n">
        <f aca="false">J3622+J3635+J3648</f>
        <v>0</v>
      </c>
      <c r="K3681" s="25" t="n">
        <f aca="false">K3622+K3635+K3648</f>
        <v>0</v>
      </c>
    </row>
    <row r="3682" customFormat="false" ht="15" hidden="false" customHeight="false" outlineLevel="0" collapsed="false">
      <c r="A3682" s="2" t="s">
        <v>352</v>
      </c>
      <c r="F3682" s="28" t="n">
        <f aca="false">Assumptions!$C$11</f>
        <v>463.996</v>
      </c>
      <c r="G3682" s="16" t="n">
        <f aca="false">G3678-G3681</f>
        <v>552.03308414</v>
      </c>
      <c r="H3682" s="16" t="n">
        <f aca="false">H3678-H3681</f>
        <v>611.3063049932</v>
      </c>
      <c r="I3682" s="16" t="n">
        <f aca="false">I3678-I3681</f>
        <v>228.192253338368</v>
      </c>
      <c r="J3682" s="16" t="n">
        <f aca="false">J3678-J3681</f>
        <v>265.157826120113</v>
      </c>
      <c r="K3682" s="16" t="n">
        <f aca="false">K3678-K3681</f>
        <v>293.370855762772</v>
      </c>
    </row>
    <row r="3683" customFormat="false" ht="15" hidden="false" customHeight="false" outlineLevel="0" collapsed="false">
      <c r="A3683" s="3" t="s">
        <v>353</v>
      </c>
      <c r="G3683" s="25" t="n">
        <f aca="false">G3623+G3636+G3649</f>
        <v>0</v>
      </c>
      <c r="H3683" s="25" t="n">
        <f aca="false">H3623+H3636+H3649</f>
        <v>0</v>
      </c>
      <c r="I3683" s="25" t="n">
        <f aca="false">I3623+I3636+I3649</f>
        <v>0</v>
      </c>
      <c r="J3683" s="25" t="n">
        <f aca="false">J3623+J3636+J3649</f>
        <v>0</v>
      </c>
      <c r="K3683" s="25" t="n">
        <f aca="false">K3623+K3636+K3649</f>
        <v>0</v>
      </c>
    </row>
    <row r="3684" customFormat="false" ht="15" hidden="false" customHeight="false" outlineLevel="0" collapsed="false">
      <c r="A3684" s="3" t="s">
        <v>354</v>
      </c>
      <c r="G3684" s="20" t="n">
        <f aca="false">IF(OR(G3679&gt;0.001,G3683&gt;0.001),1,0)</f>
        <v>0</v>
      </c>
      <c r="H3684" s="20" t="n">
        <f aca="false">IF(OR(H3679&gt;0.001,H3683&gt;0.001),1,0)</f>
        <v>0</v>
      </c>
      <c r="I3684" s="20" t="n">
        <f aca="false">IF(OR(I3679&gt;0.001,I3683&gt;0.001),1,0)</f>
        <v>0</v>
      </c>
      <c r="J3684" s="20" t="n">
        <f aca="false">IF(OR(J3679&gt;0.001,J3683&gt;0.001),1,0)</f>
        <v>0</v>
      </c>
      <c r="K3684" s="20" t="n">
        <f aca="false">IF(OR(K3679&gt;0.001,K3683&gt;0.001),1,0)</f>
        <v>0</v>
      </c>
    </row>
    <row r="3685" customFormat="false" ht="15" hidden="false" customHeight="false" outlineLevel="0" collapsed="false">
      <c r="A3685" s="3" t="s">
        <v>355</v>
      </c>
      <c r="G3685" s="20" t="n">
        <f aca="false">IF(G3684=1,1,0)</f>
        <v>0</v>
      </c>
      <c r="H3685" s="20" t="n">
        <f aca="false">IF(AND(H3684=1,SUM($G$3684:G3684)=0),1,0)</f>
        <v>0</v>
      </c>
      <c r="I3685" s="20" t="n">
        <f aca="false">IF(AND(I3684=1,SUM($G$3684:H3684)=0),1,0)</f>
        <v>0</v>
      </c>
      <c r="J3685" s="20" t="n">
        <f aca="false">IF(AND(J3684=1,SUM($G$3684:I3684)=0),1,0)</f>
        <v>0</v>
      </c>
      <c r="K3685" s="20" t="n">
        <f aca="false">IF(AND(K3684=1,SUM($G$3684:J3684)=0),1,0)</f>
        <v>0</v>
      </c>
    </row>
    <row r="3686" customFormat="false" ht="15" hidden="false" customHeight="false" outlineLevel="0" collapsed="false">
      <c r="A3686" s="3" t="s">
        <v>356</v>
      </c>
      <c r="G3686" s="25" t="n">
        <f aca="false">(G3652-F3652)-(G3675+G3592-G3673-G3677-G3681)</f>
        <v>0</v>
      </c>
      <c r="H3686" s="25" t="n">
        <f aca="false">(H3652-G3652)-(H3675+H3592-H3673-H3677-H3681)</f>
        <v>0</v>
      </c>
      <c r="I3686" s="25" t="n">
        <f aca="false">(I3652-H3652)-(I3675+I3592-I3673-I3677-I3681)</f>
        <v>0</v>
      </c>
      <c r="J3686" s="25" t="n">
        <f aca="false">(J3652-I3652)-(J3675+J3592-J3673-J3677-J3681)</f>
        <v>0</v>
      </c>
      <c r="K3686" s="25" t="n">
        <f aca="false">(K3652-J3652)-(K3675+K3592-K3673-K3677-K3681)</f>
        <v>0</v>
      </c>
    </row>
    <row r="3688" customFormat="false" ht="15" hidden="false" customHeight="false" outlineLevel="0" collapsed="false">
      <c r="A3688" s="23" t="s">
        <v>358</v>
      </c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</row>
    <row r="3689" customFormat="false" ht="15" hidden="false" customHeight="false" outlineLevel="0" collapsed="false">
      <c r="A3689" s="3" t="s">
        <v>359</v>
      </c>
      <c r="G3689" s="25" t="n">
        <f aca="false">G3652</f>
        <v>1735.554</v>
      </c>
      <c r="H3689" s="25" t="n">
        <f aca="false">H3652</f>
        <v>1735.554</v>
      </c>
      <c r="I3689" s="25" t="n">
        <f aca="false">I3652</f>
        <v>1315.098</v>
      </c>
      <c r="J3689" s="25" t="n">
        <f aca="false">J3652</f>
        <v>1315.098</v>
      </c>
      <c r="K3689" s="25" t="n">
        <f aca="false">K3652</f>
        <v>1315.098</v>
      </c>
    </row>
    <row r="3690" customFormat="false" ht="15" hidden="false" customHeight="false" outlineLevel="0" collapsed="false">
      <c r="A3690" s="3" t="s">
        <v>360</v>
      </c>
      <c r="G3690" s="25" t="n">
        <f aca="false">Assumptions!$O$56*G3624+Assumptions!$O$57*G3637+Assumptions!$O$58*G3650</f>
        <v>1315.098</v>
      </c>
      <c r="H3690" s="25" t="n">
        <f aca="false">Assumptions!$O$56*H3624+Assumptions!$O$57*H3637+Assumptions!$O$58*H3650</f>
        <v>1315.098</v>
      </c>
      <c r="I3690" s="25" t="n">
        <f aca="false">Assumptions!$O$56*I3624+Assumptions!$O$57*I3637+Assumptions!$O$58*I3650</f>
        <v>1315.098</v>
      </c>
      <c r="J3690" s="25" t="n">
        <f aca="false">Assumptions!$O$56*J3624+Assumptions!$O$57*J3637+Assumptions!$O$58*J3650</f>
        <v>1315.098</v>
      </c>
      <c r="K3690" s="25" t="n">
        <f aca="false">Assumptions!$O$56*K3624+Assumptions!$O$57*K3637+Assumptions!$O$58*K3650</f>
        <v>1315.098</v>
      </c>
    </row>
    <row r="3691" customFormat="false" ht="15" hidden="false" customHeight="false" outlineLevel="0" collapsed="false">
      <c r="A3691" s="3" t="s">
        <v>361</v>
      </c>
      <c r="G3691" s="25" t="n">
        <f aca="false">G3689-G3682</f>
        <v>1183.52091586</v>
      </c>
      <c r="H3691" s="25" t="n">
        <f aca="false">H3689-H3682</f>
        <v>1124.2476950068</v>
      </c>
      <c r="I3691" s="25" t="n">
        <f aca="false">I3689-I3682</f>
        <v>1086.90574666163</v>
      </c>
      <c r="J3691" s="25" t="n">
        <f aca="false">J3689-J3682</f>
        <v>1049.94017387989</v>
      </c>
      <c r="K3691" s="25" t="n">
        <f aca="false">K3689-K3682</f>
        <v>1021.72714423723</v>
      </c>
    </row>
    <row r="3692" customFormat="false" ht="15" hidden="false" customHeight="false" outlineLevel="0" collapsed="false">
      <c r="A3692" s="3" t="s">
        <v>362</v>
      </c>
      <c r="G3692" s="32" t="n">
        <f aca="false">IF(G3587&gt;0,G3689/G3587,0)</f>
        <v>5.9990215044863</v>
      </c>
      <c r="H3692" s="32" t="n">
        <f aca="false">IF(H3587&gt;0,H3689/H3587,0)</f>
        <v>6.94675773885923</v>
      </c>
      <c r="I3692" s="32" t="n">
        <f aca="false">IF(I3587&gt;0,I3689/I3587,0)</f>
        <v>5.82381573789256</v>
      </c>
      <c r="J3692" s="32" t="n">
        <f aca="false">IF(J3587&gt;0,J3689/J3587,0)</f>
        <v>6.38576287049622</v>
      </c>
      <c r="K3692" s="32" t="n">
        <f aca="false">IF(K3587&gt;0,K3689/K3587,0)</f>
        <v>6.72185565315392</v>
      </c>
    </row>
    <row r="3693" customFormat="false" ht="15" hidden="false" customHeight="false" outlineLevel="0" collapsed="false">
      <c r="A3693" s="3" t="s">
        <v>363</v>
      </c>
      <c r="G3693" s="32" t="n">
        <f aca="false">IF(G3587&gt;0,G3691/G3587,0)</f>
        <v>4.09089398846331</v>
      </c>
      <c r="H3693" s="32" t="n">
        <f aca="false">IF(H3587&gt;0,H3691/H3587,0)</f>
        <v>4.49993280283019</v>
      </c>
      <c r="I3693" s="32" t="n">
        <f aca="false">IF(I3587&gt;0,I3691/I3587,0)</f>
        <v>4.81328295915124</v>
      </c>
      <c r="J3693" s="32" t="n">
        <f aca="false">IF(J3587&gt;0,J3691/J3587,0)</f>
        <v>5.09822764433109</v>
      </c>
      <c r="K3693" s="32" t="n">
        <f aca="false">IF(K3587&gt;0,K3691/K3587,0)</f>
        <v>5.22235025866652</v>
      </c>
    </row>
    <row r="3694" customFormat="false" ht="15" hidden="false" customHeight="false" outlineLevel="0" collapsed="false">
      <c r="A3694" s="3" t="s">
        <v>364</v>
      </c>
      <c r="G3694" s="32" t="n">
        <f aca="false">IF(G3591&gt;0,G3587/G3591,0)</f>
        <v>1.8550658393237</v>
      </c>
      <c r="H3694" s="32" t="n">
        <f aca="false">IF(H3591&gt;0,H3587/H3591,0)</f>
        <v>1.60198185695882</v>
      </c>
      <c r="I3694" s="32" t="n">
        <f aca="false">IF(I3591&gt;0,I3587/I3591,0)</f>
        <v>1.44794513994355</v>
      </c>
      <c r="J3694" s="32" t="n">
        <f aca="false">IF(J3591&gt;0,J3587/J3591,0)</f>
        <v>1.49141296301681</v>
      </c>
      <c r="K3694" s="32" t="n">
        <f aca="false">IF(K3591&gt;0,K3587/K3591,0)</f>
        <v>1.41684231486597</v>
      </c>
    </row>
    <row r="3695" customFormat="false" ht="15" hidden="false" customHeight="false" outlineLevel="0" collapsed="false">
      <c r="A3695" s="3" t="s">
        <v>365</v>
      </c>
      <c r="G3695" s="32" t="n">
        <f aca="false">IF(G3591&gt;0,G3590/G3591,0)</f>
        <v>1.20821223756878</v>
      </c>
      <c r="H3695" s="32" t="n">
        <f aca="false">IF(H3591&gt;0,H3590/H3591,0)</f>
        <v>1.00040800732674</v>
      </c>
      <c r="I3695" s="32" t="n">
        <f aca="false">IF(I3591&gt;0,I3590/I3591,0)</f>
        <v>0.882465721289398</v>
      </c>
      <c r="J3695" s="32" t="n">
        <f aca="false">IF(J3591&gt;0,J3590/J3591,0)</f>
        <v>0.884688681801921</v>
      </c>
      <c r="K3695" s="32" t="n">
        <f aca="false">IF(K3591&gt;0,K3590/K3591,0)</f>
        <v>0.840454247711825</v>
      </c>
    </row>
    <row r="3696" customFormat="false" ht="15" hidden="false" customHeight="false" outlineLevel="0" collapsed="false">
      <c r="A3696" s="3" t="s">
        <v>198</v>
      </c>
      <c r="G3696" s="21" t="n">
        <f aca="false">IF(G3689&gt;0,G3600/G3689,0)</f>
        <v>0.0507256381190098</v>
      </c>
      <c r="H3696" s="21" t="n">
        <f aca="false">IF(H3689&gt;0,H3600/H3689,0)</f>
        <v>0.0341523345589938</v>
      </c>
      <c r="I3696" s="21" t="n">
        <f aca="false">IF(I3689&gt;0,I3600/I3689,0)</f>
        <v>0.0283948027790841</v>
      </c>
      <c r="J3696" s="21" t="n">
        <f aca="false">IF(J3689&gt;0,J3600/J3689,0)</f>
        <v>0.0281086069492506</v>
      </c>
      <c r="K3696" s="21" t="n">
        <f aca="false">IF(K3689&gt;0,K3600/K3689,0)</f>
        <v>0.0214531766017881</v>
      </c>
    </row>
    <row r="3697" customFormat="false" ht="15" hidden="false" customHeight="false" outlineLevel="0" collapsed="false">
      <c r="A3697" s="3" t="s">
        <v>366</v>
      </c>
      <c r="G3697" s="32" t="n">
        <f aca="false">IF(G3591+G3673&gt;0,(G3587-G3598-G3595)/(G3591+G3673),0)</f>
        <v>1.63075666628002</v>
      </c>
      <c r="H3697" s="32" t="n">
        <f aca="false">IF(H3591+H3673&gt;0,(H3587-H3598-H3595)/(H3591+H3673),0)</f>
        <v>1.44168166943125</v>
      </c>
      <c r="I3697" s="32" t="n">
        <f aca="false">IF(I3591+I3673&gt;0,(I3587-I3598-I3595)/(I3591+I3673),0)</f>
        <v>1.29735884538942</v>
      </c>
      <c r="J3697" s="32" t="n">
        <f aca="false">IF(J3591+J3673&gt;0,(J3587-J3598-J3595)/(J3591+J3673),0)</f>
        <v>1.32984322535666</v>
      </c>
      <c r="K3697" s="32" t="n">
        <f aca="false">IF(K3591+K3673&gt;0,(K3587-K3598-K3595)/(K3591+K3673),0)</f>
        <v>1.26335106408883</v>
      </c>
    </row>
    <row r="3698" customFormat="false" ht="15" hidden="false" customHeight="false" outlineLevel="0" collapsed="false">
      <c r="A3698" s="3" t="s">
        <v>367</v>
      </c>
      <c r="G3698" s="25" t="n">
        <f aca="false">MAX(0,G3682)+Assumptions!$P$56*MAX(0,Assumptions!$D$56-G3624)+Assumptions!$P$57*MAX(0,Assumptions!$D$57-G3637)+Assumptions!$P$58*MAX(0,Assumptions!$D$58-G3650)</f>
        <v>552.03308414</v>
      </c>
      <c r="H3698" s="25" t="n">
        <f aca="false">MAX(0,H3682)+Assumptions!$P$56*MAX(0,Assumptions!$D$56-H3624)+Assumptions!$P$57*MAX(0,Assumptions!$D$57-H3637)+Assumptions!$P$58*MAX(0,Assumptions!$D$58-H3650)</f>
        <v>611.3063049932</v>
      </c>
      <c r="I3698" s="25" t="n">
        <f aca="false">MAX(0,I3682)+Assumptions!$P$56*MAX(0,Assumptions!$D$56-I3624)+Assumptions!$P$57*MAX(0,Assumptions!$D$57-I3637)+Assumptions!$P$58*MAX(0,Assumptions!$D$58-I3650)</f>
        <v>228.192253338368</v>
      </c>
      <c r="J3698" s="25" t="n">
        <f aca="false">MAX(0,J3682)+Assumptions!$P$56*MAX(0,Assumptions!$D$56-J3624)+Assumptions!$P$57*MAX(0,Assumptions!$D$57-J3637)+Assumptions!$P$58*MAX(0,Assumptions!$D$58-J3650)</f>
        <v>265.157826120113</v>
      </c>
      <c r="K3698" s="25" t="n">
        <f aca="false">MAX(0,K3682)+Assumptions!$P$56*MAX(0,Assumptions!$D$56-K3624)+Assumptions!$P$57*MAX(0,Assumptions!$D$57-K3637)+Assumptions!$P$58*MAX(0,Assumptions!$D$58-K3650)</f>
        <v>293.370855762772</v>
      </c>
    </row>
    <row r="3699" customFormat="false" ht="15" hidden="false" customHeight="false" outlineLevel="0" collapsed="false">
      <c r="A3699" s="3" t="s">
        <v>368</v>
      </c>
      <c r="G3699" s="21" t="n">
        <f aca="false">IF(G3689&gt;0,G3689/(G3689+MAX(0,G3587*CHOOSE($C$3570,Assumptions!$C$82,Assumptions!$C$101,Assumptions!$C$120)-G3691)),0)</f>
        <v>0.868400516720621</v>
      </c>
      <c r="H3699" s="21" t="n">
        <f aca="false">IF(H3689&gt;0,H3689/(H3689+MAX(0,H3587*CHOOSE($C$3570,Assumptions!$C$82,Assumptions!$C$101,Assumptions!$C$120)-H3691)),0)</f>
        <v>0.93284826735346</v>
      </c>
      <c r="I3699" s="21" t="n">
        <f aca="false">IF(I3689&gt;0,I3689/(I3689+MAX(0,I3587*CHOOSE($C$3570,Assumptions!$C$82,Assumptions!$C$101,Assumptions!$C$120)-I3691)),0)</f>
        <v>0.968935026607098</v>
      </c>
      <c r="J3699" s="21" t="n">
        <f aca="false">IF(J3689&gt;0,J3689/(J3689+MAX(0,J3587*CHOOSE($C$3570,Assumptions!$C$82,Assumptions!$C$101,Assumptions!$C$120)-J3691)),0)</f>
        <v>1</v>
      </c>
      <c r="K3699" s="21" t="n">
        <f aca="false">IF(K3689&gt;0,K3689/(K3689+MAX(0,K3587*CHOOSE($C$3570,Assumptions!$C$82,Assumptions!$C$101,Assumptions!$C$120)-K3691)),0)</f>
        <v>1</v>
      </c>
    </row>
    <row r="3700" customFormat="false" ht="15" hidden="false" customHeight="false" outlineLevel="0" collapsed="false">
      <c r="A3700" s="3" t="s">
        <v>369</v>
      </c>
      <c r="G3700" s="21" t="n">
        <f aca="false">IF(G3689&gt;0,MAX(0,G3682)/G3689,0)</f>
        <v>0.318073124858114</v>
      </c>
      <c r="H3700" s="21" t="n">
        <f aca="false">IF(H3689&gt;0,MAX(0,H3682)/H3689,0)</f>
        <v>0.352225459417108</v>
      </c>
      <c r="I3700" s="21" t="n">
        <f aca="false">IF(I3689&gt;0,MAX(0,I3682)/I3689,0)</f>
        <v>0.173517299348313</v>
      </c>
      <c r="J3700" s="21" t="n">
        <f aca="false">IF(J3689&gt;0,MAX(0,J3682)/J3689,0)</f>
        <v>0.201625906297564</v>
      </c>
      <c r="K3700" s="21" t="n">
        <f aca="false">IF(K3689&gt;0,MAX(0,K3682)/K3689,0)</f>
        <v>0.223079082899352</v>
      </c>
    </row>
    <row r="3701" customFormat="false" ht="15" hidden="false" customHeight="false" outlineLevel="0" collapsed="false">
      <c r="A3701" s="3" t="s">
        <v>370</v>
      </c>
      <c r="G3701" s="25" t="n">
        <f aca="false">Assumptions!$C$30*(1-CHOOSE($C$3570,Assumptions!$C$85,Assumptions!$C$104,Assumptions!$C$123))</f>
        <v>2086.72535</v>
      </c>
      <c r="H3701" s="25" t="n">
        <f aca="false">Assumptions!$C$30*(1-CHOOSE($C$3570,Assumptions!$C$85,Assumptions!$C$104,Assumptions!$C$123))</f>
        <v>2086.72535</v>
      </c>
      <c r="I3701" s="25" t="n">
        <f aca="false">Assumptions!$C$30*(1-CHOOSE($C$3570,Assumptions!$C$85,Assumptions!$C$104,Assumptions!$C$123))</f>
        <v>2086.72535</v>
      </c>
      <c r="J3701" s="25" t="n">
        <f aca="false">Assumptions!$C$30*(1-CHOOSE($C$3570,Assumptions!$C$85,Assumptions!$C$104,Assumptions!$C$123))</f>
        <v>2086.72535</v>
      </c>
      <c r="K3701" s="25" t="n">
        <f aca="false">Assumptions!$C$30*(1-CHOOSE($C$3570,Assumptions!$C$85,Assumptions!$C$104,Assumptions!$C$123))</f>
        <v>2086.72535</v>
      </c>
    </row>
    <row r="3702" customFormat="false" ht="15" hidden="false" customHeight="false" outlineLevel="0" collapsed="false">
      <c r="A3702" s="23" t="s">
        <v>371</v>
      </c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</row>
    <row r="3703" customFormat="false" ht="15" hidden="false" customHeight="false" outlineLevel="0" collapsed="false">
      <c r="A3703" s="23" t="s">
        <v>372</v>
      </c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</row>
    <row r="3704" customFormat="false" ht="15" hidden="false" customHeight="false" outlineLevel="0" collapsed="false">
      <c r="A3704" s="3" t="s">
        <v>373</v>
      </c>
      <c r="G3704" s="32" t="n">
        <f aca="false">IF(G3587&gt;0,G3691/G3587,99)</f>
        <v>4.09089398846331</v>
      </c>
      <c r="H3704" s="32" t="n">
        <f aca="false">IF(H3587&gt;0,H3691/H3587,99)</f>
        <v>4.49993280283019</v>
      </c>
      <c r="I3704" s="32" t="n">
        <f aca="false">IF(I3587&gt;0,I3691/I3587,99)</f>
        <v>4.81328295915124</v>
      </c>
      <c r="J3704" s="32" t="n">
        <f aca="false">IF(J3587&gt;0,J3691/J3587,99)</f>
        <v>5.09822764433109</v>
      </c>
      <c r="K3704" s="32" t="n">
        <f aca="false">IF(K3587&gt;0,K3691/K3587,99)</f>
        <v>5.22235025866652</v>
      </c>
    </row>
    <row r="3705" customFormat="false" ht="15" hidden="false" customHeight="false" outlineLevel="0" collapsed="false">
      <c r="A3705" s="3" t="s">
        <v>374</v>
      </c>
      <c r="G3705" s="33" t="n">
        <f aca="false">Assumptions!$G$65</f>
        <v>5.25</v>
      </c>
      <c r="H3705" s="33" t="n">
        <f aca="false">Assumptions!$H$65</f>
        <v>5.25</v>
      </c>
      <c r="I3705" s="33" t="n">
        <f aca="false">Assumptions!$I$65</f>
        <v>5</v>
      </c>
      <c r="J3705" s="33" t="n">
        <f aca="false">Assumptions!$J$65</f>
        <v>5</v>
      </c>
      <c r="K3705" s="33" t="n">
        <f aca="false">Assumptions!$K$65</f>
        <v>5</v>
      </c>
    </row>
    <row r="3706" customFormat="false" ht="15" hidden="false" customHeight="false" outlineLevel="0" collapsed="false">
      <c r="A3706" s="3" t="s">
        <v>375</v>
      </c>
      <c r="G3706" s="32" t="n">
        <f aca="false">G3705-G3704</f>
        <v>1.15910601153669</v>
      </c>
      <c r="H3706" s="32" t="n">
        <f aca="false">H3705-H3704</f>
        <v>0.750067197169811</v>
      </c>
      <c r="I3706" s="32" t="n">
        <f aca="false">I3705-I3704</f>
        <v>0.186717040848763</v>
      </c>
      <c r="J3706" s="32" t="n">
        <f aca="false">J3705-J3704</f>
        <v>-0.0982276443310903</v>
      </c>
      <c r="K3706" s="32" t="n">
        <f aca="false">K3705-K3704</f>
        <v>-0.222350258666519</v>
      </c>
    </row>
    <row r="3707" customFormat="false" ht="15" hidden="false" customHeight="false" outlineLevel="0" collapsed="false">
      <c r="A3707" s="3" t="s">
        <v>376</v>
      </c>
      <c r="G3707" s="21" t="n">
        <f aca="false">IF(G3705=0,0,G3706/ABS(G3705))</f>
        <v>0.220782097435559</v>
      </c>
      <c r="H3707" s="21" t="n">
        <f aca="false">IF(H3705=0,0,H3706/ABS(H3705))</f>
        <v>0.142869942318059</v>
      </c>
      <c r="I3707" s="21" t="n">
        <f aca="false">IF(I3705=0,0,I3706/ABS(I3705))</f>
        <v>0.0373434081697527</v>
      </c>
      <c r="J3707" s="21" t="n">
        <f aca="false">IF(J3705=0,0,J3706/ABS(J3705))</f>
        <v>-0.0196455288662181</v>
      </c>
      <c r="K3707" s="21" t="n">
        <f aca="false">IF(K3705=0,0,K3706/ABS(K3705))</f>
        <v>-0.0444700517333038</v>
      </c>
    </row>
    <row r="3708" customFormat="false" ht="15" hidden="false" customHeight="false" outlineLevel="0" collapsed="false">
      <c r="A3708" s="3" t="s">
        <v>377</v>
      </c>
      <c r="G3708" s="20" t="n">
        <f aca="false">IF(G3706&lt;0,1,0)</f>
        <v>0</v>
      </c>
      <c r="H3708" s="20" t="n">
        <f aca="false">IF(H3706&lt;0,1,0)</f>
        <v>0</v>
      </c>
      <c r="I3708" s="20" t="n">
        <f aca="false">IF(I3706&lt;0,1,0)</f>
        <v>0</v>
      </c>
      <c r="J3708" s="20" t="n">
        <f aca="false">IF(J3706&lt;0,1,0)</f>
        <v>1</v>
      </c>
      <c r="K3708" s="20" t="n">
        <f aca="false">IF(K3706&lt;0,1,0)</f>
        <v>1</v>
      </c>
    </row>
    <row r="3709" customFormat="false" ht="15" hidden="false" customHeight="false" outlineLevel="0" collapsed="false">
      <c r="A3709" s="3" t="s">
        <v>378</v>
      </c>
      <c r="C3709" s="20" t="n">
        <f aca="false">IFERROR(INDEX($G$3577:$K$3577,MATCH(1,$G$3708:$K$3708,0)),0)</f>
        <v>2030</v>
      </c>
    </row>
    <row r="3710" customFormat="false" ht="15" hidden="false" customHeight="false" outlineLevel="0" collapsed="false">
      <c r="A3710" s="3" t="s">
        <v>379</v>
      </c>
      <c r="C3710" s="21" t="n">
        <f aca="false">MIN($G$3707:$K$3707)</f>
        <v>-0.0444700517333038</v>
      </c>
    </row>
    <row r="3711" customFormat="false" ht="15" hidden="false" customHeight="false" outlineLevel="0" collapsed="false">
      <c r="A3711" s="23" t="s">
        <v>380</v>
      </c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</row>
    <row r="3712" customFormat="false" ht="15" hidden="false" customHeight="false" outlineLevel="0" collapsed="false">
      <c r="A3712" s="3" t="s">
        <v>373</v>
      </c>
      <c r="G3712" s="32" t="n">
        <f aca="false">IF(G3591&gt;0,G3587/G3591,99)</f>
        <v>1.8550658393237</v>
      </c>
      <c r="H3712" s="32" t="n">
        <f aca="false">IF(H3591&gt;0,H3587/H3591,99)</f>
        <v>1.60198185695882</v>
      </c>
      <c r="I3712" s="32" t="n">
        <f aca="false">IF(I3591&gt;0,I3587/I3591,99)</f>
        <v>1.44794513994355</v>
      </c>
      <c r="J3712" s="32" t="n">
        <f aca="false">IF(J3591&gt;0,J3587/J3591,99)</f>
        <v>1.49141296301681</v>
      </c>
      <c r="K3712" s="32" t="n">
        <f aca="false">IF(K3591&gt;0,K3587/K3591,99)</f>
        <v>1.41684231486597</v>
      </c>
    </row>
    <row r="3713" customFormat="false" ht="15" hidden="false" customHeight="false" outlineLevel="0" collapsed="false">
      <c r="A3713" s="3" t="s">
        <v>374</v>
      </c>
      <c r="G3713" s="33" t="n">
        <f aca="false">Assumptions!$G$66</f>
        <v>1.4</v>
      </c>
      <c r="H3713" s="33" t="n">
        <f aca="false">Assumptions!$H$66</f>
        <v>1.4</v>
      </c>
      <c r="I3713" s="33" t="n">
        <f aca="false">Assumptions!$I$66</f>
        <v>1.4</v>
      </c>
      <c r="J3713" s="33" t="n">
        <f aca="false">Assumptions!$J$66</f>
        <v>1.5</v>
      </c>
      <c r="K3713" s="33" t="n">
        <f aca="false">Assumptions!$K$66</f>
        <v>1.5</v>
      </c>
    </row>
    <row r="3714" customFormat="false" ht="15" hidden="false" customHeight="false" outlineLevel="0" collapsed="false">
      <c r="A3714" s="3" t="s">
        <v>375</v>
      </c>
      <c r="G3714" s="32" t="n">
        <f aca="false">G3712-G3713</f>
        <v>0.455065839323696</v>
      </c>
      <c r="H3714" s="32" t="n">
        <f aca="false">H3712-H3713</f>
        <v>0.20198185695882</v>
      </c>
      <c r="I3714" s="32" t="n">
        <f aca="false">I3712-I3713</f>
        <v>0.0479451399435489</v>
      </c>
      <c r="J3714" s="32" t="n">
        <f aca="false">J3712-J3713</f>
        <v>-0.00858703698318641</v>
      </c>
      <c r="K3714" s="32" t="n">
        <f aca="false">K3712-K3713</f>
        <v>-0.083157685134027</v>
      </c>
    </row>
    <row r="3715" customFormat="false" ht="15" hidden="false" customHeight="false" outlineLevel="0" collapsed="false">
      <c r="A3715" s="3" t="s">
        <v>376</v>
      </c>
      <c r="G3715" s="21" t="n">
        <f aca="false">IF(G3713=0,0,G3714/ABS(G3713))</f>
        <v>0.325047028088354</v>
      </c>
      <c r="H3715" s="21" t="n">
        <f aca="false">IF(H3713=0,0,H3714/ABS(H3713))</f>
        <v>0.144272754970586</v>
      </c>
      <c r="I3715" s="21" t="n">
        <f aca="false">IF(I3713=0,0,I3714/ABS(I3713))</f>
        <v>0.0342465285311063</v>
      </c>
      <c r="J3715" s="21" t="n">
        <f aca="false">IF(J3713=0,0,J3714/ABS(J3713))</f>
        <v>-0.00572469132212428</v>
      </c>
      <c r="K3715" s="21" t="n">
        <f aca="false">IF(K3713=0,0,K3714/ABS(K3713))</f>
        <v>-0.055438456756018</v>
      </c>
    </row>
    <row r="3716" customFormat="false" ht="15" hidden="false" customHeight="false" outlineLevel="0" collapsed="false">
      <c r="A3716" s="3" t="s">
        <v>377</v>
      </c>
      <c r="G3716" s="20" t="n">
        <f aca="false">IF(G3714&lt;0,1,0)</f>
        <v>0</v>
      </c>
      <c r="H3716" s="20" t="n">
        <f aca="false">IF(H3714&lt;0,1,0)</f>
        <v>0</v>
      </c>
      <c r="I3716" s="20" t="n">
        <f aca="false">IF(I3714&lt;0,1,0)</f>
        <v>0</v>
      </c>
      <c r="J3716" s="20" t="n">
        <f aca="false">IF(J3714&lt;0,1,0)</f>
        <v>1</v>
      </c>
      <c r="K3716" s="20" t="n">
        <f aca="false">IF(K3714&lt;0,1,0)</f>
        <v>1</v>
      </c>
    </row>
    <row r="3717" customFormat="false" ht="15" hidden="false" customHeight="false" outlineLevel="0" collapsed="false">
      <c r="A3717" s="3" t="s">
        <v>378</v>
      </c>
      <c r="C3717" s="20" t="n">
        <f aca="false">IFERROR(INDEX($G$3577:$K$3577,MATCH(1,$G$3716:$K$3716,0)),0)</f>
        <v>2030</v>
      </c>
    </row>
    <row r="3718" customFormat="false" ht="15" hidden="false" customHeight="false" outlineLevel="0" collapsed="false">
      <c r="A3718" s="3" t="s">
        <v>379</v>
      </c>
      <c r="C3718" s="21" t="n">
        <f aca="false">MIN($G$3715:$K$3715)</f>
        <v>-0.055438456756018</v>
      </c>
    </row>
    <row r="3719" customFormat="false" ht="15" hidden="false" customHeight="false" outlineLevel="0" collapsed="false">
      <c r="A3719" s="23" t="s">
        <v>381</v>
      </c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</row>
    <row r="3720" customFormat="false" ht="15" hidden="false" customHeight="false" outlineLevel="0" collapsed="false">
      <c r="A3720" s="3" t="s">
        <v>373</v>
      </c>
      <c r="G3720" s="25" t="n">
        <f aca="false">G3698</f>
        <v>552.03308414</v>
      </c>
      <c r="H3720" s="25" t="n">
        <f aca="false">H3698</f>
        <v>611.3063049932</v>
      </c>
      <c r="I3720" s="25" t="n">
        <f aca="false">I3698</f>
        <v>228.192253338368</v>
      </c>
      <c r="J3720" s="25" t="n">
        <f aca="false">J3698</f>
        <v>265.157826120113</v>
      </c>
      <c r="K3720" s="25" t="n">
        <f aca="false">K3698</f>
        <v>293.370855762772</v>
      </c>
    </row>
    <row r="3721" customFormat="false" ht="15" hidden="false" customHeight="false" outlineLevel="0" collapsed="false">
      <c r="A3721" s="3" t="s">
        <v>374</v>
      </c>
      <c r="G3721" s="29" t="n">
        <f aca="false">Assumptions!$G$67</f>
        <v>200</v>
      </c>
      <c r="H3721" s="29" t="n">
        <f aca="false">Assumptions!$H$67</f>
        <v>200</v>
      </c>
      <c r="I3721" s="29" t="n">
        <f aca="false">Assumptions!$I$67</f>
        <v>200</v>
      </c>
      <c r="J3721" s="29" t="n">
        <f aca="false">Assumptions!$J$67</f>
        <v>200</v>
      </c>
      <c r="K3721" s="29" t="n">
        <f aca="false">Assumptions!$K$67</f>
        <v>200</v>
      </c>
    </row>
    <row r="3722" customFormat="false" ht="15" hidden="false" customHeight="false" outlineLevel="0" collapsed="false">
      <c r="A3722" s="3" t="s">
        <v>375</v>
      </c>
      <c r="G3722" s="25" t="n">
        <f aca="false">G3720-G3721</f>
        <v>352.03308414</v>
      </c>
      <c r="H3722" s="25" t="n">
        <f aca="false">H3720-H3721</f>
        <v>411.3063049932</v>
      </c>
      <c r="I3722" s="25" t="n">
        <f aca="false">I3720-I3721</f>
        <v>28.1922533383678</v>
      </c>
      <c r="J3722" s="25" t="n">
        <f aca="false">J3720-J3721</f>
        <v>65.1578261201134</v>
      </c>
      <c r="K3722" s="25" t="n">
        <f aca="false">K3720-K3721</f>
        <v>93.3708557627717</v>
      </c>
    </row>
    <row r="3723" customFormat="false" ht="15" hidden="false" customHeight="false" outlineLevel="0" collapsed="false">
      <c r="A3723" s="3" t="s">
        <v>376</v>
      </c>
      <c r="G3723" s="21" t="n">
        <f aca="false">IF(G3721=0,0,G3722/ABS(G3721))</f>
        <v>1.7601654207</v>
      </c>
      <c r="H3723" s="21" t="n">
        <f aca="false">IF(H3721=0,0,H3722/ABS(H3721))</f>
        <v>2.056531524966</v>
      </c>
      <c r="I3723" s="21" t="n">
        <f aca="false">IF(I3721=0,0,I3722/ABS(I3721))</f>
        <v>0.140961266691839</v>
      </c>
      <c r="J3723" s="21" t="n">
        <f aca="false">IF(J3721=0,0,J3722/ABS(J3721))</f>
        <v>0.325789130600567</v>
      </c>
      <c r="K3723" s="21" t="n">
        <f aca="false">IF(K3721=0,0,K3722/ABS(K3721))</f>
        <v>0.466854278813859</v>
      </c>
    </row>
    <row r="3724" customFormat="false" ht="15" hidden="false" customHeight="false" outlineLevel="0" collapsed="false">
      <c r="A3724" s="3" t="s">
        <v>377</v>
      </c>
      <c r="G3724" s="20" t="n">
        <f aca="false">IF(G3722&lt;0,1,0)</f>
        <v>0</v>
      </c>
      <c r="H3724" s="20" t="n">
        <f aca="false">IF(H3722&lt;0,1,0)</f>
        <v>0</v>
      </c>
      <c r="I3724" s="20" t="n">
        <f aca="false">IF(I3722&lt;0,1,0)</f>
        <v>0</v>
      </c>
      <c r="J3724" s="20" t="n">
        <f aca="false">IF(J3722&lt;0,1,0)</f>
        <v>0</v>
      </c>
      <c r="K3724" s="20" t="n">
        <f aca="false">IF(K3722&lt;0,1,0)</f>
        <v>0</v>
      </c>
    </row>
    <row r="3725" customFormat="false" ht="15" hidden="false" customHeight="false" outlineLevel="0" collapsed="false">
      <c r="A3725" s="3" t="s">
        <v>378</v>
      </c>
      <c r="C3725" s="20" t="n">
        <f aca="false">IFERROR(INDEX($G$3577:$K$3577,MATCH(1,$G$3724:$K$3724,0)),0)</f>
        <v>0</v>
      </c>
    </row>
    <row r="3726" customFormat="false" ht="15" hidden="false" customHeight="false" outlineLevel="0" collapsed="false">
      <c r="A3726" s="3" t="s">
        <v>379</v>
      </c>
      <c r="C3726" s="21" t="n">
        <f aca="false">MIN($G$3723:$K$3723)</f>
        <v>0.140961266691839</v>
      </c>
    </row>
    <row r="3727" customFormat="false" ht="15" hidden="false" customHeight="false" outlineLevel="0" collapsed="false">
      <c r="A3727" s="3" t="s">
        <v>382</v>
      </c>
      <c r="G3727" s="20" t="n">
        <f aca="false">G3708+G3716+G3724</f>
        <v>0</v>
      </c>
      <c r="H3727" s="20" t="n">
        <f aca="false">H3708+H3716+H3724</f>
        <v>0</v>
      </c>
      <c r="I3727" s="20" t="n">
        <f aca="false">I3708+I3716+I3724</f>
        <v>0</v>
      </c>
      <c r="J3727" s="20" t="n">
        <f aca="false">J3708+J3716+J3724</f>
        <v>2</v>
      </c>
      <c r="K3727" s="20" t="n">
        <f aca="false">K3708+K3716+K3724</f>
        <v>2</v>
      </c>
    </row>
    <row r="3728" customFormat="false" ht="15" hidden="false" customHeight="false" outlineLevel="0" collapsed="false">
      <c r="A3728" s="3" t="s">
        <v>383</v>
      </c>
      <c r="C3728" s="20" t="n">
        <f aca="false">SUM($G$3727:$K$3727)</f>
        <v>4</v>
      </c>
    </row>
    <row r="3729" customFormat="false" ht="15" hidden="false" customHeight="false" outlineLevel="0" collapsed="false">
      <c r="A3729" s="3" t="s">
        <v>384</v>
      </c>
      <c r="C3729" s="21" t="n">
        <f aca="false">MIN(C3710,C3718,C3726)</f>
        <v>-0.055438456756018</v>
      </c>
    </row>
    <row r="3731" customFormat="false" ht="15" hidden="false" customHeight="false" outlineLevel="0" collapsed="false">
      <c r="A3731" s="23" t="s">
        <v>486</v>
      </c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</row>
    <row r="3732" customFormat="false" ht="15" hidden="false" customHeight="false" outlineLevel="0" collapsed="false">
      <c r="A3732" s="3" t="s">
        <v>487</v>
      </c>
      <c r="G3732" s="20" t="n">
        <f aca="false">IF($C$3733=1,G3685,IF(G3587=MIN($G$3587:$K$3587),1,0))</f>
        <v>0</v>
      </c>
      <c r="H3732" s="20" t="n">
        <f aca="false">IF($C$3733=1,H3685,IF(AND(H3587=MIN($G$3587:$K$3587),SUM($G$3732:G3732)=0),1,0))</f>
        <v>0</v>
      </c>
      <c r="I3732" s="20" t="n">
        <f aca="false">IF($C$3733=1,I3685,IF(AND(I3587=MIN($G$3587:$K$3587),SUM($G$3732:H3732)=0),1,0))</f>
        <v>0</v>
      </c>
      <c r="J3732" s="20" t="n">
        <f aca="false">IF($C$3733=1,J3685,IF(AND(J3587=MIN($G$3587:$K$3587),SUM($G$3732:I3732)=0),1,0))</f>
        <v>0</v>
      </c>
      <c r="K3732" s="20" t="n">
        <f aca="false">IF($C$3733=1,K3685,IF(AND(K3587=MIN($G$3587:$K$3587),SUM($G$3732:J3732)=0),1,0))</f>
        <v>1</v>
      </c>
    </row>
    <row r="3733" customFormat="false" ht="15" hidden="false" customHeight="false" outlineLevel="0" collapsed="false">
      <c r="A3733" s="3" t="s">
        <v>488</v>
      </c>
      <c r="C3733" s="20" t="n">
        <f aca="false">IF(SUM($G$3685:$K$3685)&gt;0,1,0)</f>
        <v>0</v>
      </c>
    </row>
    <row r="3734" customFormat="false" ht="15" hidden="false" customHeight="false" outlineLevel="0" collapsed="false">
      <c r="A3734" s="3" t="s">
        <v>489</v>
      </c>
      <c r="C3734" s="20" t="n">
        <f aca="false">SUMPRODUCT($G$3732:$K$3732,$G$3577:$K$3577)</f>
        <v>2031</v>
      </c>
    </row>
    <row r="3735" customFormat="false" ht="15" hidden="false" customHeight="false" outlineLevel="0" collapsed="false">
      <c r="A3735" s="3" t="s">
        <v>490</v>
      </c>
      <c r="C3735" s="25" t="n">
        <f aca="false">SUMPRODUCT($G$3732:$K$3732,$G$3587:$K$3587)</f>
        <v>195.645081932539</v>
      </c>
    </row>
    <row r="3736" customFormat="false" ht="15" hidden="false" customHeight="false" outlineLevel="0" collapsed="false">
      <c r="A3736" s="3" t="s">
        <v>491</v>
      </c>
      <c r="C3736" s="25" t="n">
        <f aca="false">MAX(0,SUMPRODUCT($G$3732:$K$3732,$G$3682:$K$3682))</f>
        <v>293.370855762772</v>
      </c>
    </row>
    <row r="3737" customFormat="false" ht="15" hidden="false" customHeight="false" outlineLevel="0" collapsed="false">
      <c r="A3737" s="3" t="s">
        <v>492</v>
      </c>
      <c r="C3737" s="25" t="n">
        <f aca="false">(CHOOSE($C$3570,Assumptions!$C$84,Assumptions!$C$103,Assumptions!$C$122)+$C$3574)*C3735</f>
        <v>880.402868696426</v>
      </c>
    </row>
    <row r="3738" customFormat="false" ht="15" hidden="false" customHeight="false" outlineLevel="0" collapsed="false">
      <c r="A3738" s="3" t="s">
        <v>493</v>
      </c>
      <c r="C3738" s="25" t="n">
        <f aca="false">Assumptions!$C$30*(1-CHOOSE($C$3570,Assumptions!$C$85,Assumptions!$C$104,Assumptions!$C$123))*CHOOSE($C$3570,Assumptions!$C$86,Assumptions!$C$105,Assumptions!$C$124)</f>
        <v>626.017605</v>
      </c>
    </row>
    <row r="3739" customFormat="false" ht="15" hidden="false" customHeight="false" outlineLevel="0" collapsed="false">
      <c r="A3739" s="3" t="s">
        <v>494</v>
      </c>
      <c r="C3739" s="25" t="n">
        <f aca="false">MAX(C3737,C3738)+C3736</f>
        <v>1173.7737244592</v>
      </c>
    </row>
    <row r="3740" customFormat="false" ht="15" hidden="false" customHeight="false" outlineLevel="0" collapsed="false">
      <c r="A3740" s="2" t="s">
        <v>495</v>
      </c>
      <c r="C3740" s="16" t="n">
        <f aca="false">IF(ISNUMBER(Assumptions!$C$14),Assumptions!$C$14,C3739)</f>
        <v>1173.7737244592</v>
      </c>
    </row>
    <row r="3741" customFormat="false" ht="15" hidden="false" customHeight="false" outlineLevel="0" collapsed="false">
      <c r="A3741" s="3" t="s">
        <v>496</v>
      </c>
      <c r="C3741" s="25" t="n">
        <f aca="false">C3740*Assumptions!$C$15</f>
        <v>46.9509489783679</v>
      </c>
    </row>
    <row r="3742" customFormat="false" ht="15" hidden="false" customHeight="false" outlineLevel="0" collapsed="false">
      <c r="A3742" s="2" t="s">
        <v>497</v>
      </c>
      <c r="C3742" s="16" t="n">
        <f aca="false">C3740-C3741</f>
        <v>1126.82277548083</v>
      </c>
    </row>
    <row r="3743" customFormat="false" ht="15" hidden="false" customHeight="false" outlineLevel="0" collapsed="false">
      <c r="A3743" s="23" t="s">
        <v>498</v>
      </c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</row>
    <row r="3744" customFormat="false" ht="15" hidden="false" customHeight="false" outlineLevel="0" collapsed="false">
      <c r="A3744" s="3" t="s">
        <v>499</v>
      </c>
      <c r="C3744" s="25" t="n">
        <f aca="false">SUMPRODUCT($G$3732:$K$3732,$G$3624:$K$3624)*(1+SUMPRODUCT($G$3732:$K$3732,$G$3616:$K$3616)*Assumptions!$C$16/12)</f>
        <v>1349.6193225</v>
      </c>
    </row>
    <row r="3745" customFormat="false" ht="15" hidden="false" customHeight="false" outlineLevel="0" collapsed="false">
      <c r="A3745" s="3" t="s">
        <v>500</v>
      </c>
      <c r="C3745" s="25" t="n">
        <f aca="false">SUMPRODUCT($G$3732:$K$3732,$G$3637:$K$3637)*(1+SUMPRODUCT($G$3732:$K$3732,$G$3629:$K$3629)*Assumptions!$C$16/12)</f>
        <v>0</v>
      </c>
    </row>
    <row r="3746" customFormat="false" ht="15" hidden="false" customHeight="false" outlineLevel="0" collapsed="false">
      <c r="A3746" s="3" t="s">
        <v>501</v>
      </c>
      <c r="C3746" s="25" t="n">
        <f aca="false">SUMPRODUCT($G$3732:$K$3732,$G$3650:$K$3650)*(1+SUMPRODUCT($G$3732:$K$3732,$G$3642:$K$3642)*Assumptions!$C$16/12)</f>
        <v>0</v>
      </c>
    </row>
    <row r="3747" customFormat="false" ht="15" hidden="false" customHeight="false" outlineLevel="0" collapsed="false">
      <c r="A3747" s="23" t="s">
        <v>502</v>
      </c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</row>
    <row r="3748" customFormat="false" ht="15" hidden="false" customHeight="false" outlineLevel="0" collapsed="false">
      <c r="A3748" s="3" t="s">
        <v>499</v>
      </c>
      <c r="C3748" s="27" t="n">
        <f aca="false">Assumptions!$M$56</f>
        <v>1</v>
      </c>
    </row>
    <row r="3749" customFormat="false" ht="15" hidden="false" customHeight="false" outlineLevel="0" collapsed="false">
      <c r="A3749" s="3" t="s">
        <v>500</v>
      </c>
      <c r="C3749" s="27" t="n">
        <f aca="false">Assumptions!$M$57</f>
        <v>2</v>
      </c>
    </row>
    <row r="3750" customFormat="false" ht="15" hidden="false" customHeight="false" outlineLevel="0" collapsed="false">
      <c r="A3750" s="3" t="s">
        <v>501</v>
      </c>
      <c r="C3750" s="27" t="n">
        <f aca="false">Assumptions!$M$58</f>
        <v>2</v>
      </c>
    </row>
    <row r="3751" customFormat="false" ht="15" hidden="false" customHeight="false" outlineLevel="0" collapsed="false">
      <c r="A3751" s="23" t="s">
        <v>503</v>
      </c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</row>
    <row r="3752" customFormat="false" ht="15" hidden="false" customHeight="false" outlineLevel="0" collapsed="false">
      <c r="A3752" s="3" t="s">
        <v>499</v>
      </c>
      <c r="C3752" s="35" t="n">
        <f aca="false">Assumptions!$Q$56</f>
        <v>0</v>
      </c>
    </row>
    <row r="3753" customFormat="false" ht="15" hidden="false" customHeight="false" outlineLevel="0" collapsed="false">
      <c r="A3753" s="3" t="s">
        <v>500</v>
      </c>
      <c r="C3753" s="35" t="n">
        <f aca="false">Assumptions!$Q$57</f>
        <v>0</v>
      </c>
    </row>
    <row r="3754" customFormat="false" ht="15" hidden="false" customHeight="false" outlineLevel="0" collapsed="false">
      <c r="A3754" s="3" t="s">
        <v>501</v>
      </c>
      <c r="C3754" s="35" t="n">
        <f aca="false">Assumptions!$Q$58</f>
        <v>0</v>
      </c>
    </row>
    <row r="3755" customFormat="false" ht="15" hidden="false" customHeight="false" outlineLevel="0" collapsed="false">
      <c r="A3755" s="23" t="s">
        <v>504</v>
      </c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</row>
    <row r="3756" customFormat="false" ht="15" hidden="false" customHeight="false" outlineLevel="0" collapsed="false">
      <c r="A3756" s="3" t="s">
        <v>499</v>
      </c>
      <c r="C3756" s="25" t="n">
        <f aca="false">IF(C3752&gt;0,MIN(C3744,C3752*$C$3742),0)</f>
        <v>0</v>
      </c>
    </row>
    <row r="3757" customFormat="false" ht="15" hidden="false" customHeight="false" outlineLevel="0" collapsed="false">
      <c r="A3757" s="3" t="s">
        <v>500</v>
      </c>
      <c r="C3757" s="25" t="n">
        <f aca="false">IF(C3753&gt;0,MIN(C3745,C3753*$C$3742),0)</f>
        <v>0</v>
      </c>
    </row>
    <row r="3758" customFormat="false" ht="15" hidden="false" customHeight="false" outlineLevel="0" collapsed="false">
      <c r="A3758" s="3" t="s">
        <v>501</v>
      </c>
      <c r="C3758" s="25" t="n">
        <f aca="false">IF(C3754&gt;0,MIN(C3746,C3754*$C$3742),0)</f>
        <v>0</v>
      </c>
    </row>
    <row r="3759" customFormat="false" ht="15" hidden="false" customHeight="false" outlineLevel="0" collapsed="false">
      <c r="A3759" s="23" t="s">
        <v>505</v>
      </c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</row>
    <row r="3760" customFormat="false" ht="15" hidden="false" customHeight="false" outlineLevel="0" collapsed="false">
      <c r="A3760" s="3" t="s">
        <v>499</v>
      </c>
      <c r="C3760" s="25" t="n">
        <f aca="false">IF(C3752&gt;0,C3744-C3756,0)</f>
        <v>0</v>
      </c>
      <c r="G3760" s="20" t="n">
        <f aca="false">IF(AND(G3614=1,G3611=1),1,0)</f>
        <v>0</v>
      </c>
      <c r="H3760" s="20" t="n">
        <f aca="false">IF(G3760=1,1,IF(AND(H3614=1,H3611=1),1,0))</f>
        <v>0</v>
      </c>
      <c r="I3760" s="20" t="n">
        <f aca="false">IF(H3760=1,1,IF(AND(I3614=1,I3611=1),1,0))</f>
        <v>0</v>
      </c>
      <c r="J3760" s="20" t="n">
        <f aca="false">IF(I3760=1,1,IF(AND(J3614=1,J3611=1),1,0))</f>
        <v>0</v>
      </c>
      <c r="K3760" s="20" t="n">
        <f aca="false">IF(J3760=1,1,IF(AND(K3614=1,K3611=1),1,0))</f>
        <v>0</v>
      </c>
    </row>
    <row r="3761" customFormat="false" ht="15" hidden="false" customHeight="false" outlineLevel="0" collapsed="false">
      <c r="A3761" s="3" t="s">
        <v>500</v>
      </c>
      <c r="C3761" s="25" t="n">
        <f aca="false">IF(C3753&gt;0,C3745-C3757,0)</f>
        <v>0</v>
      </c>
      <c r="G3761" s="20" t="n">
        <f aca="false">IF(AND(G3627=1,G3611=1),1,0)</f>
        <v>0</v>
      </c>
      <c r="H3761" s="20" t="n">
        <f aca="false">IF(G3761=1,1,IF(AND(H3627=1,H3611=1),1,0))</f>
        <v>0</v>
      </c>
      <c r="I3761" s="20" t="n">
        <f aca="false">IF(H3761=1,1,IF(AND(I3627=1,I3611=1),1,0))</f>
        <v>0</v>
      </c>
      <c r="J3761" s="20" t="n">
        <f aca="false">IF(I3761=1,1,IF(AND(J3627=1,J3611=1),1,0))</f>
        <v>0</v>
      </c>
      <c r="K3761" s="20" t="n">
        <f aca="false">IF(J3761=1,1,IF(AND(K3627=1,K3611=1),1,0))</f>
        <v>0</v>
      </c>
    </row>
    <row r="3762" customFormat="false" ht="15" hidden="false" customHeight="false" outlineLevel="0" collapsed="false">
      <c r="A3762" s="3" t="s">
        <v>501</v>
      </c>
      <c r="C3762" s="25" t="n">
        <f aca="false">IF(C3754&gt;0,C3746-C3758,0)</f>
        <v>0</v>
      </c>
      <c r="G3762" s="20" t="n">
        <f aca="false">IF(AND(G3640=1,G3611=1),1,0)</f>
        <v>0</v>
      </c>
      <c r="H3762" s="20" t="n">
        <f aca="false">IF(G3762=1,1,IF(AND(H3640=1,H3611=1),1,0))</f>
        <v>0</v>
      </c>
      <c r="I3762" s="20" t="n">
        <f aca="false">IF(H3762=1,1,IF(AND(I3640=1,I3611=1),1,0))</f>
        <v>0</v>
      </c>
      <c r="J3762" s="20" t="n">
        <f aca="false">IF(I3762=1,1,IF(AND(J3640=1,J3611=1),1,0))</f>
        <v>0</v>
      </c>
      <c r="K3762" s="20" t="n">
        <f aca="false">IF(J3762=1,1,IF(AND(K3640=1,K3611=1),1,0))</f>
        <v>0</v>
      </c>
    </row>
    <row r="3763" customFormat="false" ht="15" hidden="false" customHeight="false" outlineLevel="0" collapsed="false">
      <c r="A3763" s="23" t="s">
        <v>506</v>
      </c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</row>
    <row r="3764" customFormat="false" ht="15" hidden="false" customHeight="false" outlineLevel="0" collapsed="false">
      <c r="A3764" s="3" t="s">
        <v>499</v>
      </c>
      <c r="C3764" s="25" t="n">
        <f aca="false">IF(C3752&gt;0,C3760,C3744)</f>
        <v>1349.6193225</v>
      </c>
    </row>
    <row r="3765" customFormat="false" ht="15" hidden="false" customHeight="false" outlineLevel="0" collapsed="false">
      <c r="A3765" s="3" t="s">
        <v>500</v>
      </c>
      <c r="C3765" s="25" t="n">
        <f aca="false">IF(C3753&gt;0,C3761,C3745)</f>
        <v>0</v>
      </c>
    </row>
    <row r="3766" customFormat="false" ht="15" hidden="false" customHeight="false" outlineLevel="0" collapsed="false">
      <c r="A3766" s="3" t="s">
        <v>501</v>
      </c>
      <c r="C3766" s="25" t="n">
        <f aca="false">IF(C3754&gt;0,C3762,C3746)</f>
        <v>0</v>
      </c>
    </row>
    <row r="3767" customFormat="false" ht="15" hidden="false" customHeight="false" outlineLevel="0" collapsed="false">
      <c r="A3767" s="23" t="s">
        <v>507</v>
      </c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</row>
    <row r="3768" customFormat="false" ht="15" hidden="false" customHeight="false" outlineLevel="0" collapsed="false">
      <c r="A3768" s="3" t="s">
        <v>499</v>
      </c>
      <c r="C3768" s="20" t="n">
        <f aca="false">IF(C3752&gt;0,Assumptions!$C$17,C3748)</f>
        <v>1</v>
      </c>
    </row>
    <row r="3769" customFormat="false" ht="15" hidden="false" customHeight="false" outlineLevel="0" collapsed="false">
      <c r="A3769" s="3" t="s">
        <v>500</v>
      </c>
      <c r="C3769" s="20" t="n">
        <f aca="false">IF(C3753&gt;0,Assumptions!$C$17,C3749)</f>
        <v>2</v>
      </c>
    </row>
    <row r="3770" customFormat="false" ht="15" hidden="false" customHeight="false" outlineLevel="0" collapsed="false">
      <c r="A3770" s="3" t="s">
        <v>501</v>
      </c>
      <c r="C3770" s="20" t="n">
        <f aca="false">IF(C3754&gt;0,Assumptions!$C$17,C3750)</f>
        <v>2</v>
      </c>
    </row>
    <row r="3771" customFormat="false" ht="15" hidden="false" customHeight="false" outlineLevel="0" collapsed="false">
      <c r="A3771" s="23" t="s">
        <v>508</v>
      </c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</row>
    <row r="3772" customFormat="false" ht="15" hidden="false" customHeight="false" outlineLevel="0" collapsed="false">
      <c r="A3772" s="3" t="s">
        <v>499</v>
      </c>
      <c r="C3772" s="25" t="n">
        <f aca="false">SUMPRODUCT(($C$3768:$C$3770&lt;C3768)*$C$3764:$C$3766)</f>
        <v>0</v>
      </c>
    </row>
    <row r="3773" customFormat="false" ht="15" hidden="false" customHeight="false" outlineLevel="0" collapsed="false">
      <c r="A3773" s="3" t="s">
        <v>500</v>
      </c>
      <c r="C3773" s="25" t="n">
        <f aca="false">SUMPRODUCT(($C$3768:$C$3770&lt;C3769)*$C$3764:$C$3766)</f>
        <v>1349.6193225</v>
      </c>
    </row>
    <row r="3774" customFormat="false" ht="15" hidden="false" customHeight="false" outlineLevel="0" collapsed="false">
      <c r="A3774" s="3" t="s">
        <v>501</v>
      </c>
      <c r="C3774" s="25" t="n">
        <f aca="false">SUMPRODUCT(($C$3768:$C$3770&lt;C3770)*$C$3764:$C$3766)</f>
        <v>1349.6193225</v>
      </c>
    </row>
    <row r="3775" customFormat="false" ht="15" hidden="false" customHeight="false" outlineLevel="0" collapsed="false">
      <c r="A3775" s="23" t="s">
        <v>509</v>
      </c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</row>
    <row r="3776" customFormat="false" ht="15" hidden="false" customHeight="false" outlineLevel="0" collapsed="false">
      <c r="A3776" s="3" t="s">
        <v>499</v>
      </c>
      <c r="C3776" s="25" t="n">
        <f aca="false">SUMPRODUCT(($C$3768:$C$3770=C3768)*$C$3764:$C$3766)</f>
        <v>1349.6193225</v>
      </c>
    </row>
    <row r="3777" customFormat="false" ht="15" hidden="false" customHeight="false" outlineLevel="0" collapsed="false">
      <c r="A3777" s="3" t="s">
        <v>500</v>
      </c>
      <c r="C3777" s="25" t="n">
        <f aca="false">SUMPRODUCT(($C$3768:$C$3770=C3769)*$C$3764:$C$3766)</f>
        <v>0</v>
      </c>
    </row>
    <row r="3778" customFormat="false" ht="15" hidden="false" customHeight="false" outlineLevel="0" collapsed="false">
      <c r="A3778" s="3" t="s">
        <v>501</v>
      </c>
      <c r="C3778" s="25" t="n">
        <f aca="false">SUMPRODUCT(($C$3768:$C$3770=C3770)*$C$3764:$C$3766)</f>
        <v>0</v>
      </c>
    </row>
    <row r="3779" customFormat="false" ht="15" hidden="false" customHeight="false" outlineLevel="0" collapsed="false">
      <c r="A3779" s="23" t="s">
        <v>510</v>
      </c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</row>
    <row r="3780" customFormat="false" ht="15" hidden="false" customHeight="false" outlineLevel="0" collapsed="false">
      <c r="A3780" s="3" t="s">
        <v>499</v>
      </c>
      <c r="C3780" s="25" t="n">
        <f aca="false">IF(C3776=0,0,C3764/C3776*MAX(0,MIN(C3776,$C$3742-SUM($C$3756:$C$3758)-C3772)))</f>
        <v>1126.82277548083</v>
      </c>
    </row>
    <row r="3781" customFormat="false" ht="15" hidden="false" customHeight="false" outlineLevel="0" collapsed="false">
      <c r="A3781" s="3" t="s">
        <v>500</v>
      </c>
      <c r="C3781" s="25" t="n">
        <f aca="false">IF(C3777=0,0,C3765/C3777*MAX(0,MIN(C3777,$C$3742-SUM($C$3756:$C$3758)-C3773)))</f>
        <v>0</v>
      </c>
    </row>
    <row r="3782" customFormat="false" ht="15" hidden="false" customHeight="false" outlineLevel="0" collapsed="false">
      <c r="A3782" s="3" t="s">
        <v>501</v>
      </c>
      <c r="C3782" s="25" t="n">
        <f aca="false">IF(C3778=0,0,C3766/C3778*MAX(0,MIN(C3778,$C$3742-SUM($C$3756:$C$3758)-C3774)))</f>
        <v>0</v>
      </c>
    </row>
    <row r="3783" customFormat="false" ht="15" hidden="false" customHeight="false" outlineLevel="0" collapsed="false">
      <c r="A3783" s="23" t="s">
        <v>511</v>
      </c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</row>
    <row r="3784" customFormat="false" ht="15" hidden="false" customHeight="false" outlineLevel="0" collapsed="false">
      <c r="A3784" s="2" t="s">
        <v>499</v>
      </c>
      <c r="C3784" s="16" t="n">
        <f aca="false">C3756+C3780</f>
        <v>1126.82277548083</v>
      </c>
    </row>
    <row r="3785" customFormat="false" ht="15" hidden="false" customHeight="false" outlineLevel="0" collapsed="false">
      <c r="A3785" s="2" t="s">
        <v>500</v>
      </c>
      <c r="C3785" s="16" t="n">
        <f aca="false">C3757+C3781</f>
        <v>0</v>
      </c>
    </row>
    <row r="3786" customFormat="false" ht="15" hidden="false" customHeight="false" outlineLevel="0" collapsed="false">
      <c r="A3786" s="2" t="s">
        <v>501</v>
      </c>
      <c r="C3786" s="16" t="n">
        <f aca="false">C3758+C3782</f>
        <v>0</v>
      </c>
    </row>
    <row r="3787" customFormat="false" ht="15" hidden="false" customHeight="false" outlineLevel="0" collapsed="false">
      <c r="A3787" s="23" t="s">
        <v>512</v>
      </c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</row>
    <row r="3788" customFormat="false" ht="15" hidden="false" customHeight="false" outlineLevel="0" collapsed="false">
      <c r="A3788" s="3" t="s">
        <v>499</v>
      </c>
      <c r="C3788" s="21" t="n">
        <f aca="false">IF(C3744=0,1,C3784/C3744)</f>
        <v>0.834918970627608</v>
      </c>
    </row>
    <row r="3789" customFormat="false" ht="15" hidden="false" customHeight="false" outlineLevel="0" collapsed="false">
      <c r="A3789" s="3" t="s">
        <v>500</v>
      </c>
      <c r="C3789" s="21" t="n">
        <f aca="false">IF(C3745=0,1,C3785/C3745)</f>
        <v>1</v>
      </c>
    </row>
    <row r="3790" customFormat="false" ht="15" hidden="false" customHeight="false" outlineLevel="0" collapsed="false">
      <c r="A3790" s="3" t="s">
        <v>501</v>
      </c>
      <c r="C3790" s="21" t="n">
        <f aca="false">IF(C3746=0,1,C3786/C3746)</f>
        <v>1</v>
      </c>
    </row>
    <row r="3791" customFormat="false" ht="15" hidden="false" customHeight="false" outlineLevel="0" collapsed="false">
      <c r="A3791" s="23" t="s">
        <v>513</v>
      </c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</row>
    <row r="3792" customFormat="false" ht="15" hidden="false" customHeight="false" outlineLevel="0" collapsed="false">
      <c r="A3792" s="3" t="s">
        <v>499</v>
      </c>
      <c r="C3792" s="25" t="n">
        <f aca="false">C3744-C3784</f>
        <v>222.79654701917</v>
      </c>
    </row>
    <row r="3793" customFormat="false" ht="15" hidden="false" customHeight="false" outlineLevel="0" collapsed="false">
      <c r="A3793" s="3" t="s">
        <v>500</v>
      </c>
      <c r="C3793" s="25" t="n">
        <f aca="false">C3745-C3785</f>
        <v>0</v>
      </c>
    </row>
    <row r="3794" customFormat="false" ht="15" hidden="false" customHeight="false" outlineLevel="0" collapsed="false">
      <c r="A3794" s="3" t="s">
        <v>501</v>
      </c>
      <c r="C3794" s="25" t="n">
        <f aca="false">C3746-C3786</f>
        <v>0</v>
      </c>
    </row>
    <row r="3795" customFormat="false" ht="15" hidden="false" customHeight="false" outlineLevel="0" collapsed="false">
      <c r="A3795" s="23" t="s">
        <v>514</v>
      </c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</row>
    <row r="3796" customFormat="false" ht="15" hidden="false" customHeight="false" outlineLevel="0" collapsed="false">
      <c r="A3796" s="3" t="s">
        <v>499</v>
      </c>
      <c r="C3796" s="21" t="n">
        <f aca="false">IF(C3744=0,0,C3792/C3744)</f>
        <v>0.165081029372392</v>
      </c>
    </row>
    <row r="3797" customFormat="false" ht="15" hidden="false" customHeight="false" outlineLevel="0" collapsed="false">
      <c r="A3797" s="3" t="s">
        <v>500</v>
      </c>
      <c r="C3797" s="21" t="n">
        <f aca="false">IF(C3745=0,0,C3793/C3745)</f>
        <v>0</v>
      </c>
    </row>
    <row r="3798" customFormat="false" ht="15" hidden="false" customHeight="false" outlineLevel="0" collapsed="false">
      <c r="A3798" s="3" t="s">
        <v>501</v>
      </c>
      <c r="C3798" s="21" t="n">
        <f aca="false">IF(C3746=0,0,C3794/C3746)</f>
        <v>0</v>
      </c>
    </row>
    <row r="3799" customFormat="false" ht="15" hidden="false" customHeight="false" outlineLevel="0" collapsed="false">
      <c r="A3799" s="2" t="s">
        <v>515</v>
      </c>
      <c r="C3799" s="16" t="n">
        <f aca="false">MAX(0,$C$3742-SUM($C$3756:$C$3758)-SUM($C$3764:$C$3766))</f>
        <v>0</v>
      </c>
    </row>
    <row r="3800" customFormat="false" ht="15" hidden="false" customHeight="false" outlineLevel="0" collapsed="false">
      <c r="A3800" s="3" t="s">
        <v>516</v>
      </c>
      <c r="C3800" s="25" t="n">
        <f aca="false">SUM($C$3784:$C$3786)+C3799+C3741-C3740</f>
        <v>0</v>
      </c>
    </row>
    <row r="3802" customFormat="false" ht="15" hidden="false" customHeight="false" outlineLevel="0" collapsed="false">
      <c r="A3802" s="23" t="s">
        <v>519</v>
      </c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</row>
    <row r="3803" customFormat="false" ht="15" hidden="false" customHeight="false" outlineLevel="0" collapsed="false">
      <c r="A3803" s="3" t="s">
        <v>520</v>
      </c>
      <c r="C3803" s="27" t="n">
        <f aca="false">Assumptions!$C$33</f>
        <v>1</v>
      </c>
    </row>
    <row r="3804" customFormat="false" ht="15" hidden="false" customHeight="false" outlineLevel="0" collapsed="false">
      <c r="A3804" s="3" t="s">
        <v>521</v>
      </c>
      <c r="C3804" s="29" t="n">
        <f aca="false">Assumptions!$C$34</f>
        <v>100</v>
      </c>
    </row>
    <row r="3805" customFormat="false" ht="15" hidden="false" customHeight="false" outlineLevel="0" collapsed="false">
      <c r="A3805" s="3" t="s">
        <v>522</v>
      </c>
      <c r="C3805" s="40" t="n">
        <f aca="false">Assumptions!$C$35</f>
        <v>95</v>
      </c>
    </row>
    <row r="3806" customFormat="false" ht="15" hidden="false" customHeight="false" outlineLevel="0" collapsed="false">
      <c r="A3806" s="3" t="s">
        <v>523</v>
      </c>
      <c r="C3806" s="25" t="n">
        <f aca="false">C3804*C3805/100*(1+Assumptions!$C$36)</f>
        <v>95</v>
      </c>
    </row>
    <row r="3807" customFormat="false" ht="15" hidden="false" customHeight="false" outlineLevel="0" collapsed="false">
      <c r="A3807" s="3" t="s">
        <v>524</v>
      </c>
      <c r="C3807" s="27" t="n">
        <f aca="false">Assumptions!$C$37</f>
        <v>3</v>
      </c>
    </row>
    <row r="3808" customFormat="false" ht="15" hidden="false" customHeight="false" outlineLevel="0" collapsed="false">
      <c r="A3808" s="3" t="s">
        <v>525</v>
      </c>
      <c r="C3808" s="20" t="n">
        <f aca="false">IF(C3733=1,SUMPRODUCT($G$3685:$K$3685,$G$3578:$K$3578),0)</f>
        <v>0</v>
      </c>
    </row>
    <row r="3809" customFormat="false" ht="15" hidden="false" customHeight="false" outlineLevel="0" collapsed="false">
      <c r="A3809" s="3" t="s">
        <v>526</v>
      </c>
      <c r="C3809" s="21" t="n">
        <f aca="false">IFERROR(C3804/CHOOSE(C3803,SUMPRODUCT($G$3732:$K$3732,$G$3624:$K$3624),SUMPRODUCT($G$3732:$K$3732,$G$3637:$K$3637),SUMPRODUCT($G$3732:$K$3732,$G$3650:$K$3650)),0)</f>
        <v>0.0760399605200525</v>
      </c>
    </row>
    <row r="3810" customFormat="false" ht="15" hidden="false" customHeight="false" outlineLevel="0" collapsed="false">
      <c r="A3810" s="3" t="s">
        <v>527</v>
      </c>
      <c r="C3810" s="25" t="n">
        <f aca="false">CHOOSE(C3803,C3784,C3785,C3786)*C3809</f>
        <v>85.6835593606583</v>
      </c>
    </row>
    <row r="3811" customFormat="false" ht="15" hidden="false" customHeight="false" outlineLevel="0" collapsed="false">
      <c r="A3811" s="3" t="s">
        <v>528</v>
      </c>
      <c r="C3811" s="21" t="n">
        <f aca="false">CHOOSE(C3803,C3788,C3789,C3790)</f>
        <v>0.834918970627608</v>
      </c>
    </row>
    <row r="3812" customFormat="false" ht="15" hidden="false" customHeight="false" outlineLevel="0" collapsed="false">
      <c r="A3812" s="3" t="s">
        <v>529</v>
      </c>
      <c r="C3812" s="20" t="n">
        <f aca="false">IF(C3733=1,C3808,C3807)</f>
        <v>3</v>
      </c>
    </row>
    <row r="3813" customFormat="false" ht="15" hidden="false" customHeight="false" outlineLevel="0" collapsed="false">
      <c r="A3813" s="3" t="s">
        <v>530</v>
      </c>
      <c r="C3813" s="34" t="n">
        <f aca="false">CHOOSE($C$3570,Assumptions!$C$83,Assumptions!$C$102,Assumptions!$C$121)</f>
        <v>95</v>
      </c>
    </row>
    <row r="3814" customFormat="false" ht="15" hidden="false" customHeight="false" outlineLevel="0" collapsed="false">
      <c r="A3814" s="3" t="s">
        <v>531</v>
      </c>
      <c r="C3814" s="25" t="n">
        <f aca="false">INDEX($G$3587:$K$3587,C3807)*CHOOSE($C$3570,Assumptions!$C$82,Assumptions!$C$101,Assumptions!$C$120)+MAX(0,INDEX($G$3682:$K$3682,C3807))</f>
        <v>1357.26128572837</v>
      </c>
    </row>
    <row r="3815" customFormat="false" ht="15" hidden="false" customHeight="false" outlineLevel="0" collapsed="false">
      <c r="A3815" s="23" t="s">
        <v>532</v>
      </c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</row>
    <row r="3816" customFormat="false" ht="15" hidden="false" customHeight="false" outlineLevel="0" collapsed="false">
      <c r="A3816" s="3" t="s">
        <v>499</v>
      </c>
      <c r="C3816" s="25" t="n">
        <f aca="false">INDEX($G$3624:$K$3624,C3807)</f>
        <v>1315.098</v>
      </c>
    </row>
    <row r="3817" customFormat="false" ht="15" hidden="false" customHeight="false" outlineLevel="0" collapsed="false">
      <c r="A3817" s="3" t="s">
        <v>500</v>
      </c>
      <c r="C3817" s="25" t="n">
        <f aca="false">INDEX($G$3637:$K$3637,C3807)</f>
        <v>0</v>
      </c>
    </row>
    <row r="3818" customFormat="false" ht="15" hidden="false" customHeight="false" outlineLevel="0" collapsed="false">
      <c r="A3818" s="3" t="s">
        <v>501</v>
      </c>
      <c r="C3818" s="25" t="n">
        <f aca="false">INDEX($G$3650:$K$3650,C3807)</f>
        <v>0</v>
      </c>
    </row>
    <row r="3819" customFormat="false" ht="15" hidden="false" customHeight="false" outlineLevel="0" collapsed="false">
      <c r="A3819" s="23" t="s">
        <v>502</v>
      </c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</row>
    <row r="3820" customFormat="false" ht="15" hidden="false" customHeight="false" outlineLevel="0" collapsed="false">
      <c r="A3820" s="3" t="s">
        <v>499</v>
      </c>
      <c r="C3820" s="27" t="n">
        <f aca="false">Assumptions!$M$56</f>
        <v>1</v>
      </c>
    </row>
    <row r="3821" customFormat="false" ht="15" hidden="false" customHeight="false" outlineLevel="0" collapsed="false">
      <c r="A3821" s="3" t="s">
        <v>500</v>
      </c>
      <c r="C3821" s="27" t="n">
        <f aca="false">Assumptions!$M$57</f>
        <v>2</v>
      </c>
    </row>
    <row r="3822" customFormat="false" ht="15" hidden="false" customHeight="false" outlineLevel="0" collapsed="false">
      <c r="A3822" s="3" t="s">
        <v>501</v>
      </c>
      <c r="C3822" s="27" t="n">
        <f aca="false">Assumptions!$M$58</f>
        <v>2</v>
      </c>
    </row>
    <row r="3823" customFormat="false" ht="15" hidden="false" customHeight="false" outlineLevel="0" collapsed="false">
      <c r="A3823" s="23" t="s">
        <v>503</v>
      </c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</row>
    <row r="3824" customFormat="false" ht="15" hidden="false" customHeight="false" outlineLevel="0" collapsed="false">
      <c r="A3824" s="3" t="s">
        <v>499</v>
      </c>
      <c r="C3824" s="35" t="n">
        <f aca="false">Assumptions!$Q$56</f>
        <v>0</v>
      </c>
    </row>
    <row r="3825" customFormat="false" ht="15" hidden="false" customHeight="false" outlineLevel="0" collapsed="false">
      <c r="A3825" s="3" t="s">
        <v>500</v>
      </c>
      <c r="C3825" s="35" t="n">
        <f aca="false">Assumptions!$Q$57</f>
        <v>0</v>
      </c>
    </row>
    <row r="3826" customFormat="false" ht="15" hidden="false" customHeight="false" outlineLevel="0" collapsed="false">
      <c r="A3826" s="3" t="s">
        <v>501</v>
      </c>
      <c r="C3826" s="35" t="n">
        <f aca="false">Assumptions!$Q$58</f>
        <v>0</v>
      </c>
    </row>
    <row r="3827" customFormat="false" ht="15" hidden="false" customHeight="false" outlineLevel="0" collapsed="false">
      <c r="A3827" s="23" t="s">
        <v>504</v>
      </c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</row>
    <row r="3828" customFormat="false" ht="15" hidden="false" customHeight="false" outlineLevel="0" collapsed="false">
      <c r="A3828" s="3" t="s">
        <v>499</v>
      </c>
      <c r="C3828" s="25" t="n">
        <f aca="false">IF(C3824&gt;0,MIN(C3816,C3824*$C$3814),0)</f>
        <v>0</v>
      </c>
    </row>
    <row r="3829" customFormat="false" ht="15" hidden="false" customHeight="false" outlineLevel="0" collapsed="false">
      <c r="A3829" s="3" t="s">
        <v>500</v>
      </c>
      <c r="C3829" s="25" t="n">
        <f aca="false">IF(C3825&gt;0,MIN(C3817,C3825*$C$3814),0)</f>
        <v>0</v>
      </c>
    </row>
    <row r="3830" customFormat="false" ht="15" hidden="false" customHeight="false" outlineLevel="0" collapsed="false">
      <c r="A3830" s="3" t="s">
        <v>501</v>
      </c>
      <c r="C3830" s="25" t="n">
        <f aca="false">IF(C3826&gt;0,MIN(C3818,C3826*$C$3814),0)</f>
        <v>0</v>
      </c>
    </row>
    <row r="3831" customFormat="false" ht="15" hidden="false" customHeight="false" outlineLevel="0" collapsed="false">
      <c r="A3831" s="23" t="s">
        <v>505</v>
      </c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</row>
    <row r="3832" customFormat="false" ht="15" hidden="false" customHeight="false" outlineLevel="0" collapsed="false">
      <c r="A3832" s="3" t="s">
        <v>499</v>
      </c>
      <c r="C3832" s="25" t="n">
        <f aca="false">IF(C3824&gt;0,C3816-C3828,0)</f>
        <v>0</v>
      </c>
    </row>
    <row r="3833" customFormat="false" ht="15" hidden="false" customHeight="false" outlineLevel="0" collapsed="false">
      <c r="A3833" s="3" t="s">
        <v>500</v>
      </c>
      <c r="C3833" s="25" t="n">
        <f aca="false">IF(C3825&gt;0,C3817-C3829,0)</f>
        <v>0</v>
      </c>
    </row>
    <row r="3834" customFormat="false" ht="15" hidden="false" customHeight="false" outlineLevel="0" collapsed="false">
      <c r="A3834" s="3" t="s">
        <v>501</v>
      </c>
      <c r="C3834" s="25" t="n">
        <f aca="false">IF(C3826&gt;0,C3818-C3830,0)</f>
        <v>0</v>
      </c>
    </row>
    <row r="3835" customFormat="false" ht="15" hidden="false" customHeight="false" outlineLevel="0" collapsed="false">
      <c r="A3835" s="23" t="s">
        <v>506</v>
      </c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</row>
    <row r="3836" customFormat="false" ht="15" hidden="false" customHeight="false" outlineLevel="0" collapsed="false">
      <c r="A3836" s="3" t="s">
        <v>499</v>
      </c>
      <c r="C3836" s="25" t="n">
        <f aca="false">IF(C3824&gt;0,C3832,C3816)</f>
        <v>1315.098</v>
      </c>
    </row>
    <row r="3837" customFormat="false" ht="15" hidden="false" customHeight="false" outlineLevel="0" collapsed="false">
      <c r="A3837" s="3" t="s">
        <v>500</v>
      </c>
      <c r="C3837" s="25" t="n">
        <f aca="false">IF(C3825&gt;0,C3833,C3817)</f>
        <v>0</v>
      </c>
    </row>
    <row r="3838" customFormat="false" ht="15" hidden="false" customHeight="false" outlineLevel="0" collapsed="false">
      <c r="A3838" s="3" t="s">
        <v>501</v>
      </c>
      <c r="C3838" s="25" t="n">
        <f aca="false">IF(C3826&gt;0,C3834,C3818)</f>
        <v>0</v>
      </c>
    </row>
    <row r="3839" customFormat="false" ht="15" hidden="false" customHeight="false" outlineLevel="0" collapsed="false">
      <c r="A3839" s="23" t="s">
        <v>507</v>
      </c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</row>
    <row r="3840" customFormat="false" ht="15" hidden="false" customHeight="false" outlineLevel="0" collapsed="false">
      <c r="A3840" s="3" t="s">
        <v>499</v>
      </c>
      <c r="C3840" s="20" t="n">
        <f aca="false">IF(C3824&gt;0,Assumptions!$C$17,C3820)</f>
        <v>1</v>
      </c>
    </row>
    <row r="3841" customFormat="false" ht="15" hidden="false" customHeight="false" outlineLevel="0" collapsed="false">
      <c r="A3841" s="3" t="s">
        <v>500</v>
      </c>
      <c r="C3841" s="20" t="n">
        <f aca="false">IF(C3825&gt;0,Assumptions!$C$17,C3821)</f>
        <v>2</v>
      </c>
    </row>
    <row r="3842" customFormat="false" ht="15" hidden="false" customHeight="false" outlineLevel="0" collapsed="false">
      <c r="A3842" s="3" t="s">
        <v>501</v>
      </c>
      <c r="C3842" s="20" t="n">
        <f aca="false">IF(C3826&gt;0,Assumptions!$C$17,C3822)</f>
        <v>2</v>
      </c>
    </row>
    <row r="3843" customFormat="false" ht="15" hidden="false" customHeight="false" outlineLevel="0" collapsed="false">
      <c r="A3843" s="23" t="s">
        <v>508</v>
      </c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</row>
    <row r="3844" customFormat="false" ht="15" hidden="false" customHeight="false" outlineLevel="0" collapsed="false">
      <c r="A3844" s="3" t="s">
        <v>499</v>
      </c>
      <c r="C3844" s="25" t="n">
        <f aca="false">SUMPRODUCT(($C$3840:$C$3842&lt;C3840)*$C$3836:$C$3838)</f>
        <v>0</v>
      </c>
    </row>
    <row r="3845" customFormat="false" ht="15" hidden="false" customHeight="false" outlineLevel="0" collapsed="false">
      <c r="A3845" s="3" t="s">
        <v>500</v>
      </c>
      <c r="C3845" s="25" t="n">
        <f aca="false">SUMPRODUCT(($C$3840:$C$3842&lt;C3841)*$C$3836:$C$3838)</f>
        <v>1315.098</v>
      </c>
    </row>
    <row r="3846" customFormat="false" ht="15" hidden="false" customHeight="false" outlineLevel="0" collapsed="false">
      <c r="A3846" s="3" t="s">
        <v>501</v>
      </c>
      <c r="C3846" s="25" t="n">
        <f aca="false">SUMPRODUCT(($C$3840:$C$3842&lt;C3842)*$C$3836:$C$3838)</f>
        <v>1315.098</v>
      </c>
    </row>
    <row r="3847" customFormat="false" ht="15" hidden="false" customHeight="false" outlineLevel="0" collapsed="false">
      <c r="A3847" s="23" t="s">
        <v>509</v>
      </c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</row>
    <row r="3848" customFormat="false" ht="15" hidden="false" customHeight="false" outlineLevel="0" collapsed="false">
      <c r="A3848" s="3" t="s">
        <v>499</v>
      </c>
      <c r="C3848" s="25" t="n">
        <f aca="false">SUMPRODUCT(($C$3840:$C$3842=C3840)*$C$3836:$C$3838)</f>
        <v>1315.098</v>
      </c>
    </row>
    <row r="3849" customFormat="false" ht="15" hidden="false" customHeight="false" outlineLevel="0" collapsed="false">
      <c r="A3849" s="3" t="s">
        <v>500</v>
      </c>
      <c r="C3849" s="25" t="n">
        <f aca="false">SUMPRODUCT(($C$3840:$C$3842=C3841)*$C$3836:$C$3838)</f>
        <v>0</v>
      </c>
    </row>
    <row r="3850" customFormat="false" ht="15" hidden="false" customHeight="false" outlineLevel="0" collapsed="false">
      <c r="A3850" s="3" t="s">
        <v>501</v>
      </c>
      <c r="C3850" s="25" t="n">
        <f aca="false">SUMPRODUCT(($C$3840:$C$3842=C3842)*$C$3836:$C$3838)</f>
        <v>0</v>
      </c>
    </row>
    <row r="3851" customFormat="false" ht="15" hidden="false" customHeight="false" outlineLevel="0" collapsed="false">
      <c r="A3851" s="23" t="s">
        <v>510</v>
      </c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</row>
    <row r="3852" customFormat="false" ht="15" hidden="false" customHeight="false" outlineLevel="0" collapsed="false">
      <c r="A3852" s="3" t="s">
        <v>499</v>
      </c>
      <c r="C3852" s="25" t="n">
        <f aca="false">IF(C3848=0,0,C3836/C3848*MAX(0,MIN(C3848,$C$3814-SUM($C$3828:$C$3830)-C3844)))</f>
        <v>1315.098</v>
      </c>
    </row>
    <row r="3853" customFormat="false" ht="15" hidden="false" customHeight="false" outlineLevel="0" collapsed="false">
      <c r="A3853" s="3" t="s">
        <v>500</v>
      </c>
      <c r="C3853" s="25" t="n">
        <f aca="false">IF(C3849=0,0,C3837/C3849*MAX(0,MIN(C3849,$C$3814-SUM($C$3828:$C$3830)-C3845)))</f>
        <v>0</v>
      </c>
    </row>
    <row r="3854" customFormat="false" ht="15" hidden="false" customHeight="false" outlineLevel="0" collapsed="false">
      <c r="A3854" s="3" t="s">
        <v>501</v>
      </c>
      <c r="C3854" s="25" t="n">
        <f aca="false">IF(C3850=0,0,C3838/C3850*MAX(0,MIN(C3850,$C$3814-SUM($C$3828:$C$3830)-C3846)))</f>
        <v>0</v>
      </c>
    </row>
    <row r="3855" customFormat="false" ht="15" hidden="false" customHeight="false" outlineLevel="0" collapsed="false">
      <c r="A3855" s="23" t="s">
        <v>511</v>
      </c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</row>
    <row r="3856" customFormat="false" ht="15" hidden="false" customHeight="false" outlineLevel="0" collapsed="false">
      <c r="A3856" s="2" t="s">
        <v>499</v>
      </c>
      <c r="C3856" s="16" t="n">
        <f aca="false">C3828+C3852</f>
        <v>1315.098</v>
      </c>
    </row>
    <row r="3857" customFormat="false" ht="15" hidden="false" customHeight="false" outlineLevel="0" collapsed="false">
      <c r="A3857" s="2" t="s">
        <v>500</v>
      </c>
      <c r="C3857" s="16" t="n">
        <f aca="false">C3829+C3853</f>
        <v>0</v>
      </c>
    </row>
    <row r="3858" customFormat="false" ht="15" hidden="false" customHeight="false" outlineLevel="0" collapsed="false">
      <c r="A3858" s="2" t="s">
        <v>501</v>
      </c>
      <c r="C3858" s="16" t="n">
        <f aca="false">C3830+C3854</f>
        <v>0</v>
      </c>
    </row>
    <row r="3859" customFormat="false" ht="15" hidden="false" customHeight="false" outlineLevel="0" collapsed="false">
      <c r="A3859" s="23" t="s">
        <v>512</v>
      </c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</row>
    <row r="3860" customFormat="false" ht="15" hidden="false" customHeight="false" outlineLevel="0" collapsed="false">
      <c r="A3860" s="3" t="s">
        <v>499</v>
      </c>
      <c r="C3860" s="21" t="n">
        <f aca="false">IF(C3816=0,1,C3856/C3816)</f>
        <v>1</v>
      </c>
    </row>
    <row r="3861" customFormat="false" ht="15" hidden="false" customHeight="false" outlineLevel="0" collapsed="false">
      <c r="A3861" s="3" t="s">
        <v>500</v>
      </c>
      <c r="C3861" s="21" t="n">
        <f aca="false">IF(C3817=0,1,C3857/C3817)</f>
        <v>1</v>
      </c>
    </row>
    <row r="3862" customFormat="false" ht="15" hidden="false" customHeight="false" outlineLevel="0" collapsed="false">
      <c r="A3862" s="3" t="s">
        <v>501</v>
      </c>
      <c r="C3862" s="21" t="n">
        <f aca="false">IF(C3818=0,1,C3858/C3818)</f>
        <v>1</v>
      </c>
    </row>
    <row r="3863" customFormat="false" ht="15" hidden="false" customHeight="false" outlineLevel="0" collapsed="false">
      <c r="A3863" s="23" t="s">
        <v>513</v>
      </c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</row>
    <row r="3864" customFormat="false" ht="15" hidden="false" customHeight="false" outlineLevel="0" collapsed="false">
      <c r="A3864" s="3" t="s">
        <v>499</v>
      </c>
      <c r="C3864" s="25" t="n">
        <f aca="false">C3816-C3856</f>
        <v>0</v>
      </c>
    </row>
    <row r="3865" customFormat="false" ht="15" hidden="false" customHeight="false" outlineLevel="0" collapsed="false">
      <c r="A3865" s="3" t="s">
        <v>500</v>
      </c>
      <c r="C3865" s="25" t="n">
        <f aca="false">C3817-C3857</f>
        <v>0</v>
      </c>
    </row>
    <row r="3866" customFormat="false" ht="15" hidden="false" customHeight="false" outlineLevel="0" collapsed="false">
      <c r="A3866" s="3" t="s">
        <v>501</v>
      </c>
      <c r="C3866" s="25" t="n">
        <f aca="false">C3818-C3858</f>
        <v>0</v>
      </c>
    </row>
    <row r="3867" customFormat="false" ht="15" hidden="false" customHeight="false" outlineLevel="0" collapsed="false">
      <c r="A3867" s="23" t="s">
        <v>514</v>
      </c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</row>
    <row r="3868" customFormat="false" ht="15" hidden="false" customHeight="false" outlineLevel="0" collapsed="false">
      <c r="A3868" s="3" t="s">
        <v>499</v>
      </c>
      <c r="C3868" s="21" t="n">
        <f aca="false">IF(C3816=0,0,C3864/C3816)</f>
        <v>0</v>
      </c>
    </row>
    <row r="3869" customFormat="false" ht="15" hidden="false" customHeight="false" outlineLevel="0" collapsed="false">
      <c r="A3869" s="3" t="s">
        <v>500</v>
      </c>
      <c r="C3869" s="21" t="n">
        <f aca="false">IF(C3817=0,0,C3865/C3817)</f>
        <v>0</v>
      </c>
    </row>
    <row r="3870" customFormat="false" ht="15" hidden="false" customHeight="false" outlineLevel="0" collapsed="false">
      <c r="A3870" s="3" t="s">
        <v>501</v>
      </c>
      <c r="C3870" s="21" t="n">
        <f aca="false">IF(C3818=0,0,C3866/C3818)</f>
        <v>0</v>
      </c>
    </row>
    <row r="3871" customFormat="false" ht="15" hidden="false" customHeight="false" outlineLevel="0" collapsed="false">
      <c r="A3871" s="2" t="s">
        <v>515</v>
      </c>
      <c r="C3871" s="16" t="n">
        <f aca="false">MAX(0,$C$3814-SUM($C$3828:$C$3830)-SUM($C$3836:$C$3838))</f>
        <v>42.1632857283676</v>
      </c>
    </row>
    <row r="3872" customFormat="false" ht="15" hidden="false" customHeight="false" outlineLevel="0" collapsed="false">
      <c r="A3872" s="3" t="s">
        <v>533</v>
      </c>
      <c r="C3872" s="34" t="n">
        <f aca="false">MIN(C3813,100*CHOOSE(C3803,C3860,C3861,C3862))</f>
        <v>95</v>
      </c>
    </row>
    <row r="3873" customFormat="false" ht="15" hidden="false" customHeight="false" outlineLevel="0" collapsed="false">
      <c r="A3873" s="3" t="s">
        <v>534</v>
      </c>
      <c r="C3873" s="20" t="n">
        <f aca="false">IF(C3733=1,C3808+Assumptions!$C$39,C3807)</f>
        <v>3</v>
      </c>
    </row>
    <row r="3874" customFormat="false" ht="15" hidden="false" customHeight="false" outlineLevel="0" collapsed="false">
      <c r="A3874" s="23" t="s">
        <v>535</v>
      </c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</row>
    <row r="3875" customFormat="false" ht="15" hidden="false" customHeight="false" outlineLevel="0" collapsed="false">
      <c r="A3875" s="3" t="s">
        <v>536</v>
      </c>
      <c r="C3875" s="20" t="n">
        <f aca="false">COLUMN()-COLUMN($C$1)</f>
        <v>0</v>
      </c>
      <c r="D3875" s="20" t="n">
        <f aca="false">COLUMN()-COLUMN($C$1)</f>
        <v>1</v>
      </c>
      <c r="E3875" s="20" t="n">
        <f aca="false">COLUMN()-COLUMN($C$1)</f>
        <v>2</v>
      </c>
      <c r="F3875" s="20" t="n">
        <f aca="false">COLUMN()-COLUMN($C$1)</f>
        <v>3</v>
      </c>
      <c r="G3875" s="20" t="n">
        <f aca="false">COLUMN()-COLUMN($C$1)</f>
        <v>4</v>
      </c>
      <c r="H3875" s="20" t="n">
        <f aca="false">COLUMN()-COLUMN($C$1)</f>
        <v>5</v>
      </c>
      <c r="I3875" s="20" t="n">
        <f aca="false">COLUMN()-COLUMN($C$1)</f>
        <v>6</v>
      </c>
    </row>
    <row r="3876" customFormat="false" ht="15" hidden="false" customHeight="false" outlineLevel="0" collapsed="false">
      <c r="A3876" s="3" t="s">
        <v>537</v>
      </c>
      <c r="D3876" s="31" t="n">
        <f aca="false">CHOOSE($C$3803,G3616,G3629,G3642)</f>
        <v>0.105</v>
      </c>
      <c r="E3876" s="31" t="n">
        <f aca="false">CHOOSE($C$3803,H3616,H3629,H3642)</f>
        <v>0.105</v>
      </c>
      <c r="F3876" s="31" t="n">
        <f aca="false">CHOOSE($C$3803,I3616,I3629,I3642)</f>
        <v>0.105</v>
      </c>
      <c r="G3876" s="31" t="n">
        <f aca="false">CHOOSE($C$3803,J3616,J3629,J3642)</f>
        <v>0.105</v>
      </c>
      <c r="H3876" s="31" t="n">
        <f aca="false">CHOOSE($C$3803,K3616,K3629,K3642)</f>
        <v>0.105</v>
      </c>
    </row>
    <row r="3877" customFormat="false" ht="15" hidden="false" customHeight="false" outlineLevel="0" collapsed="false">
      <c r="A3877" s="3" t="s">
        <v>538</v>
      </c>
      <c r="D3877" s="25" t="n">
        <f aca="false">IF(D3875&lt;=$C$3812,$C$3804*D3876,0)</f>
        <v>10.5</v>
      </c>
      <c r="E3877" s="25" t="n">
        <f aca="false">IF(E3875&lt;=$C$3812,$C$3804*E3876,0)</f>
        <v>10.5</v>
      </c>
      <c r="F3877" s="25" t="n">
        <f aca="false">IF(F3875&lt;=$C$3812,$C$3804*F3876,0)</f>
        <v>10.5</v>
      </c>
      <c r="G3877" s="25" t="n">
        <f aca="false">IF(G3875&lt;=$C$3812,$C$3804*G3876,0)</f>
        <v>0</v>
      </c>
      <c r="H3877" s="25" t="n">
        <f aca="false">IF(H3875&lt;=$C$3812,$C$3804*H3876,0)</f>
        <v>0</v>
      </c>
    </row>
    <row r="3878" customFormat="false" ht="15" hidden="false" customHeight="false" outlineLevel="0" collapsed="false">
      <c r="A3878" s="3" t="s">
        <v>539</v>
      </c>
      <c r="D3878" s="25" t="n">
        <f aca="false">IF(AND($C$3733=0,D3875=$C$3807),$C$3804*$C$3872/100,0)+IF(AND($C$3733=1,D3875=$C$3873),$C$3810,0)</f>
        <v>0</v>
      </c>
      <c r="E3878" s="25" t="n">
        <f aca="false">IF(AND($C$3733=0,E3875=$C$3807),$C$3804*$C$3872/100,0)+IF(AND($C$3733=1,E3875=$C$3873),$C$3810,0)</f>
        <v>0</v>
      </c>
      <c r="F3878" s="25" t="n">
        <f aca="false">IF(AND($C$3733=0,F3875=$C$3807),$C$3804*$C$3872/100,0)+IF(AND($C$3733=1,F3875=$C$3873),$C$3810,0)</f>
        <v>95</v>
      </c>
      <c r="G3878" s="25" t="n">
        <f aca="false">IF(AND($C$3733=0,G3875=$C$3807),$C$3804*$C$3872/100,0)+IF(AND($C$3733=1,G3875=$C$3873),$C$3810,0)</f>
        <v>0</v>
      </c>
      <c r="H3878" s="25" t="n">
        <f aca="false">IF(AND($C$3733=0,H3875=$C$3807),$C$3804*$C$3872/100,0)+IF(AND($C$3733=1,H3875=$C$3873),$C$3810,0)</f>
        <v>0</v>
      </c>
      <c r="I3878" s="25" t="n">
        <f aca="false">IF(AND($C$3733=0,I3875=$C$3807),$C$3804*$C$3872/100,0)+IF(AND($C$3733=1,I3875=$C$3873),$C$3810,0)</f>
        <v>0</v>
      </c>
    </row>
    <row r="3879" customFormat="false" ht="15" hidden="false" customHeight="false" outlineLevel="0" collapsed="false">
      <c r="A3879" s="2" t="s">
        <v>540</v>
      </c>
      <c r="C3879" s="16" t="n">
        <f aca="false">-$C$3806</f>
        <v>-95</v>
      </c>
      <c r="D3879" s="16" t="n">
        <f aca="false">D3877+D3878</f>
        <v>10.5</v>
      </c>
      <c r="E3879" s="16" t="n">
        <f aca="false">E3877+E3878</f>
        <v>10.5</v>
      </c>
      <c r="F3879" s="16" t="n">
        <f aca="false">F3877+F3878</f>
        <v>105.5</v>
      </c>
      <c r="G3879" s="16" t="n">
        <f aca="false">G3877+G3878</f>
        <v>0</v>
      </c>
      <c r="H3879" s="16" t="n">
        <f aca="false">H3877+H3878</f>
        <v>0</v>
      </c>
      <c r="I3879" s="16" t="n">
        <f aca="false">I3877+I3878</f>
        <v>0</v>
      </c>
    </row>
    <row r="3880" customFormat="false" ht="15" hidden="false" customHeight="false" outlineLevel="0" collapsed="false">
      <c r="A3880" s="3" t="s">
        <v>541</v>
      </c>
      <c r="C3880" s="25" t="n">
        <f aca="false">SUM($C$3877:$I$3877)</f>
        <v>31.5</v>
      </c>
    </row>
    <row r="3881" customFormat="false" ht="15" hidden="false" customHeight="false" outlineLevel="0" collapsed="false">
      <c r="A3881" s="3" t="s">
        <v>542</v>
      </c>
      <c r="C3881" s="25" t="n">
        <f aca="false">SUM($C$3878:$I$3878)</f>
        <v>95</v>
      </c>
    </row>
    <row r="3882" customFormat="false" ht="15" hidden="false" customHeight="false" outlineLevel="0" collapsed="false">
      <c r="A3882" s="3" t="s">
        <v>543</v>
      </c>
      <c r="C3882" s="25" t="n">
        <f aca="false">C3880+C3881</f>
        <v>126.5</v>
      </c>
    </row>
    <row r="3883" customFormat="false" ht="15" hidden="false" customHeight="false" outlineLevel="0" collapsed="false">
      <c r="A3883" s="3" t="s">
        <v>544</v>
      </c>
      <c r="C3883" s="25" t="n">
        <f aca="false">C3881-C3804*C3805/100</f>
        <v>0</v>
      </c>
    </row>
    <row r="3884" customFormat="false" ht="15" hidden="false" customHeight="false" outlineLevel="0" collapsed="false">
      <c r="A3884" s="3" t="s">
        <v>545</v>
      </c>
      <c r="C3884" s="25" t="n">
        <f aca="false">C3882-C3806</f>
        <v>31.5</v>
      </c>
    </row>
    <row r="3885" customFormat="false" ht="15" hidden="false" customHeight="false" outlineLevel="0" collapsed="false">
      <c r="A3885" s="2" t="s">
        <v>427</v>
      </c>
      <c r="C3885" s="44" t="n">
        <f aca="false">C3882/C3806</f>
        <v>1.33157894736842</v>
      </c>
    </row>
    <row r="3886" customFormat="false" ht="15" hidden="false" customHeight="false" outlineLevel="0" collapsed="false">
      <c r="A3886" s="2" t="s">
        <v>426</v>
      </c>
      <c r="C3886" s="42" t="n">
        <f aca="false">IF(C3882&lt;=0,-1,IFERROR(IRR($C$3879:$I$3879,MAX(-0.9,C3885^(1/C3873)-1)),IRR($C$3879:$I$3879,0.1)))</f>
        <v>0.110526315789467</v>
      </c>
    </row>
    <row r="3887" customFormat="false" ht="15" hidden="false" customHeight="false" outlineLevel="0" collapsed="false">
      <c r="A3887" s="3" t="s">
        <v>546</v>
      </c>
      <c r="C3887" s="32" t="n">
        <f aca="false">MAX($G$3693:$K$3693)</f>
        <v>5.22235025866652</v>
      </c>
    </row>
    <row r="3888" customFormat="false" ht="15" hidden="false" customHeight="false" outlineLevel="0" collapsed="false">
      <c r="A3888" s="3" t="s">
        <v>547</v>
      </c>
      <c r="C3888" s="32" t="n">
        <f aca="false">MIN($G$3694:$K$3694)</f>
        <v>1.41684231486597</v>
      </c>
    </row>
    <row r="3889" customFormat="false" ht="15" hidden="false" customHeight="false" outlineLevel="0" collapsed="false">
      <c r="A3889" s="3" t="s">
        <v>548</v>
      </c>
      <c r="C3889" s="25" t="n">
        <f aca="false">SUM($G$3600:$K$3600)</f>
        <v>249.830855762772</v>
      </c>
    </row>
    <row r="3893" customFormat="false" ht="15" hidden="false" customHeight="false" outlineLevel="0" collapsed="false">
      <c r="A3893" s="9" t="s">
        <v>1026</v>
      </c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</row>
    <row r="3894" customFormat="false" ht="15" hidden="false" customHeight="false" outlineLevel="0" collapsed="false">
      <c r="A3894" s="3" t="s">
        <v>1010</v>
      </c>
      <c r="C3894" s="11" t="n">
        <v>2</v>
      </c>
    </row>
    <row r="3895" customFormat="false" ht="15" hidden="false" customHeight="false" outlineLevel="0" collapsed="false">
      <c r="A3895" s="3" t="s">
        <v>1011</v>
      </c>
      <c r="C3895" s="18" t="n">
        <v>0</v>
      </c>
    </row>
    <row r="3896" customFormat="false" ht="15" hidden="false" customHeight="false" outlineLevel="0" collapsed="false">
      <c r="A3896" s="3" t="s">
        <v>1012</v>
      </c>
      <c r="C3896" s="30" t="n">
        <f aca="false">Sensitivities!$A$34</f>
        <v>0.04</v>
      </c>
    </row>
    <row r="3897" customFormat="false" ht="15" hidden="false" customHeight="false" outlineLevel="0" collapsed="false">
      <c r="A3897" s="3" t="s">
        <v>1013</v>
      </c>
      <c r="C3897" s="18" t="n">
        <v>0</v>
      </c>
    </row>
    <row r="3898" customFormat="false" ht="15" hidden="false" customHeight="false" outlineLevel="0" collapsed="false">
      <c r="A3898" s="3" t="s">
        <v>1014</v>
      </c>
      <c r="C3898" s="15" t="n">
        <v>0</v>
      </c>
    </row>
    <row r="3900" customFormat="false" ht="15" hidden="false" customHeight="false" outlineLevel="0" collapsed="false">
      <c r="A3900" s="23" t="s">
        <v>281</v>
      </c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</row>
    <row r="3901" customFormat="false" ht="15" hidden="false" customHeight="false" outlineLevel="0" collapsed="false">
      <c r="A3901" s="3" t="s">
        <v>282</v>
      </c>
      <c r="F3901" s="27" t="n">
        <f aca="false">Assumptions!$C$6</f>
        <v>2026</v>
      </c>
      <c r="G3901" s="20" t="n">
        <f aca="false">F3901+1</f>
        <v>2027</v>
      </c>
      <c r="H3901" s="20" t="n">
        <f aca="false">G3901+1</f>
        <v>2028</v>
      </c>
      <c r="I3901" s="20" t="n">
        <f aca="false">H3901+1</f>
        <v>2029</v>
      </c>
      <c r="J3901" s="20" t="n">
        <f aca="false">I3901+1</f>
        <v>2030</v>
      </c>
      <c r="K3901" s="20" t="n">
        <f aca="false">J3901+1</f>
        <v>2031</v>
      </c>
    </row>
    <row r="3902" customFormat="false" ht="15" hidden="false" customHeight="false" outlineLevel="0" collapsed="false">
      <c r="A3902" s="3" t="s">
        <v>283</v>
      </c>
      <c r="G3902" s="20" t="n">
        <f aca="false">G3901-Assumptions!$C$6</f>
        <v>1</v>
      </c>
      <c r="H3902" s="20" t="n">
        <f aca="false">H3901-Assumptions!$C$6</f>
        <v>2</v>
      </c>
      <c r="I3902" s="20" t="n">
        <f aca="false">I3901-Assumptions!$C$6</f>
        <v>3</v>
      </c>
      <c r="J3902" s="20" t="n">
        <f aca="false">J3901-Assumptions!$C$6</f>
        <v>4</v>
      </c>
      <c r="K3902" s="20" t="n">
        <f aca="false">K3901-Assumptions!$C$6</f>
        <v>5</v>
      </c>
    </row>
    <row r="3903" customFormat="false" ht="15" hidden="false" customHeight="false" outlineLevel="0" collapsed="false">
      <c r="A3903" s="3" t="s">
        <v>165</v>
      </c>
      <c r="G3903" s="21" t="n">
        <f aca="false">CHOOSE($C$3894,Assumptions!$G$71,Assumptions!$G$90,Assumptions!$G$109)+$C$3895</f>
        <v>-0.08</v>
      </c>
      <c r="H3903" s="21" t="n">
        <f aca="false">CHOOSE($C$3894,Assumptions!$H$71,Assumptions!$H$90,Assumptions!$H$109)+$C$3895</f>
        <v>-0.07</v>
      </c>
      <c r="I3903" s="21" t="n">
        <f aca="false">CHOOSE($C$3894,Assumptions!$I$71,Assumptions!$I$90,Assumptions!$I$109)+$C$3895</f>
        <v>-0.06</v>
      </c>
      <c r="J3903" s="21" t="n">
        <f aca="false">CHOOSE($C$3894,Assumptions!$J$71,Assumptions!$J$90,Assumptions!$J$109)+$C$3895</f>
        <v>-0.05</v>
      </c>
      <c r="K3903" s="21" t="n">
        <f aca="false">CHOOSE($C$3894,Assumptions!$K$71,Assumptions!$K$90,Assumptions!$K$109)+$C$3895</f>
        <v>-0.05</v>
      </c>
    </row>
    <row r="3904" customFormat="false" ht="15" hidden="false" customHeight="false" outlineLevel="0" collapsed="false">
      <c r="A3904" s="3" t="s">
        <v>166</v>
      </c>
      <c r="G3904" s="21" t="n">
        <f aca="false">CHOOSE($C$3894,Assumptions!$G$72,Assumptions!$G$91,Assumptions!$G$110)</f>
        <v>0.463246670103635</v>
      </c>
      <c r="H3904" s="21" t="n">
        <f aca="false">CHOOSE($C$3894,Assumptions!$H$72,Assumptions!$H$91,Assumptions!$H$110)</f>
        <v>0.453246670103635</v>
      </c>
      <c r="I3904" s="21" t="n">
        <f aca="false">CHOOSE($C$3894,Assumptions!$I$72,Assumptions!$I$91,Assumptions!$I$110)</f>
        <v>0.448246670103634</v>
      </c>
      <c r="J3904" s="21" t="n">
        <f aca="false">CHOOSE($C$3894,Assumptions!$J$72,Assumptions!$J$91,Assumptions!$J$110)</f>
        <v>0.443246670103635</v>
      </c>
      <c r="K3904" s="21" t="n">
        <f aca="false">CHOOSE($C$3894,Assumptions!$K$72,Assumptions!$K$91,Assumptions!$K$110)</f>
        <v>0.443246670103635</v>
      </c>
    </row>
    <row r="3905" customFormat="false" ht="15" hidden="false" customHeight="false" outlineLevel="0" collapsed="false">
      <c r="A3905" s="3" t="s">
        <v>167</v>
      </c>
      <c r="G3905" s="21" t="n">
        <f aca="false">CHOOSE($C$3894,Assumptions!$G$73,Assumptions!$G$92,Assumptions!$G$111)+$C$3896</f>
        <v>0.16</v>
      </c>
      <c r="H3905" s="21" t="n">
        <f aca="false">CHOOSE($C$3894,Assumptions!$H$73,Assumptions!$H$92,Assumptions!$H$111)+$C$3896</f>
        <v>0.15</v>
      </c>
      <c r="I3905" s="21" t="n">
        <f aca="false">CHOOSE($C$3894,Assumptions!$I$73,Assumptions!$I$92,Assumptions!$I$111)+$C$3896</f>
        <v>0.145</v>
      </c>
      <c r="J3905" s="21" t="n">
        <f aca="false">CHOOSE($C$3894,Assumptions!$J$73,Assumptions!$J$92,Assumptions!$J$111)+$C$3896</f>
        <v>0.14</v>
      </c>
      <c r="K3905" s="21" t="n">
        <f aca="false">CHOOSE($C$3894,Assumptions!$K$73,Assumptions!$K$92,Assumptions!$K$111)+$C$3896</f>
        <v>0.14</v>
      </c>
    </row>
    <row r="3906" customFormat="false" ht="15" hidden="false" customHeight="false" outlineLevel="0" collapsed="false">
      <c r="A3906" s="23" t="s">
        <v>284</v>
      </c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</row>
    <row r="3907" customFormat="false" ht="15" hidden="false" customHeight="false" outlineLevel="0" collapsed="false">
      <c r="A3907" s="2" t="s">
        <v>256</v>
      </c>
      <c r="F3907" s="28" t="n">
        <f aca="false">'Historical Financials'!G23</f>
        <v>2246.166</v>
      </c>
      <c r="G3907" s="16" t="n">
        <f aca="false">F3907*(1+G3903)</f>
        <v>2066.47272</v>
      </c>
      <c r="H3907" s="16" t="n">
        <f aca="false">G3907*(1+H3903)</f>
        <v>1921.8196296</v>
      </c>
      <c r="I3907" s="16" t="n">
        <f aca="false">H3907*(1+I3903)</f>
        <v>1806.510451824</v>
      </c>
      <c r="J3907" s="16" t="n">
        <f aca="false">I3907*(1+J3903)</f>
        <v>1716.1849292328</v>
      </c>
      <c r="K3907" s="16" t="n">
        <f aca="false">J3907*(1+K3903)</f>
        <v>1630.37568277116</v>
      </c>
    </row>
    <row r="3908" customFormat="false" ht="15" hidden="false" customHeight="false" outlineLevel="0" collapsed="false">
      <c r="A3908" s="3" t="s">
        <v>257</v>
      </c>
      <c r="G3908" s="25" t="n">
        <f aca="false">G3907*(1-G3904)</f>
        <v>1109.1861136</v>
      </c>
      <c r="H3908" s="25" t="n">
        <f aca="false">H3907*(1-H3904)</f>
        <v>1050.761281944</v>
      </c>
      <c r="I3908" s="25" t="n">
        <f aca="false">I3907*(1-I3904)</f>
        <v>996.74815728648</v>
      </c>
      <c r="J3908" s="25" t="n">
        <f aca="false">J3907*(1-J3904)</f>
        <v>955.49167406832</v>
      </c>
      <c r="K3908" s="25" t="n">
        <f aca="false">K3907*(1-K3904)</f>
        <v>907.717090364904</v>
      </c>
    </row>
    <row r="3909" customFormat="false" ht="15" hidden="false" customHeight="false" outlineLevel="0" collapsed="false">
      <c r="A3909" s="2" t="s">
        <v>258</v>
      </c>
      <c r="G3909" s="16" t="n">
        <f aca="false">G3907-G3908</f>
        <v>957.2866064</v>
      </c>
      <c r="H3909" s="16" t="n">
        <f aca="false">H3907-H3908</f>
        <v>871.058347656</v>
      </c>
      <c r="I3909" s="16" t="n">
        <f aca="false">I3907-I3908</f>
        <v>809.76229453752</v>
      </c>
      <c r="J3909" s="16" t="n">
        <f aca="false">J3907-J3908</f>
        <v>760.69325516448</v>
      </c>
      <c r="K3909" s="16" t="n">
        <f aca="false">K3907-K3908</f>
        <v>722.658592406256</v>
      </c>
    </row>
    <row r="3910" customFormat="false" ht="15" hidden="false" customHeight="false" outlineLevel="0" collapsed="false">
      <c r="A3910" s="3" t="s">
        <v>285</v>
      </c>
      <c r="G3910" s="25" t="n">
        <f aca="false">G3909-G3911</f>
        <v>626.6509712</v>
      </c>
      <c r="H3910" s="25" t="n">
        <f aca="false">H3909-H3911</f>
        <v>582.785403216</v>
      </c>
      <c r="I3910" s="25" t="n">
        <f aca="false">I3909-I3911</f>
        <v>547.81827902304</v>
      </c>
      <c r="J3910" s="25" t="n">
        <f aca="false">J3909-J3911</f>
        <v>520.427365071888</v>
      </c>
      <c r="K3910" s="25" t="n">
        <f aca="false">K3909-K3911</f>
        <v>494.405996818294</v>
      </c>
    </row>
    <row r="3911" customFormat="false" ht="15" hidden="false" customHeight="false" outlineLevel="0" collapsed="false">
      <c r="A3911" s="2" t="s">
        <v>286</v>
      </c>
      <c r="G3911" s="16" t="n">
        <f aca="false">G3907*G3905</f>
        <v>330.6356352</v>
      </c>
      <c r="H3911" s="16" t="n">
        <f aca="false">H3907*H3905</f>
        <v>288.27294444</v>
      </c>
      <c r="I3911" s="16" t="n">
        <f aca="false">I3907*I3905</f>
        <v>261.94401551448</v>
      </c>
      <c r="J3911" s="16" t="n">
        <f aca="false">J3907*J3905</f>
        <v>240.265890092592</v>
      </c>
      <c r="K3911" s="16" t="n">
        <f aca="false">K3907*K3905</f>
        <v>228.252595587962</v>
      </c>
    </row>
    <row r="3912" customFormat="false" ht="15" hidden="false" customHeight="false" outlineLevel="0" collapsed="false">
      <c r="A3912" s="3" t="s">
        <v>287</v>
      </c>
      <c r="G3912" s="25" t="n">
        <f aca="false">G3907*'Historical Financials'!G28/'Historical Financials'!G23</f>
        <v>78.47232</v>
      </c>
      <c r="H3912" s="25" t="n">
        <f aca="false">H3907*'Historical Financials'!G28/'Historical Financials'!G23</f>
        <v>72.9792576</v>
      </c>
      <c r="I3912" s="25" t="n">
        <f aca="false">I3907*'Historical Financials'!G28/'Historical Financials'!G23</f>
        <v>68.600502144</v>
      </c>
      <c r="J3912" s="25" t="n">
        <f aca="false">J3907*'Historical Financials'!G28/'Historical Financials'!G23</f>
        <v>65.1704770368</v>
      </c>
      <c r="K3912" s="25" t="n">
        <f aca="false">K3907*'Historical Financials'!G28/'Historical Financials'!G23</f>
        <v>61.91195318496</v>
      </c>
    </row>
    <row r="3913" customFormat="false" ht="15" hidden="false" customHeight="false" outlineLevel="0" collapsed="false">
      <c r="A3913" s="3" t="s">
        <v>288</v>
      </c>
      <c r="G3913" s="25" t="n">
        <f aca="false">G3907*'Historical Financials'!G29/'Historical Financials'!G23</f>
        <v>22.40752</v>
      </c>
      <c r="H3913" s="25" t="n">
        <f aca="false">H3907*'Historical Financials'!G29/'Historical Financials'!G23</f>
        <v>20.8389936</v>
      </c>
      <c r="I3913" s="25" t="n">
        <f aca="false">I3907*'Historical Financials'!G29/'Historical Financials'!G23</f>
        <v>19.588653984</v>
      </c>
      <c r="J3913" s="25" t="n">
        <f aca="false">J3907*'Historical Financials'!G29/'Historical Financials'!G23</f>
        <v>18.6092212848</v>
      </c>
      <c r="K3913" s="25" t="n">
        <f aca="false">K3907*'Historical Financials'!G29/'Historical Financials'!G23</f>
        <v>17.67876022056</v>
      </c>
    </row>
    <row r="3914" customFormat="false" ht="15" hidden="false" customHeight="false" outlineLevel="0" collapsed="false">
      <c r="A3914" s="2" t="s">
        <v>289</v>
      </c>
      <c r="G3914" s="16" t="n">
        <f aca="false">G3911-G3912-G3913</f>
        <v>229.7557952</v>
      </c>
      <c r="H3914" s="16" t="n">
        <f aca="false">H3911-H3912-H3913</f>
        <v>194.45469324</v>
      </c>
      <c r="I3914" s="16" t="n">
        <f aca="false">I3911-I3912-I3913</f>
        <v>173.75485938648</v>
      </c>
      <c r="J3914" s="16" t="n">
        <f aca="false">J3911-J3912-J3913</f>
        <v>156.486191770992</v>
      </c>
      <c r="K3914" s="16" t="n">
        <f aca="false">K3911-K3912-K3913</f>
        <v>148.661882182442</v>
      </c>
    </row>
    <row r="3915" customFormat="false" ht="15" hidden="false" customHeight="false" outlineLevel="0" collapsed="false">
      <c r="A3915" s="3" t="s">
        <v>290</v>
      </c>
      <c r="G3915" s="25" t="n">
        <f aca="false">G3941+G3954+G3967</f>
        <v>155.95467</v>
      </c>
      <c r="H3915" s="25" t="n">
        <f aca="false">H3941+H3954+H3967</f>
        <v>155.95467</v>
      </c>
      <c r="I3915" s="25" t="n">
        <f aca="false">I3941+I3954+I3967</f>
        <v>155.95467</v>
      </c>
      <c r="J3915" s="25" t="n">
        <f aca="false">J3941+J3954+J3967</f>
        <v>138.08529</v>
      </c>
      <c r="K3915" s="25" t="n">
        <f aca="false">K3941+K3954+K3967</f>
        <v>138.08529</v>
      </c>
    </row>
    <row r="3916" customFormat="false" ht="15" hidden="false" customHeight="false" outlineLevel="0" collapsed="false">
      <c r="A3916" s="3" t="s">
        <v>291</v>
      </c>
      <c r="G3916" s="25" t="n">
        <f aca="false">G3942+G3955+G3968</f>
        <v>0</v>
      </c>
      <c r="H3916" s="25" t="n">
        <f aca="false">H3942+H3955+H3968</f>
        <v>0</v>
      </c>
      <c r="I3916" s="25" t="n">
        <f aca="false">I3942+I3955+I3968</f>
        <v>0</v>
      </c>
      <c r="J3916" s="25" t="n">
        <f aca="false">J3942+J3955+J3968</f>
        <v>0</v>
      </c>
      <c r="K3916" s="25" t="n">
        <f aca="false">K3942+K3955+K3968</f>
        <v>0</v>
      </c>
    </row>
    <row r="3917" customFormat="false" ht="15" hidden="false" customHeight="false" outlineLevel="0" collapsed="false">
      <c r="A3917" s="3" t="s">
        <v>239</v>
      </c>
      <c r="G3917" s="25" t="n">
        <f aca="false">G3915+G3916</f>
        <v>155.95467</v>
      </c>
      <c r="H3917" s="25" t="n">
        <f aca="false">H3915+H3916</f>
        <v>155.95467</v>
      </c>
      <c r="I3917" s="25" t="n">
        <f aca="false">I3915+I3916</f>
        <v>155.95467</v>
      </c>
      <c r="J3917" s="25" t="n">
        <f aca="false">J3915+J3916</f>
        <v>138.08529</v>
      </c>
      <c r="K3917" s="25" t="n">
        <f aca="false">K3915+K3916</f>
        <v>138.08529</v>
      </c>
    </row>
    <row r="3918" customFormat="false" ht="15" hidden="false" customHeight="false" outlineLevel="0" collapsed="false">
      <c r="A3918" s="2" t="s">
        <v>264</v>
      </c>
      <c r="G3918" s="16" t="n">
        <f aca="false">G3914-G3917</f>
        <v>73.8011251999999</v>
      </c>
      <c r="H3918" s="16" t="n">
        <f aca="false">H3914-H3917</f>
        <v>38.50002324</v>
      </c>
      <c r="I3918" s="16" t="n">
        <f aca="false">I3914-I3917</f>
        <v>17.80018938648</v>
      </c>
      <c r="J3918" s="16" t="n">
        <f aca="false">J3914-J3917</f>
        <v>18.400901770992</v>
      </c>
      <c r="K3918" s="16" t="n">
        <f aca="false">K3914-K3917</f>
        <v>10.5765921824424</v>
      </c>
    </row>
    <row r="3919" customFormat="false" ht="15" hidden="false" customHeight="false" outlineLevel="0" collapsed="false">
      <c r="A3919" s="3" t="s">
        <v>292</v>
      </c>
      <c r="G3919" s="25" t="n">
        <f aca="false">MAX(0,G3918)*Assumptions!$C$9</f>
        <v>18.4502813</v>
      </c>
      <c r="H3919" s="25" t="n">
        <f aca="false">MAX(0,H3918)*Assumptions!$C$9</f>
        <v>9.62500581</v>
      </c>
      <c r="I3919" s="25" t="n">
        <f aca="false">MAX(0,I3918)*Assumptions!$C$9</f>
        <v>4.45004734661999</v>
      </c>
      <c r="J3919" s="25" t="n">
        <f aca="false">MAX(0,J3918)*Assumptions!$C$9</f>
        <v>4.60022544274799</v>
      </c>
      <c r="K3919" s="25" t="n">
        <f aca="false">MAX(0,K3918)*Assumptions!$C$9</f>
        <v>2.64414804561059</v>
      </c>
    </row>
    <row r="3920" customFormat="false" ht="15" hidden="false" customHeight="false" outlineLevel="0" collapsed="false">
      <c r="A3920" s="2" t="s">
        <v>293</v>
      </c>
      <c r="G3920" s="16" t="n">
        <f aca="false">G3918-G3919</f>
        <v>55.3508439</v>
      </c>
      <c r="H3920" s="16" t="n">
        <f aca="false">H3918-H3919</f>
        <v>28.87501743</v>
      </c>
      <c r="I3920" s="16" t="n">
        <f aca="false">I3918-I3919</f>
        <v>13.35014203986</v>
      </c>
      <c r="J3920" s="16" t="n">
        <f aca="false">J3918-J3919</f>
        <v>13.800676328244</v>
      </c>
      <c r="K3920" s="16" t="n">
        <f aca="false">K3918-K3919</f>
        <v>7.93244413683178</v>
      </c>
    </row>
    <row r="3921" customFormat="false" ht="15" hidden="false" customHeight="false" outlineLevel="0" collapsed="false">
      <c r="A3921" s="23" t="s">
        <v>294</v>
      </c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</row>
    <row r="3922" customFormat="false" ht="15" hidden="false" customHeight="false" outlineLevel="0" collapsed="false">
      <c r="A3922" s="3" t="s">
        <v>169</v>
      </c>
      <c r="G3922" s="25" t="n">
        <f aca="false">G3907*CHOOSE($C$3894,Assumptions!$C$75,Assumptions!$C$94,Assumptions!$C$113)</f>
        <v>26.86414536</v>
      </c>
      <c r="H3922" s="25" t="n">
        <f aca="false">H3907*CHOOSE($C$3894,Assumptions!$C$75,Assumptions!$C$94,Assumptions!$C$113)</f>
        <v>24.9836551848</v>
      </c>
      <c r="I3922" s="25" t="n">
        <f aca="false">I3907*CHOOSE($C$3894,Assumptions!$C$75,Assumptions!$C$94,Assumptions!$C$113)</f>
        <v>23.484635873712</v>
      </c>
      <c r="J3922" s="25" t="n">
        <f aca="false">J3907*CHOOSE($C$3894,Assumptions!$C$75,Assumptions!$C$94,Assumptions!$C$113)</f>
        <v>22.3104040800264</v>
      </c>
      <c r="K3922" s="25" t="n">
        <f aca="false">K3907*CHOOSE($C$3894,Assumptions!$C$75,Assumptions!$C$94,Assumptions!$C$113)</f>
        <v>21.1948838760251</v>
      </c>
    </row>
    <row r="3923" customFormat="false" ht="15" hidden="false" customHeight="false" outlineLevel="0" collapsed="false">
      <c r="A3923" s="3" t="s">
        <v>295</v>
      </c>
      <c r="G3923" s="25" t="n">
        <f aca="false">CHOOSE($C$3894,Assumptions!$C$76,Assumptions!$C$95,Assumptions!$C$114)*(G3907-F3907)+CHOOSE($C$3894,Assumptions!$C$77,Assumptions!$C$96,Assumptions!$C$115)*G3907</f>
        <v>10.3323636</v>
      </c>
      <c r="H3923" s="25" t="n">
        <f aca="false">CHOOSE($C$3894,Assumptions!$C$76,Assumptions!$C$95,Assumptions!$C$114)*(H3907-G3907)+CHOOSE($C$3894,Assumptions!$C$77,Assumptions!$C$96,Assumptions!$C$115)*H3907</f>
        <v>9.609098148</v>
      </c>
      <c r="I3923" s="25" t="n">
        <f aca="false">CHOOSE($C$3894,Assumptions!$C$76,Assumptions!$C$95,Assumptions!$C$114)*(I3907-H3907)+CHOOSE($C$3894,Assumptions!$C$77,Assumptions!$C$96,Assumptions!$C$115)*I3907</f>
        <v>9.03255225912</v>
      </c>
      <c r="J3923" s="25" t="n">
        <f aca="false">CHOOSE($C$3894,Assumptions!$C$76,Assumptions!$C$95,Assumptions!$C$114)*(J3907-I3907)+CHOOSE($C$3894,Assumptions!$C$77,Assumptions!$C$96,Assumptions!$C$115)*J3907</f>
        <v>8.580924646164</v>
      </c>
      <c r="K3923" s="25" t="n">
        <f aca="false">CHOOSE($C$3894,Assumptions!$C$76,Assumptions!$C$95,Assumptions!$C$114)*(K3907-J3907)+CHOOSE($C$3894,Assumptions!$C$77,Assumptions!$C$96,Assumptions!$C$115)*K3907</f>
        <v>8.1518784138558</v>
      </c>
    </row>
    <row r="3924" customFormat="false" ht="15" hidden="false" customHeight="false" outlineLevel="0" collapsed="false">
      <c r="A3924" s="2" t="s">
        <v>296</v>
      </c>
      <c r="G3924" s="16" t="n">
        <f aca="false">G3920+G3912+G3913+G3916-G3922-G3923</f>
        <v>119.03417494</v>
      </c>
      <c r="H3924" s="16" t="n">
        <f aca="false">H3920+H3912+H3913+H3916-H3922-H3923</f>
        <v>88.1005152972</v>
      </c>
      <c r="I3924" s="16" t="n">
        <f aca="false">I3920+I3912+I3913+I3916-I3922-I3923</f>
        <v>69.022110035028</v>
      </c>
      <c r="J3924" s="16" t="n">
        <f aca="false">J3920+J3912+J3913+J3916-J3922-J3923</f>
        <v>66.6890459236536</v>
      </c>
      <c r="K3924" s="16" t="n">
        <f aca="false">K3920+K3912+K3913+K3916-K3922-K3923</f>
        <v>58.1763952524709</v>
      </c>
    </row>
    <row r="3926" customFormat="false" ht="15" hidden="false" customHeight="false" outlineLevel="0" collapsed="false">
      <c r="A3926" s="23" t="s">
        <v>298</v>
      </c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</row>
    <row r="3927" customFormat="false" ht="15" hidden="false" customHeight="false" outlineLevel="0" collapsed="false">
      <c r="A3927" s="3" t="s">
        <v>299</v>
      </c>
      <c r="G3927" s="30" t="n">
        <f aca="false">Assumptions!$G$52</f>
        <v>0.039</v>
      </c>
      <c r="H3927" s="30" t="n">
        <f aca="false">Assumptions!$H$52</f>
        <v>0.0375</v>
      </c>
      <c r="I3927" s="30" t="n">
        <f aca="false">Assumptions!$I$52</f>
        <v>0.035</v>
      </c>
      <c r="J3927" s="30" t="n">
        <f aca="false">Assumptions!$J$52</f>
        <v>0.035</v>
      </c>
      <c r="K3927" s="30" t="n">
        <f aca="false">Assumptions!$K$52</f>
        <v>0.035</v>
      </c>
    </row>
    <row r="3928" customFormat="false" ht="15" hidden="false" customHeight="false" outlineLevel="0" collapsed="false">
      <c r="A3928" s="3" t="s">
        <v>300</v>
      </c>
      <c r="C3928" s="31" t="n">
        <f aca="false">CHOOSE($C$3894,Assumptions!$C$78,Assumptions!$C$97,Assumptions!$C$116)+$C$3897</f>
        <v>0.015</v>
      </c>
    </row>
    <row r="3929" customFormat="false" ht="15" hidden="false" customHeight="false" outlineLevel="0" collapsed="false">
      <c r="A3929" s="3" t="s">
        <v>301</v>
      </c>
      <c r="C3929" s="31" t="n">
        <f aca="false">CHOOSE($C$3894,Assumptions!$C$79,Assumptions!$C$98,Assumptions!$C$117)</f>
        <v>0.13</v>
      </c>
    </row>
    <row r="3930" customFormat="false" ht="15" hidden="false" customHeight="false" outlineLevel="0" collapsed="false">
      <c r="A3930" s="3" t="s">
        <v>302</v>
      </c>
      <c r="C3930" s="32" t="n">
        <f aca="false">CHOOSE($C$3894,Assumptions!$C$80,Assumptions!$C$99,Assumptions!$C$118)</f>
        <v>5.5</v>
      </c>
    </row>
    <row r="3931" customFormat="false" ht="15" hidden="false" customHeight="false" outlineLevel="0" collapsed="false">
      <c r="A3931" s="3" t="s">
        <v>303</v>
      </c>
      <c r="C3931" s="32" t="n">
        <f aca="false">CHOOSE($C$3894,Assumptions!$C$81,Assumptions!$C$100,Assumptions!$C$119)</f>
        <v>1.5</v>
      </c>
    </row>
    <row r="3932" customFormat="false" ht="15" hidden="false" customHeight="false" outlineLevel="0" collapsed="false">
      <c r="A3932" s="3" t="s">
        <v>304</v>
      </c>
      <c r="G3932" s="25" t="n">
        <f aca="false">G3937+G3950+G3963</f>
        <v>1735.554</v>
      </c>
      <c r="H3932" s="25" t="n">
        <f aca="false">H3937+H3950+H3963</f>
        <v>1735.554</v>
      </c>
      <c r="I3932" s="25" t="n">
        <f aca="false">I3937+I3950+I3963</f>
        <v>1735.554</v>
      </c>
      <c r="J3932" s="25" t="n">
        <f aca="false">J3937+J3950+J3963</f>
        <v>1315.098</v>
      </c>
      <c r="K3932" s="25" t="n">
        <f aca="false">K3937+K3950+K3963</f>
        <v>1315.098</v>
      </c>
    </row>
    <row r="3933" customFormat="false" ht="15" hidden="false" customHeight="false" outlineLevel="0" collapsed="false">
      <c r="A3933" s="3" t="s">
        <v>305</v>
      </c>
      <c r="G3933" s="25" t="n">
        <f aca="false">F4006</f>
        <v>463.996</v>
      </c>
      <c r="H3933" s="25" t="n">
        <f aca="false">G4006</f>
        <v>583.03017494</v>
      </c>
      <c r="I3933" s="25" t="n">
        <f aca="false">H4006</f>
        <v>671.1306902372</v>
      </c>
      <c r="J3933" s="25" t="n">
        <f aca="false">I4006</f>
        <v>319.696800272228</v>
      </c>
      <c r="K3933" s="25" t="n">
        <f aca="false">J4006</f>
        <v>386.385846195881</v>
      </c>
    </row>
    <row r="3934" customFormat="false" ht="15" hidden="false" customHeight="false" outlineLevel="0" collapsed="false">
      <c r="A3934" s="3" t="s">
        <v>306</v>
      </c>
      <c r="G3934" s="25" t="n">
        <f aca="false">G3937*IF(G3938=1,$C$3929,IF(Assumptions!$I$56=1,MAX(G3927,Assumptions!$G$56)+Assumptions!$F$56+$C$3928,Assumptions!$E$56))+G3950*IF(G3951=1,$C$3929,IF(Assumptions!$I$57=1,MAX(G3927,Assumptions!$G$57)+Assumptions!$F$57+$C$3928,Assumptions!$E$57))+G3963*IF(G3964=1,$C$3929,IF(Assumptions!$I$58=1,MAX(G3927,Assumptions!$G$58)+Assumptions!$F$58+$C$3928,Assumptions!$E$58))</f>
        <v>155.95467</v>
      </c>
      <c r="H3934" s="25" t="n">
        <f aca="false">H3937*IF(OR(H3938=1,G4084=1),$C$3929,IF(Assumptions!$I$56=1,MAX(H3927,Assumptions!$G$56)+Assumptions!$F$56+$C$3928,Assumptions!$E$56))+H3950*IF(OR(H3951=1,G4085=1),$C$3929,IF(Assumptions!$I$57=1,MAX(H3927,Assumptions!$G$57)+Assumptions!$F$57+$C$3928,Assumptions!$E$57))+H3963*IF(OR(H3964=1,G4086=1),$C$3929,IF(Assumptions!$I$58=1,MAX(H3927,Assumptions!$G$58)+Assumptions!$F$58+$C$3928,Assumptions!$E$58))</f>
        <v>155.95467</v>
      </c>
      <c r="I3934" s="25" t="n">
        <f aca="false">I3937*IF(OR(I3938=1,H4084=1),$C$3929,IF(Assumptions!$I$56=1,MAX(I3927,Assumptions!$G$56)+Assumptions!$F$56+$C$3928,Assumptions!$E$56))+I3950*IF(OR(I3951=1,H4085=1),$C$3929,IF(Assumptions!$I$57=1,MAX(I3927,Assumptions!$G$57)+Assumptions!$F$57+$C$3928,Assumptions!$E$57))+I3963*IF(OR(I3964=1,H4086=1),$C$3929,IF(Assumptions!$I$58=1,MAX(I3927,Assumptions!$G$58)+Assumptions!$F$58+$C$3928,Assumptions!$E$58))</f>
        <v>192.74457</v>
      </c>
      <c r="J3934" s="25" t="n">
        <f aca="false">J3937*IF(OR(J3938=1,I4084=1),$C$3929,IF(Assumptions!$I$56=1,MAX(J3927,Assumptions!$G$56)+Assumptions!$F$56+$C$3928,Assumptions!$E$56))+J3950*IF(OR(J3951=1,I4085=1),$C$3929,IF(Assumptions!$I$57=1,MAX(J3927,Assumptions!$G$57)+Assumptions!$F$57+$C$3928,Assumptions!$E$57))+J3963*IF(OR(J3964=1,I4086=1),$C$3929,IF(Assumptions!$I$58=1,MAX(J3927,Assumptions!$G$58)+Assumptions!$F$58+$C$3928,Assumptions!$E$58))</f>
        <v>138.08529</v>
      </c>
      <c r="K3934" s="25" t="n">
        <f aca="false">K3937*IF(OR(K3938=1,J4084=1),$C$3929,IF(Assumptions!$I$56=1,MAX(K3927,Assumptions!$G$56)+Assumptions!$F$56+$C$3928,Assumptions!$E$56))+K3950*IF(OR(K3951=1,J4085=1),$C$3929,IF(Assumptions!$I$57=1,MAX(K3927,Assumptions!$G$57)+Assumptions!$F$57+$C$3928,Assumptions!$E$57))+K3963*IF(OR(K3964=1,J4086=1),$C$3929,IF(Assumptions!$I$58=1,MAX(K3927,Assumptions!$G$58)+Assumptions!$F$58+$C$3928,Assumptions!$E$58))</f>
        <v>138.08529</v>
      </c>
    </row>
    <row r="3935" customFormat="false" ht="15" hidden="false" customHeight="false" outlineLevel="0" collapsed="false">
      <c r="A3935" s="3" t="s">
        <v>307</v>
      </c>
      <c r="G3935" s="20" t="n">
        <f aca="false">IF(G3911&lt;=0,0,IF(AND((G3932-G3933)/G3911&lt;=$C$3930,G3911/G3934&gt;=$C$3931),1,0))</f>
        <v>1</v>
      </c>
      <c r="H3935" s="20" t="n">
        <f aca="false">IF(H3911&lt;=0,0,IF(AND((H3932-H3933)/H3911&lt;=$C$3930,H3911/H3934&gt;=$C$3931),1,0))</f>
        <v>1</v>
      </c>
      <c r="I3935" s="20" t="n">
        <f aca="false">IF(I3911&lt;=0,0,IF(AND((I3932-I3933)/I3911&lt;=$C$3930,I3911/I3934&gt;=$C$3931),1,0))</f>
        <v>0</v>
      </c>
      <c r="J3935" s="20" t="n">
        <f aca="false">IF(J3911&lt;=0,0,IF(AND((J3932-J3933)/J3911&lt;=$C$3930,J3911/J3934&gt;=$C$3931),1,0))</f>
        <v>1</v>
      </c>
      <c r="K3935" s="20" t="n">
        <f aca="false">IF(K3911&lt;=0,0,IF(AND((K3932-K3933)/K3911&lt;=$C$3930,K3911/K3934&gt;=$C$3931),1,0))</f>
        <v>1</v>
      </c>
    </row>
    <row r="3936" customFormat="false" ht="15" hidden="false" customHeight="false" outlineLevel="0" collapsed="false">
      <c r="A3936" s="23" t="s">
        <v>308</v>
      </c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</row>
    <row r="3937" customFormat="false" ht="15" hidden="false" customHeight="false" outlineLevel="0" collapsed="false">
      <c r="A3937" s="3" t="s">
        <v>309</v>
      </c>
      <c r="G3937" s="25" t="n">
        <f aca="false">F3948</f>
        <v>1315.098</v>
      </c>
      <c r="H3937" s="25" t="n">
        <f aca="false">G3948</f>
        <v>1315.098</v>
      </c>
      <c r="I3937" s="25" t="n">
        <f aca="false">H3948</f>
        <v>1315.098</v>
      </c>
      <c r="J3937" s="25" t="n">
        <f aca="false">I3948</f>
        <v>1315.098</v>
      </c>
      <c r="K3937" s="25" t="n">
        <f aca="false">J3948</f>
        <v>1315.098</v>
      </c>
    </row>
    <row r="3938" customFormat="false" ht="15" hidden="false" customHeight="false" outlineLevel="0" collapsed="false">
      <c r="A3938" s="3" t="s">
        <v>310</v>
      </c>
      <c r="G3938" s="20" t="n">
        <f aca="false">IF(G3901=Assumptions!$K$56,1,0)</f>
        <v>0</v>
      </c>
      <c r="H3938" s="20" t="n">
        <f aca="false">IF(H3901=Assumptions!$K$56,1,0)</f>
        <v>0</v>
      </c>
      <c r="I3938" s="20" t="n">
        <f aca="false">IF(I3901=Assumptions!$K$56,1,0)</f>
        <v>0</v>
      </c>
      <c r="J3938" s="20" t="n">
        <f aca="false">IF(J3901=Assumptions!$K$56,1,0)</f>
        <v>0</v>
      </c>
      <c r="K3938" s="20" t="n">
        <f aca="false">IF(K3901=Assumptions!$K$56,1,0)</f>
        <v>0</v>
      </c>
    </row>
    <row r="3940" customFormat="false" ht="15" hidden="false" customHeight="false" outlineLevel="0" collapsed="false">
      <c r="A3940" s="3" t="s">
        <v>311</v>
      </c>
      <c r="G3940" s="31" t="n">
        <f aca="false">IF(Assumptions!$I$56=1,MAX(G3927,Assumptions!$G$56)+Assumptions!$F$56+$C$3928,Assumptions!$E$56)</f>
        <v>0.105</v>
      </c>
      <c r="H3940" s="31" t="n">
        <f aca="false">IF(G4084=1,$C$3929,IF(Assumptions!$I$56=1,MAX(H3927,Assumptions!$G$56)+Assumptions!$F$56+$C$3928,Assumptions!$E$56))</f>
        <v>0.105</v>
      </c>
      <c r="I3940" s="31" t="n">
        <f aca="false">IF(H4084=1,$C$3929,IF(Assumptions!$I$56=1,MAX(I3927,Assumptions!$G$56)+Assumptions!$F$56+$C$3928,Assumptions!$E$56))</f>
        <v>0.105</v>
      </c>
      <c r="J3940" s="31" t="n">
        <f aca="false">IF(I4084=1,$C$3929,IF(Assumptions!$I$56=1,MAX(J3927,Assumptions!$G$56)+Assumptions!$F$56+$C$3928,Assumptions!$E$56))</f>
        <v>0.105</v>
      </c>
      <c r="K3940" s="31" t="n">
        <f aca="false">IF(J4084=1,$C$3929,IF(Assumptions!$I$56=1,MAX(K3927,Assumptions!$G$56)+Assumptions!$F$56+$C$3928,Assumptions!$E$56))</f>
        <v>0.105</v>
      </c>
    </row>
    <row r="3941" customFormat="false" ht="15" hidden="false" customHeight="false" outlineLevel="0" collapsed="false">
      <c r="A3941" s="3" t="s">
        <v>312</v>
      </c>
      <c r="G3941" s="25" t="n">
        <f aca="false">G3937*G3940</f>
        <v>138.08529</v>
      </c>
      <c r="H3941" s="25" t="n">
        <f aca="false">H3937*H3940</f>
        <v>138.08529</v>
      </c>
      <c r="I3941" s="25" t="n">
        <f aca="false">I3937*I3940</f>
        <v>138.08529</v>
      </c>
      <c r="J3941" s="25" t="n">
        <f aca="false">J3937*J3940</f>
        <v>138.08529</v>
      </c>
      <c r="K3941" s="25" t="n">
        <f aca="false">K3937*K3940</f>
        <v>138.08529</v>
      </c>
    </row>
    <row r="3942" customFormat="false" ht="15" hidden="false" customHeight="false" outlineLevel="0" collapsed="false">
      <c r="A3942" s="3" t="s">
        <v>313</v>
      </c>
      <c r="G3942" s="25" t="n">
        <f aca="false">G3937*Assumptions!$H$56</f>
        <v>0</v>
      </c>
      <c r="H3942" s="25" t="n">
        <f aca="false">H3937*Assumptions!$H$56</f>
        <v>0</v>
      </c>
      <c r="I3942" s="25" t="n">
        <f aca="false">I3937*Assumptions!$H$56</f>
        <v>0</v>
      </c>
      <c r="J3942" s="25" t="n">
        <f aca="false">J3937*Assumptions!$H$56</f>
        <v>0</v>
      </c>
      <c r="K3942" s="25" t="n">
        <f aca="false">K3937*Assumptions!$H$56</f>
        <v>0</v>
      </c>
    </row>
    <row r="3943" customFormat="false" ht="15" hidden="false" customHeight="false" outlineLevel="0" collapsed="false">
      <c r="A3943" s="3" t="s">
        <v>314</v>
      </c>
      <c r="G3943" s="25" t="n">
        <f aca="false">MIN(G3937,Assumptions!$L$56*Assumptions!$C$56)</f>
        <v>0</v>
      </c>
      <c r="H3943" s="25" t="n">
        <f aca="false">MIN(H3937,Assumptions!$L$56*Assumptions!$C$56)</f>
        <v>0</v>
      </c>
      <c r="I3943" s="25" t="n">
        <f aca="false">MIN(I3937,Assumptions!$L$56*Assumptions!$C$56)</f>
        <v>0</v>
      </c>
      <c r="J3943" s="25" t="n">
        <f aca="false">MIN(J3937,Assumptions!$L$56*Assumptions!$C$56)</f>
        <v>0</v>
      </c>
      <c r="K3943" s="25" t="n">
        <f aca="false">MIN(K3937,Assumptions!$L$56*Assumptions!$C$56)</f>
        <v>0</v>
      </c>
    </row>
    <row r="3944" customFormat="false" ht="15" hidden="false" customHeight="false" outlineLevel="0" collapsed="false">
      <c r="A3944" s="3" t="s">
        <v>315</v>
      </c>
      <c r="G3944" s="25" t="n">
        <f aca="false">IF(AND(Assumptions!$P$56=1,G3901&lt;Assumptions!$K$56),MIN(MAX(0,-G3998),MAX(0,Assumptions!$D$56-G3937)),0)</f>
        <v>0</v>
      </c>
      <c r="H3944" s="25" t="n">
        <f aca="false">IF(AND(Assumptions!$P$56=1,OR(H3901&lt;Assumptions!$K$56,G4084=1)),MIN(MAX(0,-H3998),MAX(0,Assumptions!$D$56-H3937)),0)</f>
        <v>0</v>
      </c>
      <c r="I3944" s="25" t="n">
        <f aca="false">IF(AND(Assumptions!$P$56=1,OR(I3901&lt;Assumptions!$K$56,H4084=1)),MIN(MAX(0,-I3998),MAX(0,Assumptions!$D$56-I3937)),0)</f>
        <v>0</v>
      </c>
      <c r="J3944" s="25" t="n">
        <f aca="false">IF(AND(Assumptions!$P$56=1,OR(J3901&lt;Assumptions!$K$56,I4084=1)),MIN(MAX(0,-J3998),MAX(0,Assumptions!$D$56-J3937)),0)</f>
        <v>0</v>
      </c>
      <c r="K3944" s="25" t="n">
        <f aca="false">IF(AND(Assumptions!$P$56=1,OR(K3901&lt;Assumptions!$K$56,J4084=1)),MIN(MAX(0,-K3998),MAX(0,Assumptions!$D$56-K3937)),0)</f>
        <v>0</v>
      </c>
    </row>
    <row r="3945" customFormat="false" ht="15" hidden="false" customHeight="false" outlineLevel="0" collapsed="false">
      <c r="A3945" s="3" t="s">
        <v>316</v>
      </c>
      <c r="G3945" s="25" t="n">
        <f aca="false">G3938*MIN(G3937-G3943+G3942,MAX(0,G4000-Assumptions!$C$12*G3935))</f>
        <v>0</v>
      </c>
      <c r="H3945" s="25" t="n">
        <f aca="false">H3938*MIN(H3937-H3943+H3942,MAX(0,H4000-Assumptions!$C$12*H3935))</f>
        <v>0</v>
      </c>
      <c r="I3945" s="25" t="n">
        <f aca="false">I3938*MIN(I3937-I3943+I3942,MAX(0,I4000-Assumptions!$C$12*I3935))</f>
        <v>0</v>
      </c>
      <c r="J3945" s="25" t="n">
        <f aca="false">J3938*MIN(J3937-J3943+J3942,MAX(0,J4000-Assumptions!$C$12*J3935))</f>
        <v>0</v>
      </c>
      <c r="K3945" s="25" t="n">
        <f aca="false">K3938*MIN(K3937-K3943+K3942,MAX(0,K4000-Assumptions!$C$12*K3935))</f>
        <v>0</v>
      </c>
    </row>
    <row r="3946" customFormat="false" ht="15" hidden="false" customHeight="false" outlineLevel="0" collapsed="false">
      <c r="A3946" s="3" t="s">
        <v>317</v>
      </c>
      <c r="G3946" s="25" t="n">
        <f aca="false">Assumptions!$N$56*MIN(G3937+G3944+G3942-G3943-G3945,MAX(0,G4004))</f>
        <v>0</v>
      </c>
      <c r="H3946" s="25" t="n">
        <f aca="false">Assumptions!$N$56*MIN(H3937+H3944+H3942-H3943-H3945,MAX(0,H4004))</f>
        <v>0</v>
      </c>
      <c r="I3946" s="25" t="n">
        <f aca="false">Assumptions!$N$56*MIN(I3937+I3944+I3942-I3943-I3945,MAX(0,I4004))</f>
        <v>0</v>
      </c>
      <c r="J3946" s="25" t="n">
        <f aca="false">Assumptions!$N$56*MIN(J3937+J3944+J3942-J3943-J3945,MAX(0,J4004))</f>
        <v>0</v>
      </c>
      <c r="K3946" s="25" t="n">
        <f aca="false">Assumptions!$N$56*MIN(K3937+K3944+K3942-K3943-K3945,MAX(0,K4004))</f>
        <v>0</v>
      </c>
    </row>
    <row r="3947" customFormat="false" ht="15" hidden="false" customHeight="false" outlineLevel="0" collapsed="false">
      <c r="A3947" s="3" t="s">
        <v>318</v>
      </c>
      <c r="G3947" s="25" t="n">
        <f aca="false">G3938*(1-G3935)*(G3937-G3943+G3942-G3945)</f>
        <v>0</v>
      </c>
      <c r="H3947" s="25" t="n">
        <f aca="false">H3938*(1-H3935)*(H3937-H3943+H3942-H3945)</f>
        <v>0</v>
      </c>
      <c r="I3947" s="25" t="n">
        <f aca="false">I3938*(1-I3935)*(I3937-I3943+I3942-I3945)</f>
        <v>0</v>
      </c>
      <c r="J3947" s="25" t="n">
        <f aca="false">J3938*(1-J3935)*(J3937-J3943+J3942-J3945)</f>
        <v>0</v>
      </c>
      <c r="K3947" s="25" t="n">
        <f aca="false">K3938*(1-K3935)*(K3937-K3943+K3942-K3945)</f>
        <v>0</v>
      </c>
    </row>
    <row r="3948" customFormat="false" ht="15" hidden="false" customHeight="false" outlineLevel="0" collapsed="false">
      <c r="A3948" s="2" t="s">
        <v>319</v>
      </c>
      <c r="F3948" s="28" t="n">
        <f aca="false">Assumptions!$C$56</f>
        <v>1315.098</v>
      </c>
      <c r="G3948" s="16" t="n">
        <f aca="false">G3937+G3944+G3942-G3943-G3945-G3946</f>
        <v>1315.098</v>
      </c>
      <c r="H3948" s="16" t="n">
        <f aca="false">H3937+H3944+H3942-H3943-H3945-H3946</f>
        <v>1315.098</v>
      </c>
      <c r="I3948" s="16" t="n">
        <f aca="false">I3937+I3944+I3942-I3943-I3945-I3946</f>
        <v>1315.098</v>
      </c>
      <c r="J3948" s="16" t="n">
        <f aca="false">J3937+J3944+J3942-J3943-J3945-J3946</f>
        <v>1315.098</v>
      </c>
      <c r="K3948" s="16" t="n">
        <f aca="false">K3937+K3944+K3942-K3943-K3945-K3946</f>
        <v>1315.098</v>
      </c>
    </row>
    <row r="3949" customFormat="false" ht="15" hidden="false" customHeight="false" outlineLevel="0" collapsed="false">
      <c r="A3949" s="23" t="s">
        <v>320</v>
      </c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</row>
    <row r="3950" customFormat="false" ht="15" hidden="false" customHeight="false" outlineLevel="0" collapsed="false">
      <c r="A3950" s="3" t="s">
        <v>309</v>
      </c>
      <c r="G3950" s="25" t="n">
        <f aca="false">F3961</f>
        <v>276.706</v>
      </c>
      <c r="H3950" s="25" t="n">
        <f aca="false">G3961</f>
        <v>276.706</v>
      </c>
      <c r="I3950" s="25" t="n">
        <f aca="false">H3961</f>
        <v>276.706</v>
      </c>
      <c r="J3950" s="25" t="n">
        <f aca="false">I3961</f>
        <v>0</v>
      </c>
      <c r="K3950" s="25" t="n">
        <f aca="false">J3961</f>
        <v>0</v>
      </c>
    </row>
    <row r="3951" customFormat="false" ht="15" hidden="false" customHeight="false" outlineLevel="0" collapsed="false">
      <c r="A3951" s="3" t="s">
        <v>310</v>
      </c>
      <c r="G3951" s="20" t="n">
        <f aca="false">IF(G3901=Assumptions!$K$57,1,0)</f>
        <v>0</v>
      </c>
      <c r="H3951" s="20" t="n">
        <f aca="false">IF(H3901=Assumptions!$K$57,1,0)</f>
        <v>0</v>
      </c>
      <c r="I3951" s="20" t="n">
        <f aca="false">IF(I3901=Assumptions!$K$57,1,0)</f>
        <v>1</v>
      </c>
      <c r="J3951" s="20" t="n">
        <f aca="false">IF(J3901=Assumptions!$K$57,1,0)</f>
        <v>0</v>
      </c>
      <c r="K3951" s="20" t="n">
        <f aca="false">IF(K3901=Assumptions!$K$57,1,0)</f>
        <v>0</v>
      </c>
    </row>
    <row r="3953" customFormat="false" ht="15" hidden="false" customHeight="false" outlineLevel="0" collapsed="false">
      <c r="A3953" s="3" t="s">
        <v>311</v>
      </c>
      <c r="G3953" s="31" t="n">
        <f aca="false">IF(Assumptions!$I$57=1,MAX(G3927,Assumptions!$G$57)+Assumptions!$F$57+$C$3928,Assumptions!$E$57)</f>
        <v>0.0425</v>
      </c>
      <c r="H3953" s="31" t="n">
        <f aca="false">IF(G4085=1,$C$3929,IF(Assumptions!$I$57=1,MAX(H3927,Assumptions!$G$57)+Assumptions!$F$57+$C$3928,Assumptions!$E$57))</f>
        <v>0.0425</v>
      </c>
      <c r="I3953" s="31" t="n">
        <f aca="false">IF(H4085=1,$C$3929,IF(Assumptions!$I$57=1,MAX(I3927,Assumptions!$G$57)+Assumptions!$F$57+$C$3928,Assumptions!$E$57))</f>
        <v>0.0425</v>
      </c>
      <c r="J3953" s="31" t="n">
        <f aca="false">IF(I4085=1,$C$3929,IF(Assumptions!$I$57=1,MAX(J3927,Assumptions!$G$57)+Assumptions!$F$57+$C$3928,Assumptions!$E$57))</f>
        <v>0.0425</v>
      </c>
      <c r="K3953" s="31" t="n">
        <f aca="false">IF(J4085=1,$C$3929,IF(Assumptions!$I$57=1,MAX(K3927,Assumptions!$G$57)+Assumptions!$F$57+$C$3928,Assumptions!$E$57))</f>
        <v>0.0425</v>
      </c>
    </row>
    <row r="3954" customFormat="false" ht="15" hidden="false" customHeight="false" outlineLevel="0" collapsed="false">
      <c r="A3954" s="3" t="s">
        <v>312</v>
      </c>
      <c r="G3954" s="25" t="n">
        <f aca="false">G3950*G3953</f>
        <v>11.760005</v>
      </c>
      <c r="H3954" s="25" t="n">
        <f aca="false">H3950*H3953</f>
        <v>11.760005</v>
      </c>
      <c r="I3954" s="25" t="n">
        <f aca="false">I3950*I3953</f>
        <v>11.760005</v>
      </c>
      <c r="J3954" s="25" t="n">
        <f aca="false">J3950*J3953</f>
        <v>0</v>
      </c>
      <c r="K3954" s="25" t="n">
        <f aca="false">K3950*K3953</f>
        <v>0</v>
      </c>
    </row>
    <row r="3955" customFormat="false" ht="15" hidden="false" customHeight="false" outlineLevel="0" collapsed="false">
      <c r="A3955" s="3" t="s">
        <v>313</v>
      </c>
      <c r="G3955" s="25" t="n">
        <f aca="false">G3950*Assumptions!$H$57</f>
        <v>0</v>
      </c>
      <c r="H3955" s="25" t="n">
        <f aca="false">H3950*Assumptions!$H$57</f>
        <v>0</v>
      </c>
      <c r="I3955" s="25" t="n">
        <f aca="false">I3950*Assumptions!$H$57</f>
        <v>0</v>
      </c>
      <c r="J3955" s="25" t="n">
        <f aca="false">J3950*Assumptions!$H$57</f>
        <v>0</v>
      </c>
      <c r="K3955" s="25" t="n">
        <f aca="false">K3950*Assumptions!$H$57</f>
        <v>0</v>
      </c>
    </row>
    <row r="3956" customFormat="false" ht="15" hidden="false" customHeight="false" outlineLevel="0" collapsed="false">
      <c r="A3956" s="3" t="s">
        <v>314</v>
      </c>
      <c r="G3956" s="25" t="n">
        <f aca="false">MIN(G3950,Assumptions!$L$57*Assumptions!$C$57)</f>
        <v>0</v>
      </c>
      <c r="H3956" s="25" t="n">
        <f aca="false">MIN(H3950,Assumptions!$L$57*Assumptions!$C$57)</f>
        <v>0</v>
      </c>
      <c r="I3956" s="25" t="n">
        <f aca="false">MIN(I3950,Assumptions!$L$57*Assumptions!$C$57)</f>
        <v>0</v>
      </c>
      <c r="J3956" s="25" t="n">
        <f aca="false">MIN(J3950,Assumptions!$L$57*Assumptions!$C$57)</f>
        <v>0</v>
      </c>
      <c r="K3956" s="25" t="n">
        <f aca="false">MIN(K3950,Assumptions!$L$57*Assumptions!$C$57)</f>
        <v>0</v>
      </c>
    </row>
    <row r="3957" customFormat="false" ht="15" hidden="false" customHeight="false" outlineLevel="0" collapsed="false">
      <c r="A3957" s="3" t="s">
        <v>315</v>
      </c>
      <c r="G3957" s="25" t="n">
        <f aca="false">IF(AND(Assumptions!$P$57=1,G3901&lt;Assumptions!$K$57),MIN(MAX(0,-G3998),MAX(0,Assumptions!$D$57-G3950)),0)</f>
        <v>0</v>
      </c>
      <c r="H3957" s="25" t="n">
        <f aca="false">IF(AND(Assumptions!$P$57=1,OR(H3901&lt;Assumptions!$K$57,G4085=1)),MIN(MAX(0,-H3998),MAX(0,Assumptions!$D$57-H3950)),0)</f>
        <v>0</v>
      </c>
      <c r="I3957" s="25" t="n">
        <f aca="false">IF(AND(Assumptions!$P$57=1,OR(I3901&lt;Assumptions!$K$57,H4085=1)),MIN(MAX(0,-I3998),MAX(0,Assumptions!$D$57-I3950)),0)</f>
        <v>0</v>
      </c>
      <c r="J3957" s="25" t="n">
        <f aca="false">IF(AND(Assumptions!$P$57=1,OR(J3901&lt;Assumptions!$K$57,I4085=1)),MIN(MAX(0,-J3998),MAX(0,Assumptions!$D$57-J3950)),0)</f>
        <v>0</v>
      </c>
      <c r="K3957" s="25" t="n">
        <f aca="false">IF(AND(Assumptions!$P$57=1,OR(K3901&lt;Assumptions!$K$57,J4085=1)),MIN(MAX(0,-K3998),MAX(0,Assumptions!$D$57-K3950)),0)</f>
        <v>0</v>
      </c>
    </row>
    <row r="3958" customFormat="false" ht="15" hidden="false" customHeight="false" outlineLevel="0" collapsed="false">
      <c r="A3958" s="3" t="s">
        <v>316</v>
      </c>
      <c r="G3958" s="25" t="n">
        <f aca="false">G3951*MIN(G3950-G3956+G3955,MAX(0,G4000-Assumptions!$C$12*G3935-G3945))</f>
        <v>0</v>
      </c>
      <c r="H3958" s="25" t="n">
        <f aca="false">H3951*MIN(H3950-H3956+H3955,MAX(0,H4000-Assumptions!$C$12*H3935-H3945))</f>
        <v>0</v>
      </c>
      <c r="I3958" s="25" t="n">
        <f aca="false">I3951*MIN(I3950-I3956+I3955,MAX(0,I4000-Assumptions!$C$12*I3935-I3945))</f>
        <v>276.706</v>
      </c>
      <c r="J3958" s="25" t="n">
        <f aca="false">J3951*MIN(J3950-J3956+J3955,MAX(0,J4000-Assumptions!$C$12*J3935-J3945))</f>
        <v>0</v>
      </c>
      <c r="K3958" s="25" t="n">
        <f aca="false">K3951*MIN(K3950-K3956+K3955,MAX(0,K4000-Assumptions!$C$12*K3935-K3945))</f>
        <v>0</v>
      </c>
    </row>
    <row r="3959" customFormat="false" ht="15" hidden="false" customHeight="false" outlineLevel="0" collapsed="false">
      <c r="A3959" s="3" t="s">
        <v>317</v>
      </c>
      <c r="G3959" s="25" t="n">
        <f aca="false">Assumptions!$N$57*MIN(G3950+G3957+G3955-G3956-G3958,MAX(0,G4004-G3946))</f>
        <v>0</v>
      </c>
      <c r="H3959" s="25" t="n">
        <f aca="false">Assumptions!$N$57*MIN(H3950+H3957+H3955-H3956-H3958,MAX(0,H4004-H3946))</f>
        <v>0</v>
      </c>
      <c r="I3959" s="25" t="n">
        <f aca="false">Assumptions!$N$57*MIN(I3950+I3957+I3955-I3956-I3958,MAX(0,I4004-I3946))</f>
        <v>0</v>
      </c>
      <c r="J3959" s="25" t="n">
        <f aca="false">Assumptions!$N$57*MIN(J3950+J3957+J3955-J3956-J3958,MAX(0,J4004-J3946))</f>
        <v>0</v>
      </c>
      <c r="K3959" s="25" t="n">
        <f aca="false">Assumptions!$N$57*MIN(K3950+K3957+K3955-K3956-K3958,MAX(0,K4004-K3946))</f>
        <v>0</v>
      </c>
    </row>
    <row r="3960" customFormat="false" ht="15" hidden="false" customHeight="false" outlineLevel="0" collapsed="false">
      <c r="A3960" s="3" t="s">
        <v>318</v>
      </c>
      <c r="G3960" s="25" t="n">
        <f aca="false">G3951*(1-G3935)*(G3950-G3956+G3955-G3958)</f>
        <v>0</v>
      </c>
      <c r="H3960" s="25" t="n">
        <f aca="false">H3951*(1-H3935)*(H3950-H3956+H3955-H3958)</f>
        <v>0</v>
      </c>
      <c r="I3960" s="25" t="n">
        <f aca="false">I3951*(1-I3935)*(I3950-I3956+I3955-I3958)</f>
        <v>0</v>
      </c>
      <c r="J3960" s="25" t="n">
        <f aca="false">J3951*(1-J3935)*(J3950-J3956+J3955-J3958)</f>
        <v>0</v>
      </c>
      <c r="K3960" s="25" t="n">
        <f aca="false">K3951*(1-K3935)*(K3950-K3956+K3955-K3958)</f>
        <v>0</v>
      </c>
    </row>
    <row r="3961" customFormat="false" ht="15" hidden="false" customHeight="false" outlineLevel="0" collapsed="false">
      <c r="A3961" s="2" t="s">
        <v>319</v>
      </c>
      <c r="F3961" s="28" t="n">
        <f aca="false">Assumptions!$C$57</f>
        <v>276.706</v>
      </c>
      <c r="G3961" s="16" t="n">
        <f aca="false">G3950+G3957+G3955-G3956-G3958-G3959</f>
        <v>276.706</v>
      </c>
      <c r="H3961" s="16" t="n">
        <f aca="false">H3950+H3957+H3955-H3956-H3958-H3959</f>
        <v>276.706</v>
      </c>
      <c r="I3961" s="16" t="n">
        <f aca="false">I3950+I3957+I3955-I3956-I3958-I3959</f>
        <v>0</v>
      </c>
      <c r="J3961" s="16" t="n">
        <f aca="false">J3950+J3957+J3955-J3956-J3958-J3959</f>
        <v>0</v>
      </c>
      <c r="K3961" s="16" t="n">
        <f aca="false">K3950+K3957+K3955-K3956-K3958-K3959</f>
        <v>0</v>
      </c>
    </row>
    <row r="3962" customFormat="false" ht="15" hidden="false" customHeight="false" outlineLevel="0" collapsed="false">
      <c r="A3962" s="23" t="s">
        <v>321</v>
      </c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</row>
    <row r="3963" customFormat="false" ht="15" hidden="false" customHeight="false" outlineLevel="0" collapsed="false">
      <c r="A3963" s="3" t="s">
        <v>309</v>
      </c>
      <c r="G3963" s="25" t="n">
        <f aca="false">F3974</f>
        <v>143.75</v>
      </c>
      <c r="H3963" s="25" t="n">
        <f aca="false">G3974</f>
        <v>143.75</v>
      </c>
      <c r="I3963" s="25" t="n">
        <f aca="false">H3974</f>
        <v>143.75</v>
      </c>
      <c r="J3963" s="25" t="n">
        <f aca="false">I3974</f>
        <v>0</v>
      </c>
      <c r="K3963" s="25" t="n">
        <f aca="false">J3974</f>
        <v>0</v>
      </c>
    </row>
    <row r="3964" customFormat="false" ht="15" hidden="false" customHeight="false" outlineLevel="0" collapsed="false">
      <c r="A3964" s="3" t="s">
        <v>310</v>
      </c>
      <c r="G3964" s="20" t="n">
        <f aca="false">IF(G3901=Assumptions!$K$58,1,0)</f>
        <v>0</v>
      </c>
      <c r="H3964" s="20" t="n">
        <f aca="false">IF(H3901=Assumptions!$K$58,1,0)</f>
        <v>0</v>
      </c>
      <c r="I3964" s="20" t="n">
        <f aca="false">IF(I3901=Assumptions!$K$58,1,0)</f>
        <v>1</v>
      </c>
      <c r="J3964" s="20" t="n">
        <f aca="false">IF(J3901=Assumptions!$K$58,1,0)</f>
        <v>0</v>
      </c>
      <c r="K3964" s="20" t="n">
        <f aca="false">IF(K3901=Assumptions!$K$58,1,0)</f>
        <v>0</v>
      </c>
    </row>
    <row r="3966" customFormat="false" ht="15" hidden="false" customHeight="false" outlineLevel="0" collapsed="false">
      <c r="A3966" s="3" t="s">
        <v>311</v>
      </c>
      <c r="G3966" s="31" t="n">
        <f aca="false">IF(Assumptions!$I$58=1,MAX(G3927,Assumptions!$G$58)+Assumptions!$F$58+$C$3928,Assumptions!$E$58)</f>
        <v>0.0425</v>
      </c>
      <c r="H3966" s="31" t="n">
        <f aca="false">IF(G4086=1,$C$3929,IF(Assumptions!$I$58=1,MAX(H3927,Assumptions!$G$58)+Assumptions!$F$58+$C$3928,Assumptions!$E$58))</f>
        <v>0.0425</v>
      </c>
      <c r="I3966" s="31" t="n">
        <f aca="false">IF(H4086=1,$C$3929,IF(Assumptions!$I$58=1,MAX(I3927,Assumptions!$G$58)+Assumptions!$F$58+$C$3928,Assumptions!$E$58))</f>
        <v>0.0425</v>
      </c>
      <c r="J3966" s="31" t="n">
        <f aca="false">IF(I4086=1,$C$3929,IF(Assumptions!$I$58=1,MAX(J3927,Assumptions!$G$58)+Assumptions!$F$58+$C$3928,Assumptions!$E$58))</f>
        <v>0.0425</v>
      </c>
      <c r="K3966" s="31" t="n">
        <f aca="false">IF(J4086=1,$C$3929,IF(Assumptions!$I$58=1,MAX(K3927,Assumptions!$G$58)+Assumptions!$F$58+$C$3928,Assumptions!$E$58))</f>
        <v>0.0425</v>
      </c>
    </row>
    <row r="3967" customFormat="false" ht="15" hidden="false" customHeight="false" outlineLevel="0" collapsed="false">
      <c r="A3967" s="3" t="s">
        <v>312</v>
      </c>
      <c r="G3967" s="25" t="n">
        <f aca="false">G3963*G3966</f>
        <v>6.109375</v>
      </c>
      <c r="H3967" s="25" t="n">
        <f aca="false">H3963*H3966</f>
        <v>6.109375</v>
      </c>
      <c r="I3967" s="25" t="n">
        <f aca="false">I3963*I3966</f>
        <v>6.109375</v>
      </c>
      <c r="J3967" s="25" t="n">
        <f aca="false">J3963*J3966</f>
        <v>0</v>
      </c>
      <c r="K3967" s="25" t="n">
        <f aca="false">K3963*K3966</f>
        <v>0</v>
      </c>
    </row>
    <row r="3968" customFormat="false" ht="15" hidden="false" customHeight="false" outlineLevel="0" collapsed="false">
      <c r="A3968" s="3" t="s">
        <v>313</v>
      </c>
      <c r="G3968" s="25" t="n">
        <f aca="false">G3963*Assumptions!$H$58</f>
        <v>0</v>
      </c>
      <c r="H3968" s="25" t="n">
        <f aca="false">H3963*Assumptions!$H$58</f>
        <v>0</v>
      </c>
      <c r="I3968" s="25" t="n">
        <f aca="false">I3963*Assumptions!$H$58</f>
        <v>0</v>
      </c>
      <c r="J3968" s="25" t="n">
        <f aca="false">J3963*Assumptions!$H$58</f>
        <v>0</v>
      </c>
      <c r="K3968" s="25" t="n">
        <f aca="false">K3963*Assumptions!$H$58</f>
        <v>0</v>
      </c>
    </row>
    <row r="3969" customFormat="false" ht="15" hidden="false" customHeight="false" outlineLevel="0" collapsed="false">
      <c r="A3969" s="3" t="s">
        <v>314</v>
      </c>
      <c r="G3969" s="25" t="n">
        <f aca="false">MIN(G3963,Assumptions!$L$58*Assumptions!$C$58)</f>
        <v>0</v>
      </c>
      <c r="H3969" s="25" t="n">
        <f aca="false">MIN(H3963,Assumptions!$L$58*Assumptions!$C$58)</f>
        <v>0</v>
      </c>
      <c r="I3969" s="25" t="n">
        <f aca="false">MIN(I3963,Assumptions!$L$58*Assumptions!$C$58)</f>
        <v>0</v>
      </c>
      <c r="J3969" s="25" t="n">
        <f aca="false">MIN(J3963,Assumptions!$L$58*Assumptions!$C$58)</f>
        <v>0</v>
      </c>
      <c r="K3969" s="25" t="n">
        <f aca="false">MIN(K3963,Assumptions!$L$58*Assumptions!$C$58)</f>
        <v>0</v>
      </c>
    </row>
    <row r="3970" customFormat="false" ht="15" hidden="false" customHeight="false" outlineLevel="0" collapsed="false">
      <c r="A3970" s="3" t="s">
        <v>315</v>
      </c>
      <c r="G3970" s="25" t="n">
        <f aca="false">IF(AND(Assumptions!$P$58=1,G3901&lt;Assumptions!$K$58),MIN(MAX(0,-G3998),MAX(0,Assumptions!$D$58-G3963)),0)</f>
        <v>0</v>
      </c>
      <c r="H3970" s="25" t="n">
        <f aca="false">IF(AND(Assumptions!$P$58=1,OR(H3901&lt;Assumptions!$K$58,G4086=1)),MIN(MAX(0,-H3998),MAX(0,Assumptions!$D$58-H3963)),0)</f>
        <v>0</v>
      </c>
      <c r="I3970" s="25" t="n">
        <f aca="false">IF(AND(Assumptions!$P$58=1,OR(I3901&lt;Assumptions!$K$58,H4086=1)),MIN(MAX(0,-I3998),MAX(0,Assumptions!$D$58-I3963)),0)</f>
        <v>0</v>
      </c>
      <c r="J3970" s="25" t="n">
        <f aca="false">IF(AND(Assumptions!$P$58=1,OR(J3901&lt;Assumptions!$K$58,I4086=1)),MIN(MAX(0,-J3998),MAX(0,Assumptions!$D$58-J3963)),0)</f>
        <v>0</v>
      </c>
      <c r="K3970" s="25" t="n">
        <f aca="false">IF(AND(Assumptions!$P$58=1,OR(K3901&lt;Assumptions!$K$58,J4086=1)),MIN(MAX(0,-K3998),MAX(0,Assumptions!$D$58-K3963)),0)</f>
        <v>0</v>
      </c>
    </row>
    <row r="3971" customFormat="false" ht="15" hidden="false" customHeight="false" outlineLevel="0" collapsed="false">
      <c r="A3971" s="3" t="s">
        <v>316</v>
      </c>
      <c r="G3971" s="25" t="n">
        <f aca="false">G3964*MIN(G3963-G3969+G3968,MAX(0,G4000-Assumptions!$C$12*G3935-G3945-G3958))</f>
        <v>0</v>
      </c>
      <c r="H3971" s="25" t="n">
        <f aca="false">H3964*MIN(H3963-H3969+H3968,MAX(0,H4000-Assumptions!$C$12*H3935-H3945-H3958))</f>
        <v>0</v>
      </c>
      <c r="I3971" s="25" t="n">
        <f aca="false">I3964*MIN(I3963-I3969+I3968,MAX(0,I4000-Assumptions!$C$12*I3935-I3945-I3958))</f>
        <v>143.75</v>
      </c>
      <c r="J3971" s="25" t="n">
        <f aca="false">J3964*MIN(J3963-J3969+J3968,MAX(0,J4000-Assumptions!$C$12*J3935-J3945-J3958))</f>
        <v>0</v>
      </c>
      <c r="K3971" s="25" t="n">
        <f aca="false">K3964*MIN(K3963-K3969+K3968,MAX(0,K4000-Assumptions!$C$12*K3935-K3945-K3958))</f>
        <v>0</v>
      </c>
    </row>
    <row r="3972" customFormat="false" ht="15" hidden="false" customHeight="false" outlineLevel="0" collapsed="false">
      <c r="A3972" s="3" t="s">
        <v>317</v>
      </c>
      <c r="G3972" s="25" t="n">
        <f aca="false">Assumptions!$N$58*MIN(G3963+G3970+G3968-G3969-G3971,MAX(0,G4004-G3946-G3959))</f>
        <v>0</v>
      </c>
      <c r="H3972" s="25" t="n">
        <f aca="false">Assumptions!$N$58*MIN(H3963+H3970+H3968-H3969-H3971,MAX(0,H4004-H3946-H3959))</f>
        <v>0</v>
      </c>
      <c r="I3972" s="25" t="n">
        <f aca="false">Assumptions!$N$58*MIN(I3963+I3970+I3968-I3969-I3971,MAX(0,I4004-I3946-I3959))</f>
        <v>0</v>
      </c>
      <c r="J3972" s="25" t="n">
        <f aca="false">Assumptions!$N$58*MIN(J3963+J3970+J3968-J3969-J3971,MAX(0,J4004-J3946-J3959))</f>
        <v>0</v>
      </c>
      <c r="K3972" s="25" t="n">
        <f aca="false">Assumptions!$N$58*MIN(K3963+K3970+K3968-K3969-K3971,MAX(0,K4004-K3946-K3959))</f>
        <v>0</v>
      </c>
    </row>
    <row r="3973" customFormat="false" ht="15" hidden="false" customHeight="false" outlineLevel="0" collapsed="false">
      <c r="A3973" s="3" t="s">
        <v>318</v>
      </c>
      <c r="G3973" s="25" t="n">
        <f aca="false">G3964*(1-G3935)*(G3963-G3969+G3968-G3971)</f>
        <v>0</v>
      </c>
      <c r="H3973" s="25" t="n">
        <f aca="false">H3964*(1-H3935)*(H3963-H3969+H3968-H3971)</f>
        <v>0</v>
      </c>
      <c r="I3973" s="25" t="n">
        <f aca="false">I3964*(1-I3935)*(I3963-I3969+I3968-I3971)</f>
        <v>0</v>
      </c>
      <c r="J3973" s="25" t="n">
        <f aca="false">J3964*(1-J3935)*(J3963-J3969+J3968-J3971)</f>
        <v>0</v>
      </c>
      <c r="K3973" s="25" t="n">
        <f aca="false">K3964*(1-K3935)*(K3963-K3969+K3968-K3971)</f>
        <v>0</v>
      </c>
    </row>
    <row r="3974" customFormat="false" ht="15" hidden="false" customHeight="false" outlineLevel="0" collapsed="false">
      <c r="A3974" s="2" t="s">
        <v>319</v>
      </c>
      <c r="F3974" s="28" t="n">
        <f aca="false">Assumptions!$C$58</f>
        <v>143.75</v>
      </c>
      <c r="G3974" s="16" t="n">
        <f aca="false">G3963+G3970+G3968-G3969-G3971-G3972</f>
        <v>143.75</v>
      </c>
      <c r="H3974" s="16" t="n">
        <f aca="false">H3963+H3970+H3968-H3969-H3971-H3972</f>
        <v>143.75</v>
      </c>
      <c r="I3974" s="16" t="n">
        <f aca="false">I3963+I3970+I3968-I3969-I3971-I3972</f>
        <v>0</v>
      </c>
      <c r="J3974" s="16" t="n">
        <f aca="false">J3963+J3970+J3968-J3969-J3971-J3972</f>
        <v>0</v>
      </c>
      <c r="K3974" s="16" t="n">
        <f aca="false">K3963+K3970+K3968-K3969-K3971-K3972</f>
        <v>0</v>
      </c>
    </row>
    <row r="3975" customFormat="false" ht="15" hidden="false" customHeight="false" outlineLevel="0" collapsed="false">
      <c r="A3975" s="23" t="s">
        <v>322</v>
      </c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</row>
    <row r="3976" customFormat="false" ht="15" hidden="false" customHeight="false" outlineLevel="0" collapsed="false">
      <c r="A3976" s="2" t="s">
        <v>323</v>
      </c>
      <c r="F3976" s="16" t="n">
        <f aca="false">F3948+F3961+F3974</f>
        <v>1735.554</v>
      </c>
      <c r="G3976" s="16" t="n">
        <f aca="false">G3948+G3961+G3974</f>
        <v>1735.554</v>
      </c>
      <c r="H3976" s="16" t="n">
        <f aca="false">H3948+H3961+H3974</f>
        <v>1735.554</v>
      </c>
      <c r="I3976" s="16" t="n">
        <f aca="false">I3948+I3961+I3974</f>
        <v>1315.098</v>
      </c>
      <c r="J3976" s="16" t="n">
        <f aca="false">J3948+J3961+J3974</f>
        <v>1315.098</v>
      </c>
      <c r="K3976" s="16" t="n">
        <f aca="false">K3948+K3961+K3974</f>
        <v>1315.098</v>
      </c>
    </row>
    <row r="3977" customFormat="false" ht="15" hidden="false" customHeight="false" outlineLevel="0" collapsed="false">
      <c r="A3977" s="3" t="s">
        <v>324</v>
      </c>
      <c r="G3977" s="25" t="n">
        <f aca="false">G3938*Assumptions!$C$56+G3951*Assumptions!$C$57+G3964*Assumptions!$C$58</f>
        <v>0</v>
      </c>
      <c r="H3977" s="25" t="n">
        <f aca="false">H3938*Assumptions!$C$56+H3951*Assumptions!$C$57+H3964*Assumptions!$C$58</f>
        <v>0</v>
      </c>
      <c r="I3977" s="25" t="n">
        <f aca="false">I3938*Assumptions!$C$56+I3951*Assumptions!$C$57+I3964*Assumptions!$C$58</f>
        <v>420.456</v>
      </c>
      <c r="J3977" s="25" t="n">
        <f aca="false">J3938*Assumptions!$C$56+J3951*Assumptions!$C$57+J3964*Assumptions!$C$58</f>
        <v>0</v>
      </c>
      <c r="K3977" s="25" t="n">
        <f aca="false">K3938*Assumptions!$C$56+K3951*Assumptions!$C$57+K3964*Assumptions!$C$58</f>
        <v>0</v>
      </c>
    </row>
    <row r="3978" customFormat="false" ht="15" hidden="false" customHeight="false" outlineLevel="0" collapsed="false">
      <c r="A3978" s="23" t="s">
        <v>325</v>
      </c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</row>
    <row r="3979" customFormat="false" ht="15" hidden="false" customHeight="false" outlineLevel="0" collapsed="false">
      <c r="A3979" s="3" t="s">
        <v>326</v>
      </c>
      <c r="C3979" s="25" t="n">
        <f aca="false">SUMPRODUCT($G$3938:$K$3938,$G$3937:$K$3937-$G$3943:$K$3943+$G$3942:$K$3942)</f>
        <v>0</v>
      </c>
    </row>
    <row r="3980" customFormat="false" ht="15" hidden="false" customHeight="false" outlineLevel="0" collapsed="false">
      <c r="A3980" s="3" t="s">
        <v>327</v>
      </c>
      <c r="C3980" s="25" t="n">
        <f aca="false">SUMPRODUCT($G$3938:$K$3938,$G$3945:$K$3945)</f>
        <v>0</v>
      </c>
    </row>
    <row r="3981" customFormat="false" ht="15" hidden="false" customHeight="false" outlineLevel="0" collapsed="false">
      <c r="A3981" s="3" t="s">
        <v>328</v>
      </c>
      <c r="C3981" s="3" t="str">
        <f aca="false">IF(SUM($G$3938:$K$3938)=0,"n/a (beyond horizon)",IF(SUMPRODUCT($G$3938:$K$3938,$G$3935:$K$3935)&gt;0,"REFINANCING PASS","REFINANCING FAILURE"))</f>
        <v>n/a (beyond horizon)</v>
      </c>
    </row>
    <row r="3982" customFormat="false" ht="15" hidden="false" customHeight="false" outlineLevel="0" collapsed="false">
      <c r="A3982" s="3" t="s">
        <v>329</v>
      </c>
      <c r="C3982" s="3" t="str">
        <f aca="false">IF(SUM($G$3938:$K$3938)=0,"n/a",IF(C3980&gt;=C3979-0.001,"Repaid from cash",IF(SUMPRODUCT($G$3938:$K$3938,$G$3935:$K$3935)&gt;0,IF(C3980&gt;0,"Partly repaid; remainder refinanced","Refinanced"),IF(SUM($G$3947:$K$3947)&gt;0.001,IF(C3980&gt;0,"Partial repayment; PAYMENT DEFAULT","PAYMENT DEFAULT"),"Repaid from cash"))))</f>
        <v>n/a</v>
      </c>
    </row>
    <row r="3983" customFormat="false" ht="15" hidden="false" customHeight="false" outlineLevel="0" collapsed="false">
      <c r="A3983" s="3" t="s">
        <v>330</v>
      </c>
      <c r="C3983" s="25" t="n">
        <f aca="false">SUMPRODUCT($G$3951:$K$3951,$G$3950:$K$3950-$G$3956:$K$3956+$G$3955:$K$3955)</f>
        <v>276.706</v>
      </c>
    </row>
    <row r="3984" customFormat="false" ht="15" hidden="false" customHeight="false" outlineLevel="0" collapsed="false">
      <c r="A3984" s="3" t="s">
        <v>331</v>
      </c>
      <c r="C3984" s="25" t="n">
        <f aca="false">SUMPRODUCT($G$3951:$K$3951,$G$3958:$K$3958)</f>
        <v>276.706</v>
      </c>
    </row>
    <row r="3985" customFormat="false" ht="15" hidden="false" customHeight="false" outlineLevel="0" collapsed="false">
      <c r="A3985" s="3" t="s">
        <v>332</v>
      </c>
      <c r="C3985" s="3" t="str">
        <f aca="false">IF(SUM($G$3951:$K$3951)=0,"n/a (beyond horizon)",IF(SUMPRODUCT($G$3951:$K$3951,$G$3935:$K$3935)&gt;0,"REFINANCING PASS","REFINANCING FAILURE"))</f>
        <v>REFINANCING FAILURE</v>
      </c>
    </row>
    <row r="3986" customFormat="false" ht="15" hidden="false" customHeight="false" outlineLevel="0" collapsed="false">
      <c r="A3986" s="3" t="s">
        <v>333</v>
      </c>
      <c r="C3986" s="3" t="str">
        <f aca="false">IF(SUM($G$3951:$K$3951)=0,"n/a",IF(C3984&gt;=C3983-0.001,"Repaid from cash",IF(SUMPRODUCT($G$3951:$K$3951,$G$3935:$K$3935)&gt;0,IF(C3984&gt;0,"Partly repaid; remainder refinanced","Refinanced"),IF(SUM($G$3960:$K$3960)&gt;0.001,IF(C3984&gt;0,"Partial repayment; PAYMENT DEFAULT","PAYMENT DEFAULT"),"Repaid from cash"))))</f>
        <v>Repaid from cash</v>
      </c>
    </row>
    <row r="3987" customFormat="false" ht="15" hidden="false" customHeight="false" outlineLevel="0" collapsed="false">
      <c r="A3987" s="3" t="s">
        <v>334</v>
      </c>
      <c r="C3987" s="25" t="n">
        <f aca="false">SUMPRODUCT($G$3964:$K$3964,$G$3963:$K$3963-$G$3969:$K$3969+$G$3968:$K$3968)</f>
        <v>143.75</v>
      </c>
    </row>
    <row r="3988" customFormat="false" ht="15" hidden="false" customHeight="false" outlineLevel="0" collapsed="false">
      <c r="A3988" s="3" t="s">
        <v>335</v>
      </c>
      <c r="C3988" s="25" t="n">
        <f aca="false">SUMPRODUCT($G$3964:$K$3964,$G$3971:$K$3971)</f>
        <v>143.75</v>
      </c>
    </row>
    <row r="3989" customFormat="false" ht="15" hidden="false" customHeight="false" outlineLevel="0" collapsed="false">
      <c r="A3989" s="3" t="s">
        <v>336</v>
      </c>
      <c r="C3989" s="3" t="str">
        <f aca="false">IF(SUM($G$3964:$K$3964)=0,"n/a (beyond horizon)",IF(SUMPRODUCT($G$3964:$K$3964,$G$3935:$K$3935)&gt;0,"REFINANCING PASS","REFINANCING FAILURE"))</f>
        <v>REFINANCING FAILURE</v>
      </c>
    </row>
    <row r="3990" customFormat="false" ht="15" hidden="false" customHeight="false" outlineLevel="0" collapsed="false">
      <c r="A3990" s="3" t="s">
        <v>337</v>
      </c>
      <c r="C3990" s="3" t="str">
        <f aca="false">IF(SUM($G$3964:$K$3964)=0,"n/a",IF(C3988&gt;=C3987-0.001,"Repaid from cash",IF(SUMPRODUCT($G$3964:$K$3964,$G$3935:$K$3935)&gt;0,IF(C3988&gt;0,"Partly repaid; remainder refinanced","Refinanced"),IF(SUM($G$3973:$K$3973)&gt;0.001,IF(C3988&gt;0,"Partial repayment; PAYMENT DEFAULT","PAYMENT DEFAULT"),"Repaid from cash"))))</f>
        <v>Repaid from cash</v>
      </c>
    </row>
    <row r="3991" customFormat="false" ht="15" hidden="false" customHeight="false" outlineLevel="0" collapsed="false">
      <c r="A3991" s="3" t="s">
        <v>338</v>
      </c>
      <c r="C3991" s="20" t="n">
        <f aca="false">IF(C3981="REFINANCING FAILURE",1,0)+IF(C3985="REFINANCING FAILURE",1,0)+IF(C3989="REFINANCING FAILURE",1,0)</f>
        <v>2</v>
      </c>
    </row>
    <row r="3993" customFormat="false" ht="15" hidden="false" customHeight="false" outlineLevel="0" collapsed="false">
      <c r="A3993" s="23" t="s">
        <v>340</v>
      </c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</row>
    <row r="3994" customFormat="false" ht="15" hidden="false" customHeight="false" outlineLevel="0" collapsed="false">
      <c r="A3994" s="3" t="s">
        <v>305</v>
      </c>
      <c r="G3994" s="25" t="n">
        <f aca="false">F4006</f>
        <v>463.996</v>
      </c>
      <c r="H3994" s="25" t="n">
        <f aca="false">G4006</f>
        <v>583.03017494</v>
      </c>
      <c r="I3994" s="25" t="n">
        <f aca="false">H4006</f>
        <v>671.1306902372</v>
      </c>
      <c r="J3994" s="25" t="n">
        <f aca="false">I4006</f>
        <v>319.696800272228</v>
      </c>
      <c r="K3994" s="25" t="n">
        <f aca="false">J4006</f>
        <v>386.385846195881</v>
      </c>
    </row>
    <row r="3995" customFormat="false" ht="15" hidden="false" customHeight="false" outlineLevel="0" collapsed="false">
      <c r="A3995" s="3" t="s">
        <v>341</v>
      </c>
      <c r="G3995" s="25" t="n">
        <f aca="false">G3924</f>
        <v>119.03417494</v>
      </c>
      <c r="H3995" s="25" t="n">
        <f aca="false">H3924</f>
        <v>88.1005152972</v>
      </c>
      <c r="I3995" s="25" t="n">
        <f aca="false">I3924</f>
        <v>69.022110035028</v>
      </c>
      <c r="J3995" s="25" t="n">
        <f aca="false">J3924</f>
        <v>66.6890459236536</v>
      </c>
      <c r="K3995" s="25" t="n">
        <f aca="false">K3924</f>
        <v>58.1763952524709</v>
      </c>
    </row>
    <row r="3996" customFormat="false" ht="15" hidden="false" customHeight="false" outlineLevel="0" collapsed="false">
      <c r="A3996" s="3" t="s">
        <v>342</v>
      </c>
      <c r="G3996" s="25" t="n">
        <f aca="false">CHOOSE($C$3894,Assumptions!$G$74,Assumptions!$G$93,Assumptions!$G$112)</f>
        <v>0</v>
      </c>
      <c r="H3996" s="25" t="n">
        <f aca="false">CHOOSE($C$3894,Assumptions!$H$74,Assumptions!$H$93,Assumptions!$H$112)</f>
        <v>0</v>
      </c>
      <c r="I3996" s="25" t="n">
        <f aca="false">CHOOSE($C$3894,Assumptions!$I$74,Assumptions!$I$93,Assumptions!$I$112)</f>
        <v>0</v>
      </c>
      <c r="J3996" s="25" t="n">
        <f aca="false">CHOOSE($C$3894,Assumptions!$J$74,Assumptions!$J$93,Assumptions!$J$112)</f>
        <v>0</v>
      </c>
      <c r="K3996" s="25" t="n">
        <f aca="false">CHOOSE($C$3894,Assumptions!$K$74,Assumptions!$K$93,Assumptions!$K$112)</f>
        <v>0</v>
      </c>
    </row>
    <row r="3997" customFormat="false" ht="15" hidden="false" customHeight="false" outlineLevel="0" collapsed="false">
      <c r="A3997" s="3" t="s">
        <v>343</v>
      </c>
      <c r="G3997" s="25" t="n">
        <f aca="false">G3943+G3956+G3969</f>
        <v>0</v>
      </c>
      <c r="H3997" s="25" t="n">
        <f aca="false">H3943+H3956+H3969</f>
        <v>0</v>
      </c>
      <c r="I3997" s="25" t="n">
        <f aca="false">I3943+I3956+I3969</f>
        <v>0</v>
      </c>
      <c r="J3997" s="25" t="n">
        <f aca="false">J3943+J3956+J3969</f>
        <v>0</v>
      </c>
      <c r="K3997" s="25" t="n">
        <f aca="false">K3943+K3956+K3969</f>
        <v>0</v>
      </c>
    </row>
    <row r="3998" customFormat="false" ht="15" hidden="false" customHeight="false" outlineLevel="0" collapsed="false">
      <c r="A3998" s="2" t="s">
        <v>344</v>
      </c>
      <c r="G3998" s="16" t="n">
        <f aca="false">G3994+G3995+G3996-G3997</f>
        <v>583.03017494</v>
      </c>
      <c r="H3998" s="16" t="n">
        <f aca="false">H3994+H3995+H3996-H3997</f>
        <v>671.1306902372</v>
      </c>
      <c r="I3998" s="16" t="n">
        <f aca="false">I3994+I3995+I3996-I3997</f>
        <v>740.152800272228</v>
      </c>
      <c r="J3998" s="16" t="n">
        <f aca="false">J3994+J3995+J3996-J3997</f>
        <v>386.385846195881</v>
      </c>
      <c r="K3998" s="16" t="n">
        <f aca="false">K3994+K3995+K3996-K3997</f>
        <v>444.562241448352</v>
      </c>
    </row>
    <row r="3999" customFormat="false" ht="15" hidden="false" customHeight="false" outlineLevel="0" collapsed="false">
      <c r="A3999" s="3" t="s">
        <v>345</v>
      </c>
      <c r="G3999" s="25" t="n">
        <f aca="false">G3944+G3957+G3970</f>
        <v>0</v>
      </c>
      <c r="H3999" s="25" t="n">
        <f aca="false">H3944+H3957+H3970</f>
        <v>0</v>
      </c>
      <c r="I3999" s="25" t="n">
        <f aca="false">I3944+I3957+I3970</f>
        <v>0</v>
      </c>
      <c r="J3999" s="25" t="n">
        <f aca="false">J3944+J3957+J3970</f>
        <v>0</v>
      </c>
      <c r="K3999" s="25" t="n">
        <f aca="false">K3944+K3957+K3970</f>
        <v>0</v>
      </c>
    </row>
    <row r="4000" customFormat="false" ht="15" hidden="false" customHeight="false" outlineLevel="0" collapsed="false">
      <c r="A4000" s="2" t="s">
        <v>346</v>
      </c>
      <c r="G4000" s="16" t="n">
        <f aca="false">G3998+G3999</f>
        <v>583.03017494</v>
      </c>
      <c r="H4000" s="16" t="n">
        <f aca="false">H3998+H3999</f>
        <v>671.1306902372</v>
      </c>
      <c r="I4000" s="16" t="n">
        <f aca="false">I3998+I3999</f>
        <v>740.152800272228</v>
      </c>
      <c r="J4000" s="16" t="n">
        <f aca="false">J3998+J3999</f>
        <v>386.385846195881</v>
      </c>
      <c r="K4000" s="16" t="n">
        <f aca="false">K3998+K3999</f>
        <v>444.562241448352</v>
      </c>
    </row>
    <row r="4001" customFormat="false" ht="15" hidden="false" customHeight="false" outlineLevel="0" collapsed="false">
      <c r="A4001" s="3" t="s">
        <v>347</v>
      </c>
      <c r="G4001" s="25" t="n">
        <f aca="false">G3945+G3958+G3971</f>
        <v>0</v>
      </c>
      <c r="H4001" s="25" t="n">
        <f aca="false">H3945+H3958+H3971</f>
        <v>0</v>
      </c>
      <c r="I4001" s="25" t="n">
        <f aca="false">I3945+I3958+I3971</f>
        <v>420.456</v>
      </c>
      <c r="J4001" s="25" t="n">
        <f aca="false">J3945+J3958+J3971</f>
        <v>0</v>
      </c>
      <c r="K4001" s="25" t="n">
        <f aca="false">K3945+K3958+K3971</f>
        <v>0</v>
      </c>
    </row>
    <row r="4002" customFormat="false" ht="15" hidden="false" customHeight="false" outlineLevel="0" collapsed="false">
      <c r="A4002" s="2" t="s">
        <v>348</v>
      </c>
      <c r="G4002" s="16" t="n">
        <f aca="false">G4000-G4001</f>
        <v>583.03017494</v>
      </c>
      <c r="H4002" s="16" t="n">
        <f aca="false">H4000-H4001</f>
        <v>671.1306902372</v>
      </c>
      <c r="I4002" s="16" t="n">
        <f aca="false">I4000-I4001</f>
        <v>319.696800272228</v>
      </c>
      <c r="J4002" s="16" t="n">
        <f aca="false">J4000-J4001</f>
        <v>386.385846195881</v>
      </c>
      <c r="K4002" s="16" t="n">
        <f aca="false">K4000-K4001</f>
        <v>444.562241448352</v>
      </c>
    </row>
    <row r="4003" customFormat="false" ht="15" hidden="false" customHeight="false" outlineLevel="0" collapsed="false">
      <c r="A4003" s="3" t="s">
        <v>349</v>
      </c>
      <c r="G4003" s="25" t="n">
        <f aca="false">MAX(0,-G4002)</f>
        <v>0</v>
      </c>
      <c r="H4003" s="25" t="n">
        <f aca="false">MAX(0,-H4002)</f>
        <v>0</v>
      </c>
      <c r="I4003" s="25" t="n">
        <f aca="false">MAX(0,-I4002)</f>
        <v>0</v>
      </c>
      <c r="J4003" s="25" t="n">
        <f aca="false">MAX(0,-J4002)</f>
        <v>0</v>
      </c>
      <c r="K4003" s="25" t="n">
        <f aca="false">MAX(0,-K4002)</f>
        <v>0</v>
      </c>
    </row>
    <row r="4004" customFormat="false" ht="15" hidden="false" customHeight="false" outlineLevel="0" collapsed="false">
      <c r="A4004" s="3" t="s">
        <v>350</v>
      </c>
      <c r="G4004" s="25" t="n">
        <f aca="false">MAX(0,G4002-Assumptions!$C$12)*Assumptions!$C$13</f>
        <v>0</v>
      </c>
      <c r="H4004" s="25" t="n">
        <f aca="false">MAX(0,H4002-Assumptions!$C$12)*Assumptions!$C$13</f>
        <v>0</v>
      </c>
      <c r="I4004" s="25" t="n">
        <f aca="false">MAX(0,I4002-Assumptions!$C$12)*Assumptions!$C$13</f>
        <v>0</v>
      </c>
      <c r="J4004" s="25" t="n">
        <f aca="false">MAX(0,J4002-Assumptions!$C$12)*Assumptions!$C$13</f>
        <v>0</v>
      </c>
      <c r="K4004" s="25" t="n">
        <f aca="false">MAX(0,K4002-Assumptions!$C$12)*Assumptions!$C$13</f>
        <v>0</v>
      </c>
    </row>
    <row r="4005" customFormat="false" ht="15" hidden="false" customHeight="false" outlineLevel="0" collapsed="false">
      <c r="A4005" s="3" t="s">
        <v>351</v>
      </c>
      <c r="G4005" s="25" t="n">
        <f aca="false">G3946+G3959+G3972</f>
        <v>0</v>
      </c>
      <c r="H4005" s="25" t="n">
        <f aca="false">H3946+H3959+H3972</f>
        <v>0</v>
      </c>
      <c r="I4005" s="25" t="n">
        <f aca="false">I3946+I3959+I3972</f>
        <v>0</v>
      </c>
      <c r="J4005" s="25" t="n">
        <f aca="false">J3946+J3959+J3972</f>
        <v>0</v>
      </c>
      <c r="K4005" s="25" t="n">
        <f aca="false">K3946+K3959+K3972</f>
        <v>0</v>
      </c>
    </row>
    <row r="4006" customFormat="false" ht="15" hidden="false" customHeight="false" outlineLevel="0" collapsed="false">
      <c r="A4006" s="2" t="s">
        <v>352</v>
      </c>
      <c r="F4006" s="28" t="n">
        <f aca="false">Assumptions!$C$11</f>
        <v>463.996</v>
      </c>
      <c r="G4006" s="16" t="n">
        <f aca="false">G4002-G4005</f>
        <v>583.03017494</v>
      </c>
      <c r="H4006" s="16" t="n">
        <f aca="false">H4002-H4005</f>
        <v>671.1306902372</v>
      </c>
      <c r="I4006" s="16" t="n">
        <f aca="false">I4002-I4005</f>
        <v>319.696800272228</v>
      </c>
      <c r="J4006" s="16" t="n">
        <f aca="false">J4002-J4005</f>
        <v>386.385846195881</v>
      </c>
      <c r="K4006" s="16" t="n">
        <f aca="false">K4002-K4005</f>
        <v>444.562241448352</v>
      </c>
    </row>
    <row r="4007" customFormat="false" ht="15" hidden="false" customHeight="false" outlineLevel="0" collapsed="false">
      <c r="A4007" s="3" t="s">
        <v>353</v>
      </c>
      <c r="G4007" s="25" t="n">
        <f aca="false">G3947+G3960+G3973</f>
        <v>0</v>
      </c>
      <c r="H4007" s="25" t="n">
        <f aca="false">H3947+H3960+H3973</f>
        <v>0</v>
      </c>
      <c r="I4007" s="25" t="n">
        <f aca="false">I3947+I3960+I3973</f>
        <v>0</v>
      </c>
      <c r="J4007" s="25" t="n">
        <f aca="false">J3947+J3960+J3973</f>
        <v>0</v>
      </c>
      <c r="K4007" s="25" t="n">
        <f aca="false">K3947+K3960+K3973</f>
        <v>0</v>
      </c>
    </row>
    <row r="4008" customFormat="false" ht="15" hidden="false" customHeight="false" outlineLevel="0" collapsed="false">
      <c r="A4008" s="3" t="s">
        <v>354</v>
      </c>
      <c r="G4008" s="20" t="n">
        <f aca="false">IF(OR(G4003&gt;0.001,G4007&gt;0.001),1,0)</f>
        <v>0</v>
      </c>
      <c r="H4008" s="20" t="n">
        <f aca="false">IF(OR(H4003&gt;0.001,H4007&gt;0.001),1,0)</f>
        <v>0</v>
      </c>
      <c r="I4008" s="20" t="n">
        <f aca="false">IF(OR(I4003&gt;0.001,I4007&gt;0.001),1,0)</f>
        <v>0</v>
      </c>
      <c r="J4008" s="20" t="n">
        <f aca="false">IF(OR(J4003&gt;0.001,J4007&gt;0.001),1,0)</f>
        <v>0</v>
      </c>
      <c r="K4008" s="20" t="n">
        <f aca="false">IF(OR(K4003&gt;0.001,K4007&gt;0.001),1,0)</f>
        <v>0</v>
      </c>
    </row>
    <row r="4009" customFormat="false" ht="15" hidden="false" customHeight="false" outlineLevel="0" collapsed="false">
      <c r="A4009" s="3" t="s">
        <v>355</v>
      </c>
      <c r="G4009" s="20" t="n">
        <f aca="false">IF(G4008=1,1,0)</f>
        <v>0</v>
      </c>
      <c r="H4009" s="20" t="n">
        <f aca="false">IF(AND(H4008=1,SUM($G$4008:G4008)=0),1,0)</f>
        <v>0</v>
      </c>
      <c r="I4009" s="20" t="n">
        <f aca="false">IF(AND(I4008=1,SUM($G$4008:H4008)=0),1,0)</f>
        <v>0</v>
      </c>
      <c r="J4009" s="20" t="n">
        <f aca="false">IF(AND(J4008=1,SUM($G$4008:I4008)=0),1,0)</f>
        <v>0</v>
      </c>
      <c r="K4009" s="20" t="n">
        <f aca="false">IF(AND(K4008=1,SUM($G$4008:J4008)=0),1,0)</f>
        <v>0</v>
      </c>
    </row>
    <row r="4010" customFormat="false" ht="15" hidden="false" customHeight="false" outlineLevel="0" collapsed="false">
      <c r="A4010" s="3" t="s">
        <v>356</v>
      </c>
      <c r="G4010" s="25" t="n">
        <f aca="false">(G3976-F3976)-(G3999+G3916-G3997-G4001-G4005)</f>
        <v>0</v>
      </c>
      <c r="H4010" s="25" t="n">
        <f aca="false">(H3976-G3976)-(H3999+H3916-H3997-H4001-H4005)</f>
        <v>0</v>
      </c>
      <c r="I4010" s="25" t="n">
        <f aca="false">(I3976-H3976)-(I3999+I3916-I3997-I4001-I4005)</f>
        <v>0</v>
      </c>
      <c r="J4010" s="25" t="n">
        <f aca="false">(J3976-I3976)-(J3999+J3916-J3997-J4001-J4005)</f>
        <v>0</v>
      </c>
      <c r="K4010" s="25" t="n">
        <f aca="false">(K3976-J3976)-(K3999+K3916-K3997-K4001-K4005)</f>
        <v>0</v>
      </c>
    </row>
    <row r="4012" customFormat="false" ht="15" hidden="false" customHeight="false" outlineLevel="0" collapsed="false">
      <c r="A4012" s="23" t="s">
        <v>358</v>
      </c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</row>
    <row r="4013" customFormat="false" ht="15" hidden="false" customHeight="false" outlineLevel="0" collapsed="false">
      <c r="A4013" s="3" t="s">
        <v>359</v>
      </c>
      <c r="G4013" s="25" t="n">
        <f aca="false">G3976</f>
        <v>1735.554</v>
      </c>
      <c r="H4013" s="25" t="n">
        <f aca="false">H3976</f>
        <v>1735.554</v>
      </c>
      <c r="I4013" s="25" t="n">
        <f aca="false">I3976</f>
        <v>1315.098</v>
      </c>
      <c r="J4013" s="25" t="n">
        <f aca="false">J3976</f>
        <v>1315.098</v>
      </c>
      <c r="K4013" s="25" t="n">
        <f aca="false">K3976</f>
        <v>1315.098</v>
      </c>
    </row>
    <row r="4014" customFormat="false" ht="15" hidden="false" customHeight="false" outlineLevel="0" collapsed="false">
      <c r="A4014" s="3" t="s">
        <v>360</v>
      </c>
      <c r="G4014" s="25" t="n">
        <f aca="false">Assumptions!$O$56*G3948+Assumptions!$O$57*G3961+Assumptions!$O$58*G3974</f>
        <v>1315.098</v>
      </c>
      <c r="H4014" s="25" t="n">
        <f aca="false">Assumptions!$O$56*H3948+Assumptions!$O$57*H3961+Assumptions!$O$58*H3974</f>
        <v>1315.098</v>
      </c>
      <c r="I4014" s="25" t="n">
        <f aca="false">Assumptions!$O$56*I3948+Assumptions!$O$57*I3961+Assumptions!$O$58*I3974</f>
        <v>1315.098</v>
      </c>
      <c r="J4014" s="25" t="n">
        <f aca="false">Assumptions!$O$56*J3948+Assumptions!$O$57*J3961+Assumptions!$O$58*J3974</f>
        <v>1315.098</v>
      </c>
      <c r="K4014" s="25" t="n">
        <f aca="false">Assumptions!$O$56*K3948+Assumptions!$O$57*K3961+Assumptions!$O$58*K3974</f>
        <v>1315.098</v>
      </c>
    </row>
    <row r="4015" customFormat="false" ht="15" hidden="false" customHeight="false" outlineLevel="0" collapsed="false">
      <c r="A4015" s="3" t="s">
        <v>361</v>
      </c>
      <c r="G4015" s="25" t="n">
        <f aca="false">G4013-G4006</f>
        <v>1152.52382506</v>
      </c>
      <c r="H4015" s="25" t="n">
        <f aca="false">H4013-H4006</f>
        <v>1064.4233097628</v>
      </c>
      <c r="I4015" s="25" t="n">
        <f aca="false">I4013-I4006</f>
        <v>995.401199727772</v>
      </c>
      <c r="J4015" s="25" t="n">
        <f aca="false">J4013-J4006</f>
        <v>928.712153804119</v>
      </c>
      <c r="K4015" s="25" t="n">
        <f aca="false">K4013-K4006</f>
        <v>870.535758551648</v>
      </c>
    </row>
    <row r="4016" customFormat="false" ht="15" hidden="false" customHeight="false" outlineLevel="0" collapsed="false">
      <c r="A4016" s="3" t="s">
        <v>362</v>
      </c>
      <c r="G4016" s="32" t="n">
        <f aca="false">IF(G3911&gt;0,G4013/G3911,0)</f>
        <v>5.24914381642551</v>
      </c>
      <c r="H4016" s="32" t="n">
        <f aca="false">IF(H3911&gt;0,H4013/H3911,0)</f>
        <v>6.020523373678</v>
      </c>
      <c r="I4016" s="32" t="n">
        <f aca="false">IF(I3911&gt;0,I4013/I3911,0)</f>
        <v>5.02053080852807</v>
      </c>
      <c r="J4016" s="32" t="n">
        <f aca="false">IF(J3911&gt;0,J4013/J3911,0)</f>
        <v>5.47351103185391</v>
      </c>
      <c r="K4016" s="32" t="n">
        <f aca="false">IF(K3911&gt;0,K4013/K3911,0)</f>
        <v>5.76159055984622</v>
      </c>
    </row>
    <row r="4017" customFormat="false" ht="15" hidden="false" customHeight="false" outlineLevel="0" collapsed="false">
      <c r="A4017" s="3" t="s">
        <v>363</v>
      </c>
      <c r="G4017" s="32" t="n">
        <f aca="false">IF(G3911&gt;0,G4015/G3911,0)</f>
        <v>3.4857822399054</v>
      </c>
      <c r="H4017" s="32" t="n">
        <f aca="false">IF(H3911&gt;0,H4015/H3911,0)</f>
        <v>3.6924148807324</v>
      </c>
      <c r="I4017" s="32" t="n">
        <f aca="false">IF(I3911&gt;0,I4015/I3911,0)</f>
        <v>3.8000532204285</v>
      </c>
      <c r="J4017" s="32" t="n">
        <f aca="false">IF(J3911&gt;0,J4015/J3911,0)</f>
        <v>3.8653516462375</v>
      </c>
      <c r="K4017" s="32" t="n">
        <f aca="false">IF(K3911&gt;0,K4015/K3911,0)</f>
        <v>3.81391395050387</v>
      </c>
    </row>
    <row r="4018" customFormat="false" ht="15" hidden="false" customHeight="false" outlineLevel="0" collapsed="false">
      <c r="A4018" s="3" t="s">
        <v>364</v>
      </c>
      <c r="G4018" s="32" t="n">
        <f aca="false">IF(G3915&gt;0,G3911/G3915,0)</f>
        <v>2.12007524494137</v>
      </c>
      <c r="H4018" s="32" t="n">
        <f aca="false">IF(H3915&gt;0,H3911/H3915,0)</f>
        <v>1.84844060418325</v>
      </c>
      <c r="I4018" s="32" t="n">
        <f aca="false">IF(I3915&gt;0,I3911/I3915,0)</f>
        <v>1.67961636233452</v>
      </c>
      <c r="J4018" s="32" t="n">
        <f aca="false">IF(J3915&gt;0,J3911/J3915,0)</f>
        <v>1.73998179018628</v>
      </c>
      <c r="K4018" s="32" t="n">
        <f aca="false">IF(K3915&gt;0,K3911/K3915,0)</f>
        <v>1.65298270067697</v>
      </c>
    </row>
    <row r="4019" customFormat="false" ht="15" hidden="false" customHeight="false" outlineLevel="0" collapsed="false">
      <c r="A4019" s="3" t="s">
        <v>365</v>
      </c>
      <c r="G4019" s="32" t="n">
        <f aca="false">IF(G3915&gt;0,G3914/G3915,0)</f>
        <v>1.47322164318645</v>
      </c>
      <c r="H4019" s="32" t="n">
        <f aca="false">IF(H3915&gt;0,H3914/H3915,0)</f>
        <v>1.24686675455118</v>
      </c>
      <c r="I4019" s="32" t="n">
        <f aca="false">IF(I3915&gt;0,I3914/I3915,0)</f>
        <v>1.11413694368037</v>
      </c>
      <c r="J4019" s="32" t="n">
        <f aca="false">IF(J3915&gt;0,J3914/J3915,0)</f>
        <v>1.13325750897139</v>
      </c>
      <c r="K4019" s="32" t="n">
        <f aca="false">IF(K3915&gt;0,K3914/K3915,0)</f>
        <v>1.07659463352282</v>
      </c>
    </row>
    <row r="4020" customFormat="false" ht="15" hidden="false" customHeight="false" outlineLevel="0" collapsed="false">
      <c r="A4020" s="3" t="s">
        <v>198</v>
      </c>
      <c r="G4020" s="21" t="n">
        <f aca="false">IF(G4013&gt;0,G3924/G4013,0)</f>
        <v>0.0685856936401863</v>
      </c>
      <c r="H4020" s="21" t="n">
        <f aca="false">IF(H4013&gt;0,H3924/H4013,0)</f>
        <v>0.050762186193688</v>
      </c>
      <c r="I4020" s="21" t="n">
        <f aca="false">IF(I4013&gt;0,I3924/I4013,0)</f>
        <v>0.0524843852207425</v>
      </c>
      <c r="J4020" s="21" t="n">
        <f aca="false">IF(J4013&gt;0,J3924/J4013,0)</f>
        <v>0.0507103241915459</v>
      </c>
      <c r="K4020" s="21" t="n">
        <f aca="false">IF(K4013&gt;0,K3924/K4013,0)</f>
        <v>0.0442373079819686</v>
      </c>
    </row>
    <row r="4021" customFormat="false" ht="15" hidden="false" customHeight="false" outlineLevel="0" collapsed="false">
      <c r="A4021" s="3" t="s">
        <v>366</v>
      </c>
      <c r="G4021" s="32" t="n">
        <f aca="false">IF(G3915+G3997&gt;0,(G3911-G3922-G3919)/(G3915+G3997),0)</f>
        <v>1.82951372049327</v>
      </c>
      <c r="H4021" s="32" t="n">
        <f aca="false">IF(H3915+H3997&gt;0,(H3911-H3922-H3919)/(H3915+H3997),0)</f>
        <v>1.62652572984958</v>
      </c>
      <c r="I4021" s="32" t="n">
        <f aca="false">IF(I3915+I3997&gt;0,(I3911-I3922-I3919)/(I3915+I3997),0)</f>
        <v>1.5004958318603</v>
      </c>
      <c r="J4021" s="32" t="n">
        <f aca="false">IF(J3915+J3997&gt;0,(J3911-J3922-J3919)/(J3915+J3997),0)</f>
        <v>1.54509767528328</v>
      </c>
      <c r="K4021" s="32" t="n">
        <f aca="false">IF(K3915+K3997&gt;0,(K3911-K3922-K3919)/(K3915+K3997),0)</f>
        <v>1.48034279151912</v>
      </c>
    </row>
    <row r="4022" customFormat="false" ht="15" hidden="false" customHeight="false" outlineLevel="0" collapsed="false">
      <c r="A4022" s="3" t="s">
        <v>367</v>
      </c>
      <c r="G4022" s="25" t="n">
        <f aca="false">MAX(0,G4006)+Assumptions!$P$56*MAX(0,Assumptions!$D$56-G3948)+Assumptions!$P$57*MAX(0,Assumptions!$D$57-G3961)+Assumptions!$P$58*MAX(0,Assumptions!$D$58-G3974)</f>
        <v>583.03017494</v>
      </c>
      <c r="H4022" s="25" t="n">
        <f aca="false">MAX(0,H4006)+Assumptions!$P$56*MAX(0,Assumptions!$D$56-H3948)+Assumptions!$P$57*MAX(0,Assumptions!$D$57-H3961)+Assumptions!$P$58*MAX(0,Assumptions!$D$58-H3974)</f>
        <v>671.1306902372</v>
      </c>
      <c r="I4022" s="25" t="n">
        <f aca="false">MAX(0,I4006)+Assumptions!$P$56*MAX(0,Assumptions!$D$56-I3948)+Assumptions!$P$57*MAX(0,Assumptions!$D$57-I3961)+Assumptions!$P$58*MAX(0,Assumptions!$D$58-I3974)</f>
        <v>319.696800272228</v>
      </c>
      <c r="J4022" s="25" t="n">
        <f aca="false">MAX(0,J4006)+Assumptions!$P$56*MAX(0,Assumptions!$D$56-J3948)+Assumptions!$P$57*MAX(0,Assumptions!$D$57-J3961)+Assumptions!$P$58*MAX(0,Assumptions!$D$58-J3974)</f>
        <v>386.385846195881</v>
      </c>
      <c r="K4022" s="25" t="n">
        <f aca="false">MAX(0,K4006)+Assumptions!$P$56*MAX(0,Assumptions!$D$56-K3948)+Assumptions!$P$57*MAX(0,Assumptions!$D$57-K3961)+Assumptions!$P$58*MAX(0,Assumptions!$D$58-K3974)</f>
        <v>444.562241448352</v>
      </c>
    </row>
    <row r="4023" customFormat="false" ht="15" hidden="false" customHeight="false" outlineLevel="0" collapsed="false">
      <c r="A4023" s="3" t="s">
        <v>368</v>
      </c>
      <c r="G4023" s="21" t="n">
        <f aca="false">IF(G4013&gt;0,G4013/(G4013+MAX(0,G3911*CHOOSE($C$3894,Assumptions!$C$82,Assumptions!$C$101,Assumptions!$C$120)-G4015)),0)</f>
        <v>0.776114622445826</v>
      </c>
      <c r="H4023" s="21" t="n">
        <f aca="false">IF(H4013&gt;0,H4013/(H4013+MAX(0,H3911*CHOOSE($C$3894,Assumptions!$C$82,Assumptions!$C$101,Assumptions!$C$120)-H4015)),0)</f>
        <v>0.821565807803426</v>
      </c>
      <c r="I4023" s="21" t="n">
        <f aca="false">IF(I4013&gt;0,I4013/(I4013+MAX(0,I3911*CHOOSE($C$3894,Assumptions!$C$82,Assumptions!$C$101,Assumptions!$C$120)-I4015)),0)</f>
        <v>0.807097322902163</v>
      </c>
      <c r="J4023" s="21" t="n">
        <f aca="false">IF(J4013&gt;0,J4013/(J4013+MAX(0,J3911*CHOOSE($C$3894,Assumptions!$C$82,Assumptions!$C$101,Assumptions!$C$120)-J4015)),0)</f>
        <v>0.828295855540013</v>
      </c>
      <c r="K4023" s="21" t="n">
        <f aca="false">IF(K4013&gt;0,K4013/(K4013+MAX(0,K3911*CHOOSE($C$3894,Assumptions!$C$82,Assumptions!$C$101,Assumptions!$C$120)-K4015)),0)</f>
        <v>0.829283065953123</v>
      </c>
    </row>
    <row r="4024" customFormat="false" ht="15" hidden="false" customHeight="false" outlineLevel="0" collapsed="false">
      <c r="A4024" s="3" t="s">
        <v>369</v>
      </c>
      <c r="G4024" s="21" t="n">
        <f aca="false">IF(G4013&gt;0,MAX(0,G4006)/G4013,0)</f>
        <v>0.335933180379291</v>
      </c>
      <c r="H4024" s="21" t="n">
        <f aca="false">IF(H4013&gt;0,MAX(0,H4006)/H4013,0)</f>
        <v>0.386695366572979</v>
      </c>
      <c r="I4024" s="21" t="n">
        <f aca="false">IF(I4013&gt;0,MAX(0,I4006)/I4013,0)</f>
        <v>0.243097320710873</v>
      </c>
      <c r="J4024" s="21" t="n">
        <f aca="false">IF(J4013&gt;0,MAX(0,J4006)/J4013,0)</f>
        <v>0.293807644902419</v>
      </c>
      <c r="K4024" s="21" t="n">
        <f aca="false">IF(K4013&gt;0,MAX(0,K4006)/K4013,0)</f>
        <v>0.338044952884388</v>
      </c>
    </row>
    <row r="4025" customFormat="false" ht="15" hidden="false" customHeight="false" outlineLevel="0" collapsed="false">
      <c r="A4025" s="3" t="s">
        <v>370</v>
      </c>
      <c r="G4025" s="25" t="n">
        <f aca="false">Assumptions!$C$30*(1-CHOOSE($C$3894,Assumptions!$C$85,Assumptions!$C$104,Assumptions!$C$123))</f>
        <v>2086.72535</v>
      </c>
      <c r="H4025" s="25" t="n">
        <f aca="false">Assumptions!$C$30*(1-CHOOSE($C$3894,Assumptions!$C$85,Assumptions!$C$104,Assumptions!$C$123))</f>
        <v>2086.72535</v>
      </c>
      <c r="I4025" s="25" t="n">
        <f aca="false">Assumptions!$C$30*(1-CHOOSE($C$3894,Assumptions!$C$85,Assumptions!$C$104,Assumptions!$C$123))</f>
        <v>2086.72535</v>
      </c>
      <c r="J4025" s="25" t="n">
        <f aca="false">Assumptions!$C$30*(1-CHOOSE($C$3894,Assumptions!$C$85,Assumptions!$C$104,Assumptions!$C$123))</f>
        <v>2086.72535</v>
      </c>
      <c r="K4025" s="25" t="n">
        <f aca="false">Assumptions!$C$30*(1-CHOOSE($C$3894,Assumptions!$C$85,Assumptions!$C$104,Assumptions!$C$123))</f>
        <v>2086.72535</v>
      </c>
    </row>
    <row r="4026" customFormat="false" ht="15" hidden="false" customHeight="false" outlineLevel="0" collapsed="false">
      <c r="A4026" s="23" t="s">
        <v>371</v>
      </c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</row>
    <row r="4027" customFormat="false" ht="15" hidden="false" customHeight="false" outlineLevel="0" collapsed="false">
      <c r="A4027" s="23" t="s">
        <v>372</v>
      </c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</row>
    <row r="4028" customFormat="false" ht="15" hidden="false" customHeight="false" outlineLevel="0" collapsed="false">
      <c r="A4028" s="3" t="s">
        <v>373</v>
      </c>
      <c r="G4028" s="32" t="n">
        <f aca="false">IF(G3911&gt;0,G4015/G3911,99)</f>
        <v>3.4857822399054</v>
      </c>
      <c r="H4028" s="32" t="n">
        <f aca="false">IF(H3911&gt;0,H4015/H3911,99)</f>
        <v>3.6924148807324</v>
      </c>
      <c r="I4028" s="32" t="n">
        <f aca="false">IF(I3911&gt;0,I4015/I3911,99)</f>
        <v>3.8000532204285</v>
      </c>
      <c r="J4028" s="32" t="n">
        <f aca="false">IF(J3911&gt;0,J4015/J3911,99)</f>
        <v>3.8653516462375</v>
      </c>
      <c r="K4028" s="32" t="n">
        <f aca="false">IF(K3911&gt;0,K4015/K3911,99)</f>
        <v>3.81391395050387</v>
      </c>
    </row>
    <row r="4029" customFormat="false" ht="15" hidden="false" customHeight="false" outlineLevel="0" collapsed="false">
      <c r="A4029" s="3" t="s">
        <v>374</v>
      </c>
      <c r="G4029" s="33" t="n">
        <f aca="false">Assumptions!$G$65</f>
        <v>5.25</v>
      </c>
      <c r="H4029" s="33" t="n">
        <f aca="false">Assumptions!$H$65</f>
        <v>5.25</v>
      </c>
      <c r="I4029" s="33" t="n">
        <f aca="false">Assumptions!$I$65</f>
        <v>5</v>
      </c>
      <c r="J4029" s="33" t="n">
        <f aca="false">Assumptions!$J$65</f>
        <v>5</v>
      </c>
      <c r="K4029" s="33" t="n">
        <f aca="false">Assumptions!$K$65</f>
        <v>5</v>
      </c>
    </row>
    <row r="4030" customFormat="false" ht="15" hidden="false" customHeight="false" outlineLevel="0" collapsed="false">
      <c r="A4030" s="3" t="s">
        <v>375</v>
      </c>
      <c r="G4030" s="32" t="n">
        <f aca="false">G4029-G4028</f>
        <v>1.7642177600946</v>
      </c>
      <c r="H4030" s="32" t="n">
        <f aca="false">H4029-H4028</f>
        <v>1.5575851192676</v>
      </c>
      <c r="I4030" s="32" t="n">
        <f aca="false">I4029-I4028</f>
        <v>1.1999467795715</v>
      </c>
      <c r="J4030" s="32" t="n">
        <f aca="false">J4029-J4028</f>
        <v>1.1346483537625</v>
      </c>
      <c r="K4030" s="32" t="n">
        <f aca="false">K4029-K4028</f>
        <v>1.18608604949613</v>
      </c>
    </row>
    <row r="4031" customFormat="false" ht="15" hidden="false" customHeight="false" outlineLevel="0" collapsed="false">
      <c r="A4031" s="3" t="s">
        <v>376</v>
      </c>
      <c r="G4031" s="21" t="n">
        <f aca="false">IF(G4029=0,0,G4030/ABS(G4029))</f>
        <v>0.336041478113258</v>
      </c>
      <c r="H4031" s="21" t="n">
        <f aca="false">IF(H4029=0,0,H4030/ABS(H4029))</f>
        <v>0.296682879860495</v>
      </c>
      <c r="I4031" s="21" t="n">
        <f aca="false">IF(I4029=0,0,I4030/ABS(I4029))</f>
        <v>0.2399893559143</v>
      </c>
      <c r="J4031" s="21" t="n">
        <f aca="false">IF(J4029=0,0,J4030/ABS(J4029))</f>
        <v>0.2269296707525</v>
      </c>
      <c r="K4031" s="21" t="n">
        <f aca="false">IF(K4029=0,0,K4030/ABS(K4029))</f>
        <v>0.237217209899226</v>
      </c>
    </row>
    <row r="4032" customFormat="false" ht="15" hidden="false" customHeight="false" outlineLevel="0" collapsed="false">
      <c r="A4032" s="3" t="s">
        <v>377</v>
      </c>
      <c r="G4032" s="20" t="n">
        <f aca="false">IF(G4030&lt;0,1,0)</f>
        <v>0</v>
      </c>
      <c r="H4032" s="20" t="n">
        <f aca="false">IF(H4030&lt;0,1,0)</f>
        <v>0</v>
      </c>
      <c r="I4032" s="20" t="n">
        <f aca="false">IF(I4030&lt;0,1,0)</f>
        <v>0</v>
      </c>
      <c r="J4032" s="20" t="n">
        <f aca="false">IF(J4030&lt;0,1,0)</f>
        <v>0</v>
      </c>
      <c r="K4032" s="20" t="n">
        <f aca="false">IF(K4030&lt;0,1,0)</f>
        <v>0</v>
      </c>
    </row>
    <row r="4033" customFormat="false" ht="15" hidden="false" customHeight="false" outlineLevel="0" collapsed="false">
      <c r="A4033" s="3" t="s">
        <v>378</v>
      </c>
      <c r="C4033" s="20" t="n">
        <f aca="false">IFERROR(INDEX($G$3901:$K$3901,MATCH(1,$G$4032:$K$4032,0)),0)</f>
        <v>0</v>
      </c>
    </row>
    <row r="4034" customFormat="false" ht="15" hidden="false" customHeight="false" outlineLevel="0" collapsed="false">
      <c r="A4034" s="3" t="s">
        <v>379</v>
      </c>
      <c r="C4034" s="21" t="n">
        <f aca="false">MIN($G$4031:$K$4031)</f>
        <v>0.2269296707525</v>
      </c>
    </row>
    <row r="4035" customFormat="false" ht="15" hidden="false" customHeight="false" outlineLevel="0" collapsed="false">
      <c r="A4035" s="23" t="s">
        <v>380</v>
      </c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</row>
    <row r="4036" customFormat="false" ht="15" hidden="false" customHeight="false" outlineLevel="0" collapsed="false">
      <c r="A4036" s="3" t="s">
        <v>373</v>
      </c>
      <c r="G4036" s="32" t="n">
        <f aca="false">IF(G3915&gt;0,G3911/G3915,99)</f>
        <v>2.12007524494137</v>
      </c>
      <c r="H4036" s="32" t="n">
        <f aca="false">IF(H3915&gt;0,H3911/H3915,99)</f>
        <v>1.84844060418325</v>
      </c>
      <c r="I4036" s="32" t="n">
        <f aca="false">IF(I3915&gt;0,I3911/I3915,99)</f>
        <v>1.67961636233452</v>
      </c>
      <c r="J4036" s="32" t="n">
        <f aca="false">IF(J3915&gt;0,J3911/J3915,99)</f>
        <v>1.73998179018628</v>
      </c>
      <c r="K4036" s="32" t="n">
        <f aca="false">IF(K3915&gt;0,K3911/K3915,99)</f>
        <v>1.65298270067697</v>
      </c>
    </row>
    <row r="4037" customFormat="false" ht="15" hidden="false" customHeight="false" outlineLevel="0" collapsed="false">
      <c r="A4037" s="3" t="s">
        <v>374</v>
      </c>
      <c r="G4037" s="33" t="n">
        <f aca="false">Assumptions!$G$66</f>
        <v>1.4</v>
      </c>
      <c r="H4037" s="33" t="n">
        <f aca="false">Assumptions!$H$66</f>
        <v>1.4</v>
      </c>
      <c r="I4037" s="33" t="n">
        <f aca="false">Assumptions!$I$66</f>
        <v>1.4</v>
      </c>
      <c r="J4037" s="33" t="n">
        <f aca="false">Assumptions!$J$66</f>
        <v>1.5</v>
      </c>
      <c r="K4037" s="33" t="n">
        <f aca="false">Assumptions!$K$66</f>
        <v>1.5</v>
      </c>
    </row>
    <row r="4038" customFormat="false" ht="15" hidden="false" customHeight="false" outlineLevel="0" collapsed="false">
      <c r="A4038" s="3" t="s">
        <v>375</v>
      </c>
      <c r="G4038" s="32" t="n">
        <f aca="false">G4036-G4037</f>
        <v>0.720075244941367</v>
      </c>
      <c r="H4038" s="32" t="n">
        <f aca="false">H4036-H4037</f>
        <v>0.448440604183254</v>
      </c>
      <c r="I4038" s="32" t="n">
        <f aca="false">I4036-I4037</f>
        <v>0.279616362334517</v>
      </c>
      <c r="J4038" s="32" t="n">
        <f aca="false">J4036-J4037</f>
        <v>0.239981790186282</v>
      </c>
      <c r="K4038" s="32" t="n">
        <f aca="false">K4036-K4037</f>
        <v>0.152982700676968</v>
      </c>
    </row>
    <row r="4039" customFormat="false" ht="15" hidden="false" customHeight="false" outlineLevel="0" collapsed="false">
      <c r="A4039" s="3" t="s">
        <v>376</v>
      </c>
      <c r="G4039" s="21" t="n">
        <f aca="false">IF(G4037=0,0,G4038/ABS(G4037))</f>
        <v>0.514339460672405</v>
      </c>
      <c r="H4039" s="21" t="n">
        <f aca="false">IF(H4037=0,0,H4038/ABS(H4037))</f>
        <v>0.320314717273753</v>
      </c>
      <c r="I4039" s="21" t="n">
        <f aca="false">IF(I4037=0,0,I4038/ABS(I4037))</f>
        <v>0.199725973096083</v>
      </c>
      <c r="J4039" s="21" t="n">
        <f aca="false">IF(J4037=0,0,J4038/ABS(J4037))</f>
        <v>0.159987860124188</v>
      </c>
      <c r="K4039" s="21" t="n">
        <f aca="false">IF(K4037=0,0,K4038/ABS(K4037))</f>
        <v>0.101988467117979</v>
      </c>
    </row>
    <row r="4040" customFormat="false" ht="15" hidden="false" customHeight="false" outlineLevel="0" collapsed="false">
      <c r="A4040" s="3" t="s">
        <v>377</v>
      </c>
      <c r="G4040" s="20" t="n">
        <f aca="false">IF(G4038&lt;0,1,0)</f>
        <v>0</v>
      </c>
      <c r="H4040" s="20" t="n">
        <f aca="false">IF(H4038&lt;0,1,0)</f>
        <v>0</v>
      </c>
      <c r="I4040" s="20" t="n">
        <f aca="false">IF(I4038&lt;0,1,0)</f>
        <v>0</v>
      </c>
      <c r="J4040" s="20" t="n">
        <f aca="false">IF(J4038&lt;0,1,0)</f>
        <v>0</v>
      </c>
      <c r="K4040" s="20" t="n">
        <f aca="false">IF(K4038&lt;0,1,0)</f>
        <v>0</v>
      </c>
    </row>
    <row r="4041" customFormat="false" ht="15" hidden="false" customHeight="false" outlineLevel="0" collapsed="false">
      <c r="A4041" s="3" t="s">
        <v>378</v>
      </c>
      <c r="C4041" s="20" t="n">
        <f aca="false">IFERROR(INDEX($G$3901:$K$3901,MATCH(1,$G$4040:$K$4040,0)),0)</f>
        <v>0</v>
      </c>
    </row>
    <row r="4042" customFormat="false" ht="15" hidden="false" customHeight="false" outlineLevel="0" collapsed="false">
      <c r="A4042" s="3" t="s">
        <v>379</v>
      </c>
      <c r="C4042" s="21" t="n">
        <f aca="false">MIN($G$4039:$K$4039)</f>
        <v>0.101988467117979</v>
      </c>
    </row>
    <row r="4043" customFormat="false" ht="15" hidden="false" customHeight="false" outlineLevel="0" collapsed="false">
      <c r="A4043" s="23" t="s">
        <v>381</v>
      </c>
      <c r="B4043" s="24"/>
      <c r="C4043" s="24"/>
      <c r="D4043" s="24"/>
      <c r="E4043" s="24"/>
      <c r="F4043" s="24"/>
      <c r="G4043" s="24"/>
      <c r="H4043" s="24"/>
      <c r="I4043" s="24"/>
      <c r="J4043" s="24"/>
      <c r="K4043" s="24"/>
    </row>
    <row r="4044" customFormat="false" ht="15" hidden="false" customHeight="false" outlineLevel="0" collapsed="false">
      <c r="A4044" s="3" t="s">
        <v>373</v>
      </c>
      <c r="G4044" s="25" t="n">
        <f aca="false">G4022</f>
        <v>583.03017494</v>
      </c>
      <c r="H4044" s="25" t="n">
        <f aca="false">H4022</f>
        <v>671.1306902372</v>
      </c>
      <c r="I4044" s="25" t="n">
        <f aca="false">I4022</f>
        <v>319.696800272228</v>
      </c>
      <c r="J4044" s="25" t="n">
        <f aca="false">J4022</f>
        <v>386.385846195881</v>
      </c>
      <c r="K4044" s="25" t="n">
        <f aca="false">K4022</f>
        <v>444.562241448352</v>
      </c>
    </row>
    <row r="4045" customFormat="false" ht="15" hidden="false" customHeight="false" outlineLevel="0" collapsed="false">
      <c r="A4045" s="3" t="s">
        <v>374</v>
      </c>
      <c r="G4045" s="29" t="n">
        <f aca="false">Assumptions!$G$67</f>
        <v>200</v>
      </c>
      <c r="H4045" s="29" t="n">
        <f aca="false">Assumptions!$H$67</f>
        <v>200</v>
      </c>
      <c r="I4045" s="29" t="n">
        <f aca="false">Assumptions!$I$67</f>
        <v>200</v>
      </c>
      <c r="J4045" s="29" t="n">
        <f aca="false">Assumptions!$J$67</f>
        <v>200</v>
      </c>
      <c r="K4045" s="29" t="n">
        <f aca="false">Assumptions!$K$67</f>
        <v>200</v>
      </c>
    </row>
    <row r="4046" customFormat="false" ht="15" hidden="false" customHeight="false" outlineLevel="0" collapsed="false">
      <c r="A4046" s="3" t="s">
        <v>375</v>
      </c>
      <c r="G4046" s="25" t="n">
        <f aca="false">G4044-G4045</f>
        <v>383.03017494</v>
      </c>
      <c r="H4046" s="25" t="n">
        <f aca="false">H4044-H4045</f>
        <v>471.1306902372</v>
      </c>
      <c r="I4046" s="25" t="n">
        <f aca="false">I4044-I4045</f>
        <v>119.696800272228</v>
      </c>
      <c r="J4046" s="25" t="n">
        <f aca="false">J4044-J4045</f>
        <v>186.385846195881</v>
      </c>
      <c r="K4046" s="25" t="n">
        <f aca="false">K4044-K4045</f>
        <v>244.562241448352</v>
      </c>
    </row>
    <row r="4047" customFormat="false" ht="15" hidden="false" customHeight="false" outlineLevel="0" collapsed="false">
      <c r="A4047" s="3" t="s">
        <v>376</v>
      </c>
      <c r="G4047" s="21" t="n">
        <f aca="false">IF(G4045=0,0,G4046/ABS(G4045))</f>
        <v>1.9151508747</v>
      </c>
      <c r="H4047" s="21" t="n">
        <f aca="false">IF(H4045=0,0,H4046/ABS(H4045))</f>
        <v>2.355653451186</v>
      </c>
      <c r="I4047" s="21" t="n">
        <f aca="false">IF(I4045=0,0,I4046/ABS(I4045))</f>
        <v>0.598484001361139</v>
      </c>
      <c r="J4047" s="21" t="n">
        <f aca="false">IF(J4045=0,0,J4046/ABS(J4045))</f>
        <v>0.931929230979407</v>
      </c>
      <c r="K4047" s="21" t="n">
        <f aca="false">IF(K4045=0,0,K4046/ABS(K4045))</f>
        <v>1.22281120724176</v>
      </c>
    </row>
    <row r="4048" customFormat="false" ht="15" hidden="false" customHeight="false" outlineLevel="0" collapsed="false">
      <c r="A4048" s="3" t="s">
        <v>377</v>
      </c>
      <c r="G4048" s="20" t="n">
        <f aca="false">IF(G4046&lt;0,1,0)</f>
        <v>0</v>
      </c>
      <c r="H4048" s="20" t="n">
        <f aca="false">IF(H4046&lt;0,1,0)</f>
        <v>0</v>
      </c>
      <c r="I4048" s="20" t="n">
        <f aca="false">IF(I4046&lt;0,1,0)</f>
        <v>0</v>
      </c>
      <c r="J4048" s="20" t="n">
        <f aca="false">IF(J4046&lt;0,1,0)</f>
        <v>0</v>
      </c>
      <c r="K4048" s="20" t="n">
        <f aca="false">IF(K4046&lt;0,1,0)</f>
        <v>0</v>
      </c>
    </row>
    <row r="4049" customFormat="false" ht="15" hidden="false" customHeight="false" outlineLevel="0" collapsed="false">
      <c r="A4049" s="3" t="s">
        <v>378</v>
      </c>
      <c r="C4049" s="20" t="n">
        <f aca="false">IFERROR(INDEX($G$3901:$K$3901,MATCH(1,$G$4048:$K$4048,0)),0)</f>
        <v>0</v>
      </c>
    </row>
    <row r="4050" customFormat="false" ht="15" hidden="false" customHeight="false" outlineLevel="0" collapsed="false">
      <c r="A4050" s="3" t="s">
        <v>379</v>
      </c>
      <c r="C4050" s="21" t="n">
        <f aca="false">MIN($G$4047:$K$4047)</f>
        <v>0.598484001361139</v>
      </c>
    </row>
    <row r="4051" customFormat="false" ht="15" hidden="false" customHeight="false" outlineLevel="0" collapsed="false">
      <c r="A4051" s="3" t="s">
        <v>382</v>
      </c>
      <c r="G4051" s="20" t="n">
        <f aca="false">G4032+G4040+G4048</f>
        <v>0</v>
      </c>
      <c r="H4051" s="20" t="n">
        <f aca="false">H4032+H4040+H4048</f>
        <v>0</v>
      </c>
      <c r="I4051" s="20" t="n">
        <f aca="false">I4032+I4040+I4048</f>
        <v>0</v>
      </c>
      <c r="J4051" s="20" t="n">
        <f aca="false">J4032+J4040+J4048</f>
        <v>0</v>
      </c>
      <c r="K4051" s="20" t="n">
        <f aca="false">K4032+K4040+K4048</f>
        <v>0</v>
      </c>
    </row>
    <row r="4052" customFormat="false" ht="15" hidden="false" customHeight="false" outlineLevel="0" collapsed="false">
      <c r="A4052" s="3" t="s">
        <v>383</v>
      </c>
      <c r="C4052" s="20" t="n">
        <f aca="false">SUM($G$4051:$K$4051)</f>
        <v>0</v>
      </c>
    </row>
    <row r="4053" customFormat="false" ht="15" hidden="false" customHeight="false" outlineLevel="0" collapsed="false">
      <c r="A4053" s="3" t="s">
        <v>384</v>
      </c>
      <c r="C4053" s="21" t="n">
        <f aca="false">MIN(C4034,C4042,C4050)</f>
        <v>0.101988467117979</v>
      </c>
    </row>
    <row r="4055" customFormat="false" ht="15" hidden="false" customHeight="false" outlineLevel="0" collapsed="false">
      <c r="A4055" s="23" t="s">
        <v>486</v>
      </c>
      <c r="B4055" s="24"/>
      <c r="C4055" s="24"/>
      <c r="D4055" s="24"/>
      <c r="E4055" s="24"/>
      <c r="F4055" s="24"/>
      <c r="G4055" s="24"/>
      <c r="H4055" s="24"/>
      <c r="I4055" s="24"/>
      <c r="J4055" s="24"/>
      <c r="K4055" s="24"/>
    </row>
    <row r="4056" customFormat="false" ht="15" hidden="false" customHeight="false" outlineLevel="0" collapsed="false">
      <c r="A4056" s="3" t="s">
        <v>487</v>
      </c>
      <c r="G4056" s="20" t="n">
        <f aca="false">IF($C$4057=1,G4009,IF(G3911=MIN($G$3911:$K$3911),1,0))</f>
        <v>0</v>
      </c>
      <c r="H4056" s="20" t="n">
        <f aca="false">IF($C$4057=1,H4009,IF(AND(H3911=MIN($G$3911:$K$3911),SUM($G$4056:G4056)=0),1,0))</f>
        <v>0</v>
      </c>
      <c r="I4056" s="20" t="n">
        <f aca="false">IF($C$4057=1,I4009,IF(AND(I3911=MIN($G$3911:$K$3911),SUM($G$4056:H4056)=0),1,0))</f>
        <v>0</v>
      </c>
      <c r="J4056" s="20" t="n">
        <f aca="false">IF($C$4057=1,J4009,IF(AND(J3911=MIN($G$3911:$K$3911),SUM($G$4056:I4056)=0),1,0))</f>
        <v>0</v>
      </c>
      <c r="K4056" s="20" t="n">
        <f aca="false">IF($C$4057=1,K4009,IF(AND(K3911=MIN($G$3911:$K$3911),SUM($G$4056:J4056)=0),1,0))</f>
        <v>1</v>
      </c>
    </row>
    <row r="4057" customFormat="false" ht="15" hidden="false" customHeight="false" outlineLevel="0" collapsed="false">
      <c r="A4057" s="3" t="s">
        <v>488</v>
      </c>
      <c r="C4057" s="20" t="n">
        <f aca="false">IF(SUM($G$4009:$K$4009)&gt;0,1,0)</f>
        <v>0</v>
      </c>
    </row>
    <row r="4058" customFormat="false" ht="15" hidden="false" customHeight="false" outlineLevel="0" collapsed="false">
      <c r="A4058" s="3" t="s">
        <v>489</v>
      </c>
      <c r="C4058" s="20" t="n">
        <f aca="false">SUMPRODUCT($G$4056:$K$4056,$G$3901:$K$3901)</f>
        <v>2031</v>
      </c>
    </row>
    <row r="4059" customFormat="false" ht="15" hidden="false" customHeight="false" outlineLevel="0" collapsed="false">
      <c r="A4059" s="3" t="s">
        <v>490</v>
      </c>
      <c r="C4059" s="25" t="n">
        <f aca="false">SUMPRODUCT($G$4056:$K$4056,$G$3911:$K$3911)</f>
        <v>228.252595587962</v>
      </c>
    </row>
    <row r="4060" customFormat="false" ht="15" hidden="false" customHeight="false" outlineLevel="0" collapsed="false">
      <c r="A4060" s="3" t="s">
        <v>491</v>
      </c>
      <c r="C4060" s="25" t="n">
        <f aca="false">MAX(0,SUMPRODUCT($G$4056:$K$4056,$G$4006:$K$4006))</f>
        <v>444.562241448352</v>
      </c>
    </row>
    <row r="4061" customFormat="false" ht="15" hidden="false" customHeight="false" outlineLevel="0" collapsed="false">
      <c r="A4061" s="3" t="s">
        <v>492</v>
      </c>
      <c r="C4061" s="25" t="n">
        <f aca="false">(CHOOSE($C$3894,Assumptions!$C$84,Assumptions!$C$103,Assumptions!$C$122)+$C$3898)*C4059</f>
        <v>1027.13668014583</v>
      </c>
    </row>
    <row r="4062" customFormat="false" ht="15" hidden="false" customHeight="false" outlineLevel="0" collapsed="false">
      <c r="A4062" s="3" t="s">
        <v>493</v>
      </c>
      <c r="C4062" s="25" t="n">
        <f aca="false">Assumptions!$C$30*(1-CHOOSE($C$3894,Assumptions!$C$85,Assumptions!$C$104,Assumptions!$C$123))*CHOOSE($C$3894,Assumptions!$C$86,Assumptions!$C$105,Assumptions!$C$124)</f>
        <v>626.017605</v>
      </c>
    </row>
    <row r="4063" customFormat="false" ht="15" hidden="false" customHeight="false" outlineLevel="0" collapsed="false">
      <c r="A4063" s="3" t="s">
        <v>494</v>
      </c>
      <c r="C4063" s="25" t="n">
        <f aca="false">MAX(C4061,C4062)+C4060</f>
        <v>1471.69892159418</v>
      </c>
    </row>
    <row r="4064" customFormat="false" ht="15" hidden="false" customHeight="false" outlineLevel="0" collapsed="false">
      <c r="A4064" s="2" t="s">
        <v>495</v>
      </c>
      <c r="C4064" s="16" t="n">
        <f aca="false">IF(ISNUMBER(Assumptions!$C$14),Assumptions!$C$14,C4063)</f>
        <v>1471.69892159418</v>
      </c>
    </row>
    <row r="4065" customFormat="false" ht="15" hidden="false" customHeight="false" outlineLevel="0" collapsed="false">
      <c r="A4065" s="3" t="s">
        <v>496</v>
      </c>
      <c r="C4065" s="25" t="n">
        <f aca="false">C4064*Assumptions!$C$15</f>
        <v>58.8679568637673</v>
      </c>
    </row>
    <row r="4066" customFormat="false" ht="15" hidden="false" customHeight="false" outlineLevel="0" collapsed="false">
      <c r="A4066" s="2" t="s">
        <v>497</v>
      </c>
      <c r="C4066" s="16" t="n">
        <f aca="false">C4064-C4065</f>
        <v>1412.83096473042</v>
      </c>
    </row>
    <row r="4067" customFormat="false" ht="15" hidden="false" customHeight="false" outlineLevel="0" collapsed="false">
      <c r="A4067" s="23" t="s">
        <v>498</v>
      </c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</row>
    <row r="4068" customFormat="false" ht="15" hidden="false" customHeight="false" outlineLevel="0" collapsed="false">
      <c r="A4068" s="3" t="s">
        <v>499</v>
      </c>
      <c r="C4068" s="25" t="n">
        <f aca="false">SUMPRODUCT($G$4056:$K$4056,$G$3948:$K$3948)*(1+SUMPRODUCT($G$4056:$K$4056,$G$3940:$K$3940)*Assumptions!$C$16/12)</f>
        <v>1349.6193225</v>
      </c>
    </row>
    <row r="4069" customFormat="false" ht="15" hidden="false" customHeight="false" outlineLevel="0" collapsed="false">
      <c r="A4069" s="3" t="s">
        <v>500</v>
      </c>
      <c r="C4069" s="25" t="n">
        <f aca="false">SUMPRODUCT($G$4056:$K$4056,$G$3961:$K$3961)*(1+SUMPRODUCT($G$4056:$K$4056,$G$3953:$K$3953)*Assumptions!$C$16/12)</f>
        <v>0</v>
      </c>
    </row>
    <row r="4070" customFormat="false" ht="15" hidden="false" customHeight="false" outlineLevel="0" collapsed="false">
      <c r="A4070" s="3" t="s">
        <v>501</v>
      </c>
      <c r="C4070" s="25" t="n">
        <f aca="false">SUMPRODUCT($G$4056:$K$4056,$G$3974:$K$3974)*(1+SUMPRODUCT($G$4056:$K$4056,$G$3966:$K$3966)*Assumptions!$C$16/12)</f>
        <v>0</v>
      </c>
    </row>
    <row r="4071" customFormat="false" ht="15" hidden="false" customHeight="false" outlineLevel="0" collapsed="false">
      <c r="A4071" s="23" t="s">
        <v>502</v>
      </c>
      <c r="B4071" s="24"/>
      <c r="C4071" s="24"/>
      <c r="D4071" s="24"/>
      <c r="E4071" s="24"/>
      <c r="F4071" s="24"/>
      <c r="G4071" s="24"/>
      <c r="H4071" s="24"/>
      <c r="I4071" s="24"/>
      <c r="J4071" s="24"/>
      <c r="K4071" s="24"/>
    </row>
    <row r="4072" customFormat="false" ht="15" hidden="false" customHeight="false" outlineLevel="0" collapsed="false">
      <c r="A4072" s="3" t="s">
        <v>499</v>
      </c>
      <c r="C4072" s="27" t="n">
        <f aca="false">Assumptions!$M$56</f>
        <v>1</v>
      </c>
    </row>
    <row r="4073" customFormat="false" ht="15" hidden="false" customHeight="false" outlineLevel="0" collapsed="false">
      <c r="A4073" s="3" t="s">
        <v>500</v>
      </c>
      <c r="C4073" s="27" t="n">
        <f aca="false">Assumptions!$M$57</f>
        <v>2</v>
      </c>
    </row>
    <row r="4074" customFormat="false" ht="15" hidden="false" customHeight="false" outlineLevel="0" collapsed="false">
      <c r="A4074" s="3" t="s">
        <v>501</v>
      </c>
      <c r="C4074" s="27" t="n">
        <f aca="false">Assumptions!$M$58</f>
        <v>2</v>
      </c>
    </row>
    <row r="4075" customFormat="false" ht="15" hidden="false" customHeight="false" outlineLevel="0" collapsed="false">
      <c r="A4075" s="23" t="s">
        <v>503</v>
      </c>
      <c r="B4075" s="24"/>
      <c r="C4075" s="24"/>
      <c r="D4075" s="24"/>
      <c r="E4075" s="24"/>
      <c r="F4075" s="24"/>
      <c r="G4075" s="24"/>
      <c r="H4075" s="24"/>
      <c r="I4075" s="24"/>
      <c r="J4075" s="24"/>
      <c r="K4075" s="24"/>
    </row>
    <row r="4076" customFormat="false" ht="15" hidden="false" customHeight="false" outlineLevel="0" collapsed="false">
      <c r="A4076" s="3" t="s">
        <v>499</v>
      </c>
      <c r="C4076" s="35" t="n">
        <f aca="false">Assumptions!$Q$56</f>
        <v>0</v>
      </c>
    </row>
    <row r="4077" customFormat="false" ht="15" hidden="false" customHeight="false" outlineLevel="0" collapsed="false">
      <c r="A4077" s="3" t="s">
        <v>500</v>
      </c>
      <c r="C4077" s="35" t="n">
        <f aca="false">Assumptions!$Q$57</f>
        <v>0</v>
      </c>
    </row>
    <row r="4078" customFormat="false" ht="15" hidden="false" customHeight="false" outlineLevel="0" collapsed="false">
      <c r="A4078" s="3" t="s">
        <v>501</v>
      </c>
      <c r="C4078" s="35" t="n">
        <f aca="false">Assumptions!$Q$58</f>
        <v>0</v>
      </c>
    </row>
    <row r="4079" customFormat="false" ht="15" hidden="false" customHeight="false" outlineLevel="0" collapsed="false">
      <c r="A4079" s="23" t="s">
        <v>504</v>
      </c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</row>
    <row r="4080" customFormat="false" ht="15" hidden="false" customHeight="false" outlineLevel="0" collapsed="false">
      <c r="A4080" s="3" t="s">
        <v>499</v>
      </c>
      <c r="C4080" s="25" t="n">
        <f aca="false">IF(C4076&gt;0,MIN(C4068,C4076*$C$4066),0)</f>
        <v>0</v>
      </c>
    </row>
    <row r="4081" customFormat="false" ht="15" hidden="false" customHeight="false" outlineLevel="0" collapsed="false">
      <c r="A4081" s="3" t="s">
        <v>500</v>
      </c>
      <c r="C4081" s="25" t="n">
        <f aca="false">IF(C4077&gt;0,MIN(C4069,C4077*$C$4066),0)</f>
        <v>0</v>
      </c>
    </row>
    <row r="4082" customFormat="false" ht="15" hidden="false" customHeight="false" outlineLevel="0" collapsed="false">
      <c r="A4082" s="3" t="s">
        <v>501</v>
      </c>
      <c r="C4082" s="25" t="n">
        <f aca="false">IF(C4078&gt;0,MIN(C4070,C4078*$C$4066),0)</f>
        <v>0</v>
      </c>
    </row>
    <row r="4083" customFormat="false" ht="15" hidden="false" customHeight="false" outlineLevel="0" collapsed="false">
      <c r="A4083" s="23" t="s">
        <v>505</v>
      </c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</row>
    <row r="4084" customFormat="false" ht="15" hidden="false" customHeight="false" outlineLevel="0" collapsed="false">
      <c r="A4084" s="3" t="s">
        <v>499</v>
      </c>
      <c r="C4084" s="25" t="n">
        <f aca="false">IF(C4076&gt;0,C4068-C4080,0)</f>
        <v>0</v>
      </c>
      <c r="G4084" s="20" t="n">
        <f aca="false">IF(AND(G3938=1,G3935=1),1,0)</f>
        <v>0</v>
      </c>
      <c r="H4084" s="20" t="n">
        <f aca="false">IF(G4084=1,1,IF(AND(H3938=1,H3935=1),1,0))</f>
        <v>0</v>
      </c>
      <c r="I4084" s="20" t="n">
        <f aca="false">IF(H4084=1,1,IF(AND(I3938=1,I3935=1),1,0))</f>
        <v>0</v>
      </c>
      <c r="J4084" s="20" t="n">
        <f aca="false">IF(I4084=1,1,IF(AND(J3938=1,J3935=1),1,0))</f>
        <v>0</v>
      </c>
      <c r="K4084" s="20" t="n">
        <f aca="false">IF(J4084=1,1,IF(AND(K3938=1,K3935=1),1,0))</f>
        <v>0</v>
      </c>
    </row>
    <row r="4085" customFormat="false" ht="15" hidden="false" customHeight="false" outlineLevel="0" collapsed="false">
      <c r="A4085" s="3" t="s">
        <v>500</v>
      </c>
      <c r="C4085" s="25" t="n">
        <f aca="false">IF(C4077&gt;0,C4069-C4081,0)</f>
        <v>0</v>
      </c>
      <c r="G4085" s="20" t="n">
        <f aca="false">IF(AND(G3951=1,G3935=1),1,0)</f>
        <v>0</v>
      </c>
      <c r="H4085" s="20" t="n">
        <f aca="false">IF(G4085=1,1,IF(AND(H3951=1,H3935=1),1,0))</f>
        <v>0</v>
      </c>
      <c r="I4085" s="20" t="n">
        <f aca="false">IF(H4085=1,1,IF(AND(I3951=1,I3935=1),1,0))</f>
        <v>0</v>
      </c>
      <c r="J4085" s="20" t="n">
        <f aca="false">IF(I4085=1,1,IF(AND(J3951=1,J3935=1),1,0))</f>
        <v>0</v>
      </c>
      <c r="K4085" s="20" t="n">
        <f aca="false">IF(J4085=1,1,IF(AND(K3951=1,K3935=1),1,0))</f>
        <v>0</v>
      </c>
    </row>
    <row r="4086" customFormat="false" ht="15" hidden="false" customHeight="false" outlineLevel="0" collapsed="false">
      <c r="A4086" s="3" t="s">
        <v>501</v>
      </c>
      <c r="C4086" s="25" t="n">
        <f aca="false">IF(C4078&gt;0,C4070-C4082,0)</f>
        <v>0</v>
      </c>
      <c r="G4086" s="20" t="n">
        <f aca="false">IF(AND(G3964=1,G3935=1),1,0)</f>
        <v>0</v>
      </c>
      <c r="H4086" s="20" t="n">
        <f aca="false">IF(G4086=1,1,IF(AND(H3964=1,H3935=1),1,0))</f>
        <v>0</v>
      </c>
      <c r="I4086" s="20" t="n">
        <f aca="false">IF(H4086=1,1,IF(AND(I3964=1,I3935=1),1,0))</f>
        <v>0</v>
      </c>
      <c r="J4086" s="20" t="n">
        <f aca="false">IF(I4086=1,1,IF(AND(J3964=1,J3935=1),1,0))</f>
        <v>0</v>
      </c>
      <c r="K4086" s="20" t="n">
        <f aca="false">IF(J4086=1,1,IF(AND(K3964=1,K3935=1),1,0))</f>
        <v>0</v>
      </c>
    </row>
    <row r="4087" customFormat="false" ht="15" hidden="false" customHeight="false" outlineLevel="0" collapsed="false">
      <c r="A4087" s="23" t="s">
        <v>506</v>
      </c>
      <c r="B4087" s="24"/>
      <c r="C4087" s="24"/>
      <c r="D4087" s="24"/>
      <c r="E4087" s="24"/>
      <c r="F4087" s="24"/>
      <c r="G4087" s="24"/>
      <c r="H4087" s="24"/>
      <c r="I4087" s="24"/>
      <c r="J4087" s="24"/>
      <c r="K4087" s="24"/>
    </row>
    <row r="4088" customFormat="false" ht="15" hidden="false" customHeight="false" outlineLevel="0" collapsed="false">
      <c r="A4088" s="3" t="s">
        <v>499</v>
      </c>
      <c r="C4088" s="25" t="n">
        <f aca="false">IF(C4076&gt;0,C4084,C4068)</f>
        <v>1349.6193225</v>
      </c>
    </row>
    <row r="4089" customFormat="false" ht="15" hidden="false" customHeight="false" outlineLevel="0" collapsed="false">
      <c r="A4089" s="3" t="s">
        <v>500</v>
      </c>
      <c r="C4089" s="25" t="n">
        <f aca="false">IF(C4077&gt;0,C4085,C4069)</f>
        <v>0</v>
      </c>
    </row>
    <row r="4090" customFormat="false" ht="15" hidden="false" customHeight="false" outlineLevel="0" collapsed="false">
      <c r="A4090" s="3" t="s">
        <v>501</v>
      </c>
      <c r="C4090" s="25" t="n">
        <f aca="false">IF(C4078&gt;0,C4086,C4070)</f>
        <v>0</v>
      </c>
    </row>
    <row r="4091" customFormat="false" ht="15" hidden="false" customHeight="false" outlineLevel="0" collapsed="false">
      <c r="A4091" s="23" t="s">
        <v>507</v>
      </c>
      <c r="B4091" s="24"/>
      <c r="C4091" s="24"/>
      <c r="D4091" s="24"/>
      <c r="E4091" s="24"/>
      <c r="F4091" s="24"/>
      <c r="G4091" s="24"/>
      <c r="H4091" s="24"/>
      <c r="I4091" s="24"/>
      <c r="J4091" s="24"/>
      <c r="K4091" s="24"/>
    </row>
    <row r="4092" customFormat="false" ht="15" hidden="false" customHeight="false" outlineLevel="0" collapsed="false">
      <c r="A4092" s="3" t="s">
        <v>499</v>
      </c>
      <c r="C4092" s="20" t="n">
        <f aca="false">IF(C4076&gt;0,Assumptions!$C$17,C4072)</f>
        <v>1</v>
      </c>
    </row>
    <row r="4093" customFormat="false" ht="15" hidden="false" customHeight="false" outlineLevel="0" collapsed="false">
      <c r="A4093" s="3" t="s">
        <v>500</v>
      </c>
      <c r="C4093" s="20" t="n">
        <f aca="false">IF(C4077&gt;0,Assumptions!$C$17,C4073)</f>
        <v>2</v>
      </c>
    </row>
    <row r="4094" customFormat="false" ht="15" hidden="false" customHeight="false" outlineLevel="0" collapsed="false">
      <c r="A4094" s="3" t="s">
        <v>501</v>
      </c>
      <c r="C4094" s="20" t="n">
        <f aca="false">IF(C4078&gt;0,Assumptions!$C$17,C4074)</f>
        <v>2</v>
      </c>
    </row>
    <row r="4095" customFormat="false" ht="15" hidden="false" customHeight="false" outlineLevel="0" collapsed="false">
      <c r="A4095" s="23" t="s">
        <v>508</v>
      </c>
      <c r="B4095" s="24"/>
      <c r="C4095" s="24"/>
      <c r="D4095" s="24"/>
      <c r="E4095" s="24"/>
      <c r="F4095" s="24"/>
      <c r="G4095" s="24"/>
      <c r="H4095" s="24"/>
      <c r="I4095" s="24"/>
      <c r="J4095" s="24"/>
      <c r="K4095" s="24"/>
    </row>
    <row r="4096" customFormat="false" ht="15" hidden="false" customHeight="false" outlineLevel="0" collapsed="false">
      <c r="A4096" s="3" t="s">
        <v>499</v>
      </c>
      <c r="C4096" s="25" t="n">
        <f aca="false">SUMPRODUCT(($C$4092:$C$4094&lt;C4092)*$C$4088:$C$4090)</f>
        <v>0</v>
      </c>
    </row>
    <row r="4097" customFormat="false" ht="15" hidden="false" customHeight="false" outlineLevel="0" collapsed="false">
      <c r="A4097" s="3" t="s">
        <v>500</v>
      </c>
      <c r="C4097" s="25" t="n">
        <f aca="false">SUMPRODUCT(($C$4092:$C$4094&lt;C4093)*$C$4088:$C$4090)</f>
        <v>1349.6193225</v>
      </c>
    </row>
    <row r="4098" customFormat="false" ht="15" hidden="false" customHeight="false" outlineLevel="0" collapsed="false">
      <c r="A4098" s="3" t="s">
        <v>501</v>
      </c>
      <c r="C4098" s="25" t="n">
        <f aca="false">SUMPRODUCT(($C$4092:$C$4094&lt;C4094)*$C$4088:$C$4090)</f>
        <v>1349.6193225</v>
      </c>
    </row>
    <row r="4099" customFormat="false" ht="15" hidden="false" customHeight="false" outlineLevel="0" collapsed="false">
      <c r="A4099" s="23" t="s">
        <v>509</v>
      </c>
      <c r="B4099" s="24"/>
      <c r="C4099" s="24"/>
      <c r="D4099" s="24"/>
      <c r="E4099" s="24"/>
      <c r="F4099" s="24"/>
      <c r="G4099" s="24"/>
      <c r="H4099" s="24"/>
      <c r="I4099" s="24"/>
      <c r="J4099" s="24"/>
      <c r="K4099" s="24"/>
    </row>
    <row r="4100" customFormat="false" ht="15" hidden="false" customHeight="false" outlineLevel="0" collapsed="false">
      <c r="A4100" s="3" t="s">
        <v>499</v>
      </c>
      <c r="C4100" s="25" t="n">
        <f aca="false">SUMPRODUCT(($C$4092:$C$4094=C4092)*$C$4088:$C$4090)</f>
        <v>1349.6193225</v>
      </c>
    </row>
    <row r="4101" customFormat="false" ht="15" hidden="false" customHeight="false" outlineLevel="0" collapsed="false">
      <c r="A4101" s="3" t="s">
        <v>500</v>
      </c>
      <c r="C4101" s="25" t="n">
        <f aca="false">SUMPRODUCT(($C$4092:$C$4094=C4093)*$C$4088:$C$4090)</f>
        <v>0</v>
      </c>
    </row>
    <row r="4102" customFormat="false" ht="15" hidden="false" customHeight="false" outlineLevel="0" collapsed="false">
      <c r="A4102" s="3" t="s">
        <v>501</v>
      </c>
      <c r="C4102" s="25" t="n">
        <f aca="false">SUMPRODUCT(($C$4092:$C$4094=C4094)*$C$4088:$C$4090)</f>
        <v>0</v>
      </c>
    </row>
    <row r="4103" customFormat="false" ht="15" hidden="false" customHeight="false" outlineLevel="0" collapsed="false">
      <c r="A4103" s="23" t="s">
        <v>510</v>
      </c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</row>
    <row r="4104" customFormat="false" ht="15" hidden="false" customHeight="false" outlineLevel="0" collapsed="false">
      <c r="A4104" s="3" t="s">
        <v>499</v>
      </c>
      <c r="C4104" s="25" t="n">
        <f aca="false">IF(C4100=0,0,C4088/C4100*MAX(0,MIN(C4100,$C$4066-SUM($C$4080:$C$4082)-C4096)))</f>
        <v>1349.6193225</v>
      </c>
    </row>
    <row r="4105" customFormat="false" ht="15" hidden="false" customHeight="false" outlineLevel="0" collapsed="false">
      <c r="A4105" s="3" t="s">
        <v>500</v>
      </c>
      <c r="C4105" s="25" t="n">
        <f aca="false">IF(C4101=0,0,C4089/C4101*MAX(0,MIN(C4101,$C$4066-SUM($C$4080:$C$4082)-C4097)))</f>
        <v>0</v>
      </c>
    </row>
    <row r="4106" customFormat="false" ht="15" hidden="false" customHeight="false" outlineLevel="0" collapsed="false">
      <c r="A4106" s="3" t="s">
        <v>501</v>
      </c>
      <c r="C4106" s="25" t="n">
        <f aca="false">IF(C4102=0,0,C4090/C4102*MAX(0,MIN(C4102,$C$4066-SUM($C$4080:$C$4082)-C4098)))</f>
        <v>0</v>
      </c>
    </row>
    <row r="4107" customFormat="false" ht="15" hidden="false" customHeight="false" outlineLevel="0" collapsed="false">
      <c r="A4107" s="23" t="s">
        <v>511</v>
      </c>
      <c r="B4107" s="24"/>
      <c r="C4107" s="24"/>
      <c r="D4107" s="24"/>
      <c r="E4107" s="24"/>
      <c r="F4107" s="24"/>
      <c r="G4107" s="24"/>
      <c r="H4107" s="24"/>
      <c r="I4107" s="24"/>
      <c r="J4107" s="24"/>
      <c r="K4107" s="24"/>
    </row>
    <row r="4108" customFormat="false" ht="15" hidden="false" customHeight="false" outlineLevel="0" collapsed="false">
      <c r="A4108" s="2" t="s">
        <v>499</v>
      </c>
      <c r="C4108" s="16" t="n">
        <f aca="false">C4080+C4104</f>
        <v>1349.6193225</v>
      </c>
    </row>
    <row r="4109" customFormat="false" ht="15" hidden="false" customHeight="false" outlineLevel="0" collapsed="false">
      <c r="A4109" s="2" t="s">
        <v>500</v>
      </c>
      <c r="C4109" s="16" t="n">
        <f aca="false">C4081+C4105</f>
        <v>0</v>
      </c>
    </row>
    <row r="4110" customFormat="false" ht="15" hidden="false" customHeight="false" outlineLevel="0" collapsed="false">
      <c r="A4110" s="2" t="s">
        <v>501</v>
      </c>
      <c r="C4110" s="16" t="n">
        <f aca="false">C4082+C4106</f>
        <v>0</v>
      </c>
    </row>
    <row r="4111" customFormat="false" ht="15" hidden="false" customHeight="false" outlineLevel="0" collapsed="false">
      <c r="A4111" s="23" t="s">
        <v>512</v>
      </c>
      <c r="B4111" s="24"/>
      <c r="C4111" s="24"/>
      <c r="D4111" s="24"/>
      <c r="E4111" s="24"/>
      <c r="F4111" s="24"/>
      <c r="G4111" s="24"/>
      <c r="H4111" s="24"/>
      <c r="I4111" s="24"/>
      <c r="J4111" s="24"/>
      <c r="K4111" s="24"/>
    </row>
    <row r="4112" customFormat="false" ht="15" hidden="false" customHeight="false" outlineLevel="0" collapsed="false">
      <c r="A4112" s="3" t="s">
        <v>499</v>
      </c>
      <c r="C4112" s="21" t="n">
        <f aca="false">IF(C4068=0,1,C4108/C4068)</f>
        <v>1</v>
      </c>
    </row>
    <row r="4113" customFormat="false" ht="15" hidden="false" customHeight="false" outlineLevel="0" collapsed="false">
      <c r="A4113" s="3" t="s">
        <v>500</v>
      </c>
      <c r="C4113" s="21" t="n">
        <f aca="false">IF(C4069=0,1,C4109/C4069)</f>
        <v>1</v>
      </c>
    </row>
    <row r="4114" customFormat="false" ht="15" hidden="false" customHeight="false" outlineLevel="0" collapsed="false">
      <c r="A4114" s="3" t="s">
        <v>501</v>
      </c>
      <c r="C4114" s="21" t="n">
        <f aca="false">IF(C4070=0,1,C4110/C4070)</f>
        <v>1</v>
      </c>
    </row>
    <row r="4115" customFormat="false" ht="15" hidden="false" customHeight="false" outlineLevel="0" collapsed="false">
      <c r="A4115" s="23" t="s">
        <v>513</v>
      </c>
      <c r="B4115" s="24"/>
      <c r="C4115" s="24"/>
      <c r="D4115" s="24"/>
      <c r="E4115" s="24"/>
      <c r="F4115" s="24"/>
      <c r="G4115" s="24"/>
      <c r="H4115" s="24"/>
      <c r="I4115" s="24"/>
      <c r="J4115" s="24"/>
      <c r="K4115" s="24"/>
    </row>
    <row r="4116" customFormat="false" ht="15" hidden="false" customHeight="false" outlineLevel="0" collapsed="false">
      <c r="A4116" s="3" t="s">
        <v>499</v>
      </c>
      <c r="C4116" s="25" t="n">
        <f aca="false">C4068-C4108</f>
        <v>0</v>
      </c>
    </row>
    <row r="4117" customFormat="false" ht="15" hidden="false" customHeight="false" outlineLevel="0" collapsed="false">
      <c r="A4117" s="3" t="s">
        <v>500</v>
      </c>
      <c r="C4117" s="25" t="n">
        <f aca="false">C4069-C4109</f>
        <v>0</v>
      </c>
    </row>
    <row r="4118" customFormat="false" ht="15" hidden="false" customHeight="false" outlineLevel="0" collapsed="false">
      <c r="A4118" s="3" t="s">
        <v>501</v>
      </c>
      <c r="C4118" s="25" t="n">
        <f aca="false">C4070-C4110</f>
        <v>0</v>
      </c>
    </row>
    <row r="4119" customFormat="false" ht="15" hidden="false" customHeight="false" outlineLevel="0" collapsed="false">
      <c r="A4119" s="23" t="s">
        <v>514</v>
      </c>
      <c r="B4119" s="24"/>
      <c r="C4119" s="24"/>
      <c r="D4119" s="24"/>
      <c r="E4119" s="24"/>
      <c r="F4119" s="24"/>
      <c r="G4119" s="24"/>
      <c r="H4119" s="24"/>
      <c r="I4119" s="24"/>
      <c r="J4119" s="24"/>
      <c r="K4119" s="24"/>
    </row>
    <row r="4120" customFormat="false" ht="15" hidden="false" customHeight="false" outlineLevel="0" collapsed="false">
      <c r="A4120" s="3" t="s">
        <v>499</v>
      </c>
      <c r="C4120" s="21" t="n">
        <f aca="false">IF(C4068=0,0,C4116/C4068)</f>
        <v>0</v>
      </c>
    </row>
    <row r="4121" customFormat="false" ht="15" hidden="false" customHeight="false" outlineLevel="0" collapsed="false">
      <c r="A4121" s="3" t="s">
        <v>500</v>
      </c>
      <c r="C4121" s="21" t="n">
        <f aca="false">IF(C4069=0,0,C4117/C4069)</f>
        <v>0</v>
      </c>
    </row>
    <row r="4122" customFormat="false" ht="15" hidden="false" customHeight="false" outlineLevel="0" collapsed="false">
      <c r="A4122" s="3" t="s">
        <v>501</v>
      </c>
      <c r="C4122" s="21" t="n">
        <f aca="false">IF(C4070=0,0,C4118/C4070)</f>
        <v>0</v>
      </c>
    </row>
    <row r="4123" customFormat="false" ht="15" hidden="false" customHeight="false" outlineLevel="0" collapsed="false">
      <c r="A4123" s="2" t="s">
        <v>515</v>
      </c>
      <c r="C4123" s="16" t="n">
        <f aca="false">MAX(0,$C$4066-SUM($C$4080:$C$4082)-SUM($C$4088:$C$4090))</f>
        <v>63.2116422304155</v>
      </c>
    </row>
    <row r="4124" customFormat="false" ht="15" hidden="false" customHeight="false" outlineLevel="0" collapsed="false">
      <c r="A4124" s="3" t="s">
        <v>516</v>
      </c>
      <c r="C4124" s="25" t="n">
        <f aca="false">SUM($C$4108:$C$4110)+C4123+C4065-C4064</f>
        <v>0</v>
      </c>
    </row>
    <row r="4126" customFormat="false" ht="15" hidden="false" customHeight="false" outlineLevel="0" collapsed="false">
      <c r="A4126" s="23" t="s">
        <v>519</v>
      </c>
      <c r="B4126" s="24"/>
      <c r="C4126" s="24"/>
      <c r="D4126" s="24"/>
      <c r="E4126" s="24"/>
      <c r="F4126" s="24"/>
      <c r="G4126" s="24"/>
      <c r="H4126" s="24"/>
      <c r="I4126" s="24"/>
      <c r="J4126" s="24"/>
      <c r="K4126" s="24"/>
    </row>
    <row r="4127" customFormat="false" ht="15" hidden="false" customHeight="false" outlineLevel="0" collapsed="false">
      <c r="A4127" s="3" t="s">
        <v>520</v>
      </c>
      <c r="C4127" s="27" t="n">
        <f aca="false">Assumptions!$C$33</f>
        <v>1</v>
      </c>
    </row>
    <row r="4128" customFormat="false" ht="15" hidden="false" customHeight="false" outlineLevel="0" collapsed="false">
      <c r="A4128" s="3" t="s">
        <v>521</v>
      </c>
      <c r="C4128" s="29" t="n">
        <f aca="false">Assumptions!$C$34</f>
        <v>100</v>
      </c>
    </row>
    <row r="4129" customFormat="false" ht="15" hidden="false" customHeight="false" outlineLevel="0" collapsed="false">
      <c r="A4129" s="3" t="s">
        <v>522</v>
      </c>
      <c r="C4129" s="40" t="n">
        <f aca="false">Assumptions!$C$35</f>
        <v>95</v>
      </c>
    </row>
    <row r="4130" customFormat="false" ht="15" hidden="false" customHeight="false" outlineLevel="0" collapsed="false">
      <c r="A4130" s="3" t="s">
        <v>523</v>
      </c>
      <c r="C4130" s="25" t="n">
        <f aca="false">C4128*C4129/100*(1+Assumptions!$C$36)</f>
        <v>95</v>
      </c>
    </row>
    <row r="4131" customFormat="false" ht="15" hidden="false" customHeight="false" outlineLevel="0" collapsed="false">
      <c r="A4131" s="3" t="s">
        <v>524</v>
      </c>
      <c r="C4131" s="27" t="n">
        <f aca="false">Assumptions!$C$37</f>
        <v>3</v>
      </c>
    </row>
    <row r="4132" customFormat="false" ht="15" hidden="false" customHeight="false" outlineLevel="0" collapsed="false">
      <c r="A4132" s="3" t="s">
        <v>525</v>
      </c>
      <c r="C4132" s="20" t="n">
        <f aca="false">IF(C4057=1,SUMPRODUCT($G$4009:$K$4009,$G$3902:$K$3902),0)</f>
        <v>0</v>
      </c>
    </row>
    <row r="4133" customFormat="false" ht="15" hidden="false" customHeight="false" outlineLevel="0" collapsed="false">
      <c r="A4133" s="3" t="s">
        <v>526</v>
      </c>
      <c r="C4133" s="21" t="n">
        <f aca="false">IFERROR(C4128/CHOOSE(C4127,SUMPRODUCT($G$4056:$K$4056,$G$3948:$K$3948),SUMPRODUCT($G$4056:$K$4056,$G$3961:$K$3961),SUMPRODUCT($G$4056:$K$4056,$G$3974:$K$3974)),0)</f>
        <v>0.0760399605200525</v>
      </c>
    </row>
    <row r="4134" customFormat="false" ht="15" hidden="false" customHeight="false" outlineLevel="0" collapsed="false">
      <c r="A4134" s="3" t="s">
        <v>527</v>
      </c>
      <c r="C4134" s="25" t="n">
        <f aca="false">CHOOSE(C4127,C4108,C4109,C4110)*C4133</f>
        <v>102.625</v>
      </c>
    </row>
    <row r="4135" customFormat="false" ht="15" hidden="false" customHeight="false" outlineLevel="0" collapsed="false">
      <c r="A4135" s="3" t="s">
        <v>528</v>
      </c>
      <c r="C4135" s="21" t="n">
        <f aca="false">CHOOSE(C4127,C4112,C4113,C4114)</f>
        <v>1</v>
      </c>
    </row>
    <row r="4136" customFormat="false" ht="15" hidden="false" customHeight="false" outlineLevel="0" collapsed="false">
      <c r="A4136" s="3" t="s">
        <v>529</v>
      </c>
      <c r="C4136" s="20" t="n">
        <f aca="false">IF(C4057=1,C4132,C4131)</f>
        <v>3</v>
      </c>
    </row>
    <row r="4137" customFormat="false" ht="15" hidden="false" customHeight="false" outlineLevel="0" collapsed="false">
      <c r="A4137" s="3" t="s">
        <v>530</v>
      </c>
      <c r="C4137" s="34" t="n">
        <f aca="false">CHOOSE($C$3894,Assumptions!$C$83,Assumptions!$C$102,Assumptions!$C$121)</f>
        <v>95</v>
      </c>
    </row>
    <row r="4138" customFormat="false" ht="15" hidden="false" customHeight="false" outlineLevel="0" collapsed="false">
      <c r="A4138" s="3" t="s">
        <v>531</v>
      </c>
      <c r="C4138" s="25" t="n">
        <f aca="false">INDEX($G$3911:$K$3911,C4131)*CHOOSE($C$3894,Assumptions!$C$82,Assumptions!$C$101,Assumptions!$C$120)+MAX(0,INDEX($G$4006:$K$4006,C4131))</f>
        <v>1629.41687784463</v>
      </c>
    </row>
    <row r="4139" customFormat="false" ht="15" hidden="false" customHeight="false" outlineLevel="0" collapsed="false">
      <c r="A4139" s="23" t="s">
        <v>532</v>
      </c>
      <c r="B4139" s="24"/>
      <c r="C4139" s="24"/>
      <c r="D4139" s="24"/>
      <c r="E4139" s="24"/>
      <c r="F4139" s="24"/>
      <c r="G4139" s="24"/>
      <c r="H4139" s="24"/>
      <c r="I4139" s="24"/>
      <c r="J4139" s="24"/>
      <c r="K4139" s="24"/>
    </row>
    <row r="4140" customFormat="false" ht="15" hidden="false" customHeight="false" outlineLevel="0" collapsed="false">
      <c r="A4140" s="3" t="s">
        <v>499</v>
      </c>
      <c r="C4140" s="25" t="n">
        <f aca="false">INDEX($G$3948:$K$3948,C4131)</f>
        <v>1315.098</v>
      </c>
    </row>
    <row r="4141" customFormat="false" ht="15" hidden="false" customHeight="false" outlineLevel="0" collapsed="false">
      <c r="A4141" s="3" t="s">
        <v>500</v>
      </c>
      <c r="C4141" s="25" t="n">
        <f aca="false">INDEX($G$3961:$K$3961,C4131)</f>
        <v>0</v>
      </c>
    </row>
    <row r="4142" customFormat="false" ht="15" hidden="false" customHeight="false" outlineLevel="0" collapsed="false">
      <c r="A4142" s="3" t="s">
        <v>501</v>
      </c>
      <c r="C4142" s="25" t="n">
        <f aca="false">INDEX($G$3974:$K$3974,C4131)</f>
        <v>0</v>
      </c>
    </row>
    <row r="4143" customFormat="false" ht="15" hidden="false" customHeight="false" outlineLevel="0" collapsed="false">
      <c r="A4143" s="23" t="s">
        <v>502</v>
      </c>
      <c r="B4143" s="24"/>
      <c r="C4143" s="24"/>
      <c r="D4143" s="24"/>
      <c r="E4143" s="24"/>
      <c r="F4143" s="24"/>
      <c r="G4143" s="24"/>
      <c r="H4143" s="24"/>
      <c r="I4143" s="24"/>
      <c r="J4143" s="24"/>
      <c r="K4143" s="24"/>
    </row>
    <row r="4144" customFormat="false" ht="15" hidden="false" customHeight="false" outlineLevel="0" collapsed="false">
      <c r="A4144" s="3" t="s">
        <v>499</v>
      </c>
      <c r="C4144" s="27" t="n">
        <f aca="false">Assumptions!$M$56</f>
        <v>1</v>
      </c>
    </row>
    <row r="4145" customFormat="false" ht="15" hidden="false" customHeight="false" outlineLevel="0" collapsed="false">
      <c r="A4145" s="3" t="s">
        <v>500</v>
      </c>
      <c r="C4145" s="27" t="n">
        <f aca="false">Assumptions!$M$57</f>
        <v>2</v>
      </c>
    </row>
    <row r="4146" customFormat="false" ht="15" hidden="false" customHeight="false" outlineLevel="0" collapsed="false">
      <c r="A4146" s="3" t="s">
        <v>501</v>
      </c>
      <c r="C4146" s="27" t="n">
        <f aca="false">Assumptions!$M$58</f>
        <v>2</v>
      </c>
    </row>
    <row r="4147" customFormat="false" ht="15" hidden="false" customHeight="false" outlineLevel="0" collapsed="false">
      <c r="A4147" s="23" t="s">
        <v>503</v>
      </c>
      <c r="B4147" s="24"/>
      <c r="C4147" s="24"/>
      <c r="D4147" s="24"/>
      <c r="E4147" s="24"/>
      <c r="F4147" s="24"/>
      <c r="G4147" s="24"/>
      <c r="H4147" s="24"/>
      <c r="I4147" s="24"/>
      <c r="J4147" s="24"/>
      <c r="K4147" s="24"/>
    </row>
    <row r="4148" customFormat="false" ht="15" hidden="false" customHeight="false" outlineLevel="0" collapsed="false">
      <c r="A4148" s="3" t="s">
        <v>499</v>
      </c>
      <c r="C4148" s="35" t="n">
        <f aca="false">Assumptions!$Q$56</f>
        <v>0</v>
      </c>
    </row>
    <row r="4149" customFormat="false" ht="15" hidden="false" customHeight="false" outlineLevel="0" collapsed="false">
      <c r="A4149" s="3" t="s">
        <v>500</v>
      </c>
      <c r="C4149" s="35" t="n">
        <f aca="false">Assumptions!$Q$57</f>
        <v>0</v>
      </c>
    </row>
    <row r="4150" customFormat="false" ht="15" hidden="false" customHeight="false" outlineLevel="0" collapsed="false">
      <c r="A4150" s="3" t="s">
        <v>501</v>
      </c>
      <c r="C4150" s="35" t="n">
        <f aca="false">Assumptions!$Q$58</f>
        <v>0</v>
      </c>
    </row>
    <row r="4151" customFormat="false" ht="15" hidden="false" customHeight="false" outlineLevel="0" collapsed="false">
      <c r="A4151" s="23" t="s">
        <v>504</v>
      </c>
      <c r="B4151" s="24"/>
      <c r="C4151" s="24"/>
      <c r="D4151" s="24"/>
      <c r="E4151" s="24"/>
      <c r="F4151" s="24"/>
      <c r="G4151" s="24"/>
      <c r="H4151" s="24"/>
      <c r="I4151" s="24"/>
      <c r="J4151" s="24"/>
      <c r="K4151" s="24"/>
    </row>
    <row r="4152" customFormat="false" ht="15" hidden="false" customHeight="false" outlineLevel="0" collapsed="false">
      <c r="A4152" s="3" t="s">
        <v>499</v>
      </c>
      <c r="C4152" s="25" t="n">
        <f aca="false">IF(C4148&gt;0,MIN(C4140,C4148*$C$4138),0)</f>
        <v>0</v>
      </c>
    </row>
    <row r="4153" customFormat="false" ht="15" hidden="false" customHeight="false" outlineLevel="0" collapsed="false">
      <c r="A4153" s="3" t="s">
        <v>500</v>
      </c>
      <c r="C4153" s="25" t="n">
        <f aca="false">IF(C4149&gt;0,MIN(C4141,C4149*$C$4138),0)</f>
        <v>0</v>
      </c>
    </row>
    <row r="4154" customFormat="false" ht="15" hidden="false" customHeight="false" outlineLevel="0" collapsed="false">
      <c r="A4154" s="3" t="s">
        <v>501</v>
      </c>
      <c r="C4154" s="25" t="n">
        <f aca="false">IF(C4150&gt;0,MIN(C4142,C4150*$C$4138),0)</f>
        <v>0</v>
      </c>
    </row>
    <row r="4155" customFormat="false" ht="15" hidden="false" customHeight="false" outlineLevel="0" collapsed="false">
      <c r="A4155" s="23" t="s">
        <v>505</v>
      </c>
      <c r="B4155" s="24"/>
      <c r="C4155" s="24"/>
      <c r="D4155" s="24"/>
      <c r="E4155" s="24"/>
      <c r="F4155" s="24"/>
      <c r="G4155" s="24"/>
      <c r="H4155" s="24"/>
      <c r="I4155" s="24"/>
      <c r="J4155" s="24"/>
      <c r="K4155" s="24"/>
    </row>
    <row r="4156" customFormat="false" ht="15" hidden="false" customHeight="false" outlineLevel="0" collapsed="false">
      <c r="A4156" s="3" t="s">
        <v>499</v>
      </c>
      <c r="C4156" s="25" t="n">
        <f aca="false">IF(C4148&gt;0,C4140-C4152,0)</f>
        <v>0</v>
      </c>
    </row>
    <row r="4157" customFormat="false" ht="15" hidden="false" customHeight="false" outlineLevel="0" collapsed="false">
      <c r="A4157" s="3" t="s">
        <v>500</v>
      </c>
      <c r="C4157" s="25" t="n">
        <f aca="false">IF(C4149&gt;0,C4141-C4153,0)</f>
        <v>0</v>
      </c>
    </row>
    <row r="4158" customFormat="false" ht="15" hidden="false" customHeight="false" outlineLevel="0" collapsed="false">
      <c r="A4158" s="3" t="s">
        <v>501</v>
      </c>
      <c r="C4158" s="25" t="n">
        <f aca="false">IF(C4150&gt;0,C4142-C4154,0)</f>
        <v>0</v>
      </c>
    </row>
    <row r="4159" customFormat="false" ht="15" hidden="false" customHeight="false" outlineLevel="0" collapsed="false">
      <c r="A4159" s="23" t="s">
        <v>506</v>
      </c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</row>
    <row r="4160" customFormat="false" ht="15" hidden="false" customHeight="false" outlineLevel="0" collapsed="false">
      <c r="A4160" s="3" t="s">
        <v>499</v>
      </c>
      <c r="C4160" s="25" t="n">
        <f aca="false">IF(C4148&gt;0,C4156,C4140)</f>
        <v>1315.098</v>
      </c>
    </row>
    <row r="4161" customFormat="false" ht="15" hidden="false" customHeight="false" outlineLevel="0" collapsed="false">
      <c r="A4161" s="3" t="s">
        <v>500</v>
      </c>
      <c r="C4161" s="25" t="n">
        <f aca="false">IF(C4149&gt;0,C4157,C4141)</f>
        <v>0</v>
      </c>
    </row>
    <row r="4162" customFormat="false" ht="15" hidden="false" customHeight="false" outlineLevel="0" collapsed="false">
      <c r="A4162" s="3" t="s">
        <v>501</v>
      </c>
      <c r="C4162" s="25" t="n">
        <f aca="false">IF(C4150&gt;0,C4158,C4142)</f>
        <v>0</v>
      </c>
    </row>
    <row r="4163" customFormat="false" ht="15" hidden="false" customHeight="false" outlineLevel="0" collapsed="false">
      <c r="A4163" s="23" t="s">
        <v>507</v>
      </c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</row>
    <row r="4164" customFormat="false" ht="15" hidden="false" customHeight="false" outlineLevel="0" collapsed="false">
      <c r="A4164" s="3" t="s">
        <v>499</v>
      </c>
      <c r="C4164" s="20" t="n">
        <f aca="false">IF(C4148&gt;0,Assumptions!$C$17,C4144)</f>
        <v>1</v>
      </c>
    </row>
    <row r="4165" customFormat="false" ht="15" hidden="false" customHeight="false" outlineLevel="0" collapsed="false">
      <c r="A4165" s="3" t="s">
        <v>500</v>
      </c>
      <c r="C4165" s="20" t="n">
        <f aca="false">IF(C4149&gt;0,Assumptions!$C$17,C4145)</f>
        <v>2</v>
      </c>
    </row>
    <row r="4166" customFormat="false" ht="15" hidden="false" customHeight="false" outlineLevel="0" collapsed="false">
      <c r="A4166" s="3" t="s">
        <v>501</v>
      </c>
      <c r="C4166" s="20" t="n">
        <f aca="false">IF(C4150&gt;0,Assumptions!$C$17,C4146)</f>
        <v>2</v>
      </c>
    </row>
    <row r="4167" customFormat="false" ht="15" hidden="false" customHeight="false" outlineLevel="0" collapsed="false">
      <c r="A4167" s="23" t="s">
        <v>508</v>
      </c>
      <c r="B4167" s="24"/>
      <c r="C4167" s="24"/>
      <c r="D4167" s="24"/>
      <c r="E4167" s="24"/>
      <c r="F4167" s="24"/>
      <c r="G4167" s="24"/>
      <c r="H4167" s="24"/>
      <c r="I4167" s="24"/>
      <c r="J4167" s="24"/>
      <c r="K4167" s="24"/>
    </row>
    <row r="4168" customFormat="false" ht="15" hidden="false" customHeight="false" outlineLevel="0" collapsed="false">
      <c r="A4168" s="3" t="s">
        <v>499</v>
      </c>
      <c r="C4168" s="25" t="n">
        <f aca="false">SUMPRODUCT(($C$4164:$C$4166&lt;C4164)*$C$4160:$C$4162)</f>
        <v>0</v>
      </c>
    </row>
    <row r="4169" customFormat="false" ht="15" hidden="false" customHeight="false" outlineLevel="0" collapsed="false">
      <c r="A4169" s="3" t="s">
        <v>500</v>
      </c>
      <c r="C4169" s="25" t="n">
        <f aca="false">SUMPRODUCT(($C$4164:$C$4166&lt;C4165)*$C$4160:$C$4162)</f>
        <v>1315.098</v>
      </c>
    </row>
    <row r="4170" customFormat="false" ht="15" hidden="false" customHeight="false" outlineLevel="0" collapsed="false">
      <c r="A4170" s="3" t="s">
        <v>501</v>
      </c>
      <c r="C4170" s="25" t="n">
        <f aca="false">SUMPRODUCT(($C$4164:$C$4166&lt;C4166)*$C$4160:$C$4162)</f>
        <v>1315.098</v>
      </c>
    </row>
    <row r="4171" customFormat="false" ht="15" hidden="false" customHeight="false" outlineLevel="0" collapsed="false">
      <c r="A4171" s="23" t="s">
        <v>509</v>
      </c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</row>
    <row r="4172" customFormat="false" ht="15" hidden="false" customHeight="false" outlineLevel="0" collapsed="false">
      <c r="A4172" s="3" t="s">
        <v>499</v>
      </c>
      <c r="C4172" s="25" t="n">
        <f aca="false">SUMPRODUCT(($C$4164:$C$4166=C4164)*$C$4160:$C$4162)</f>
        <v>1315.098</v>
      </c>
    </row>
    <row r="4173" customFormat="false" ht="15" hidden="false" customHeight="false" outlineLevel="0" collapsed="false">
      <c r="A4173" s="3" t="s">
        <v>500</v>
      </c>
      <c r="C4173" s="25" t="n">
        <f aca="false">SUMPRODUCT(($C$4164:$C$4166=C4165)*$C$4160:$C$4162)</f>
        <v>0</v>
      </c>
    </row>
    <row r="4174" customFormat="false" ht="15" hidden="false" customHeight="false" outlineLevel="0" collapsed="false">
      <c r="A4174" s="3" t="s">
        <v>501</v>
      </c>
      <c r="C4174" s="25" t="n">
        <f aca="false">SUMPRODUCT(($C$4164:$C$4166=C4166)*$C$4160:$C$4162)</f>
        <v>0</v>
      </c>
    </row>
    <row r="4175" customFormat="false" ht="15" hidden="false" customHeight="false" outlineLevel="0" collapsed="false">
      <c r="A4175" s="23" t="s">
        <v>510</v>
      </c>
      <c r="B4175" s="24"/>
      <c r="C4175" s="24"/>
      <c r="D4175" s="24"/>
      <c r="E4175" s="24"/>
      <c r="F4175" s="24"/>
      <c r="G4175" s="24"/>
      <c r="H4175" s="24"/>
      <c r="I4175" s="24"/>
      <c r="J4175" s="24"/>
      <c r="K4175" s="24"/>
    </row>
    <row r="4176" customFormat="false" ht="15" hidden="false" customHeight="false" outlineLevel="0" collapsed="false">
      <c r="A4176" s="3" t="s">
        <v>499</v>
      </c>
      <c r="C4176" s="25" t="n">
        <f aca="false">IF(C4172=0,0,C4160/C4172*MAX(0,MIN(C4172,$C$4138-SUM($C$4152:$C$4154)-C4168)))</f>
        <v>1315.098</v>
      </c>
    </row>
    <row r="4177" customFormat="false" ht="15" hidden="false" customHeight="false" outlineLevel="0" collapsed="false">
      <c r="A4177" s="3" t="s">
        <v>500</v>
      </c>
      <c r="C4177" s="25" t="n">
        <f aca="false">IF(C4173=0,0,C4161/C4173*MAX(0,MIN(C4173,$C$4138-SUM($C$4152:$C$4154)-C4169)))</f>
        <v>0</v>
      </c>
    </row>
    <row r="4178" customFormat="false" ht="15" hidden="false" customHeight="false" outlineLevel="0" collapsed="false">
      <c r="A4178" s="3" t="s">
        <v>501</v>
      </c>
      <c r="C4178" s="25" t="n">
        <f aca="false">IF(C4174=0,0,C4162/C4174*MAX(0,MIN(C4174,$C$4138-SUM($C$4152:$C$4154)-C4170)))</f>
        <v>0</v>
      </c>
    </row>
    <row r="4179" customFormat="false" ht="15" hidden="false" customHeight="false" outlineLevel="0" collapsed="false">
      <c r="A4179" s="23" t="s">
        <v>511</v>
      </c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</row>
    <row r="4180" customFormat="false" ht="15" hidden="false" customHeight="false" outlineLevel="0" collapsed="false">
      <c r="A4180" s="2" t="s">
        <v>499</v>
      </c>
      <c r="C4180" s="16" t="n">
        <f aca="false">C4152+C4176</f>
        <v>1315.098</v>
      </c>
    </row>
    <row r="4181" customFormat="false" ht="15" hidden="false" customHeight="false" outlineLevel="0" collapsed="false">
      <c r="A4181" s="2" t="s">
        <v>500</v>
      </c>
      <c r="C4181" s="16" t="n">
        <f aca="false">C4153+C4177</f>
        <v>0</v>
      </c>
    </row>
    <row r="4182" customFormat="false" ht="15" hidden="false" customHeight="false" outlineLevel="0" collapsed="false">
      <c r="A4182" s="2" t="s">
        <v>501</v>
      </c>
      <c r="C4182" s="16" t="n">
        <f aca="false">C4154+C4178</f>
        <v>0</v>
      </c>
    </row>
    <row r="4183" customFormat="false" ht="15" hidden="false" customHeight="false" outlineLevel="0" collapsed="false">
      <c r="A4183" s="23" t="s">
        <v>512</v>
      </c>
      <c r="B4183" s="24"/>
      <c r="C4183" s="24"/>
      <c r="D4183" s="24"/>
      <c r="E4183" s="24"/>
      <c r="F4183" s="24"/>
      <c r="G4183" s="24"/>
      <c r="H4183" s="24"/>
      <c r="I4183" s="24"/>
      <c r="J4183" s="24"/>
      <c r="K4183" s="24"/>
    </row>
    <row r="4184" customFormat="false" ht="15" hidden="false" customHeight="false" outlineLevel="0" collapsed="false">
      <c r="A4184" s="3" t="s">
        <v>499</v>
      </c>
      <c r="C4184" s="21" t="n">
        <f aca="false">IF(C4140=0,1,C4180/C4140)</f>
        <v>1</v>
      </c>
    </row>
    <row r="4185" customFormat="false" ht="15" hidden="false" customHeight="false" outlineLevel="0" collapsed="false">
      <c r="A4185" s="3" t="s">
        <v>500</v>
      </c>
      <c r="C4185" s="21" t="n">
        <f aca="false">IF(C4141=0,1,C4181/C4141)</f>
        <v>1</v>
      </c>
    </row>
    <row r="4186" customFormat="false" ht="15" hidden="false" customHeight="false" outlineLevel="0" collapsed="false">
      <c r="A4186" s="3" t="s">
        <v>501</v>
      </c>
      <c r="C4186" s="21" t="n">
        <f aca="false">IF(C4142=0,1,C4182/C4142)</f>
        <v>1</v>
      </c>
    </row>
    <row r="4187" customFormat="false" ht="15" hidden="false" customHeight="false" outlineLevel="0" collapsed="false">
      <c r="A4187" s="23" t="s">
        <v>513</v>
      </c>
      <c r="B4187" s="24"/>
      <c r="C4187" s="24"/>
      <c r="D4187" s="24"/>
      <c r="E4187" s="24"/>
      <c r="F4187" s="24"/>
      <c r="G4187" s="24"/>
      <c r="H4187" s="24"/>
      <c r="I4187" s="24"/>
      <c r="J4187" s="24"/>
      <c r="K4187" s="24"/>
    </row>
    <row r="4188" customFormat="false" ht="15" hidden="false" customHeight="false" outlineLevel="0" collapsed="false">
      <c r="A4188" s="3" t="s">
        <v>499</v>
      </c>
      <c r="C4188" s="25" t="n">
        <f aca="false">C4140-C4180</f>
        <v>0</v>
      </c>
    </row>
    <row r="4189" customFormat="false" ht="15" hidden="false" customHeight="false" outlineLevel="0" collapsed="false">
      <c r="A4189" s="3" t="s">
        <v>500</v>
      </c>
      <c r="C4189" s="25" t="n">
        <f aca="false">C4141-C4181</f>
        <v>0</v>
      </c>
    </row>
    <row r="4190" customFormat="false" ht="15" hidden="false" customHeight="false" outlineLevel="0" collapsed="false">
      <c r="A4190" s="3" t="s">
        <v>501</v>
      </c>
      <c r="C4190" s="25" t="n">
        <f aca="false">C4142-C4182</f>
        <v>0</v>
      </c>
    </row>
    <row r="4191" customFormat="false" ht="15" hidden="false" customHeight="false" outlineLevel="0" collapsed="false">
      <c r="A4191" s="23" t="s">
        <v>514</v>
      </c>
      <c r="B4191" s="24"/>
      <c r="C4191" s="24"/>
      <c r="D4191" s="24"/>
      <c r="E4191" s="24"/>
      <c r="F4191" s="24"/>
      <c r="G4191" s="24"/>
      <c r="H4191" s="24"/>
      <c r="I4191" s="24"/>
      <c r="J4191" s="24"/>
      <c r="K4191" s="24"/>
    </row>
    <row r="4192" customFormat="false" ht="15" hidden="false" customHeight="false" outlineLevel="0" collapsed="false">
      <c r="A4192" s="3" t="s">
        <v>499</v>
      </c>
      <c r="C4192" s="21" t="n">
        <f aca="false">IF(C4140=0,0,C4188/C4140)</f>
        <v>0</v>
      </c>
    </row>
    <row r="4193" customFormat="false" ht="15" hidden="false" customHeight="false" outlineLevel="0" collapsed="false">
      <c r="A4193" s="3" t="s">
        <v>500</v>
      </c>
      <c r="C4193" s="21" t="n">
        <f aca="false">IF(C4141=0,0,C4189/C4141)</f>
        <v>0</v>
      </c>
    </row>
    <row r="4194" customFormat="false" ht="15" hidden="false" customHeight="false" outlineLevel="0" collapsed="false">
      <c r="A4194" s="3" t="s">
        <v>501</v>
      </c>
      <c r="C4194" s="21" t="n">
        <f aca="false">IF(C4142=0,0,C4190/C4142)</f>
        <v>0</v>
      </c>
    </row>
    <row r="4195" customFormat="false" ht="15" hidden="false" customHeight="false" outlineLevel="0" collapsed="false">
      <c r="A4195" s="2" t="s">
        <v>515</v>
      </c>
      <c r="C4195" s="16" t="n">
        <f aca="false">MAX(0,$C$4138-SUM($C$4152:$C$4154)-SUM($C$4160:$C$4162))</f>
        <v>314.318877844627</v>
      </c>
    </row>
    <row r="4196" customFormat="false" ht="15" hidden="false" customHeight="false" outlineLevel="0" collapsed="false">
      <c r="A4196" s="3" t="s">
        <v>533</v>
      </c>
      <c r="C4196" s="34" t="n">
        <f aca="false">MIN(C4137,100*CHOOSE(C4127,C4184,C4185,C4186))</f>
        <v>95</v>
      </c>
    </row>
    <row r="4197" customFormat="false" ht="15" hidden="false" customHeight="false" outlineLevel="0" collapsed="false">
      <c r="A4197" s="3" t="s">
        <v>534</v>
      </c>
      <c r="C4197" s="20" t="n">
        <f aca="false">IF(C4057=1,C4132+Assumptions!$C$39,C4131)</f>
        <v>3</v>
      </c>
    </row>
    <row r="4198" customFormat="false" ht="15" hidden="false" customHeight="false" outlineLevel="0" collapsed="false">
      <c r="A4198" s="23" t="s">
        <v>535</v>
      </c>
      <c r="B4198" s="24"/>
      <c r="C4198" s="24"/>
      <c r="D4198" s="24"/>
      <c r="E4198" s="24"/>
      <c r="F4198" s="24"/>
      <c r="G4198" s="24"/>
      <c r="H4198" s="24"/>
      <c r="I4198" s="24"/>
      <c r="J4198" s="24"/>
      <c r="K4198" s="24"/>
    </row>
    <row r="4199" customFormat="false" ht="15" hidden="false" customHeight="false" outlineLevel="0" collapsed="false">
      <c r="A4199" s="3" t="s">
        <v>536</v>
      </c>
      <c r="C4199" s="20" t="n">
        <f aca="false">COLUMN()-COLUMN($C$1)</f>
        <v>0</v>
      </c>
      <c r="D4199" s="20" t="n">
        <f aca="false">COLUMN()-COLUMN($C$1)</f>
        <v>1</v>
      </c>
      <c r="E4199" s="20" t="n">
        <f aca="false">COLUMN()-COLUMN($C$1)</f>
        <v>2</v>
      </c>
      <c r="F4199" s="20" t="n">
        <f aca="false">COLUMN()-COLUMN($C$1)</f>
        <v>3</v>
      </c>
      <c r="G4199" s="20" t="n">
        <f aca="false">COLUMN()-COLUMN($C$1)</f>
        <v>4</v>
      </c>
      <c r="H4199" s="20" t="n">
        <f aca="false">COLUMN()-COLUMN($C$1)</f>
        <v>5</v>
      </c>
      <c r="I4199" s="20" t="n">
        <f aca="false">COLUMN()-COLUMN($C$1)</f>
        <v>6</v>
      </c>
    </row>
    <row r="4200" customFormat="false" ht="15" hidden="false" customHeight="false" outlineLevel="0" collapsed="false">
      <c r="A4200" s="3" t="s">
        <v>537</v>
      </c>
      <c r="D4200" s="31" t="n">
        <f aca="false">CHOOSE($C$4127,G3940,G3953,G3966)</f>
        <v>0.105</v>
      </c>
      <c r="E4200" s="31" t="n">
        <f aca="false">CHOOSE($C$4127,H3940,H3953,H3966)</f>
        <v>0.105</v>
      </c>
      <c r="F4200" s="31" t="n">
        <f aca="false">CHOOSE($C$4127,I3940,I3953,I3966)</f>
        <v>0.105</v>
      </c>
      <c r="G4200" s="31" t="n">
        <f aca="false">CHOOSE($C$4127,J3940,J3953,J3966)</f>
        <v>0.105</v>
      </c>
      <c r="H4200" s="31" t="n">
        <f aca="false">CHOOSE($C$4127,K3940,K3953,K3966)</f>
        <v>0.105</v>
      </c>
    </row>
    <row r="4201" customFormat="false" ht="15" hidden="false" customHeight="false" outlineLevel="0" collapsed="false">
      <c r="A4201" s="3" t="s">
        <v>538</v>
      </c>
      <c r="D4201" s="25" t="n">
        <f aca="false">IF(D4199&lt;=$C$4136,$C$4128*D4200,0)</f>
        <v>10.5</v>
      </c>
      <c r="E4201" s="25" t="n">
        <f aca="false">IF(E4199&lt;=$C$4136,$C$4128*E4200,0)</f>
        <v>10.5</v>
      </c>
      <c r="F4201" s="25" t="n">
        <f aca="false">IF(F4199&lt;=$C$4136,$C$4128*F4200,0)</f>
        <v>10.5</v>
      </c>
      <c r="G4201" s="25" t="n">
        <f aca="false">IF(G4199&lt;=$C$4136,$C$4128*G4200,0)</f>
        <v>0</v>
      </c>
      <c r="H4201" s="25" t="n">
        <f aca="false">IF(H4199&lt;=$C$4136,$C$4128*H4200,0)</f>
        <v>0</v>
      </c>
    </row>
    <row r="4202" customFormat="false" ht="15" hidden="false" customHeight="false" outlineLevel="0" collapsed="false">
      <c r="A4202" s="3" t="s">
        <v>539</v>
      </c>
      <c r="D4202" s="25" t="n">
        <f aca="false">IF(AND($C$4057=0,D4199=$C$4131),$C$4128*$C$4196/100,0)+IF(AND($C$4057=1,D4199=$C$4197),$C$4134,0)</f>
        <v>0</v>
      </c>
      <c r="E4202" s="25" t="n">
        <f aca="false">IF(AND($C$4057=0,E4199=$C$4131),$C$4128*$C$4196/100,0)+IF(AND($C$4057=1,E4199=$C$4197),$C$4134,0)</f>
        <v>0</v>
      </c>
      <c r="F4202" s="25" t="n">
        <f aca="false">IF(AND($C$4057=0,F4199=$C$4131),$C$4128*$C$4196/100,0)+IF(AND($C$4057=1,F4199=$C$4197),$C$4134,0)</f>
        <v>95</v>
      </c>
      <c r="G4202" s="25" t="n">
        <f aca="false">IF(AND($C$4057=0,G4199=$C$4131),$C$4128*$C$4196/100,0)+IF(AND($C$4057=1,G4199=$C$4197),$C$4134,0)</f>
        <v>0</v>
      </c>
      <c r="H4202" s="25" t="n">
        <f aca="false">IF(AND($C$4057=0,H4199=$C$4131),$C$4128*$C$4196/100,0)+IF(AND($C$4057=1,H4199=$C$4197),$C$4134,0)</f>
        <v>0</v>
      </c>
      <c r="I4202" s="25" t="n">
        <f aca="false">IF(AND($C$4057=0,I4199=$C$4131),$C$4128*$C$4196/100,0)+IF(AND($C$4057=1,I4199=$C$4197),$C$4134,0)</f>
        <v>0</v>
      </c>
    </row>
    <row r="4203" customFormat="false" ht="15" hidden="false" customHeight="false" outlineLevel="0" collapsed="false">
      <c r="A4203" s="2" t="s">
        <v>540</v>
      </c>
      <c r="C4203" s="16" t="n">
        <f aca="false">-$C$4130</f>
        <v>-95</v>
      </c>
      <c r="D4203" s="16" t="n">
        <f aca="false">D4201+D4202</f>
        <v>10.5</v>
      </c>
      <c r="E4203" s="16" t="n">
        <f aca="false">E4201+E4202</f>
        <v>10.5</v>
      </c>
      <c r="F4203" s="16" t="n">
        <f aca="false">F4201+F4202</f>
        <v>105.5</v>
      </c>
      <c r="G4203" s="16" t="n">
        <f aca="false">G4201+G4202</f>
        <v>0</v>
      </c>
      <c r="H4203" s="16" t="n">
        <f aca="false">H4201+H4202</f>
        <v>0</v>
      </c>
      <c r="I4203" s="16" t="n">
        <f aca="false">I4201+I4202</f>
        <v>0</v>
      </c>
    </row>
    <row r="4204" customFormat="false" ht="15" hidden="false" customHeight="false" outlineLevel="0" collapsed="false">
      <c r="A4204" s="3" t="s">
        <v>541</v>
      </c>
      <c r="C4204" s="25" t="n">
        <f aca="false">SUM($C$4201:$I$4201)</f>
        <v>31.5</v>
      </c>
    </row>
    <row r="4205" customFormat="false" ht="15" hidden="false" customHeight="false" outlineLevel="0" collapsed="false">
      <c r="A4205" s="3" t="s">
        <v>542</v>
      </c>
      <c r="C4205" s="25" t="n">
        <f aca="false">SUM($C$4202:$I$4202)</f>
        <v>95</v>
      </c>
    </row>
    <row r="4206" customFormat="false" ht="15" hidden="false" customHeight="false" outlineLevel="0" collapsed="false">
      <c r="A4206" s="3" t="s">
        <v>543</v>
      </c>
      <c r="C4206" s="25" t="n">
        <f aca="false">C4204+C4205</f>
        <v>126.5</v>
      </c>
    </row>
    <row r="4207" customFormat="false" ht="15" hidden="false" customHeight="false" outlineLevel="0" collapsed="false">
      <c r="A4207" s="3" t="s">
        <v>544</v>
      </c>
      <c r="C4207" s="25" t="n">
        <f aca="false">C4205-C4128*C4129/100</f>
        <v>0</v>
      </c>
    </row>
    <row r="4208" customFormat="false" ht="15" hidden="false" customHeight="false" outlineLevel="0" collapsed="false">
      <c r="A4208" s="3" t="s">
        <v>545</v>
      </c>
      <c r="C4208" s="25" t="n">
        <f aca="false">C4206-C4130</f>
        <v>31.5</v>
      </c>
    </row>
    <row r="4209" customFormat="false" ht="15" hidden="false" customHeight="false" outlineLevel="0" collapsed="false">
      <c r="A4209" s="2" t="s">
        <v>427</v>
      </c>
      <c r="C4209" s="44" t="n">
        <f aca="false">C4206/C4130</f>
        <v>1.33157894736842</v>
      </c>
    </row>
    <row r="4210" customFormat="false" ht="15" hidden="false" customHeight="false" outlineLevel="0" collapsed="false">
      <c r="A4210" s="2" t="s">
        <v>426</v>
      </c>
      <c r="C4210" s="42" t="n">
        <f aca="false">IF(C4206&lt;=0,-1,IFERROR(IRR($C$4203:$I$4203,MAX(-0.9,C4209^(1/C4197)-1)),IRR($C$4203:$I$4203,0.1)))</f>
        <v>0.110526315789467</v>
      </c>
    </row>
    <row r="4211" customFormat="false" ht="15" hidden="false" customHeight="false" outlineLevel="0" collapsed="false">
      <c r="A4211" s="3" t="s">
        <v>546</v>
      </c>
      <c r="C4211" s="32" t="n">
        <f aca="false">MAX($G$4017:$K$4017)</f>
        <v>3.8653516462375</v>
      </c>
    </row>
    <row r="4212" customFormat="false" ht="15" hidden="false" customHeight="false" outlineLevel="0" collapsed="false">
      <c r="A4212" s="3" t="s">
        <v>547</v>
      </c>
      <c r="C4212" s="32" t="n">
        <f aca="false">MIN($G$4018:$K$4018)</f>
        <v>1.65298270067697</v>
      </c>
    </row>
    <row r="4213" customFormat="false" ht="15" hidden="false" customHeight="false" outlineLevel="0" collapsed="false">
      <c r="A4213" s="3" t="s">
        <v>548</v>
      </c>
      <c r="C4213" s="25" t="n">
        <f aca="false">SUM($G$3924:$K$3924)</f>
        <v>401.022241448352</v>
      </c>
    </row>
    <row r="4217" customFormat="false" ht="15" hidden="false" customHeight="false" outlineLevel="0" collapsed="false">
      <c r="A4217" s="9" t="s">
        <v>1027</v>
      </c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</row>
    <row r="4218" customFormat="false" ht="15" hidden="false" customHeight="false" outlineLevel="0" collapsed="false">
      <c r="A4218" s="3" t="s">
        <v>1010</v>
      </c>
      <c r="C4218" s="11" t="n">
        <v>3</v>
      </c>
    </row>
    <row r="4219" customFormat="false" ht="15" hidden="false" customHeight="false" outlineLevel="0" collapsed="false">
      <c r="A4219" s="3" t="s">
        <v>1011</v>
      </c>
      <c r="C4219" s="18" t="n">
        <v>0</v>
      </c>
    </row>
    <row r="4220" customFormat="false" ht="15" hidden="false" customHeight="false" outlineLevel="0" collapsed="false">
      <c r="A4220" s="3" t="s">
        <v>1012</v>
      </c>
      <c r="C4220" s="30" t="n">
        <f aca="false">Sensitivities!$A$30</f>
        <v>-0.04</v>
      </c>
    </row>
    <row r="4221" customFormat="false" ht="15" hidden="false" customHeight="false" outlineLevel="0" collapsed="false">
      <c r="A4221" s="3" t="s">
        <v>1013</v>
      </c>
      <c r="C4221" s="18" t="n">
        <v>0</v>
      </c>
    </row>
    <row r="4222" customFormat="false" ht="15" hidden="false" customHeight="false" outlineLevel="0" collapsed="false">
      <c r="A4222" s="3" t="s">
        <v>1014</v>
      </c>
      <c r="C4222" s="15" t="n">
        <v>0</v>
      </c>
    </row>
    <row r="4224" customFormat="false" ht="15" hidden="false" customHeight="false" outlineLevel="0" collapsed="false">
      <c r="A4224" s="23" t="s">
        <v>281</v>
      </c>
      <c r="B4224" s="24"/>
      <c r="C4224" s="24"/>
      <c r="D4224" s="24"/>
      <c r="E4224" s="24"/>
      <c r="F4224" s="24"/>
      <c r="G4224" s="24"/>
      <c r="H4224" s="24"/>
      <c r="I4224" s="24"/>
      <c r="J4224" s="24"/>
      <c r="K4224" s="24"/>
    </row>
    <row r="4225" customFormat="false" ht="15" hidden="false" customHeight="false" outlineLevel="0" collapsed="false">
      <c r="A4225" s="3" t="s">
        <v>282</v>
      </c>
      <c r="F4225" s="27" t="n">
        <f aca="false">Assumptions!$C$6</f>
        <v>2026</v>
      </c>
      <c r="G4225" s="20" t="n">
        <f aca="false">F4225+1</f>
        <v>2027</v>
      </c>
      <c r="H4225" s="20" t="n">
        <f aca="false">G4225+1</f>
        <v>2028</v>
      </c>
      <c r="I4225" s="20" t="n">
        <f aca="false">H4225+1</f>
        <v>2029</v>
      </c>
      <c r="J4225" s="20" t="n">
        <f aca="false">I4225+1</f>
        <v>2030</v>
      </c>
      <c r="K4225" s="20" t="n">
        <f aca="false">J4225+1</f>
        <v>2031</v>
      </c>
    </row>
    <row r="4226" customFormat="false" ht="15" hidden="false" customHeight="false" outlineLevel="0" collapsed="false">
      <c r="A4226" s="3" t="s">
        <v>283</v>
      </c>
      <c r="G4226" s="20" t="n">
        <f aca="false">G4225-Assumptions!$C$6</f>
        <v>1</v>
      </c>
      <c r="H4226" s="20" t="n">
        <f aca="false">H4225-Assumptions!$C$6</f>
        <v>2</v>
      </c>
      <c r="I4226" s="20" t="n">
        <f aca="false">I4225-Assumptions!$C$6</f>
        <v>3</v>
      </c>
      <c r="J4226" s="20" t="n">
        <f aca="false">J4225-Assumptions!$C$6</f>
        <v>4</v>
      </c>
      <c r="K4226" s="20" t="n">
        <f aca="false">K4225-Assumptions!$C$6</f>
        <v>5</v>
      </c>
    </row>
    <row r="4227" customFormat="false" ht="15" hidden="false" customHeight="false" outlineLevel="0" collapsed="false">
      <c r="A4227" s="3" t="s">
        <v>165</v>
      </c>
      <c r="G4227" s="21" t="n">
        <f aca="false">CHOOSE($C$4218,Assumptions!$G$71,Assumptions!$G$90,Assumptions!$G$109)+$C$4219</f>
        <v>-0.14</v>
      </c>
      <c r="H4227" s="21" t="n">
        <f aca="false">CHOOSE($C$4218,Assumptions!$H$71,Assumptions!$H$90,Assumptions!$H$109)+$C$4219</f>
        <v>-0.12</v>
      </c>
      <c r="I4227" s="21" t="n">
        <f aca="false">CHOOSE($C$4218,Assumptions!$I$71,Assumptions!$I$90,Assumptions!$I$109)+$C$4219</f>
        <v>-0.1</v>
      </c>
      <c r="J4227" s="21" t="n">
        <f aca="false">CHOOSE($C$4218,Assumptions!$J$71,Assumptions!$J$90,Assumptions!$J$109)+$C$4219</f>
        <v>-0.08</v>
      </c>
      <c r="K4227" s="21" t="n">
        <f aca="false">CHOOSE($C$4218,Assumptions!$K$71,Assumptions!$K$90,Assumptions!$K$109)+$C$4219</f>
        <v>-0.06</v>
      </c>
    </row>
    <row r="4228" customFormat="false" ht="15" hidden="false" customHeight="false" outlineLevel="0" collapsed="false">
      <c r="A4228" s="3" t="s">
        <v>166</v>
      </c>
      <c r="G4228" s="21" t="n">
        <f aca="false">CHOOSE($C$4218,Assumptions!$G$72,Assumptions!$G$91,Assumptions!$G$110)</f>
        <v>0.433246670103635</v>
      </c>
      <c r="H4228" s="21" t="n">
        <f aca="false">CHOOSE($C$4218,Assumptions!$H$72,Assumptions!$H$91,Assumptions!$H$110)</f>
        <v>0.418246670103635</v>
      </c>
      <c r="I4228" s="21" t="n">
        <f aca="false">CHOOSE($C$4218,Assumptions!$I$72,Assumptions!$I$91,Assumptions!$I$110)</f>
        <v>0.413246670103635</v>
      </c>
      <c r="J4228" s="21" t="n">
        <f aca="false">CHOOSE($C$4218,Assumptions!$J$72,Assumptions!$J$91,Assumptions!$J$110)</f>
        <v>0.413246670103635</v>
      </c>
      <c r="K4228" s="21" t="n">
        <f aca="false">CHOOSE($C$4218,Assumptions!$K$72,Assumptions!$K$91,Assumptions!$K$110)</f>
        <v>0.413246670103635</v>
      </c>
    </row>
    <row r="4229" customFormat="false" ht="15" hidden="false" customHeight="false" outlineLevel="0" collapsed="false">
      <c r="A4229" s="3" t="s">
        <v>167</v>
      </c>
      <c r="G4229" s="21" t="n">
        <f aca="false">CHOOSE($C$4218,Assumptions!$G$73,Assumptions!$G$92,Assumptions!$G$111)+$C$4220</f>
        <v>0.05</v>
      </c>
      <c r="H4229" s="21" t="n">
        <f aca="false">CHOOSE($C$4218,Assumptions!$H$73,Assumptions!$H$92,Assumptions!$H$111)+$C$4220</f>
        <v>0.035</v>
      </c>
      <c r="I4229" s="21" t="n">
        <f aca="false">CHOOSE($C$4218,Assumptions!$I$73,Assumptions!$I$92,Assumptions!$I$111)+$C$4220</f>
        <v>0.03</v>
      </c>
      <c r="J4229" s="21" t="n">
        <f aca="false">CHOOSE($C$4218,Assumptions!$J$73,Assumptions!$J$92,Assumptions!$J$111)+$C$4220</f>
        <v>0.03</v>
      </c>
      <c r="K4229" s="21" t="n">
        <f aca="false">CHOOSE($C$4218,Assumptions!$K$73,Assumptions!$K$92,Assumptions!$K$111)+$C$4220</f>
        <v>0.03</v>
      </c>
    </row>
    <row r="4230" customFormat="false" ht="15" hidden="false" customHeight="false" outlineLevel="0" collapsed="false">
      <c r="A4230" s="23" t="s">
        <v>284</v>
      </c>
      <c r="B4230" s="24"/>
      <c r="C4230" s="24"/>
      <c r="D4230" s="24"/>
      <c r="E4230" s="24"/>
      <c r="F4230" s="24"/>
      <c r="G4230" s="24"/>
      <c r="H4230" s="24"/>
      <c r="I4230" s="24"/>
      <c r="J4230" s="24"/>
      <c r="K4230" s="24"/>
    </row>
    <row r="4231" customFormat="false" ht="15" hidden="false" customHeight="false" outlineLevel="0" collapsed="false">
      <c r="A4231" s="2" t="s">
        <v>256</v>
      </c>
      <c r="F4231" s="28" t="n">
        <f aca="false">'Historical Financials'!G23</f>
        <v>2246.166</v>
      </c>
      <c r="G4231" s="16" t="n">
        <f aca="false">F4231*(1+G4227)</f>
        <v>1931.70276</v>
      </c>
      <c r="H4231" s="16" t="n">
        <f aca="false">G4231*(1+H4227)</f>
        <v>1699.8984288</v>
      </c>
      <c r="I4231" s="16" t="n">
        <f aca="false">H4231*(1+I4227)</f>
        <v>1529.90858592</v>
      </c>
      <c r="J4231" s="16" t="n">
        <f aca="false">I4231*(1+J4227)</f>
        <v>1407.5158990464</v>
      </c>
      <c r="K4231" s="16" t="n">
        <f aca="false">J4231*(1+K4227)</f>
        <v>1323.06494510362</v>
      </c>
    </row>
    <row r="4232" customFormat="false" ht="15" hidden="false" customHeight="false" outlineLevel="0" collapsed="false">
      <c r="A4232" s="3" t="s">
        <v>257</v>
      </c>
      <c r="G4232" s="25" t="n">
        <f aca="false">G4231*(1-G4228)</f>
        <v>1094.7989716</v>
      </c>
      <c r="H4232" s="25" t="n">
        <f aca="false">H4231*(1-H4228)</f>
        <v>988.92157144</v>
      </c>
      <c r="I4232" s="25" t="n">
        <f aca="false">I4231*(1-I4228)</f>
        <v>897.6789572256</v>
      </c>
      <c r="J4232" s="25" t="n">
        <f aca="false">J4231*(1-J4228)</f>
        <v>825.864640647552</v>
      </c>
      <c r="K4232" s="25" t="n">
        <f aca="false">K4231*(1-K4228)</f>
        <v>776.312762208699</v>
      </c>
    </row>
    <row r="4233" customFormat="false" ht="15" hidden="false" customHeight="false" outlineLevel="0" collapsed="false">
      <c r="A4233" s="2" t="s">
        <v>258</v>
      </c>
      <c r="G4233" s="16" t="n">
        <f aca="false">G4231-G4232</f>
        <v>836.9037884</v>
      </c>
      <c r="H4233" s="16" t="n">
        <f aca="false">H4231-H4232</f>
        <v>710.97685736</v>
      </c>
      <c r="I4233" s="16" t="n">
        <f aca="false">I4231-I4232</f>
        <v>632.2296286944</v>
      </c>
      <c r="J4233" s="16" t="n">
        <f aca="false">J4231-J4232</f>
        <v>581.651258398848</v>
      </c>
      <c r="K4233" s="16" t="n">
        <f aca="false">K4231-K4232</f>
        <v>546.752182894917</v>
      </c>
    </row>
    <row r="4234" customFormat="false" ht="15" hidden="false" customHeight="false" outlineLevel="0" collapsed="false">
      <c r="A4234" s="3" t="s">
        <v>285</v>
      </c>
      <c r="G4234" s="25" t="n">
        <f aca="false">G4233-G4235</f>
        <v>740.3186504</v>
      </c>
      <c r="H4234" s="25" t="n">
        <f aca="false">H4233-H4235</f>
        <v>651.480412352</v>
      </c>
      <c r="I4234" s="25" t="n">
        <f aca="false">I4233-I4235</f>
        <v>586.3323711168</v>
      </c>
      <c r="J4234" s="25" t="n">
        <f aca="false">J4233-J4235</f>
        <v>539.425781427456</v>
      </c>
      <c r="K4234" s="25" t="n">
        <f aca="false">K4233-K4235</f>
        <v>507.060234541809</v>
      </c>
    </row>
    <row r="4235" customFormat="false" ht="15" hidden="false" customHeight="false" outlineLevel="0" collapsed="false">
      <c r="A4235" s="2" t="s">
        <v>286</v>
      </c>
      <c r="G4235" s="16" t="n">
        <f aca="false">G4231*G4229</f>
        <v>96.585138</v>
      </c>
      <c r="H4235" s="16" t="n">
        <f aca="false">H4231*H4229</f>
        <v>59.496445008</v>
      </c>
      <c r="I4235" s="16" t="n">
        <f aca="false">I4231*I4229</f>
        <v>45.8972575776</v>
      </c>
      <c r="J4235" s="16" t="n">
        <f aca="false">J4231*J4229</f>
        <v>42.225476971392</v>
      </c>
      <c r="K4235" s="16" t="n">
        <f aca="false">K4231*K4229</f>
        <v>39.6919483531085</v>
      </c>
    </row>
    <row r="4236" customFormat="false" ht="15" hidden="false" customHeight="false" outlineLevel="0" collapsed="false">
      <c r="A4236" s="3" t="s">
        <v>287</v>
      </c>
      <c r="G4236" s="25" t="n">
        <f aca="false">G4231*'Historical Financials'!G28/'Historical Financials'!G23</f>
        <v>73.35456</v>
      </c>
      <c r="H4236" s="25" t="n">
        <f aca="false">H4231*'Historical Financials'!G28/'Historical Financials'!G23</f>
        <v>64.5520128</v>
      </c>
      <c r="I4236" s="25" t="n">
        <f aca="false">I4231*'Historical Financials'!G28/'Historical Financials'!G23</f>
        <v>58.09681152</v>
      </c>
      <c r="J4236" s="25" t="n">
        <f aca="false">J4231*'Historical Financials'!G28/'Historical Financials'!G23</f>
        <v>53.4490665984</v>
      </c>
      <c r="K4236" s="25" t="n">
        <f aca="false">K4231*'Historical Financials'!G28/'Historical Financials'!G23</f>
        <v>50.242122602496</v>
      </c>
    </row>
    <row r="4237" customFormat="false" ht="15" hidden="false" customHeight="false" outlineLevel="0" collapsed="false">
      <c r="A4237" s="3" t="s">
        <v>288</v>
      </c>
      <c r="G4237" s="25" t="n">
        <f aca="false">G4231*'Historical Financials'!G29/'Historical Financials'!G23</f>
        <v>20.94616</v>
      </c>
      <c r="H4237" s="25" t="n">
        <f aca="false">H4231*'Historical Financials'!G29/'Historical Financials'!G23</f>
        <v>18.4326208</v>
      </c>
      <c r="I4237" s="25" t="n">
        <f aca="false">I4231*'Historical Financials'!G29/'Historical Financials'!G23</f>
        <v>16.58935872</v>
      </c>
      <c r="J4237" s="25" t="n">
        <f aca="false">J4231*'Historical Financials'!G29/'Historical Financials'!G23</f>
        <v>15.2622100224</v>
      </c>
      <c r="K4237" s="25" t="n">
        <f aca="false">K4231*'Historical Financials'!G29/'Historical Financials'!G23</f>
        <v>14.346477421056</v>
      </c>
    </row>
    <row r="4238" customFormat="false" ht="15" hidden="false" customHeight="false" outlineLevel="0" collapsed="false">
      <c r="A4238" s="2" t="s">
        <v>289</v>
      </c>
      <c r="G4238" s="16" t="n">
        <f aca="false">G4235-G4236-G4237</f>
        <v>2.28441799999998</v>
      </c>
      <c r="H4238" s="16" t="n">
        <f aca="false">H4235-H4236-H4237</f>
        <v>-23.488188592</v>
      </c>
      <c r="I4238" s="16" t="n">
        <f aca="false">I4235-I4236-I4237</f>
        <v>-28.7889126624</v>
      </c>
      <c r="J4238" s="16" t="n">
        <f aca="false">J4235-J4236-J4237</f>
        <v>-26.485799649408</v>
      </c>
      <c r="K4238" s="16" t="n">
        <f aca="false">K4235-K4236-K4237</f>
        <v>-24.8966516704435</v>
      </c>
    </row>
    <row r="4239" customFormat="false" ht="15" hidden="false" customHeight="false" outlineLevel="0" collapsed="false">
      <c r="A4239" s="3" t="s">
        <v>290</v>
      </c>
      <c r="G4239" s="25" t="n">
        <f aca="false">G4265+G4278+G4291</f>
        <v>155.95467</v>
      </c>
      <c r="H4239" s="25" t="n">
        <f aca="false">H4265+H4278+H4291</f>
        <v>155.95467</v>
      </c>
      <c r="I4239" s="25" t="n">
        <f aca="false">I4265+I4278+I4291</f>
        <v>155.95467</v>
      </c>
      <c r="J4239" s="25" t="n">
        <f aca="false">J4265+J4278+J4291</f>
        <v>153.238428001178</v>
      </c>
      <c r="K4239" s="25" t="n">
        <f aca="false">K4265+K4278+K4291</f>
        <v>153.238428001178</v>
      </c>
    </row>
    <row r="4240" customFormat="false" ht="15" hidden="false" customHeight="false" outlineLevel="0" collapsed="false">
      <c r="A4240" s="3" t="s">
        <v>291</v>
      </c>
      <c r="G4240" s="25" t="n">
        <f aca="false">G4266+G4279+G4292</f>
        <v>0</v>
      </c>
      <c r="H4240" s="25" t="n">
        <f aca="false">H4266+H4279+H4292</f>
        <v>0</v>
      </c>
      <c r="I4240" s="25" t="n">
        <f aca="false">I4266+I4279+I4292</f>
        <v>0</v>
      </c>
      <c r="J4240" s="25" t="n">
        <f aca="false">J4266+J4279+J4292</f>
        <v>0</v>
      </c>
      <c r="K4240" s="25" t="n">
        <f aca="false">K4266+K4279+K4292</f>
        <v>0</v>
      </c>
    </row>
    <row r="4241" customFormat="false" ht="15" hidden="false" customHeight="false" outlineLevel="0" collapsed="false">
      <c r="A4241" s="3" t="s">
        <v>239</v>
      </c>
      <c r="G4241" s="25" t="n">
        <f aca="false">G4239+G4240</f>
        <v>155.95467</v>
      </c>
      <c r="H4241" s="25" t="n">
        <f aca="false">H4239+H4240</f>
        <v>155.95467</v>
      </c>
      <c r="I4241" s="25" t="n">
        <f aca="false">I4239+I4240</f>
        <v>155.95467</v>
      </c>
      <c r="J4241" s="25" t="n">
        <f aca="false">J4239+J4240</f>
        <v>153.238428001178</v>
      </c>
      <c r="K4241" s="25" t="n">
        <f aca="false">K4239+K4240</f>
        <v>153.238428001178</v>
      </c>
    </row>
    <row r="4242" customFormat="false" ht="15" hidden="false" customHeight="false" outlineLevel="0" collapsed="false">
      <c r="A4242" s="2" t="s">
        <v>264</v>
      </c>
      <c r="G4242" s="16" t="n">
        <f aca="false">G4238-G4241</f>
        <v>-153.670252</v>
      </c>
      <c r="H4242" s="16" t="n">
        <f aca="false">H4238-H4241</f>
        <v>-179.442858592</v>
      </c>
      <c r="I4242" s="16" t="n">
        <f aca="false">I4238-I4241</f>
        <v>-184.7435826624</v>
      </c>
      <c r="J4242" s="16" t="n">
        <f aca="false">J4238-J4241</f>
        <v>-179.724227650586</v>
      </c>
      <c r="K4242" s="16" t="n">
        <f aca="false">K4238-K4241</f>
        <v>-178.135079671621</v>
      </c>
    </row>
    <row r="4243" customFormat="false" ht="15" hidden="false" customHeight="false" outlineLevel="0" collapsed="false">
      <c r="A4243" s="3" t="s">
        <v>292</v>
      </c>
      <c r="G4243" s="25" t="n">
        <f aca="false">MAX(0,G4242)*Assumptions!$C$9</f>
        <v>0</v>
      </c>
      <c r="H4243" s="25" t="n">
        <f aca="false">MAX(0,H4242)*Assumptions!$C$9</f>
        <v>0</v>
      </c>
      <c r="I4243" s="25" t="n">
        <f aca="false">MAX(0,I4242)*Assumptions!$C$9</f>
        <v>0</v>
      </c>
      <c r="J4243" s="25" t="n">
        <f aca="false">MAX(0,J4242)*Assumptions!$C$9</f>
        <v>0</v>
      </c>
      <c r="K4243" s="25" t="n">
        <f aca="false">MAX(0,K4242)*Assumptions!$C$9</f>
        <v>0</v>
      </c>
    </row>
    <row r="4244" customFormat="false" ht="15" hidden="false" customHeight="false" outlineLevel="0" collapsed="false">
      <c r="A4244" s="2" t="s">
        <v>293</v>
      </c>
      <c r="G4244" s="16" t="n">
        <f aca="false">G4242-G4243</f>
        <v>-153.670252</v>
      </c>
      <c r="H4244" s="16" t="n">
        <f aca="false">H4242-H4243</f>
        <v>-179.442858592</v>
      </c>
      <c r="I4244" s="16" t="n">
        <f aca="false">I4242-I4243</f>
        <v>-184.7435826624</v>
      </c>
      <c r="J4244" s="16" t="n">
        <f aca="false">J4242-J4243</f>
        <v>-179.724227650586</v>
      </c>
      <c r="K4244" s="16" t="n">
        <f aca="false">K4242-K4243</f>
        <v>-178.135079671621</v>
      </c>
    </row>
    <row r="4245" customFormat="false" ht="15" hidden="false" customHeight="false" outlineLevel="0" collapsed="false">
      <c r="A4245" s="23" t="s">
        <v>294</v>
      </c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</row>
    <row r="4246" customFormat="false" ht="15" hidden="false" customHeight="false" outlineLevel="0" collapsed="false">
      <c r="A4246" s="3" t="s">
        <v>169</v>
      </c>
      <c r="G4246" s="25" t="n">
        <f aca="false">G4231*CHOOSE($C$4218,Assumptions!$C$75,Assumptions!$C$94,Assumptions!$C$113)</f>
        <v>21.24873036</v>
      </c>
      <c r="H4246" s="25" t="n">
        <f aca="false">H4231*CHOOSE($C$4218,Assumptions!$C$75,Assumptions!$C$94,Assumptions!$C$113)</f>
        <v>18.6988827168</v>
      </c>
      <c r="I4246" s="25" t="n">
        <f aca="false">I4231*CHOOSE($C$4218,Assumptions!$C$75,Assumptions!$C$94,Assumptions!$C$113)</f>
        <v>16.82899444512</v>
      </c>
      <c r="J4246" s="25" t="n">
        <f aca="false">J4231*CHOOSE($C$4218,Assumptions!$C$75,Assumptions!$C$94,Assumptions!$C$113)</f>
        <v>15.4826748895104</v>
      </c>
      <c r="K4246" s="25" t="n">
        <f aca="false">K4231*CHOOSE($C$4218,Assumptions!$C$75,Assumptions!$C$94,Assumptions!$C$113)</f>
        <v>14.5537143961398</v>
      </c>
    </row>
    <row r="4247" customFormat="false" ht="15" hidden="false" customHeight="false" outlineLevel="0" collapsed="false">
      <c r="A4247" s="3" t="s">
        <v>295</v>
      </c>
      <c r="G4247" s="25" t="n">
        <f aca="false">CHOOSE($C$4218,Assumptions!$C$76,Assumptions!$C$95,Assumptions!$C$114)*(G4231-F4231)+CHOOSE($C$4218,Assumptions!$C$77,Assumptions!$C$96,Assumptions!$C$115)*G4231</f>
        <v>28.9755414</v>
      </c>
      <c r="H4247" s="25" t="n">
        <f aca="false">CHOOSE($C$4218,Assumptions!$C$76,Assumptions!$C$95,Assumptions!$C$114)*(H4231-G4231)+CHOOSE($C$4218,Assumptions!$C$77,Assumptions!$C$96,Assumptions!$C$115)*H4231</f>
        <v>25.498476432</v>
      </c>
      <c r="I4247" s="25" t="n">
        <f aca="false">CHOOSE($C$4218,Assumptions!$C$76,Assumptions!$C$95,Assumptions!$C$114)*(I4231-H4231)+CHOOSE($C$4218,Assumptions!$C$77,Assumptions!$C$96,Assumptions!$C$115)*I4231</f>
        <v>22.9486287888</v>
      </c>
      <c r="J4247" s="25" t="n">
        <f aca="false">CHOOSE($C$4218,Assumptions!$C$76,Assumptions!$C$95,Assumptions!$C$114)*(J4231-I4231)+CHOOSE($C$4218,Assumptions!$C$77,Assumptions!$C$96,Assumptions!$C$115)*J4231</f>
        <v>21.112738485696</v>
      </c>
      <c r="K4247" s="25" t="n">
        <f aca="false">CHOOSE($C$4218,Assumptions!$C$76,Assumptions!$C$95,Assumptions!$C$114)*(K4231-J4231)+CHOOSE($C$4218,Assumptions!$C$77,Assumptions!$C$96,Assumptions!$C$115)*K4231</f>
        <v>19.8459741765542</v>
      </c>
    </row>
    <row r="4248" customFormat="false" ht="15" hidden="false" customHeight="false" outlineLevel="0" collapsed="false">
      <c r="A4248" s="2" t="s">
        <v>296</v>
      </c>
      <c r="G4248" s="16" t="n">
        <f aca="false">G4244+G4236+G4237+G4240-G4246-G4247</f>
        <v>-109.59380376</v>
      </c>
      <c r="H4248" s="16" t="n">
        <f aca="false">H4244+H4236+H4237+H4240-H4246-H4247</f>
        <v>-140.6555841408</v>
      </c>
      <c r="I4248" s="16" t="n">
        <f aca="false">I4244+I4236+I4237+I4240-I4246-I4247</f>
        <v>-149.83503565632</v>
      </c>
      <c r="J4248" s="16" t="n">
        <f aca="false">J4244+J4236+J4237+J4240-J4246-J4247</f>
        <v>-147.608364404992</v>
      </c>
      <c r="K4248" s="16" t="n">
        <f aca="false">K4244+K4236+K4237+K4240-K4246-K4247</f>
        <v>-147.946168220763</v>
      </c>
    </row>
    <row r="4250" customFormat="false" ht="15" hidden="false" customHeight="false" outlineLevel="0" collapsed="false">
      <c r="A4250" s="23" t="s">
        <v>298</v>
      </c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</row>
    <row r="4251" customFormat="false" ht="15" hidden="false" customHeight="false" outlineLevel="0" collapsed="false">
      <c r="A4251" s="3" t="s">
        <v>299</v>
      </c>
      <c r="G4251" s="30" t="n">
        <f aca="false">Assumptions!$G$52</f>
        <v>0.039</v>
      </c>
      <c r="H4251" s="30" t="n">
        <f aca="false">Assumptions!$H$52</f>
        <v>0.0375</v>
      </c>
      <c r="I4251" s="30" t="n">
        <f aca="false">Assumptions!$I$52</f>
        <v>0.035</v>
      </c>
      <c r="J4251" s="30" t="n">
        <f aca="false">Assumptions!$J$52</f>
        <v>0.035</v>
      </c>
      <c r="K4251" s="30" t="n">
        <f aca="false">Assumptions!$K$52</f>
        <v>0.035</v>
      </c>
    </row>
    <row r="4252" customFormat="false" ht="15" hidden="false" customHeight="false" outlineLevel="0" collapsed="false">
      <c r="A4252" s="3" t="s">
        <v>300</v>
      </c>
      <c r="C4252" s="31" t="n">
        <f aca="false">CHOOSE($C$4218,Assumptions!$C$78,Assumptions!$C$97,Assumptions!$C$116)+$C$4221</f>
        <v>0.03</v>
      </c>
    </row>
    <row r="4253" customFormat="false" ht="15" hidden="false" customHeight="false" outlineLevel="0" collapsed="false">
      <c r="A4253" s="3" t="s">
        <v>301</v>
      </c>
      <c r="C4253" s="31" t="n">
        <f aca="false">CHOOSE($C$4218,Assumptions!$C$79,Assumptions!$C$98,Assumptions!$C$117)</f>
        <v>0.15</v>
      </c>
    </row>
    <row r="4254" customFormat="false" ht="15" hidden="false" customHeight="false" outlineLevel="0" collapsed="false">
      <c r="A4254" s="3" t="s">
        <v>302</v>
      </c>
      <c r="C4254" s="32" t="n">
        <f aca="false">CHOOSE($C$4218,Assumptions!$C$80,Assumptions!$C$99,Assumptions!$C$118)</f>
        <v>5</v>
      </c>
    </row>
    <row r="4255" customFormat="false" ht="15" hidden="false" customHeight="false" outlineLevel="0" collapsed="false">
      <c r="A4255" s="3" t="s">
        <v>303</v>
      </c>
      <c r="C4255" s="32" t="n">
        <f aca="false">CHOOSE($C$4218,Assumptions!$C$81,Assumptions!$C$100,Assumptions!$C$119)</f>
        <v>1.75</v>
      </c>
    </row>
    <row r="4256" customFormat="false" ht="15" hidden="false" customHeight="false" outlineLevel="0" collapsed="false">
      <c r="A4256" s="3" t="s">
        <v>304</v>
      </c>
      <c r="G4256" s="25" t="n">
        <f aca="false">G4261+G4274+G4287</f>
        <v>1735.554</v>
      </c>
      <c r="H4256" s="25" t="n">
        <f aca="false">H4261+H4274+H4287</f>
        <v>1735.554</v>
      </c>
      <c r="I4256" s="25" t="n">
        <f aca="false">I4261+I4274+I4287</f>
        <v>1735.554</v>
      </c>
      <c r="J4256" s="25" t="n">
        <f aca="false">J4261+J4274+J4287</f>
        <v>1671.64242355712</v>
      </c>
      <c r="K4256" s="25" t="n">
        <f aca="false">K4261+K4274+K4287</f>
        <v>1671.64242355712</v>
      </c>
    </row>
    <row r="4257" customFormat="false" ht="15" hidden="false" customHeight="false" outlineLevel="0" collapsed="false">
      <c r="A4257" s="3" t="s">
        <v>305</v>
      </c>
      <c r="G4257" s="25" t="n">
        <f aca="false">F4330</f>
        <v>463.996</v>
      </c>
      <c r="H4257" s="25" t="n">
        <f aca="false">G4330</f>
        <v>354.40219624</v>
      </c>
      <c r="I4257" s="25" t="n">
        <f aca="false">H4330</f>
        <v>213.7466120992</v>
      </c>
      <c r="J4257" s="25" t="n">
        <f aca="false">I4330</f>
        <v>0</v>
      </c>
      <c r="K4257" s="25" t="n">
        <f aca="false">J4330</f>
        <v>-147.608364404992</v>
      </c>
    </row>
    <row r="4258" customFormat="false" ht="15" hidden="false" customHeight="false" outlineLevel="0" collapsed="false">
      <c r="A4258" s="3" t="s">
        <v>306</v>
      </c>
      <c r="G4258" s="25" t="n">
        <f aca="false">G4261*IF(G4262=1,$C$4253,IF(Assumptions!$I$56=1,MAX(G4251,Assumptions!$G$56)+Assumptions!$F$56+$C$4252,Assumptions!$E$56))+G4274*IF(G4275=1,$C$4253,IF(Assumptions!$I$57=1,MAX(G4251,Assumptions!$G$57)+Assumptions!$F$57+$C$4252,Assumptions!$E$57))+G4287*IF(G4288=1,$C$4253,IF(Assumptions!$I$58=1,MAX(G4251,Assumptions!$G$58)+Assumptions!$F$58+$C$4252,Assumptions!$E$58))</f>
        <v>155.95467</v>
      </c>
      <c r="H4258" s="25" t="n">
        <f aca="false">H4261*IF(OR(H4262=1,G4408=1),$C$4253,IF(Assumptions!$I$56=1,MAX(H4251,Assumptions!$G$56)+Assumptions!$F$56+$C$4252,Assumptions!$E$56))+H4274*IF(OR(H4275=1,G4409=1),$C$4253,IF(Assumptions!$I$57=1,MAX(H4251,Assumptions!$G$57)+Assumptions!$F$57+$C$4252,Assumptions!$E$57))+H4287*IF(OR(H4288=1,G4410=1),$C$4253,IF(Assumptions!$I$58=1,MAX(H4251,Assumptions!$G$58)+Assumptions!$F$58+$C$4252,Assumptions!$E$58))</f>
        <v>155.95467</v>
      </c>
      <c r="I4258" s="25" t="n">
        <f aca="false">I4261*IF(OR(I4262=1,H4408=1),$C$4253,IF(Assumptions!$I$56=1,MAX(I4251,Assumptions!$G$56)+Assumptions!$F$56+$C$4252,Assumptions!$E$56))+I4274*IF(OR(I4275=1,H4409=1),$C$4253,IF(Assumptions!$I$57=1,MAX(I4251,Assumptions!$G$57)+Assumptions!$F$57+$C$4252,Assumptions!$E$57))+I4287*IF(OR(I4288=1,H4410=1),$C$4253,IF(Assumptions!$I$58=1,MAX(I4251,Assumptions!$G$58)+Assumptions!$F$58+$C$4252,Assumptions!$E$58))</f>
        <v>201.15369</v>
      </c>
      <c r="J4258" s="25" t="n">
        <f aca="false">J4261*IF(OR(J4262=1,I4408=1),$C$4253,IF(Assumptions!$I$56=1,MAX(J4251,Assumptions!$G$56)+Assumptions!$F$56+$C$4252,Assumptions!$E$56))+J4274*IF(OR(J4275=1,I4409=1),$C$4253,IF(Assumptions!$I$57=1,MAX(J4251,Assumptions!$G$57)+Assumptions!$F$57+$C$4252,Assumptions!$E$57))+J4287*IF(OR(J4288=1,I4410=1),$C$4253,IF(Assumptions!$I$58=1,MAX(J4251,Assumptions!$G$58)+Assumptions!$F$58+$C$4252,Assumptions!$E$58))</f>
        <v>153.238428001178</v>
      </c>
      <c r="K4258" s="25" t="n">
        <f aca="false">K4261*IF(OR(K4262=1,J4408=1),$C$4253,IF(Assumptions!$I$56=1,MAX(K4251,Assumptions!$G$56)+Assumptions!$F$56+$C$4252,Assumptions!$E$56))+K4274*IF(OR(K4275=1,J4409=1),$C$4253,IF(Assumptions!$I$57=1,MAX(K4251,Assumptions!$G$57)+Assumptions!$F$57+$C$4252,Assumptions!$E$57))+K4287*IF(OR(K4288=1,J4410=1),$C$4253,IF(Assumptions!$I$58=1,MAX(K4251,Assumptions!$G$58)+Assumptions!$F$58+$C$4252,Assumptions!$E$58))</f>
        <v>153.238428001178</v>
      </c>
    </row>
    <row r="4259" customFormat="false" ht="15" hidden="false" customHeight="false" outlineLevel="0" collapsed="false">
      <c r="A4259" s="3" t="s">
        <v>307</v>
      </c>
      <c r="G4259" s="20" t="n">
        <f aca="false">IF(G4235&lt;=0,0,IF(AND((G4256-G4257)/G4235&lt;=$C$4254,G4235/G4258&gt;=$C$4255),1,0))</f>
        <v>0</v>
      </c>
      <c r="H4259" s="20" t="n">
        <f aca="false">IF(H4235&lt;=0,0,IF(AND((H4256-H4257)/H4235&lt;=$C$4254,H4235/H4258&gt;=$C$4255),1,0))</f>
        <v>0</v>
      </c>
      <c r="I4259" s="20" t="n">
        <f aca="false">IF(I4235&lt;=0,0,IF(AND((I4256-I4257)/I4235&lt;=$C$4254,I4235/I4258&gt;=$C$4255),1,0))</f>
        <v>0</v>
      </c>
      <c r="J4259" s="20" t="n">
        <f aca="false">IF(J4235&lt;=0,0,IF(AND((J4256-J4257)/J4235&lt;=$C$4254,J4235/J4258&gt;=$C$4255),1,0))</f>
        <v>0</v>
      </c>
      <c r="K4259" s="20" t="n">
        <f aca="false">IF(K4235&lt;=0,0,IF(AND((K4256-K4257)/K4235&lt;=$C$4254,K4235/K4258&gt;=$C$4255),1,0))</f>
        <v>0</v>
      </c>
    </row>
    <row r="4260" customFormat="false" ht="15" hidden="false" customHeight="false" outlineLevel="0" collapsed="false">
      <c r="A4260" s="23" t="s">
        <v>308</v>
      </c>
      <c r="B4260" s="24"/>
      <c r="C4260" s="24"/>
      <c r="D4260" s="24"/>
      <c r="E4260" s="24"/>
      <c r="F4260" s="24"/>
      <c r="G4260" s="24"/>
      <c r="H4260" s="24"/>
      <c r="I4260" s="24"/>
      <c r="J4260" s="24"/>
      <c r="K4260" s="24"/>
    </row>
    <row r="4261" customFormat="false" ht="15" hidden="false" customHeight="false" outlineLevel="0" collapsed="false">
      <c r="A4261" s="3" t="s">
        <v>309</v>
      </c>
      <c r="G4261" s="25" t="n">
        <f aca="false">F4272</f>
        <v>1315.098</v>
      </c>
      <c r="H4261" s="25" t="n">
        <f aca="false">G4272</f>
        <v>1315.098</v>
      </c>
      <c r="I4261" s="25" t="n">
        <f aca="false">H4272</f>
        <v>1315.098</v>
      </c>
      <c r="J4261" s="25" t="n">
        <f aca="false">I4272</f>
        <v>1315.098</v>
      </c>
      <c r="K4261" s="25" t="n">
        <f aca="false">J4272</f>
        <v>1315.098</v>
      </c>
    </row>
    <row r="4262" customFormat="false" ht="15" hidden="false" customHeight="false" outlineLevel="0" collapsed="false">
      <c r="A4262" s="3" t="s">
        <v>310</v>
      </c>
      <c r="G4262" s="20" t="n">
        <f aca="false">IF(G4225=Assumptions!$K$56,1,0)</f>
        <v>0</v>
      </c>
      <c r="H4262" s="20" t="n">
        <f aca="false">IF(H4225=Assumptions!$K$56,1,0)</f>
        <v>0</v>
      </c>
      <c r="I4262" s="20" t="n">
        <f aca="false">IF(I4225=Assumptions!$K$56,1,0)</f>
        <v>0</v>
      </c>
      <c r="J4262" s="20" t="n">
        <f aca="false">IF(J4225=Assumptions!$K$56,1,0)</f>
        <v>0</v>
      </c>
      <c r="K4262" s="20" t="n">
        <f aca="false">IF(K4225=Assumptions!$K$56,1,0)</f>
        <v>0</v>
      </c>
    </row>
    <row r="4264" customFormat="false" ht="15" hidden="false" customHeight="false" outlineLevel="0" collapsed="false">
      <c r="A4264" s="3" t="s">
        <v>311</v>
      </c>
      <c r="G4264" s="31" t="n">
        <f aca="false">IF(Assumptions!$I$56=1,MAX(G4251,Assumptions!$G$56)+Assumptions!$F$56+$C$4252,Assumptions!$E$56)</f>
        <v>0.105</v>
      </c>
      <c r="H4264" s="31" t="n">
        <f aca="false">IF(G4408=1,$C$4253,IF(Assumptions!$I$56=1,MAX(H4251,Assumptions!$G$56)+Assumptions!$F$56+$C$4252,Assumptions!$E$56))</f>
        <v>0.105</v>
      </c>
      <c r="I4264" s="31" t="n">
        <f aca="false">IF(H4408=1,$C$4253,IF(Assumptions!$I$56=1,MAX(I4251,Assumptions!$G$56)+Assumptions!$F$56+$C$4252,Assumptions!$E$56))</f>
        <v>0.105</v>
      </c>
      <c r="J4264" s="31" t="n">
        <f aca="false">IF(I4408=1,$C$4253,IF(Assumptions!$I$56=1,MAX(J4251,Assumptions!$G$56)+Assumptions!$F$56+$C$4252,Assumptions!$E$56))</f>
        <v>0.105</v>
      </c>
      <c r="K4264" s="31" t="n">
        <f aca="false">IF(J4408=1,$C$4253,IF(Assumptions!$I$56=1,MAX(K4251,Assumptions!$G$56)+Assumptions!$F$56+$C$4252,Assumptions!$E$56))</f>
        <v>0.105</v>
      </c>
    </row>
    <row r="4265" customFormat="false" ht="15" hidden="false" customHeight="false" outlineLevel="0" collapsed="false">
      <c r="A4265" s="3" t="s">
        <v>312</v>
      </c>
      <c r="G4265" s="25" t="n">
        <f aca="false">G4261*G4264</f>
        <v>138.08529</v>
      </c>
      <c r="H4265" s="25" t="n">
        <f aca="false">H4261*H4264</f>
        <v>138.08529</v>
      </c>
      <c r="I4265" s="25" t="n">
        <f aca="false">I4261*I4264</f>
        <v>138.08529</v>
      </c>
      <c r="J4265" s="25" t="n">
        <f aca="false">J4261*J4264</f>
        <v>138.08529</v>
      </c>
      <c r="K4265" s="25" t="n">
        <f aca="false">K4261*K4264</f>
        <v>138.08529</v>
      </c>
    </row>
    <row r="4266" customFormat="false" ht="15" hidden="false" customHeight="false" outlineLevel="0" collapsed="false">
      <c r="A4266" s="3" t="s">
        <v>313</v>
      </c>
      <c r="G4266" s="25" t="n">
        <f aca="false">G4261*Assumptions!$H$56</f>
        <v>0</v>
      </c>
      <c r="H4266" s="25" t="n">
        <f aca="false">H4261*Assumptions!$H$56</f>
        <v>0</v>
      </c>
      <c r="I4266" s="25" t="n">
        <f aca="false">I4261*Assumptions!$H$56</f>
        <v>0</v>
      </c>
      <c r="J4266" s="25" t="n">
        <f aca="false">J4261*Assumptions!$H$56</f>
        <v>0</v>
      </c>
      <c r="K4266" s="25" t="n">
        <f aca="false">K4261*Assumptions!$H$56</f>
        <v>0</v>
      </c>
    </row>
    <row r="4267" customFormat="false" ht="15" hidden="false" customHeight="false" outlineLevel="0" collapsed="false">
      <c r="A4267" s="3" t="s">
        <v>314</v>
      </c>
      <c r="G4267" s="25" t="n">
        <f aca="false">MIN(G4261,Assumptions!$L$56*Assumptions!$C$56)</f>
        <v>0</v>
      </c>
      <c r="H4267" s="25" t="n">
        <f aca="false">MIN(H4261,Assumptions!$L$56*Assumptions!$C$56)</f>
        <v>0</v>
      </c>
      <c r="I4267" s="25" t="n">
        <f aca="false">MIN(I4261,Assumptions!$L$56*Assumptions!$C$56)</f>
        <v>0</v>
      </c>
      <c r="J4267" s="25" t="n">
        <f aca="false">MIN(J4261,Assumptions!$L$56*Assumptions!$C$56)</f>
        <v>0</v>
      </c>
      <c r="K4267" s="25" t="n">
        <f aca="false">MIN(K4261,Assumptions!$L$56*Assumptions!$C$56)</f>
        <v>0</v>
      </c>
    </row>
    <row r="4268" customFormat="false" ht="15" hidden="false" customHeight="false" outlineLevel="0" collapsed="false">
      <c r="A4268" s="3" t="s">
        <v>315</v>
      </c>
      <c r="G4268" s="25" t="n">
        <f aca="false">IF(AND(Assumptions!$P$56=1,G4225&lt;Assumptions!$K$56),MIN(MAX(0,-G4322),MAX(0,Assumptions!$D$56-G4261)),0)</f>
        <v>0</v>
      </c>
      <c r="H4268" s="25" t="n">
        <f aca="false">IF(AND(Assumptions!$P$56=1,OR(H4225&lt;Assumptions!$K$56,G4408=1)),MIN(MAX(0,-H4322),MAX(0,Assumptions!$D$56-H4261)),0)</f>
        <v>0</v>
      </c>
      <c r="I4268" s="25" t="n">
        <f aca="false">IF(AND(Assumptions!$P$56=1,OR(I4225&lt;Assumptions!$K$56,H4408=1)),MIN(MAX(0,-I4322),MAX(0,Assumptions!$D$56-I4261)),0)</f>
        <v>0</v>
      </c>
      <c r="J4268" s="25" t="n">
        <f aca="false">IF(AND(Assumptions!$P$56=1,OR(J4225&lt;Assumptions!$K$56,I4408=1)),MIN(MAX(0,-J4322),MAX(0,Assumptions!$D$56-J4261)),0)</f>
        <v>0</v>
      </c>
      <c r="K4268" s="25" t="n">
        <f aca="false">IF(AND(Assumptions!$P$56=1,OR(K4225&lt;Assumptions!$K$56,J4408=1)),MIN(MAX(0,-K4322),MAX(0,Assumptions!$D$56-K4261)),0)</f>
        <v>0</v>
      </c>
    </row>
    <row r="4269" customFormat="false" ht="15" hidden="false" customHeight="false" outlineLevel="0" collapsed="false">
      <c r="A4269" s="3" t="s">
        <v>316</v>
      </c>
      <c r="G4269" s="25" t="n">
        <f aca="false">G4262*MIN(G4261-G4267+G4266,MAX(0,G4324-Assumptions!$C$12*G4259))</f>
        <v>0</v>
      </c>
      <c r="H4269" s="25" t="n">
        <f aca="false">H4262*MIN(H4261-H4267+H4266,MAX(0,H4324-Assumptions!$C$12*H4259))</f>
        <v>0</v>
      </c>
      <c r="I4269" s="25" t="n">
        <f aca="false">I4262*MIN(I4261-I4267+I4266,MAX(0,I4324-Assumptions!$C$12*I4259))</f>
        <v>0</v>
      </c>
      <c r="J4269" s="25" t="n">
        <f aca="false">J4262*MIN(J4261-J4267+J4266,MAX(0,J4324-Assumptions!$C$12*J4259))</f>
        <v>0</v>
      </c>
      <c r="K4269" s="25" t="n">
        <f aca="false">K4262*MIN(K4261-K4267+K4266,MAX(0,K4324-Assumptions!$C$12*K4259))</f>
        <v>0</v>
      </c>
    </row>
    <row r="4270" customFormat="false" ht="15" hidden="false" customHeight="false" outlineLevel="0" collapsed="false">
      <c r="A4270" s="3" t="s">
        <v>317</v>
      </c>
      <c r="G4270" s="25" t="n">
        <f aca="false">Assumptions!$N$56*MIN(G4261+G4268+G4266-G4267-G4269,MAX(0,G4328))</f>
        <v>0</v>
      </c>
      <c r="H4270" s="25" t="n">
        <f aca="false">Assumptions!$N$56*MIN(H4261+H4268+H4266-H4267-H4269,MAX(0,H4328))</f>
        <v>0</v>
      </c>
      <c r="I4270" s="25" t="n">
        <f aca="false">Assumptions!$N$56*MIN(I4261+I4268+I4266-I4267-I4269,MAX(0,I4328))</f>
        <v>0</v>
      </c>
      <c r="J4270" s="25" t="n">
        <f aca="false">Assumptions!$N$56*MIN(J4261+J4268+J4266-J4267-J4269,MAX(0,J4328))</f>
        <v>0</v>
      </c>
      <c r="K4270" s="25" t="n">
        <f aca="false">Assumptions!$N$56*MIN(K4261+K4268+K4266-K4267-K4269,MAX(0,K4328))</f>
        <v>0</v>
      </c>
    </row>
    <row r="4271" customFormat="false" ht="15" hidden="false" customHeight="false" outlineLevel="0" collapsed="false">
      <c r="A4271" s="3" t="s">
        <v>318</v>
      </c>
      <c r="G4271" s="25" t="n">
        <f aca="false">G4262*(1-G4259)*(G4261-G4267+G4266-G4269)</f>
        <v>0</v>
      </c>
      <c r="H4271" s="25" t="n">
        <f aca="false">H4262*(1-H4259)*(H4261-H4267+H4266-H4269)</f>
        <v>0</v>
      </c>
      <c r="I4271" s="25" t="n">
        <f aca="false">I4262*(1-I4259)*(I4261-I4267+I4266-I4269)</f>
        <v>0</v>
      </c>
      <c r="J4271" s="25" t="n">
        <f aca="false">J4262*(1-J4259)*(J4261-J4267+J4266-J4269)</f>
        <v>0</v>
      </c>
      <c r="K4271" s="25" t="n">
        <f aca="false">K4262*(1-K4259)*(K4261-K4267+K4266-K4269)</f>
        <v>0</v>
      </c>
    </row>
    <row r="4272" customFormat="false" ht="15" hidden="false" customHeight="false" outlineLevel="0" collapsed="false">
      <c r="A4272" s="2" t="s">
        <v>319</v>
      </c>
      <c r="F4272" s="28" t="n">
        <f aca="false">Assumptions!$C$56</f>
        <v>1315.098</v>
      </c>
      <c r="G4272" s="16" t="n">
        <f aca="false">G4261+G4268+G4266-G4267-G4269-G4270</f>
        <v>1315.098</v>
      </c>
      <c r="H4272" s="16" t="n">
        <f aca="false">H4261+H4268+H4266-H4267-H4269-H4270</f>
        <v>1315.098</v>
      </c>
      <c r="I4272" s="16" t="n">
        <f aca="false">I4261+I4268+I4266-I4267-I4269-I4270</f>
        <v>1315.098</v>
      </c>
      <c r="J4272" s="16" t="n">
        <f aca="false">J4261+J4268+J4266-J4267-J4269-J4270</f>
        <v>1315.098</v>
      </c>
      <c r="K4272" s="16" t="n">
        <f aca="false">K4261+K4268+K4266-K4267-K4269-K4270</f>
        <v>1315.098</v>
      </c>
    </row>
    <row r="4273" customFormat="false" ht="15" hidden="false" customHeight="false" outlineLevel="0" collapsed="false">
      <c r="A4273" s="23" t="s">
        <v>320</v>
      </c>
      <c r="B4273" s="24"/>
      <c r="C4273" s="24"/>
      <c r="D4273" s="24"/>
      <c r="E4273" s="24"/>
      <c r="F4273" s="24"/>
      <c r="G4273" s="24"/>
      <c r="H4273" s="24"/>
      <c r="I4273" s="24"/>
      <c r="J4273" s="24"/>
      <c r="K4273" s="24"/>
    </row>
    <row r="4274" customFormat="false" ht="15" hidden="false" customHeight="false" outlineLevel="0" collapsed="false">
      <c r="A4274" s="3" t="s">
        <v>309</v>
      </c>
      <c r="G4274" s="25" t="n">
        <f aca="false">F4285</f>
        <v>276.706</v>
      </c>
      <c r="H4274" s="25" t="n">
        <f aca="false">G4285</f>
        <v>276.706</v>
      </c>
      <c r="I4274" s="25" t="n">
        <f aca="false">H4285</f>
        <v>276.706</v>
      </c>
      <c r="J4274" s="25" t="n">
        <f aca="false">I4285</f>
        <v>212.79442355712</v>
      </c>
      <c r="K4274" s="25" t="n">
        <f aca="false">J4285</f>
        <v>212.79442355712</v>
      </c>
    </row>
    <row r="4275" customFormat="false" ht="15" hidden="false" customHeight="false" outlineLevel="0" collapsed="false">
      <c r="A4275" s="3" t="s">
        <v>310</v>
      </c>
      <c r="G4275" s="20" t="n">
        <f aca="false">IF(G4225=Assumptions!$K$57,1,0)</f>
        <v>0</v>
      </c>
      <c r="H4275" s="20" t="n">
        <f aca="false">IF(H4225=Assumptions!$K$57,1,0)</f>
        <v>0</v>
      </c>
      <c r="I4275" s="20" t="n">
        <f aca="false">IF(I4225=Assumptions!$K$57,1,0)</f>
        <v>1</v>
      </c>
      <c r="J4275" s="20" t="n">
        <f aca="false">IF(J4225=Assumptions!$K$57,1,0)</f>
        <v>0</v>
      </c>
      <c r="K4275" s="20" t="n">
        <f aca="false">IF(K4225=Assumptions!$K$57,1,0)</f>
        <v>0</v>
      </c>
    </row>
    <row r="4277" customFormat="false" ht="15" hidden="false" customHeight="false" outlineLevel="0" collapsed="false">
      <c r="A4277" s="3" t="s">
        <v>311</v>
      </c>
      <c r="G4277" s="31" t="n">
        <f aca="false">IF(Assumptions!$I$57=1,MAX(G4251,Assumptions!$G$57)+Assumptions!$F$57+$C$4252,Assumptions!$E$57)</f>
        <v>0.0425</v>
      </c>
      <c r="H4277" s="31" t="n">
        <f aca="false">IF(G4409=1,$C$4253,IF(Assumptions!$I$57=1,MAX(H4251,Assumptions!$G$57)+Assumptions!$F$57+$C$4252,Assumptions!$E$57))</f>
        <v>0.0425</v>
      </c>
      <c r="I4277" s="31" t="n">
        <f aca="false">IF(H4409=1,$C$4253,IF(Assumptions!$I$57=1,MAX(I4251,Assumptions!$G$57)+Assumptions!$F$57+$C$4252,Assumptions!$E$57))</f>
        <v>0.0425</v>
      </c>
      <c r="J4277" s="31" t="n">
        <f aca="false">IF(I4409=1,$C$4253,IF(Assumptions!$I$57=1,MAX(J4251,Assumptions!$G$57)+Assumptions!$F$57+$C$4252,Assumptions!$E$57))</f>
        <v>0.0425</v>
      </c>
      <c r="K4277" s="31" t="n">
        <f aca="false">IF(J4409=1,$C$4253,IF(Assumptions!$I$57=1,MAX(K4251,Assumptions!$G$57)+Assumptions!$F$57+$C$4252,Assumptions!$E$57))</f>
        <v>0.0425</v>
      </c>
    </row>
    <row r="4278" customFormat="false" ht="15" hidden="false" customHeight="false" outlineLevel="0" collapsed="false">
      <c r="A4278" s="3" t="s">
        <v>312</v>
      </c>
      <c r="G4278" s="25" t="n">
        <f aca="false">G4274*G4277</f>
        <v>11.760005</v>
      </c>
      <c r="H4278" s="25" t="n">
        <f aca="false">H4274*H4277</f>
        <v>11.760005</v>
      </c>
      <c r="I4278" s="25" t="n">
        <f aca="false">I4274*I4277</f>
        <v>11.760005</v>
      </c>
      <c r="J4278" s="25" t="n">
        <f aca="false">J4274*J4277</f>
        <v>9.0437630011776</v>
      </c>
      <c r="K4278" s="25" t="n">
        <f aca="false">K4274*K4277</f>
        <v>9.0437630011776</v>
      </c>
    </row>
    <row r="4279" customFormat="false" ht="15" hidden="false" customHeight="false" outlineLevel="0" collapsed="false">
      <c r="A4279" s="3" t="s">
        <v>313</v>
      </c>
      <c r="G4279" s="25" t="n">
        <f aca="false">G4274*Assumptions!$H$57</f>
        <v>0</v>
      </c>
      <c r="H4279" s="25" t="n">
        <f aca="false">H4274*Assumptions!$H$57</f>
        <v>0</v>
      </c>
      <c r="I4279" s="25" t="n">
        <f aca="false">I4274*Assumptions!$H$57</f>
        <v>0</v>
      </c>
      <c r="J4279" s="25" t="n">
        <f aca="false">J4274*Assumptions!$H$57</f>
        <v>0</v>
      </c>
      <c r="K4279" s="25" t="n">
        <f aca="false">K4274*Assumptions!$H$57</f>
        <v>0</v>
      </c>
    </row>
    <row r="4280" customFormat="false" ht="15" hidden="false" customHeight="false" outlineLevel="0" collapsed="false">
      <c r="A4280" s="3" t="s">
        <v>314</v>
      </c>
      <c r="G4280" s="25" t="n">
        <f aca="false">MIN(G4274,Assumptions!$L$57*Assumptions!$C$57)</f>
        <v>0</v>
      </c>
      <c r="H4280" s="25" t="n">
        <f aca="false">MIN(H4274,Assumptions!$L$57*Assumptions!$C$57)</f>
        <v>0</v>
      </c>
      <c r="I4280" s="25" t="n">
        <f aca="false">MIN(I4274,Assumptions!$L$57*Assumptions!$C$57)</f>
        <v>0</v>
      </c>
      <c r="J4280" s="25" t="n">
        <f aca="false">MIN(J4274,Assumptions!$L$57*Assumptions!$C$57)</f>
        <v>0</v>
      </c>
      <c r="K4280" s="25" t="n">
        <f aca="false">MIN(K4274,Assumptions!$L$57*Assumptions!$C$57)</f>
        <v>0</v>
      </c>
    </row>
    <row r="4281" customFormat="false" ht="15" hidden="false" customHeight="false" outlineLevel="0" collapsed="false">
      <c r="A4281" s="3" t="s">
        <v>315</v>
      </c>
      <c r="G4281" s="25" t="n">
        <f aca="false">IF(AND(Assumptions!$P$57=1,G4225&lt;Assumptions!$K$57),MIN(MAX(0,-G4322),MAX(0,Assumptions!$D$57-G4274)),0)</f>
        <v>0</v>
      </c>
      <c r="H4281" s="25" t="n">
        <f aca="false">IF(AND(Assumptions!$P$57=1,OR(H4225&lt;Assumptions!$K$57,G4409=1)),MIN(MAX(0,-H4322),MAX(0,Assumptions!$D$57-H4274)),0)</f>
        <v>0</v>
      </c>
      <c r="I4281" s="25" t="n">
        <f aca="false">IF(AND(Assumptions!$P$57=1,OR(I4225&lt;Assumptions!$K$57,H4409=1)),MIN(MAX(0,-I4322),MAX(0,Assumptions!$D$57-I4274)),0)</f>
        <v>0</v>
      </c>
      <c r="J4281" s="25" t="n">
        <f aca="false">IF(AND(Assumptions!$P$57=1,OR(J4225&lt;Assumptions!$K$57,I4409=1)),MIN(MAX(0,-J4322),MAX(0,Assumptions!$D$57-J4274)),0)</f>
        <v>0</v>
      </c>
      <c r="K4281" s="25" t="n">
        <f aca="false">IF(AND(Assumptions!$P$57=1,OR(K4225&lt;Assumptions!$K$57,J4409=1)),MIN(MAX(0,-K4322),MAX(0,Assumptions!$D$57-K4274)),0)</f>
        <v>0</v>
      </c>
    </row>
    <row r="4282" customFormat="false" ht="15" hidden="false" customHeight="false" outlineLevel="0" collapsed="false">
      <c r="A4282" s="3" t="s">
        <v>316</v>
      </c>
      <c r="G4282" s="25" t="n">
        <f aca="false">G4275*MIN(G4274-G4280+G4279,MAX(0,G4324-Assumptions!$C$12*G4259-G4269))</f>
        <v>0</v>
      </c>
      <c r="H4282" s="25" t="n">
        <f aca="false">H4275*MIN(H4274-H4280+H4279,MAX(0,H4324-Assumptions!$C$12*H4259-H4269))</f>
        <v>0</v>
      </c>
      <c r="I4282" s="25" t="n">
        <f aca="false">I4275*MIN(I4274-I4280+I4279,MAX(0,I4324-Assumptions!$C$12*I4259-I4269))</f>
        <v>63.91157644288</v>
      </c>
      <c r="J4282" s="25" t="n">
        <f aca="false">J4275*MIN(J4274-J4280+J4279,MAX(0,J4324-Assumptions!$C$12*J4259-J4269))</f>
        <v>0</v>
      </c>
      <c r="K4282" s="25" t="n">
        <f aca="false">K4275*MIN(K4274-K4280+K4279,MAX(0,K4324-Assumptions!$C$12*K4259-K4269))</f>
        <v>0</v>
      </c>
    </row>
    <row r="4283" customFormat="false" ht="15" hidden="false" customHeight="false" outlineLevel="0" collapsed="false">
      <c r="A4283" s="3" t="s">
        <v>317</v>
      </c>
      <c r="G4283" s="25" t="n">
        <f aca="false">Assumptions!$N$57*MIN(G4274+G4281+G4279-G4280-G4282,MAX(0,G4328-G4270))</f>
        <v>0</v>
      </c>
      <c r="H4283" s="25" t="n">
        <f aca="false">Assumptions!$N$57*MIN(H4274+H4281+H4279-H4280-H4282,MAX(0,H4328-H4270))</f>
        <v>0</v>
      </c>
      <c r="I4283" s="25" t="n">
        <f aca="false">Assumptions!$N$57*MIN(I4274+I4281+I4279-I4280-I4282,MAX(0,I4328-I4270))</f>
        <v>0</v>
      </c>
      <c r="J4283" s="25" t="n">
        <f aca="false">Assumptions!$N$57*MIN(J4274+J4281+J4279-J4280-J4282,MAX(0,J4328-J4270))</f>
        <v>0</v>
      </c>
      <c r="K4283" s="25" t="n">
        <f aca="false">Assumptions!$N$57*MIN(K4274+K4281+K4279-K4280-K4282,MAX(0,K4328-K4270))</f>
        <v>0</v>
      </c>
    </row>
    <row r="4284" customFormat="false" ht="15" hidden="false" customHeight="false" outlineLevel="0" collapsed="false">
      <c r="A4284" s="3" t="s">
        <v>318</v>
      </c>
      <c r="G4284" s="25" t="n">
        <f aca="false">G4275*(1-G4259)*(G4274-G4280+G4279-G4282)</f>
        <v>0</v>
      </c>
      <c r="H4284" s="25" t="n">
        <f aca="false">H4275*(1-H4259)*(H4274-H4280+H4279-H4282)</f>
        <v>0</v>
      </c>
      <c r="I4284" s="25" t="n">
        <f aca="false">I4275*(1-I4259)*(I4274-I4280+I4279-I4282)</f>
        <v>212.79442355712</v>
      </c>
      <c r="J4284" s="25" t="n">
        <f aca="false">J4275*(1-J4259)*(J4274-J4280+J4279-J4282)</f>
        <v>0</v>
      </c>
      <c r="K4284" s="25" t="n">
        <f aca="false">K4275*(1-K4259)*(K4274-K4280+K4279-K4282)</f>
        <v>0</v>
      </c>
    </row>
    <row r="4285" customFormat="false" ht="15" hidden="false" customHeight="false" outlineLevel="0" collapsed="false">
      <c r="A4285" s="2" t="s">
        <v>319</v>
      </c>
      <c r="F4285" s="28" t="n">
        <f aca="false">Assumptions!$C$57</f>
        <v>276.706</v>
      </c>
      <c r="G4285" s="16" t="n">
        <f aca="false">G4274+G4281+G4279-G4280-G4282-G4283</f>
        <v>276.706</v>
      </c>
      <c r="H4285" s="16" t="n">
        <f aca="false">H4274+H4281+H4279-H4280-H4282-H4283</f>
        <v>276.706</v>
      </c>
      <c r="I4285" s="16" t="n">
        <f aca="false">I4274+I4281+I4279-I4280-I4282-I4283</f>
        <v>212.79442355712</v>
      </c>
      <c r="J4285" s="16" t="n">
        <f aca="false">J4274+J4281+J4279-J4280-J4282-J4283</f>
        <v>212.79442355712</v>
      </c>
      <c r="K4285" s="16" t="n">
        <f aca="false">K4274+K4281+K4279-K4280-K4282-K4283</f>
        <v>212.79442355712</v>
      </c>
    </row>
    <row r="4286" customFormat="false" ht="15" hidden="false" customHeight="false" outlineLevel="0" collapsed="false">
      <c r="A4286" s="23" t="s">
        <v>321</v>
      </c>
      <c r="B4286" s="24"/>
      <c r="C4286" s="24"/>
      <c r="D4286" s="24"/>
      <c r="E4286" s="24"/>
      <c r="F4286" s="24"/>
      <c r="G4286" s="24"/>
      <c r="H4286" s="24"/>
      <c r="I4286" s="24"/>
      <c r="J4286" s="24"/>
      <c r="K4286" s="24"/>
    </row>
    <row r="4287" customFormat="false" ht="15" hidden="false" customHeight="false" outlineLevel="0" collapsed="false">
      <c r="A4287" s="3" t="s">
        <v>309</v>
      </c>
      <c r="G4287" s="25" t="n">
        <f aca="false">F4298</f>
        <v>143.75</v>
      </c>
      <c r="H4287" s="25" t="n">
        <f aca="false">G4298</f>
        <v>143.75</v>
      </c>
      <c r="I4287" s="25" t="n">
        <f aca="false">H4298</f>
        <v>143.75</v>
      </c>
      <c r="J4287" s="25" t="n">
        <f aca="false">I4298</f>
        <v>143.75</v>
      </c>
      <c r="K4287" s="25" t="n">
        <f aca="false">J4298</f>
        <v>143.75</v>
      </c>
    </row>
    <row r="4288" customFormat="false" ht="15" hidden="false" customHeight="false" outlineLevel="0" collapsed="false">
      <c r="A4288" s="3" t="s">
        <v>310</v>
      </c>
      <c r="G4288" s="20" t="n">
        <f aca="false">IF(G4225=Assumptions!$K$58,1,0)</f>
        <v>0</v>
      </c>
      <c r="H4288" s="20" t="n">
        <f aca="false">IF(H4225=Assumptions!$K$58,1,0)</f>
        <v>0</v>
      </c>
      <c r="I4288" s="20" t="n">
        <f aca="false">IF(I4225=Assumptions!$K$58,1,0)</f>
        <v>1</v>
      </c>
      <c r="J4288" s="20" t="n">
        <f aca="false">IF(J4225=Assumptions!$K$58,1,0)</f>
        <v>0</v>
      </c>
      <c r="K4288" s="20" t="n">
        <f aca="false">IF(K4225=Assumptions!$K$58,1,0)</f>
        <v>0</v>
      </c>
    </row>
    <row r="4290" customFormat="false" ht="15" hidden="false" customHeight="false" outlineLevel="0" collapsed="false">
      <c r="A4290" s="3" t="s">
        <v>311</v>
      </c>
      <c r="G4290" s="31" t="n">
        <f aca="false">IF(Assumptions!$I$58=1,MAX(G4251,Assumptions!$G$58)+Assumptions!$F$58+$C$4252,Assumptions!$E$58)</f>
        <v>0.0425</v>
      </c>
      <c r="H4290" s="31" t="n">
        <f aca="false">IF(G4410=1,$C$4253,IF(Assumptions!$I$58=1,MAX(H4251,Assumptions!$G$58)+Assumptions!$F$58+$C$4252,Assumptions!$E$58))</f>
        <v>0.0425</v>
      </c>
      <c r="I4290" s="31" t="n">
        <f aca="false">IF(H4410=1,$C$4253,IF(Assumptions!$I$58=1,MAX(I4251,Assumptions!$G$58)+Assumptions!$F$58+$C$4252,Assumptions!$E$58))</f>
        <v>0.0425</v>
      </c>
      <c r="J4290" s="31" t="n">
        <f aca="false">IF(I4410=1,$C$4253,IF(Assumptions!$I$58=1,MAX(J4251,Assumptions!$G$58)+Assumptions!$F$58+$C$4252,Assumptions!$E$58))</f>
        <v>0.0425</v>
      </c>
      <c r="K4290" s="31" t="n">
        <f aca="false">IF(J4410=1,$C$4253,IF(Assumptions!$I$58=1,MAX(K4251,Assumptions!$G$58)+Assumptions!$F$58+$C$4252,Assumptions!$E$58))</f>
        <v>0.0425</v>
      </c>
    </row>
    <row r="4291" customFormat="false" ht="15" hidden="false" customHeight="false" outlineLevel="0" collapsed="false">
      <c r="A4291" s="3" t="s">
        <v>312</v>
      </c>
      <c r="G4291" s="25" t="n">
        <f aca="false">G4287*G4290</f>
        <v>6.109375</v>
      </c>
      <c r="H4291" s="25" t="n">
        <f aca="false">H4287*H4290</f>
        <v>6.109375</v>
      </c>
      <c r="I4291" s="25" t="n">
        <f aca="false">I4287*I4290</f>
        <v>6.109375</v>
      </c>
      <c r="J4291" s="25" t="n">
        <f aca="false">J4287*J4290</f>
        <v>6.109375</v>
      </c>
      <c r="K4291" s="25" t="n">
        <f aca="false">K4287*K4290</f>
        <v>6.109375</v>
      </c>
    </row>
    <row r="4292" customFormat="false" ht="15" hidden="false" customHeight="false" outlineLevel="0" collapsed="false">
      <c r="A4292" s="3" t="s">
        <v>313</v>
      </c>
      <c r="G4292" s="25" t="n">
        <f aca="false">G4287*Assumptions!$H$58</f>
        <v>0</v>
      </c>
      <c r="H4292" s="25" t="n">
        <f aca="false">H4287*Assumptions!$H$58</f>
        <v>0</v>
      </c>
      <c r="I4292" s="25" t="n">
        <f aca="false">I4287*Assumptions!$H$58</f>
        <v>0</v>
      </c>
      <c r="J4292" s="25" t="n">
        <f aca="false">J4287*Assumptions!$H$58</f>
        <v>0</v>
      </c>
      <c r="K4292" s="25" t="n">
        <f aca="false">K4287*Assumptions!$H$58</f>
        <v>0</v>
      </c>
    </row>
    <row r="4293" customFormat="false" ht="15" hidden="false" customHeight="false" outlineLevel="0" collapsed="false">
      <c r="A4293" s="3" t="s">
        <v>314</v>
      </c>
      <c r="G4293" s="25" t="n">
        <f aca="false">MIN(G4287,Assumptions!$L$58*Assumptions!$C$58)</f>
        <v>0</v>
      </c>
      <c r="H4293" s="25" t="n">
        <f aca="false">MIN(H4287,Assumptions!$L$58*Assumptions!$C$58)</f>
        <v>0</v>
      </c>
      <c r="I4293" s="25" t="n">
        <f aca="false">MIN(I4287,Assumptions!$L$58*Assumptions!$C$58)</f>
        <v>0</v>
      </c>
      <c r="J4293" s="25" t="n">
        <f aca="false">MIN(J4287,Assumptions!$L$58*Assumptions!$C$58)</f>
        <v>0</v>
      </c>
      <c r="K4293" s="25" t="n">
        <f aca="false">MIN(K4287,Assumptions!$L$58*Assumptions!$C$58)</f>
        <v>0</v>
      </c>
    </row>
    <row r="4294" customFormat="false" ht="15" hidden="false" customHeight="false" outlineLevel="0" collapsed="false">
      <c r="A4294" s="3" t="s">
        <v>315</v>
      </c>
      <c r="G4294" s="25" t="n">
        <f aca="false">IF(AND(Assumptions!$P$58=1,G4225&lt;Assumptions!$K$58),MIN(MAX(0,-G4322),MAX(0,Assumptions!$D$58-G4287)),0)</f>
        <v>0</v>
      </c>
      <c r="H4294" s="25" t="n">
        <f aca="false">IF(AND(Assumptions!$P$58=1,OR(H4225&lt;Assumptions!$K$58,G4410=1)),MIN(MAX(0,-H4322),MAX(0,Assumptions!$D$58-H4287)),0)</f>
        <v>0</v>
      </c>
      <c r="I4294" s="25" t="n">
        <f aca="false">IF(AND(Assumptions!$P$58=1,OR(I4225&lt;Assumptions!$K$58,H4410=1)),MIN(MAX(0,-I4322),MAX(0,Assumptions!$D$58-I4287)),0)</f>
        <v>0</v>
      </c>
      <c r="J4294" s="25" t="n">
        <f aca="false">IF(AND(Assumptions!$P$58=1,OR(J4225&lt;Assumptions!$K$58,I4410=1)),MIN(MAX(0,-J4322),MAX(0,Assumptions!$D$58-J4287)),0)</f>
        <v>0</v>
      </c>
      <c r="K4294" s="25" t="n">
        <f aca="false">IF(AND(Assumptions!$P$58=1,OR(K4225&lt;Assumptions!$K$58,J4410=1)),MIN(MAX(0,-K4322),MAX(0,Assumptions!$D$58-K4287)),0)</f>
        <v>0</v>
      </c>
    </row>
    <row r="4295" customFormat="false" ht="15" hidden="false" customHeight="false" outlineLevel="0" collapsed="false">
      <c r="A4295" s="3" t="s">
        <v>316</v>
      </c>
      <c r="G4295" s="25" t="n">
        <f aca="false">G4288*MIN(G4287-G4293+G4292,MAX(0,G4324-Assumptions!$C$12*G4259-G4269-G4282))</f>
        <v>0</v>
      </c>
      <c r="H4295" s="25" t="n">
        <f aca="false">H4288*MIN(H4287-H4293+H4292,MAX(0,H4324-Assumptions!$C$12*H4259-H4269-H4282))</f>
        <v>0</v>
      </c>
      <c r="I4295" s="25" t="n">
        <f aca="false">I4288*MIN(I4287-I4293+I4292,MAX(0,I4324-Assumptions!$C$12*I4259-I4269-I4282))</f>
        <v>0</v>
      </c>
      <c r="J4295" s="25" t="n">
        <f aca="false">J4288*MIN(J4287-J4293+J4292,MAX(0,J4324-Assumptions!$C$12*J4259-J4269-J4282))</f>
        <v>0</v>
      </c>
      <c r="K4295" s="25" t="n">
        <f aca="false">K4288*MIN(K4287-K4293+K4292,MAX(0,K4324-Assumptions!$C$12*K4259-K4269-K4282))</f>
        <v>0</v>
      </c>
    </row>
    <row r="4296" customFormat="false" ht="15" hidden="false" customHeight="false" outlineLevel="0" collapsed="false">
      <c r="A4296" s="3" t="s">
        <v>317</v>
      </c>
      <c r="G4296" s="25" t="n">
        <f aca="false">Assumptions!$N$58*MIN(G4287+G4294+G4292-G4293-G4295,MAX(0,G4328-G4270-G4283))</f>
        <v>0</v>
      </c>
      <c r="H4296" s="25" t="n">
        <f aca="false">Assumptions!$N$58*MIN(H4287+H4294+H4292-H4293-H4295,MAX(0,H4328-H4270-H4283))</f>
        <v>0</v>
      </c>
      <c r="I4296" s="25" t="n">
        <f aca="false">Assumptions!$N$58*MIN(I4287+I4294+I4292-I4293-I4295,MAX(0,I4328-I4270-I4283))</f>
        <v>0</v>
      </c>
      <c r="J4296" s="25" t="n">
        <f aca="false">Assumptions!$N$58*MIN(J4287+J4294+J4292-J4293-J4295,MAX(0,J4328-J4270-J4283))</f>
        <v>0</v>
      </c>
      <c r="K4296" s="25" t="n">
        <f aca="false">Assumptions!$N$58*MIN(K4287+K4294+K4292-K4293-K4295,MAX(0,K4328-K4270-K4283))</f>
        <v>0</v>
      </c>
    </row>
    <row r="4297" customFormat="false" ht="15" hidden="false" customHeight="false" outlineLevel="0" collapsed="false">
      <c r="A4297" s="3" t="s">
        <v>318</v>
      </c>
      <c r="G4297" s="25" t="n">
        <f aca="false">G4288*(1-G4259)*(G4287-G4293+G4292-G4295)</f>
        <v>0</v>
      </c>
      <c r="H4297" s="25" t="n">
        <f aca="false">H4288*(1-H4259)*(H4287-H4293+H4292-H4295)</f>
        <v>0</v>
      </c>
      <c r="I4297" s="25" t="n">
        <f aca="false">I4288*(1-I4259)*(I4287-I4293+I4292-I4295)</f>
        <v>143.75</v>
      </c>
      <c r="J4297" s="25" t="n">
        <f aca="false">J4288*(1-J4259)*(J4287-J4293+J4292-J4295)</f>
        <v>0</v>
      </c>
      <c r="K4297" s="25" t="n">
        <f aca="false">K4288*(1-K4259)*(K4287-K4293+K4292-K4295)</f>
        <v>0</v>
      </c>
    </row>
    <row r="4298" customFormat="false" ht="15" hidden="false" customHeight="false" outlineLevel="0" collapsed="false">
      <c r="A4298" s="2" t="s">
        <v>319</v>
      </c>
      <c r="F4298" s="28" t="n">
        <f aca="false">Assumptions!$C$58</f>
        <v>143.75</v>
      </c>
      <c r="G4298" s="16" t="n">
        <f aca="false">G4287+G4294+G4292-G4293-G4295-G4296</f>
        <v>143.75</v>
      </c>
      <c r="H4298" s="16" t="n">
        <f aca="false">H4287+H4294+H4292-H4293-H4295-H4296</f>
        <v>143.75</v>
      </c>
      <c r="I4298" s="16" t="n">
        <f aca="false">I4287+I4294+I4292-I4293-I4295-I4296</f>
        <v>143.75</v>
      </c>
      <c r="J4298" s="16" t="n">
        <f aca="false">J4287+J4294+J4292-J4293-J4295-J4296</f>
        <v>143.75</v>
      </c>
      <c r="K4298" s="16" t="n">
        <f aca="false">K4287+K4294+K4292-K4293-K4295-K4296</f>
        <v>143.75</v>
      </c>
    </row>
    <row r="4299" customFormat="false" ht="15" hidden="false" customHeight="false" outlineLevel="0" collapsed="false">
      <c r="A4299" s="23" t="s">
        <v>322</v>
      </c>
      <c r="B4299" s="24"/>
      <c r="C4299" s="24"/>
      <c r="D4299" s="24"/>
      <c r="E4299" s="24"/>
      <c r="F4299" s="24"/>
      <c r="G4299" s="24"/>
      <c r="H4299" s="24"/>
      <c r="I4299" s="24"/>
      <c r="J4299" s="24"/>
      <c r="K4299" s="24"/>
    </row>
    <row r="4300" customFormat="false" ht="15" hidden="false" customHeight="false" outlineLevel="0" collapsed="false">
      <c r="A4300" s="2" t="s">
        <v>323</v>
      </c>
      <c r="F4300" s="16" t="n">
        <f aca="false">F4272+F4285+F4298</f>
        <v>1735.554</v>
      </c>
      <c r="G4300" s="16" t="n">
        <f aca="false">G4272+G4285+G4298</f>
        <v>1735.554</v>
      </c>
      <c r="H4300" s="16" t="n">
        <f aca="false">H4272+H4285+H4298</f>
        <v>1735.554</v>
      </c>
      <c r="I4300" s="16" t="n">
        <f aca="false">I4272+I4285+I4298</f>
        <v>1671.64242355712</v>
      </c>
      <c r="J4300" s="16" t="n">
        <f aca="false">J4272+J4285+J4298</f>
        <v>1671.64242355712</v>
      </c>
      <c r="K4300" s="16" t="n">
        <f aca="false">K4272+K4285+K4298</f>
        <v>1671.64242355712</v>
      </c>
    </row>
    <row r="4301" customFormat="false" ht="15" hidden="false" customHeight="false" outlineLevel="0" collapsed="false">
      <c r="A4301" s="3" t="s">
        <v>324</v>
      </c>
      <c r="G4301" s="25" t="n">
        <f aca="false">G4262*Assumptions!$C$56+G4275*Assumptions!$C$57+G4288*Assumptions!$C$58</f>
        <v>0</v>
      </c>
      <c r="H4301" s="25" t="n">
        <f aca="false">H4262*Assumptions!$C$56+H4275*Assumptions!$C$57+H4288*Assumptions!$C$58</f>
        <v>0</v>
      </c>
      <c r="I4301" s="25" t="n">
        <f aca="false">I4262*Assumptions!$C$56+I4275*Assumptions!$C$57+I4288*Assumptions!$C$58</f>
        <v>420.456</v>
      </c>
      <c r="J4301" s="25" t="n">
        <f aca="false">J4262*Assumptions!$C$56+J4275*Assumptions!$C$57+J4288*Assumptions!$C$58</f>
        <v>0</v>
      </c>
      <c r="K4301" s="25" t="n">
        <f aca="false">K4262*Assumptions!$C$56+K4275*Assumptions!$C$57+K4288*Assumptions!$C$58</f>
        <v>0</v>
      </c>
    </row>
    <row r="4302" customFormat="false" ht="15" hidden="false" customHeight="false" outlineLevel="0" collapsed="false">
      <c r="A4302" s="23" t="s">
        <v>325</v>
      </c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</row>
    <row r="4303" customFormat="false" ht="15" hidden="false" customHeight="false" outlineLevel="0" collapsed="false">
      <c r="A4303" s="3" t="s">
        <v>326</v>
      </c>
      <c r="C4303" s="25" t="n">
        <f aca="false">SUMPRODUCT($G$4262:$K$4262,$G$4261:$K$4261-$G$4267:$K$4267+$G$4266:$K$4266)</f>
        <v>0</v>
      </c>
    </row>
    <row r="4304" customFormat="false" ht="15" hidden="false" customHeight="false" outlineLevel="0" collapsed="false">
      <c r="A4304" s="3" t="s">
        <v>327</v>
      </c>
      <c r="C4304" s="25" t="n">
        <f aca="false">SUMPRODUCT($G$4262:$K$4262,$G$4269:$K$4269)</f>
        <v>0</v>
      </c>
    </row>
    <row r="4305" customFormat="false" ht="15" hidden="false" customHeight="false" outlineLevel="0" collapsed="false">
      <c r="A4305" s="3" t="s">
        <v>328</v>
      </c>
      <c r="C4305" s="3" t="str">
        <f aca="false">IF(SUM($G$4262:$K$4262)=0,"n/a (beyond horizon)",IF(SUMPRODUCT($G$4262:$K$4262,$G$4259:$K$4259)&gt;0,"REFINANCING PASS","REFINANCING FAILURE"))</f>
        <v>n/a (beyond horizon)</v>
      </c>
    </row>
    <row r="4306" customFormat="false" ht="15" hidden="false" customHeight="false" outlineLevel="0" collapsed="false">
      <c r="A4306" s="3" t="s">
        <v>329</v>
      </c>
      <c r="C4306" s="3" t="str">
        <f aca="false">IF(SUM($G$4262:$K$4262)=0,"n/a",IF(C4304&gt;=C4303-0.001,"Repaid from cash",IF(SUMPRODUCT($G$4262:$K$4262,$G$4259:$K$4259)&gt;0,IF(C4304&gt;0,"Partly repaid; remainder refinanced","Refinanced"),IF(SUM($G$4271:$K$4271)&gt;0.001,IF(C4304&gt;0,"Partial repayment; PAYMENT DEFAULT","PAYMENT DEFAULT"),"Repaid from cash"))))</f>
        <v>n/a</v>
      </c>
    </row>
    <row r="4307" customFormat="false" ht="15" hidden="false" customHeight="false" outlineLevel="0" collapsed="false">
      <c r="A4307" s="3" t="s">
        <v>330</v>
      </c>
      <c r="C4307" s="25" t="n">
        <f aca="false">SUMPRODUCT($G$4275:$K$4275,$G$4274:$K$4274-$G$4280:$K$4280+$G$4279:$K$4279)</f>
        <v>276.706</v>
      </c>
    </row>
    <row r="4308" customFormat="false" ht="15" hidden="false" customHeight="false" outlineLevel="0" collapsed="false">
      <c r="A4308" s="3" t="s">
        <v>331</v>
      </c>
      <c r="C4308" s="25" t="n">
        <f aca="false">SUMPRODUCT($G$4275:$K$4275,$G$4282:$K$4282)</f>
        <v>63.91157644288</v>
      </c>
    </row>
    <row r="4309" customFormat="false" ht="15" hidden="false" customHeight="false" outlineLevel="0" collapsed="false">
      <c r="A4309" s="3" t="s">
        <v>332</v>
      </c>
      <c r="C4309" s="3" t="str">
        <f aca="false">IF(SUM($G$4275:$K$4275)=0,"n/a (beyond horizon)",IF(SUMPRODUCT($G$4275:$K$4275,$G$4259:$K$4259)&gt;0,"REFINANCING PASS","REFINANCING FAILURE"))</f>
        <v>REFINANCING FAILURE</v>
      </c>
    </row>
    <row r="4310" customFormat="false" ht="15" hidden="false" customHeight="false" outlineLevel="0" collapsed="false">
      <c r="A4310" s="3" t="s">
        <v>333</v>
      </c>
      <c r="C4310" s="3" t="str">
        <f aca="false">IF(SUM($G$4275:$K$4275)=0,"n/a",IF(C4308&gt;=C4307-0.001,"Repaid from cash",IF(SUMPRODUCT($G$4275:$K$4275,$G$4259:$K$4259)&gt;0,IF(C4308&gt;0,"Partly repaid; remainder refinanced","Refinanced"),IF(SUM($G$4284:$K$4284)&gt;0.001,IF(C4308&gt;0,"Partial repayment; PAYMENT DEFAULT","PAYMENT DEFAULT"),"Repaid from cash"))))</f>
        <v>Partial repayment; PAYMENT DEFAULT</v>
      </c>
    </row>
    <row r="4311" customFormat="false" ht="15" hidden="false" customHeight="false" outlineLevel="0" collapsed="false">
      <c r="A4311" s="3" t="s">
        <v>334</v>
      </c>
      <c r="C4311" s="25" t="n">
        <f aca="false">SUMPRODUCT($G$4288:$K$4288,$G$4287:$K$4287-$G$4293:$K$4293+$G$4292:$K$4292)</f>
        <v>143.75</v>
      </c>
    </row>
    <row r="4312" customFormat="false" ht="15" hidden="false" customHeight="false" outlineLevel="0" collapsed="false">
      <c r="A4312" s="3" t="s">
        <v>335</v>
      </c>
      <c r="C4312" s="25" t="n">
        <f aca="false">SUMPRODUCT($G$4288:$K$4288,$G$4295:$K$4295)</f>
        <v>0</v>
      </c>
    </row>
    <row r="4313" customFormat="false" ht="15" hidden="false" customHeight="false" outlineLevel="0" collapsed="false">
      <c r="A4313" s="3" t="s">
        <v>336</v>
      </c>
      <c r="C4313" s="3" t="str">
        <f aca="false">IF(SUM($G$4288:$K$4288)=0,"n/a (beyond horizon)",IF(SUMPRODUCT($G$4288:$K$4288,$G$4259:$K$4259)&gt;0,"REFINANCING PASS","REFINANCING FAILURE"))</f>
        <v>REFINANCING FAILURE</v>
      </c>
    </row>
    <row r="4314" customFormat="false" ht="15" hidden="false" customHeight="false" outlineLevel="0" collapsed="false">
      <c r="A4314" s="3" t="s">
        <v>337</v>
      </c>
      <c r="C4314" s="3" t="str">
        <f aca="false">IF(SUM($G$4288:$K$4288)=0,"n/a",IF(C4312&gt;=C4311-0.001,"Repaid from cash",IF(SUMPRODUCT($G$4288:$K$4288,$G$4259:$K$4259)&gt;0,IF(C4312&gt;0,"Partly repaid; remainder refinanced","Refinanced"),IF(SUM($G$4297:$K$4297)&gt;0.001,IF(C4312&gt;0,"Partial repayment; PAYMENT DEFAULT","PAYMENT DEFAULT"),"Repaid from cash"))))</f>
        <v>PAYMENT DEFAULT</v>
      </c>
    </row>
    <row r="4315" customFormat="false" ht="15" hidden="false" customHeight="false" outlineLevel="0" collapsed="false">
      <c r="A4315" s="3" t="s">
        <v>338</v>
      </c>
      <c r="C4315" s="20" t="n">
        <f aca="false">IF(C4305="REFINANCING FAILURE",1,0)+IF(C4309="REFINANCING FAILURE",1,0)+IF(C4313="REFINANCING FAILURE",1,0)</f>
        <v>2</v>
      </c>
    </row>
    <row r="4317" customFormat="false" ht="15" hidden="false" customHeight="false" outlineLevel="0" collapsed="false">
      <c r="A4317" s="23" t="s">
        <v>340</v>
      </c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</row>
    <row r="4318" customFormat="false" ht="15" hidden="false" customHeight="false" outlineLevel="0" collapsed="false">
      <c r="A4318" s="3" t="s">
        <v>305</v>
      </c>
      <c r="G4318" s="25" t="n">
        <f aca="false">F4330</f>
        <v>463.996</v>
      </c>
      <c r="H4318" s="25" t="n">
        <f aca="false">G4330</f>
        <v>354.40219624</v>
      </c>
      <c r="I4318" s="25" t="n">
        <f aca="false">H4330</f>
        <v>213.7466120992</v>
      </c>
      <c r="J4318" s="25" t="n">
        <f aca="false">I4330</f>
        <v>0</v>
      </c>
      <c r="K4318" s="25" t="n">
        <f aca="false">J4330</f>
        <v>-147.608364404992</v>
      </c>
    </row>
    <row r="4319" customFormat="false" ht="15" hidden="false" customHeight="false" outlineLevel="0" collapsed="false">
      <c r="A4319" s="3" t="s">
        <v>341</v>
      </c>
      <c r="G4319" s="25" t="n">
        <f aca="false">G4248</f>
        <v>-109.59380376</v>
      </c>
      <c r="H4319" s="25" t="n">
        <f aca="false">H4248</f>
        <v>-140.6555841408</v>
      </c>
      <c r="I4319" s="25" t="n">
        <f aca="false">I4248</f>
        <v>-149.83503565632</v>
      </c>
      <c r="J4319" s="25" t="n">
        <f aca="false">J4248</f>
        <v>-147.608364404992</v>
      </c>
      <c r="K4319" s="25" t="n">
        <f aca="false">K4248</f>
        <v>-147.946168220763</v>
      </c>
    </row>
    <row r="4320" customFormat="false" ht="15" hidden="false" customHeight="false" outlineLevel="0" collapsed="false">
      <c r="A4320" s="3" t="s">
        <v>342</v>
      </c>
      <c r="G4320" s="25" t="n">
        <f aca="false">CHOOSE($C$4218,Assumptions!$G$74,Assumptions!$G$93,Assumptions!$G$112)</f>
        <v>0</v>
      </c>
      <c r="H4320" s="25" t="n">
        <f aca="false">CHOOSE($C$4218,Assumptions!$H$74,Assumptions!$H$93,Assumptions!$H$112)</f>
        <v>0</v>
      </c>
      <c r="I4320" s="25" t="n">
        <f aca="false">CHOOSE($C$4218,Assumptions!$I$74,Assumptions!$I$93,Assumptions!$I$112)</f>
        <v>0</v>
      </c>
      <c r="J4320" s="25" t="n">
        <f aca="false">CHOOSE($C$4218,Assumptions!$J$74,Assumptions!$J$93,Assumptions!$J$112)</f>
        <v>0</v>
      </c>
      <c r="K4320" s="25" t="n">
        <f aca="false">CHOOSE($C$4218,Assumptions!$K$74,Assumptions!$K$93,Assumptions!$K$112)</f>
        <v>0</v>
      </c>
    </row>
    <row r="4321" customFormat="false" ht="15" hidden="false" customHeight="false" outlineLevel="0" collapsed="false">
      <c r="A4321" s="3" t="s">
        <v>343</v>
      </c>
      <c r="G4321" s="25" t="n">
        <f aca="false">G4267+G4280+G4293</f>
        <v>0</v>
      </c>
      <c r="H4321" s="25" t="n">
        <f aca="false">H4267+H4280+H4293</f>
        <v>0</v>
      </c>
      <c r="I4321" s="25" t="n">
        <f aca="false">I4267+I4280+I4293</f>
        <v>0</v>
      </c>
      <c r="J4321" s="25" t="n">
        <f aca="false">J4267+J4280+J4293</f>
        <v>0</v>
      </c>
      <c r="K4321" s="25" t="n">
        <f aca="false">K4267+K4280+K4293</f>
        <v>0</v>
      </c>
    </row>
    <row r="4322" customFormat="false" ht="15" hidden="false" customHeight="false" outlineLevel="0" collapsed="false">
      <c r="A4322" s="2" t="s">
        <v>344</v>
      </c>
      <c r="G4322" s="16" t="n">
        <f aca="false">G4318+G4319+G4320-G4321</f>
        <v>354.40219624</v>
      </c>
      <c r="H4322" s="16" t="n">
        <f aca="false">H4318+H4319+H4320-H4321</f>
        <v>213.7466120992</v>
      </c>
      <c r="I4322" s="16" t="n">
        <f aca="false">I4318+I4319+I4320-I4321</f>
        <v>63.91157644288</v>
      </c>
      <c r="J4322" s="16" t="n">
        <f aca="false">J4318+J4319+J4320-J4321</f>
        <v>-147.608364404992</v>
      </c>
      <c r="K4322" s="16" t="n">
        <f aca="false">K4318+K4319+K4320-K4321</f>
        <v>-295.554532625755</v>
      </c>
    </row>
    <row r="4323" customFormat="false" ht="15" hidden="false" customHeight="false" outlineLevel="0" collapsed="false">
      <c r="A4323" s="3" t="s">
        <v>345</v>
      </c>
      <c r="G4323" s="25" t="n">
        <f aca="false">G4268+G4281+G4294</f>
        <v>0</v>
      </c>
      <c r="H4323" s="25" t="n">
        <f aca="false">H4268+H4281+H4294</f>
        <v>0</v>
      </c>
      <c r="I4323" s="25" t="n">
        <f aca="false">I4268+I4281+I4294</f>
        <v>0</v>
      </c>
      <c r="J4323" s="25" t="n">
        <f aca="false">J4268+J4281+J4294</f>
        <v>0</v>
      </c>
      <c r="K4323" s="25" t="n">
        <f aca="false">K4268+K4281+K4294</f>
        <v>0</v>
      </c>
    </row>
    <row r="4324" customFormat="false" ht="15" hidden="false" customHeight="false" outlineLevel="0" collapsed="false">
      <c r="A4324" s="2" t="s">
        <v>346</v>
      </c>
      <c r="G4324" s="16" t="n">
        <f aca="false">G4322+G4323</f>
        <v>354.40219624</v>
      </c>
      <c r="H4324" s="16" t="n">
        <f aca="false">H4322+H4323</f>
        <v>213.7466120992</v>
      </c>
      <c r="I4324" s="16" t="n">
        <f aca="false">I4322+I4323</f>
        <v>63.91157644288</v>
      </c>
      <c r="J4324" s="16" t="n">
        <f aca="false">J4322+J4323</f>
        <v>-147.608364404992</v>
      </c>
      <c r="K4324" s="16" t="n">
        <f aca="false">K4322+K4323</f>
        <v>-295.554532625755</v>
      </c>
    </row>
    <row r="4325" customFormat="false" ht="15" hidden="false" customHeight="false" outlineLevel="0" collapsed="false">
      <c r="A4325" s="3" t="s">
        <v>347</v>
      </c>
      <c r="G4325" s="25" t="n">
        <f aca="false">G4269+G4282+G4295</f>
        <v>0</v>
      </c>
      <c r="H4325" s="25" t="n">
        <f aca="false">H4269+H4282+H4295</f>
        <v>0</v>
      </c>
      <c r="I4325" s="25" t="n">
        <f aca="false">I4269+I4282+I4295</f>
        <v>63.91157644288</v>
      </c>
      <c r="J4325" s="25" t="n">
        <f aca="false">J4269+J4282+J4295</f>
        <v>0</v>
      </c>
      <c r="K4325" s="25" t="n">
        <f aca="false">K4269+K4282+K4295</f>
        <v>0</v>
      </c>
    </row>
    <row r="4326" customFormat="false" ht="15" hidden="false" customHeight="false" outlineLevel="0" collapsed="false">
      <c r="A4326" s="2" t="s">
        <v>348</v>
      </c>
      <c r="G4326" s="16" t="n">
        <f aca="false">G4324-G4325</f>
        <v>354.40219624</v>
      </c>
      <c r="H4326" s="16" t="n">
        <f aca="false">H4324-H4325</f>
        <v>213.7466120992</v>
      </c>
      <c r="I4326" s="16" t="n">
        <f aca="false">I4324-I4325</f>
        <v>0</v>
      </c>
      <c r="J4326" s="16" t="n">
        <f aca="false">J4324-J4325</f>
        <v>-147.608364404992</v>
      </c>
      <c r="K4326" s="16" t="n">
        <f aca="false">K4324-K4325</f>
        <v>-295.554532625755</v>
      </c>
    </row>
    <row r="4327" customFormat="false" ht="15" hidden="false" customHeight="false" outlineLevel="0" collapsed="false">
      <c r="A4327" s="3" t="s">
        <v>349</v>
      </c>
      <c r="G4327" s="25" t="n">
        <f aca="false">MAX(0,-G4326)</f>
        <v>0</v>
      </c>
      <c r="H4327" s="25" t="n">
        <f aca="false">MAX(0,-H4326)</f>
        <v>0</v>
      </c>
      <c r="I4327" s="25" t="n">
        <f aca="false">MAX(0,-I4326)</f>
        <v>-0</v>
      </c>
      <c r="J4327" s="25" t="n">
        <f aca="false">MAX(0,-J4326)</f>
        <v>147.608364404992</v>
      </c>
      <c r="K4327" s="25" t="n">
        <f aca="false">MAX(0,-K4326)</f>
        <v>295.554532625755</v>
      </c>
    </row>
    <row r="4328" customFormat="false" ht="15" hidden="false" customHeight="false" outlineLevel="0" collapsed="false">
      <c r="A4328" s="3" t="s">
        <v>350</v>
      </c>
      <c r="G4328" s="25" t="n">
        <f aca="false">MAX(0,G4326-Assumptions!$C$12)*Assumptions!$C$13</f>
        <v>0</v>
      </c>
      <c r="H4328" s="25" t="n">
        <f aca="false">MAX(0,H4326-Assumptions!$C$12)*Assumptions!$C$13</f>
        <v>0</v>
      </c>
      <c r="I4328" s="25" t="n">
        <f aca="false">MAX(0,I4326-Assumptions!$C$12)*Assumptions!$C$13</f>
        <v>0</v>
      </c>
      <c r="J4328" s="25" t="n">
        <f aca="false">MAX(0,J4326-Assumptions!$C$12)*Assumptions!$C$13</f>
        <v>0</v>
      </c>
      <c r="K4328" s="25" t="n">
        <f aca="false">MAX(0,K4326-Assumptions!$C$12)*Assumptions!$C$13</f>
        <v>0</v>
      </c>
    </row>
    <row r="4329" customFormat="false" ht="15" hidden="false" customHeight="false" outlineLevel="0" collapsed="false">
      <c r="A4329" s="3" t="s">
        <v>351</v>
      </c>
      <c r="G4329" s="25" t="n">
        <f aca="false">G4270+G4283+G4296</f>
        <v>0</v>
      </c>
      <c r="H4329" s="25" t="n">
        <f aca="false">H4270+H4283+H4296</f>
        <v>0</v>
      </c>
      <c r="I4329" s="25" t="n">
        <f aca="false">I4270+I4283+I4296</f>
        <v>0</v>
      </c>
      <c r="J4329" s="25" t="n">
        <f aca="false">J4270+J4283+J4296</f>
        <v>0</v>
      </c>
      <c r="K4329" s="25" t="n">
        <f aca="false">K4270+K4283+K4296</f>
        <v>0</v>
      </c>
    </row>
    <row r="4330" customFormat="false" ht="15" hidden="false" customHeight="false" outlineLevel="0" collapsed="false">
      <c r="A4330" s="2" t="s">
        <v>352</v>
      </c>
      <c r="F4330" s="28" t="n">
        <f aca="false">Assumptions!$C$11</f>
        <v>463.996</v>
      </c>
      <c r="G4330" s="16" t="n">
        <f aca="false">G4326-G4329</f>
        <v>354.40219624</v>
      </c>
      <c r="H4330" s="16" t="n">
        <f aca="false">H4326-H4329</f>
        <v>213.7466120992</v>
      </c>
      <c r="I4330" s="16" t="n">
        <f aca="false">I4326-I4329</f>
        <v>0</v>
      </c>
      <c r="J4330" s="16" t="n">
        <f aca="false">J4326-J4329</f>
        <v>-147.608364404992</v>
      </c>
      <c r="K4330" s="16" t="n">
        <f aca="false">K4326-K4329</f>
        <v>-295.554532625755</v>
      </c>
    </row>
    <row r="4331" customFormat="false" ht="15" hidden="false" customHeight="false" outlineLevel="0" collapsed="false">
      <c r="A4331" s="3" t="s">
        <v>353</v>
      </c>
      <c r="G4331" s="25" t="n">
        <f aca="false">G4271+G4284+G4297</f>
        <v>0</v>
      </c>
      <c r="H4331" s="25" t="n">
        <f aca="false">H4271+H4284+H4297</f>
        <v>0</v>
      </c>
      <c r="I4331" s="25" t="n">
        <f aca="false">I4271+I4284+I4297</f>
        <v>356.54442355712</v>
      </c>
      <c r="J4331" s="25" t="n">
        <f aca="false">J4271+J4284+J4297</f>
        <v>0</v>
      </c>
      <c r="K4331" s="25" t="n">
        <f aca="false">K4271+K4284+K4297</f>
        <v>0</v>
      </c>
    </row>
    <row r="4332" customFormat="false" ht="15" hidden="false" customHeight="false" outlineLevel="0" collapsed="false">
      <c r="A4332" s="3" t="s">
        <v>354</v>
      </c>
      <c r="G4332" s="20" t="n">
        <f aca="false">IF(OR(G4327&gt;0.001,G4331&gt;0.001),1,0)</f>
        <v>0</v>
      </c>
      <c r="H4332" s="20" t="n">
        <f aca="false">IF(OR(H4327&gt;0.001,H4331&gt;0.001),1,0)</f>
        <v>0</v>
      </c>
      <c r="I4332" s="20" t="n">
        <f aca="false">IF(OR(I4327&gt;0.001,I4331&gt;0.001),1,0)</f>
        <v>1</v>
      </c>
      <c r="J4332" s="20" t="n">
        <f aca="false">IF(OR(J4327&gt;0.001,J4331&gt;0.001),1,0)</f>
        <v>1</v>
      </c>
      <c r="K4332" s="20" t="n">
        <f aca="false">IF(OR(K4327&gt;0.001,K4331&gt;0.001),1,0)</f>
        <v>1</v>
      </c>
    </row>
    <row r="4333" customFormat="false" ht="15" hidden="false" customHeight="false" outlineLevel="0" collapsed="false">
      <c r="A4333" s="3" t="s">
        <v>355</v>
      </c>
      <c r="G4333" s="20" t="n">
        <f aca="false">IF(G4332=1,1,0)</f>
        <v>0</v>
      </c>
      <c r="H4333" s="20" t="n">
        <f aca="false">IF(AND(H4332=1,SUM($G$4332:G4332)=0),1,0)</f>
        <v>0</v>
      </c>
      <c r="I4333" s="20" t="n">
        <f aca="false">IF(AND(I4332=1,SUM($G$4332:H4332)=0),1,0)</f>
        <v>1</v>
      </c>
      <c r="J4333" s="20" t="n">
        <f aca="false">IF(AND(J4332=1,SUM($G$4332:I4332)=0),1,0)</f>
        <v>0</v>
      </c>
      <c r="K4333" s="20" t="n">
        <f aca="false">IF(AND(K4332=1,SUM($G$4332:J4332)=0),1,0)</f>
        <v>0</v>
      </c>
    </row>
    <row r="4334" customFormat="false" ht="15" hidden="false" customHeight="false" outlineLevel="0" collapsed="false">
      <c r="A4334" s="3" t="s">
        <v>356</v>
      </c>
      <c r="G4334" s="25" t="n">
        <f aca="false">(G4300-F4300)-(G4323+G4240-G4321-G4325-G4329)</f>
        <v>0</v>
      </c>
      <c r="H4334" s="25" t="n">
        <f aca="false">(H4300-G4300)-(H4323+H4240-H4321-H4325-H4329)</f>
        <v>0</v>
      </c>
      <c r="I4334" s="25" t="n">
        <f aca="false">(I4300-H4300)-(I4323+I4240-I4321-I4325-I4329)</f>
        <v>0</v>
      </c>
      <c r="J4334" s="25" t="n">
        <f aca="false">(J4300-I4300)-(J4323+J4240-J4321-J4325-J4329)</f>
        <v>0</v>
      </c>
      <c r="K4334" s="25" t="n">
        <f aca="false">(K4300-J4300)-(K4323+K4240-K4321-K4325-K4329)</f>
        <v>0</v>
      </c>
    </row>
    <row r="4336" customFormat="false" ht="15" hidden="false" customHeight="false" outlineLevel="0" collapsed="false">
      <c r="A4336" s="23" t="s">
        <v>358</v>
      </c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</row>
    <row r="4337" customFormat="false" ht="15" hidden="false" customHeight="false" outlineLevel="0" collapsed="false">
      <c r="A4337" s="3" t="s">
        <v>359</v>
      </c>
      <c r="G4337" s="25" t="n">
        <f aca="false">G4300</f>
        <v>1735.554</v>
      </c>
      <c r="H4337" s="25" t="n">
        <f aca="false">H4300</f>
        <v>1735.554</v>
      </c>
      <c r="I4337" s="25" t="n">
        <f aca="false">I4300</f>
        <v>1671.64242355712</v>
      </c>
      <c r="J4337" s="25" t="n">
        <f aca="false">J4300</f>
        <v>1671.64242355712</v>
      </c>
      <c r="K4337" s="25" t="n">
        <f aca="false">K4300</f>
        <v>1671.64242355712</v>
      </c>
    </row>
    <row r="4338" customFormat="false" ht="15" hidden="false" customHeight="false" outlineLevel="0" collapsed="false">
      <c r="A4338" s="3" t="s">
        <v>360</v>
      </c>
      <c r="G4338" s="25" t="n">
        <f aca="false">Assumptions!$O$56*G4272+Assumptions!$O$57*G4285+Assumptions!$O$58*G4298</f>
        <v>1315.098</v>
      </c>
      <c r="H4338" s="25" t="n">
        <f aca="false">Assumptions!$O$56*H4272+Assumptions!$O$57*H4285+Assumptions!$O$58*H4298</f>
        <v>1315.098</v>
      </c>
      <c r="I4338" s="25" t="n">
        <f aca="false">Assumptions!$O$56*I4272+Assumptions!$O$57*I4285+Assumptions!$O$58*I4298</f>
        <v>1315.098</v>
      </c>
      <c r="J4338" s="25" t="n">
        <f aca="false">Assumptions!$O$56*J4272+Assumptions!$O$57*J4285+Assumptions!$O$58*J4298</f>
        <v>1315.098</v>
      </c>
      <c r="K4338" s="25" t="n">
        <f aca="false">Assumptions!$O$56*K4272+Assumptions!$O$57*K4285+Assumptions!$O$58*K4298</f>
        <v>1315.098</v>
      </c>
    </row>
    <row r="4339" customFormat="false" ht="15" hidden="false" customHeight="false" outlineLevel="0" collapsed="false">
      <c r="A4339" s="3" t="s">
        <v>361</v>
      </c>
      <c r="G4339" s="25" t="n">
        <f aca="false">G4337-G4330</f>
        <v>1381.15180376</v>
      </c>
      <c r="H4339" s="25" t="n">
        <f aca="false">H4337-H4330</f>
        <v>1521.8073879008</v>
      </c>
      <c r="I4339" s="25" t="n">
        <f aca="false">I4337-I4330</f>
        <v>1671.64242355712</v>
      </c>
      <c r="J4339" s="25" t="n">
        <f aca="false">J4337-J4330</f>
        <v>1819.25078796211</v>
      </c>
      <c r="K4339" s="25" t="n">
        <f aca="false">K4337-K4330</f>
        <v>1967.19695618288</v>
      </c>
    </row>
    <row r="4340" customFormat="false" ht="15" hidden="false" customHeight="false" outlineLevel="0" collapsed="false">
      <c r="A4340" s="3" t="s">
        <v>362</v>
      </c>
      <c r="G4340" s="32" t="n">
        <f aca="false">IF(G4235&gt;0,G4337/G4235,0)</f>
        <v>17.9691620878566</v>
      </c>
      <c r="H4340" s="32" t="n">
        <f aca="false">IF(H4235&gt;0,H4337/H4235,0)</f>
        <v>29.1707176750919</v>
      </c>
      <c r="I4340" s="32" t="n">
        <f aca="false">IF(I4235&gt;0,I4337/I4235,0)</f>
        <v>36.4214010113964</v>
      </c>
      <c r="J4340" s="32" t="n">
        <f aca="false">IF(J4235&gt;0,J4337/J4235,0)</f>
        <v>39.5884793602134</v>
      </c>
      <c r="K4340" s="32" t="n">
        <f aca="false">IF(K4235&gt;0,K4337/K4235,0)</f>
        <v>42.1154035746951</v>
      </c>
    </row>
    <row r="4341" customFormat="false" ht="15" hidden="false" customHeight="false" outlineLevel="0" collapsed="false">
      <c r="A4341" s="3" t="s">
        <v>363</v>
      </c>
      <c r="G4341" s="32" t="n">
        <f aca="false">IF(G4235&gt;0,G4339/G4235,0)</f>
        <v>14.2998377634456</v>
      </c>
      <c r="H4341" s="32" t="n">
        <f aca="false">IF(H4235&gt;0,H4339/H4235,0)</f>
        <v>25.5781229903094</v>
      </c>
      <c r="I4341" s="32" t="n">
        <f aca="false">IF(I4235&gt;0,I4339/I4235,0)</f>
        <v>36.4214010113964</v>
      </c>
      <c r="J4341" s="32" t="n">
        <f aca="false">IF(J4235&gt;0,J4339/J4235,0)</f>
        <v>43.0841974667252</v>
      </c>
      <c r="K4341" s="32" t="n">
        <f aca="false">IF(K4235&gt;0,K4339/K4235,0)</f>
        <v>49.5616123119543</v>
      </c>
    </row>
    <row r="4342" customFormat="false" ht="15" hidden="false" customHeight="false" outlineLevel="0" collapsed="false">
      <c r="A4342" s="3" t="s">
        <v>364</v>
      </c>
      <c r="G4342" s="32" t="n">
        <f aca="false">IF(G4239&gt;0,G4235/G4239,0)</f>
        <v>0.619315458780426</v>
      </c>
      <c r="H4342" s="32" t="n">
        <f aca="false">IF(H4239&gt;0,H4235/H4239,0)</f>
        <v>0.381498322608743</v>
      </c>
      <c r="I4342" s="32" t="n">
        <f aca="false">IF(I4239&gt;0,I4235/I4239,0)</f>
        <v>0.294298706012459</v>
      </c>
      <c r="J4342" s="32" t="n">
        <f aca="false">IF(J4239&gt;0,J4235/J4239,0)</f>
        <v>0.275554099074075</v>
      </c>
      <c r="K4342" s="32" t="n">
        <f aca="false">IF(K4239&gt;0,K4235/K4239,0)</f>
        <v>0.259020853129631</v>
      </c>
    </row>
    <row r="4343" customFormat="false" ht="15" hidden="false" customHeight="false" outlineLevel="0" collapsed="false">
      <c r="A4343" s="3" t="s">
        <v>365</v>
      </c>
      <c r="G4343" s="32" t="n">
        <f aca="false">IF(G4239&gt;0,G4238/G4239,0)</f>
        <v>0.0146479614877835</v>
      </c>
      <c r="H4343" s="32" t="n">
        <f aca="false">IF(H4239&gt;0,H4238/H4239,0)</f>
        <v>-0.150609075008783</v>
      </c>
      <c r="I4343" s="32" t="n">
        <f aca="false">IF(I4239&gt;0,I4238/I4239,0)</f>
        <v>-0.184597951843314</v>
      </c>
      <c r="J4343" s="32" t="n">
        <f aca="false">IF(J4239&gt;0,J4238/J4239,0)</f>
        <v>-0.172840455197077</v>
      </c>
      <c r="K4343" s="32" t="n">
        <f aca="false">IF(K4239&gt;0,K4238/K4239,0)</f>
        <v>-0.162470027885252</v>
      </c>
    </row>
    <row r="4344" customFormat="false" ht="15" hidden="false" customHeight="false" outlineLevel="0" collapsed="false">
      <c r="A4344" s="3" t="s">
        <v>198</v>
      </c>
      <c r="G4344" s="21" t="n">
        <f aca="false">IF(G4337&gt;0,G4248/G4337,0)</f>
        <v>-0.0631462943590346</v>
      </c>
      <c r="H4344" s="21" t="n">
        <f aca="false">IF(H4337&gt;0,H4248/H4337,0)</f>
        <v>-0.0810436230395597</v>
      </c>
      <c r="I4344" s="21" t="n">
        <f aca="false">IF(I4337&gt;0,I4248/I4337,0)</f>
        <v>-0.0896334249148111</v>
      </c>
      <c r="J4344" s="21" t="n">
        <f aca="false">IF(J4337&gt;0,J4248/J4337,0)</f>
        <v>-0.0883013988666866</v>
      </c>
      <c r="K4344" s="21" t="n">
        <f aca="false">IF(K4337&gt;0,K4248/K4337,0)</f>
        <v>-0.0885034778585875</v>
      </c>
    </row>
    <row r="4345" customFormat="false" ht="15" hidden="false" customHeight="false" outlineLevel="0" collapsed="false">
      <c r="A4345" s="3" t="s">
        <v>366</v>
      </c>
      <c r="G4345" s="32" t="n">
        <f aca="false">IF(G4239+G4321&gt;0,(G4235-G4246-G4243)/(G4239+G4321),0)</f>
        <v>0.483066057848732</v>
      </c>
      <c r="H4345" s="32" t="n">
        <f aca="false">IF(H4239+H4321&gt;0,(H4235-H4246-H4243)/(H4239+H4321),0)</f>
        <v>0.261598849788852</v>
      </c>
      <c r="I4345" s="32" t="n">
        <f aca="false">IF(I4239+I4321&gt;0,(I4235-I4246-I4243)/(I4239+I4321),0)</f>
        <v>0.186389180474557</v>
      </c>
      <c r="J4345" s="32" t="n">
        <f aca="false">IF(J4239+J4321&gt;0,(J4235-J4246-J4243)/(J4239+J4321),0)</f>
        <v>0.174517596080248</v>
      </c>
      <c r="K4345" s="32" t="n">
        <f aca="false">IF(K4239+K4321&gt;0,(K4235-K4246-K4243)/(K4239+K4321),0)</f>
        <v>0.164046540315433</v>
      </c>
    </row>
    <row r="4346" customFormat="false" ht="15" hidden="false" customHeight="false" outlineLevel="0" collapsed="false">
      <c r="A4346" s="3" t="s">
        <v>367</v>
      </c>
      <c r="G4346" s="25" t="n">
        <f aca="false">MAX(0,G4330)+Assumptions!$P$56*MAX(0,Assumptions!$D$56-G4272)+Assumptions!$P$57*MAX(0,Assumptions!$D$57-G4285)+Assumptions!$P$58*MAX(0,Assumptions!$D$58-G4298)</f>
        <v>354.40219624</v>
      </c>
      <c r="H4346" s="25" t="n">
        <f aca="false">MAX(0,H4330)+Assumptions!$P$56*MAX(0,Assumptions!$D$56-H4272)+Assumptions!$P$57*MAX(0,Assumptions!$D$57-H4285)+Assumptions!$P$58*MAX(0,Assumptions!$D$58-H4298)</f>
        <v>213.7466120992</v>
      </c>
      <c r="I4346" s="25" t="n">
        <f aca="false">MAX(0,I4330)+Assumptions!$P$56*MAX(0,Assumptions!$D$56-I4272)+Assumptions!$P$57*MAX(0,Assumptions!$D$57-I4285)+Assumptions!$P$58*MAX(0,Assumptions!$D$58-I4298)</f>
        <v>0</v>
      </c>
      <c r="J4346" s="25" t="n">
        <f aca="false">MAX(0,J4330)+Assumptions!$P$56*MAX(0,Assumptions!$D$56-J4272)+Assumptions!$P$57*MAX(0,Assumptions!$D$57-J4285)+Assumptions!$P$58*MAX(0,Assumptions!$D$58-J4298)</f>
        <v>0</v>
      </c>
      <c r="K4346" s="25" t="n">
        <f aca="false">MAX(0,K4330)+Assumptions!$P$56*MAX(0,Assumptions!$D$56-K4272)+Assumptions!$P$57*MAX(0,Assumptions!$D$57-K4285)+Assumptions!$P$58*MAX(0,Assumptions!$D$58-K4298)</f>
        <v>0</v>
      </c>
    </row>
    <row r="4347" customFormat="false" ht="15" hidden="false" customHeight="false" outlineLevel="0" collapsed="false">
      <c r="A4347" s="3" t="s">
        <v>368</v>
      </c>
      <c r="G4347" s="21" t="n">
        <f aca="false">IF(G4337&gt;0,G4337/(G4337+MAX(0,G4235*CHOOSE($C$4218,Assumptions!$C$82,Assumptions!$C$101,Assumptions!$C$120)-G4339)),0)</f>
        <v>1</v>
      </c>
      <c r="H4347" s="21" t="n">
        <f aca="false">IF(H4337&gt;0,H4337/(H4337+MAX(0,H4235*CHOOSE($C$4218,Assumptions!$C$82,Assumptions!$C$101,Assumptions!$C$120)-H4339)),0)</f>
        <v>1</v>
      </c>
      <c r="I4347" s="21" t="n">
        <f aca="false">IF(I4337&gt;0,I4337/(I4337+MAX(0,I4235*CHOOSE($C$4218,Assumptions!$C$82,Assumptions!$C$101,Assumptions!$C$120)-I4339)),0)</f>
        <v>1</v>
      </c>
      <c r="J4347" s="21" t="n">
        <f aca="false">IF(J4337&gt;0,J4337/(J4337+MAX(0,J4235*CHOOSE($C$4218,Assumptions!$C$82,Assumptions!$C$101,Assumptions!$C$120)-J4339)),0)</f>
        <v>1</v>
      </c>
      <c r="K4347" s="21" t="n">
        <f aca="false">IF(K4337&gt;0,K4337/(K4337+MAX(0,K4235*CHOOSE($C$4218,Assumptions!$C$82,Assumptions!$C$101,Assumptions!$C$120)-K4339)),0)</f>
        <v>1</v>
      </c>
    </row>
    <row r="4348" customFormat="false" ht="15" hidden="false" customHeight="false" outlineLevel="0" collapsed="false">
      <c r="A4348" s="3" t="s">
        <v>369</v>
      </c>
      <c r="G4348" s="21" t="n">
        <f aca="false">IF(G4337&gt;0,MAX(0,G4330)/G4337,0)</f>
        <v>0.20420119238007</v>
      </c>
      <c r="H4348" s="21" t="n">
        <f aca="false">IF(H4337&gt;0,MAX(0,H4330)/H4337,0)</f>
        <v>0.12315756934051</v>
      </c>
      <c r="I4348" s="21" t="n">
        <f aca="false">IF(I4337&gt;0,MAX(0,I4330)/I4337,0)</f>
        <v>0</v>
      </c>
      <c r="J4348" s="21" t="n">
        <f aca="false">IF(J4337&gt;0,MAX(0,J4330)/J4337,0)</f>
        <v>0</v>
      </c>
      <c r="K4348" s="21" t="n">
        <f aca="false">IF(K4337&gt;0,MAX(0,K4330)/K4337,0)</f>
        <v>0</v>
      </c>
    </row>
    <row r="4349" customFormat="false" ht="15" hidden="false" customHeight="false" outlineLevel="0" collapsed="false">
      <c r="A4349" s="3" t="s">
        <v>370</v>
      </c>
      <c r="G4349" s="25" t="n">
        <f aca="false">Assumptions!$C$30*(1-CHOOSE($C$4218,Assumptions!$C$85,Assumptions!$C$104,Assumptions!$C$123))</f>
        <v>1595.73115</v>
      </c>
      <c r="H4349" s="25" t="n">
        <f aca="false">Assumptions!$C$30*(1-CHOOSE($C$4218,Assumptions!$C$85,Assumptions!$C$104,Assumptions!$C$123))</f>
        <v>1595.73115</v>
      </c>
      <c r="I4349" s="25" t="n">
        <f aca="false">Assumptions!$C$30*(1-CHOOSE($C$4218,Assumptions!$C$85,Assumptions!$C$104,Assumptions!$C$123))</f>
        <v>1595.73115</v>
      </c>
      <c r="J4349" s="25" t="n">
        <f aca="false">Assumptions!$C$30*(1-CHOOSE($C$4218,Assumptions!$C$85,Assumptions!$C$104,Assumptions!$C$123))</f>
        <v>1595.73115</v>
      </c>
      <c r="K4349" s="25" t="n">
        <f aca="false">Assumptions!$C$30*(1-CHOOSE($C$4218,Assumptions!$C$85,Assumptions!$C$104,Assumptions!$C$123))</f>
        <v>1595.73115</v>
      </c>
    </row>
    <row r="4350" customFormat="false" ht="15" hidden="false" customHeight="false" outlineLevel="0" collapsed="false">
      <c r="A4350" s="23" t="s">
        <v>371</v>
      </c>
      <c r="B4350" s="24"/>
      <c r="C4350" s="24"/>
      <c r="D4350" s="24"/>
      <c r="E4350" s="24"/>
      <c r="F4350" s="24"/>
      <c r="G4350" s="24"/>
      <c r="H4350" s="24"/>
      <c r="I4350" s="24"/>
      <c r="J4350" s="24"/>
      <c r="K4350" s="24"/>
    </row>
    <row r="4351" customFormat="false" ht="15" hidden="false" customHeight="false" outlineLevel="0" collapsed="false">
      <c r="A4351" s="23" t="s">
        <v>372</v>
      </c>
      <c r="B4351" s="24"/>
      <c r="C4351" s="24"/>
      <c r="D4351" s="24"/>
      <c r="E4351" s="24"/>
      <c r="F4351" s="24"/>
      <c r="G4351" s="24"/>
      <c r="H4351" s="24"/>
      <c r="I4351" s="24"/>
      <c r="J4351" s="24"/>
      <c r="K4351" s="24"/>
    </row>
    <row r="4352" customFormat="false" ht="15" hidden="false" customHeight="false" outlineLevel="0" collapsed="false">
      <c r="A4352" s="3" t="s">
        <v>373</v>
      </c>
      <c r="G4352" s="32" t="n">
        <f aca="false">IF(G4235&gt;0,G4339/G4235,99)</f>
        <v>14.2998377634456</v>
      </c>
      <c r="H4352" s="32" t="n">
        <f aca="false">IF(H4235&gt;0,H4339/H4235,99)</f>
        <v>25.5781229903094</v>
      </c>
      <c r="I4352" s="32" t="n">
        <f aca="false">IF(I4235&gt;0,I4339/I4235,99)</f>
        <v>36.4214010113964</v>
      </c>
      <c r="J4352" s="32" t="n">
        <f aca="false">IF(J4235&gt;0,J4339/J4235,99)</f>
        <v>43.0841974667252</v>
      </c>
      <c r="K4352" s="32" t="n">
        <f aca="false">IF(K4235&gt;0,K4339/K4235,99)</f>
        <v>49.5616123119543</v>
      </c>
    </row>
    <row r="4353" customFormat="false" ht="15" hidden="false" customHeight="false" outlineLevel="0" collapsed="false">
      <c r="A4353" s="3" t="s">
        <v>374</v>
      </c>
      <c r="G4353" s="33" t="n">
        <f aca="false">Assumptions!$G$65</f>
        <v>5.25</v>
      </c>
      <c r="H4353" s="33" t="n">
        <f aca="false">Assumptions!$H$65</f>
        <v>5.25</v>
      </c>
      <c r="I4353" s="33" t="n">
        <f aca="false">Assumptions!$I$65</f>
        <v>5</v>
      </c>
      <c r="J4353" s="33" t="n">
        <f aca="false">Assumptions!$J$65</f>
        <v>5</v>
      </c>
      <c r="K4353" s="33" t="n">
        <f aca="false">Assumptions!$K$65</f>
        <v>5</v>
      </c>
    </row>
    <row r="4354" customFormat="false" ht="15" hidden="false" customHeight="false" outlineLevel="0" collapsed="false">
      <c r="A4354" s="3" t="s">
        <v>375</v>
      </c>
      <c r="G4354" s="32" t="n">
        <f aca="false">G4353-G4352</f>
        <v>-9.04983776344556</v>
      </c>
      <c r="H4354" s="32" t="n">
        <f aca="false">H4353-H4352</f>
        <v>-20.3281229903094</v>
      </c>
      <c r="I4354" s="32" t="n">
        <f aca="false">I4353-I4352</f>
        <v>-31.4214010113964</v>
      </c>
      <c r="J4354" s="32" t="n">
        <f aca="false">J4353-J4352</f>
        <v>-38.0841974667252</v>
      </c>
      <c r="K4354" s="32" t="n">
        <f aca="false">K4353-K4352</f>
        <v>-44.5616123119543</v>
      </c>
    </row>
    <row r="4355" customFormat="false" ht="15" hidden="false" customHeight="false" outlineLevel="0" collapsed="false">
      <c r="A4355" s="3" t="s">
        <v>376</v>
      </c>
      <c r="G4355" s="21" t="n">
        <f aca="false">IF(G4353=0,0,G4354/ABS(G4353))</f>
        <v>-1.72377862160868</v>
      </c>
      <c r="H4355" s="21" t="n">
        <f aca="false">IF(H4353=0,0,H4354/ABS(H4353))</f>
        <v>-3.87202342672559</v>
      </c>
      <c r="I4355" s="21" t="n">
        <f aca="false">IF(I4353=0,0,I4354/ABS(I4353))</f>
        <v>-6.28428020227927</v>
      </c>
      <c r="J4355" s="21" t="n">
        <f aca="false">IF(J4353=0,0,J4354/ABS(J4353))</f>
        <v>-7.61683949334505</v>
      </c>
      <c r="K4355" s="21" t="n">
        <f aca="false">IF(K4353=0,0,K4354/ABS(K4353))</f>
        <v>-8.91232246239086</v>
      </c>
    </row>
    <row r="4356" customFormat="false" ht="15" hidden="false" customHeight="false" outlineLevel="0" collapsed="false">
      <c r="A4356" s="3" t="s">
        <v>377</v>
      </c>
      <c r="G4356" s="20" t="n">
        <f aca="false">IF(G4354&lt;0,1,0)</f>
        <v>1</v>
      </c>
      <c r="H4356" s="20" t="n">
        <f aca="false">IF(H4354&lt;0,1,0)</f>
        <v>1</v>
      </c>
      <c r="I4356" s="20" t="n">
        <f aca="false">IF(I4354&lt;0,1,0)</f>
        <v>1</v>
      </c>
      <c r="J4356" s="20" t="n">
        <f aca="false">IF(J4354&lt;0,1,0)</f>
        <v>1</v>
      </c>
      <c r="K4356" s="20" t="n">
        <f aca="false">IF(K4354&lt;0,1,0)</f>
        <v>1</v>
      </c>
    </row>
    <row r="4357" customFormat="false" ht="15" hidden="false" customHeight="false" outlineLevel="0" collapsed="false">
      <c r="A4357" s="3" t="s">
        <v>378</v>
      </c>
      <c r="C4357" s="20" t="n">
        <f aca="false">IFERROR(INDEX($G$4225:$K$4225,MATCH(1,$G$4356:$K$4356,0)),0)</f>
        <v>2027</v>
      </c>
    </row>
    <row r="4358" customFormat="false" ht="15" hidden="false" customHeight="false" outlineLevel="0" collapsed="false">
      <c r="A4358" s="3" t="s">
        <v>379</v>
      </c>
      <c r="C4358" s="21" t="n">
        <f aca="false">MIN($G$4355:$K$4355)</f>
        <v>-8.91232246239086</v>
      </c>
    </row>
    <row r="4359" customFormat="false" ht="15" hidden="false" customHeight="false" outlineLevel="0" collapsed="false">
      <c r="A4359" s="23" t="s">
        <v>380</v>
      </c>
      <c r="B4359" s="24"/>
      <c r="C4359" s="24"/>
      <c r="D4359" s="24"/>
      <c r="E4359" s="24"/>
      <c r="F4359" s="24"/>
      <c r="G4359" s="24"/>
      <c r="H4359" s="24"/>
      <c r="I4359" s="24"/>
      <c r="J4359" s="24"/>
      <c r="K4359" s="24"/>
    </row>
    <row r="4360" customFormat="false" ht="15" hidden="false" customHeight="false" outlineLevel="0" collapsed="false">
      <c r="A4360" s="3" t="s">
        <v>373</v>
      </c>
      <c r="G4360" s="32" t="n">
        <f aca="false">IF(G4239&gt;0,G4235/G4239,99)</f>
        <v>0.619315458780426</v>
      </c>
      <c r="H4360" s="32" t="n">
        <f aca="false">IF(H4239&gt;0,H4235/H4239,99)</f>
        <v>0.381498322608743</v>
      </c>
      <c r="I4360" s="32" t="n">
        <f aca="false">IF(I4239&gt;0,I4235/I4239,99)</f>
        <v>0.294298706012459</v>
      </c>
      <c r="J4360" s="32" t="n">
        <f aca="false">IF(J4239&gt;0,J4235/J4239,99)</f>
        <v>0.275554099074075</v>
      </c>
      <c r="K4360" s="32" t="n">
        <f aca="false">IF(K4239&gt;0,K4235/K4239,99)</f>
        <v>0.259020853129631</v>
      </c>
    </row>
    <row r="4361" customFormat="false" ht="15" hidden="false" customHeight="false" outlineLevel="0" collapsed="false">
      <c r="A4361" s="3" t="s">
        <v>374</v>
      </c>
      <c r="G4361" s="33" t="n">
        <f aca="false">Assumptions!$G$66</f>
        <v>1.4</v>
      </c>
      <c r="H4361" s="33" t="n">
        <f aca="false">Assumptions!$H$66</f>
        <v>1.4</v>
      </c>
      <c r="I4361" s="33" t="n">
        <f aca="false">Assumptions!$I$66</f>
        <v>1.4</v>
      </c>
      <c r="J4361" s="33" t="n">
        <f aca="false">Assumptions!$J$66</f>
        <v>1.5</v>
      </c>
      <c r="K4361" s="33" t="n">
        <f aca="false">Assumptions!$K$66</f>
        <v>1.5</v>
      </c>
    </row>
    <row r="4362" customFormat="false" ht="15" hidden="false" customHeight="false" outlineLevel="0" collapsed="false">
      <c r="A4362" s="3" t="s">
        <v>375</v>
      </c>
      <c r="G4362" s="32" t="n">
        <f aca="false">G4360-G4361</f>
        <v>-0.780684541219574</v>
      </c>
      <c r="H4362" s="32" t="n">
        <f aca="false">H4360-H4361</f>
        <v>-1.01850167739126</v>
      </c>
      <c r="I4362" s="32" t="n">
        <f aca="false">I4360-I4361</f>
        <v>-1.10570129398754</v>
      </c>
      <c r="J4362" s="32" t="n">
        <f aca="false">J4360-J4361</f>
        <v>-1.22444590092593</v>
      </c>
      <c r="K4362" s="32" t="n">
        <f aca="false">K4360-K4361</f>
        <v>-1.24097914687037</v>
      </c>
    </row>
    <row r="4363" customFormat="false" ht="15" hidden="false" customHeight="false" outlineLevel="0" collapsed="false">
      <c r="A4363" s="3" t="s">
        <v>376</v>
      </c>
      <c r="G4363" s="21" t="n">
        <f aca="false">IF(G4361=0,0,G4362/ABS(G4361))</f>
        <v>-0.557631815156838</v>
      </c>
      <c r="H4363" s="21" t="n">
        <f aca="false">IF(H4361=0,0,H4362/ABS(H4361))</f>
        <v>-0.727501198136613</v>
      </c>
      <c r="I4363" s="21" t="n">
        <f aca="false">IF(I4361=0,0,I4362/ABS(I4361))</f>
        <v>-0.78978663856253</v>
      </c>
      <c r="J4363" s="21" t="n">
        <f aca="false">IF(J4361=0,0,J4362/ABS(J4361))</f>
        <v>-0.81629726728395</v>
      </c>
      <c r="K4363" s="21" t="n">
        <f aca="false">IF(K4361=0,0,K4362/ABS(K4361))</f>
        <v>-0.827319431246913</v>
      </c>
    </row>
    <row r="4364" customFormat="false" ht="15" hidden="false" customHeight="false" outlineLevel="0" collapsed="false">
      <c r="A4364" s="3" t="s">
        <v>377</v>
      </c>
      <c r="G4364" s="20" t="n">
        <f aca="false">IF(G4362&lt;0,1,0)</f>
        <v>1</v>
      </c>
      <c r="H4364" s="20" t="n">
        <f aca="false">IF(H4362&lt;0,1,0)</f>
        <v>1</v>
      </c>
      <c r="I4364" s="20" t="n">
        <f aca="false">IF(I4362&lt;0,1,0)</f>
        <v>1</v>
      </c>
      <c r="J4364" s="20" t="n">
        <f aca="false">IF(J4362&lt;0,1,0)</f>
        <v>1</v>
      </c>
      <c r="K4364" s="20" t="n">
        <f aca="false">IF(K4362&lt;0,1,0)</f>
        <v>1</v>
      </c>
    </row>
    <row r="4365" customFormat="false" ht="15" hidden="false" customHeight="false" outlineLevel="0" collapsed="false">
      <c r="A4365" s="3" t="s">
        <v>378</v>
      </c>
      <c r="C4365" s="20" t="n">
        <f aca="false">IFERROR(INDEX($G$4225:$K$4225,MATCH(1,$G$4364:$K$4364,0)),0)</f>
        <v>2027</v>
      </c>
    </row>
    <row r="4366" customFormat="false" ht="15" hidden="false" customHeight="false" outlineLevel="0" collapsed="false">
      <c r="A4366" s="3" t="s">
        <v>379</v>
      </c>
      <c r="C4366" s="21" t="n">
        <f aca="false">MIN($G$4363:$K$4363)</f>
        <v>-0.827319431246913</v>
      </c>
    </row>
    <row r="4367" customFormat="false" ht="15" hidden="false" customHeight="false" outlineLevel="0" collapsed="false">
      <c r="A4367" s="23" t="s">
        <v>381</v>
      </c>
      <c r="B4367" s="24"/>
      <c r="C4367" s="24"/>
      <c r="D4367" s="24"/>
      <c r="E4367" s="24"/>
      <c r="F4367" s="24"/>
      <c r="G4367" s="24"/>
      <c r="H4367" s="24"/>
      <c r="I4367" s="24"/>
      <c r="J4367" s="24"/>
      <c r="K4367" s="24"/>
    </row>
    <row r="4368" customFormat="false" ht="15" hidden="false" customHeight="false" outlineLevel="0" collapsed="false">
      <c r="A4368" s="3" t="s">
        <v>373</v>
      </c>
      <c r="G4368" s="25" t="n">
        <f aca="false">G4346</f>
        <v>354.40219624</v>
      </c>
      <c r="H4368" s="25" t="n">
        <f aca="false">H4346</f>
        <v>213.7466120992</v>
      </c>
      <c r="I4368" s="25" t="n">
        <f aca="false">I4346</f>
        <v>0</v>
      </c>
      <c r="J4368" s="25" t="n">
        <f aca="false">J4346</f>
        <v>0</v>
      </c>
      <c r="K4368" s="25" t="n">
        <f aca="false">K4346</f>
        <v>0</v>
      </c>
    </row>
    <row r="4369" customFormat="false" ht="15" hidden="false" customHeight="false" outlineLevel="0" collapsed="false">
      <c r="A4369" s="3" t="s">
        <v>374</v>
      </c>
      <c r="G4369" s="29" t="n">
        <f aca="false">Assumptions!$G$67</f>
        <v>200</v>
      </c>
      <c r="H4369" s="29" t="n">
        <f aca="false">Assumptions!$H$67</f>
        <v>200</v>
      </c>
      <c r="I4369" s="29" t="n">
        <f aca="false">Assumptions!$I$67</f>
        <v>200</v>
      </c>
      <c r="J4369" s="29" t="n">
        <f aca="false">Assumptions!$J$67</f>
        <v>200</v>
      </c>
      <c r="K4369" s="29" t="n">
        <f aca="false">Assumptions!$K$67</f>
        <v>200</v>
      </c>
    </row>
    <row r="4370" customFormat="false" ht="15" hidden="false" customHeight="false" outlineLevel="0" collapsed="false">
      <c r="A4370" s="3" t="s">
        <v>375</v>
      </c>
      <c r="G4370" s="25" t="n">
        <f aca="false">G4368-G4369</f>
        <v>154.40219624</v>
      </c>
      <c r="H4370" s="25" t="n">
        <f aca="false">H4368-H4369</f>
        <v>13.7466120992</v>
      </c>
      <c r="I4370" s="25" t="n">
        <f aca="false">I4368-I4369</f>
        <v>-200</v>
      </c>
      <c r="J4370" s="25" t="n">
        <f aca="false">J4368-J4369</f>
        <v>-200</v>
      </c>
      <c r="K4370" s="25" t="n">
        <f aca="false">K4368-K4369</f>
        <v>-200</v>
      </c>
    </row>
    <row r="4371" customFormat="false" ht="15" hidden="false" customHeight="false" outlineLevel="0" collapsed="false">
      <c r="A4371" s="3" t="s">
        <v>376</v>
      </c>
      <c r="G4371" s="21" t="n">
        <f aca="false">IF(G4369=0,0,G4370/ABS(G4369))</f>
        <v>0.7720109812</v>
      </c>
      <c r="H4371" s="21" t="n">
        <f aca="false">IF(H4369=0,0,H4370/ABS(H4369))</f>
        <v>0.0687330604959998</v>
      </c>
      <c r="I4371" s="21" t="n">
        <f aca="false">IF(I4369=0,0,I4370/ABS(I4369))</f>
        <v>-1</v>
      </c>
      <c r="J4371" s="21" t="n">
        <f aca="false">IF(J4369=0,0,J4370/ABS(J4369))</f>
        <v>-1</v>
      </c>
      <c r="K4371" s="21" t="n">
        <f aca="false">IF(K4369=0,0,K4370/ABS(K4369))</f>
        <v>-1</v>
      </c>
    </row>
    <row r="4372" customFormat="false" ht="15" hidden="false" customHeight="false" outlineLevel="0" collapsed="false">
      <c r="A4372" s="3" t="s">
        <v>377</v>
      </c>
      <c r="G4372" s="20" t="n">
        <f aca="false">IF(G4370&lt;0,1,0)</f>
        <v>0</v>
      </c>
      <c r="H4372" s="20" t="n">
        <f aca="false">IF(H4370&lt;0,1,0)</f>
        <v>0</v>
      </c>
      <c r="I4372" s="20" t="n">
        <f aca="false">IF(I4370&lt;0,1,0)</f>
        <v>1</v>
      </c>
      <c r="J4372" s="20" t="n">
        <f aca="false">IF(J4370&lt;0,1,0)</f>
        <v>1</v>
      </c>
      <c r="K4372" s="20" t="n">
        <f aca="false">IF(K4370&lt;0,1,0)</f>
        <v>1</v>
      </c>
    </row>
    <row r="4373" customFormat="false" ht="15" hidden="false" customHeight="false" outlineLevel="0" collapsed="false">
      <c r="A4373" s="3" t="s">
        <v>378</v>
      </c>
      <c r="C4373" s="20" t="n">
        <f aca="false">IFERROR(INDEX($G$4225:$K$4225,MATCH(1,$G$4372:$K$4372,0)),0)</f>
        <v>2029</v>
      </c>
    </row>
    <row r="4374" customFormat="false" ht="15" hidden="false" customHeight="false" outlineLevel="0" collapsed="false">
      <c r="A4374" s="3" t="s">
        <v>379</v>
      </c>
      <c r="C4374" s="21" t="n">
        <f aca="false">MIN($G$4371:$K$4371)</f>
        <v>-1</v>
      </c>
    </row>
    <row r="4375" customFormat="false" ht="15" hidden="false" customHeight="false" outlineLevel="0" collapsed="false">
      <c r="A4375" s="3" t="s">
        <v>382</v>
      </c>
      <c r="G4375" s="20" t="n">
        <f aca="false">G4356+G4364+G4372</f>
        <v>2</v>
      </c>
      <c r="H4375" s="20" t="n">
        <f aca="false">H4356+H4364+H4372</f>
        <v>2</v>
      </c>
      <c r="I4375" s="20" t="n">
        <f aca="false">I4356+I4364+I4372</f>
        <v>3</v>
      </c>
      <c r="J4375" s="20" t="n">
        <f aca="false">J4356+J4364+J4372</f>
        <v>3</v>
      </c>
      <c r="K4375" s="20" t="n">
        <f aca="false">K4356+K4364+K4372</f>
        <v>3</v>
      </c>
    </row>
    <row r="4376" customFormat="false" ht="15" hidden="false" customHeight="false" outlineLevel="0" collapsed="false">
      <c r="A4376" s="3" t="s">
        <v>383</v>
      </c>
      <c r="C4376" s="20" t="n">
        <f aca="false">SUM($G$4375:$K$4375)</f>
        <v>13</v>
      </c>
    </row>
    <row r="4377" customFormat="false" ht="15" hidden="false" customHeight="false" outlineLevel="0" collapsed="false">
      <c r="A4377" s="3" t="s">
        <v>384</v>
      </c>
      <c r="C4377" s="21" t="n">
        <f aca="false">MIN(C4358,C4366,C4374)</f>
        <v>-8.91232246239086</v>
      </c>
    </row>
    <row r="4379" customFormat="false" ht="15" hidden="false" customHeight="false" outlineLevel="0" collapsed="false">
      <c r="A4379" s="23" t="s">
        <v>486</v>
      </c>
      <c r="B4379" s="24"/>
      <c r="C4379" s="24"/>
      <c r="D4379" s="24"/>
      <c r="E4379" s="24"/>
      <c r="F4379" s="24"/>
      <c r="G4379" s="24"/>
      <c r="H4379" s="24"/>
      <c r="I4379" s="24"/>
      <c r="J4379" s="24"/>
      <c r="K4379" s="24"/>
    </row>
    <row r="4380" customFormat="false" ht="15" hidden="false" customHeight="false" outlineLevel="0" collapsed="false">
      <c r="A4380" s="3" t="s">
        <v>487</v>
      </c>
      <c r="G4380" s="20" t="n">
        <f aca="false">IF($C$4381=1,G4333,IF(G4235=MIN($G$4235:$K$4235),1,0))</f>
        <v>0</v>
      </c>
      <c r="H4380" s="20" t="n">
        <f aca="false">IF($C$4381=1,H4333,IF(AND(H4235=MIN($G$4235:$K$4235),SUM($G$4380:G4380)=0),1,0))</f>
        <v>0</v>
      </c>
      <c r="I4380" s="20" t="n">
        <f aca="false">IF($C$4381=1,I4333,IF(AND(I4235=MIN($G$4235:$K$4235),SUM($G$4380:H4380)=0),1,0))</f>
        <v>1</v>
      </c>
      <c r="J4380" s="20" t="n">
        <f aca="false">IF($C$4381=1,J4333,IF(AND(J4235=MIN($G$4235:$K$4235),SUM($G$4380:I4380)=0),1,0))</f>
        <v>0</v>
      </c>
      <c r="K4380" s="20" t="n">
        <f aca="false">IF($C$4381=1,K4333,IF(AND(K4235=MIN($G$4235:$K$4235),SUM($G$4380:J4380)=0),1,0))</f>
        <v>0</v>
      </c>
    </row>
    <row r="4381" customFormat="false" ht="15" hidden="false" customHeight="false" outlineLevel="0" collapsed="false">
      <c r="A4381" s="3" t="s">
        <v>488</v>
      </c>
      <c r="C4381" s="20" t="n">
        <f aca="false">IF(SUM($G$4333:$K$4333)&gt;0,1,0)</f>
        <v>1</v>
      </c>
    </row>
    <row r="4382" customFormat="false" ht="15" hidden="false" customHeight="false" outlineLevel="0" collapsed="false">
      <c r="A4382" s="3" t="s">
        <v>489</v>
      </c>
      <c r="C4382" s="20" t="n">
        <f aca="false">SUMPRODUCT($G$4380:$K$4380,$G$4225:$K$4225)</f>
        <v>2029</v>
      </c>
    </row>
    <row r="4383" customFormat="false" ht="15" hidden="false" customHeight="false" outlineLevel="0" collapsed="false">
      <c r="A4383" s="3" t="s">
        <v>490</v>
      </c>
      <c r="C4383" s="25" t="n">
        <f aca="false">SUMPRODUCT($G$4380:$K$4380,$G$4235:$K$4235)</f>
        <v>45.8972575776</v>
      </c>
    </row>
    <row r="4384" customFormat="false" ht="15" hidden="false" customHeight="false" outlineLevel="0" collapsed="false">
      <c r="A4384" s="3" t="s">
        <v>491</v>
      </c>
      <c r="C4384" s="25" t="n">
        <f aca="false">MAX(0,SUMPRODUCT($G$4380:$K$4380,$G$4330:$K$4330))</f>
        <v>0</v>
      </c>
    </row>
    <row r="4385" customFormat="false" ht="15" hidden="false" customHeight="false" outlineLevel="0" collapsed="false">
      <c r="A4385" s="3" t="s">
        <v>492</v>
      </c>
      <c r="C4385" s="25" t="n">
        <f aca="false">(CHOOSE($C$4218,Assumptions!$C$84,Assumptions!$C$103,Assumptions!$C$122)+$C$4222)*C4383</f>
        <v>183.5890303104</v>
      </c>
    </row>
    <row r="4386" customFormat="false" ht="15" hidden="false" customHeight="false" outlineLevel="0" collapsed="false">
      <c r="A4386" s="3" t="s">
        <v>493</v>
      </c>
      <c r="C4386" s="25" t="n">
        <f aca="false">Assumptions!$C$30*(1-CHOOSE($C$4218,Assumptions!$C$85,Assumptions!$C$104,Assumptions!$C$123))*CHOOSE($C$4218,Assumptions!$C$86,Assumptions!$C$105,Assumptions!$C$124)</f>
        <v>478.719345</v>
      </c>
    </row>
    <row r="4387" customFormat="false" ht="15" hidden="false" customHeight="false" outlineLevel="0" collapsed="false">
      <c r="A4387" s="3" t="s">
        <v>494</v>
      </c>
      <c r="C4387" s="25" t="n">
        <f aca="false">MAX(C4385,C4386)+C4384</f>
        <v>478.719345</v>
      </c>
    </row>
    <row r="4388" customFormat="false" ht="15" hidden="false" customHeight="false" outlineLevel="0" collapsed="false">
      <c r="A4388" s="2" t="s">
        <v>495</v>
      </c>
      <c r="C4388" s="16" t="n">
        <f aca="false">IF(ISNUMBER(Assumptions!$C$14),Assumptions!$C$14,C4387)</f>
        <v>478.719345</v>
      </c>
    </row>
    <row r="4389" customFormat="false" ht="15" hidden="false" customHeight="false" outlineLevel="0" collapsed="false">
      <c r="A4389" s="3" t="s">
        <v>496</v>
      </c>
      <c r="C4389" s="25" t="n">
        <f aca="false">C4388*Assumptions!$C$15</f>
        <v>19.1487738</v>
      </c>
    </row>
    <row r="4390" customFormat="false" ht="15" hidden="false" customHeight="false" outlineLevel="0" collapsed="false">
      <c r="A4390" s="2" t="s">
        <v>497</v>
      </c>
      <c r="C4390" s="16" t="n">
        <f aca="false">C4388-C4389</f>
        <v>459.5705712</v>
      </c>
    </row>
    <row r="4391" customFormat="false" ht="15" hidden="false" customHeight="false" outlineLevel="0" collapsed="false">
      <c r="A4391" s="23" t="s">
        <v>498</v>
      </c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</row>
    <row r="4392" customFormat="false" ht="15" hidden="false" customHeight="false" outlineLevel="0" collapsed="false">
      <c r="A4392" s="3" t="s">
        <v>499</v>
      </c>
      <c r="C4392" s="25" t="n">
        <f aca="false">SUMPRODUCT($G$4380:$K$4380,$G$4272:$K$4272)*(1+SUMPRODUCT($G$4380:$K$4380,$G$4264:$K$4264)*Assumptions!$C$16/12)</f>
        <v>1349.6193225</v>
      </c>
    </row>
    <row r="4393" customFormat="false" ht="15" hidden="false" customHeight="false" outlineLevel="0" collapsed="false">
      <c r="A4393" s="3" t="s">
        <v>500</v>
      </c>
      <c r="C4393" s="25" t="n">
        <f aca="false">SUMPRODUCT($G$4380:$K$4380,$G$4285:$K$4285)*(1+SUMPRODUCT($G$4380:$K$4380,$G$4277:$K$4277)*Assumptions!$C$16/12)</f>
        <v>215.055364307415</v>
      </c>
    </row>
    <row r="4394" customFormat="false" ht="15" hidden="false" customHeight="false" outlineLevel="0" collapsed="false">
      <c r="A4394" s="3" t="s">
        <v>501</v>
      </c>
      <c r="C4394" s="25" t="n">
        <f aca="false">SUMPRODUCT($G$4380:$K$4380,$G$4298:$K$4298)*(1+SUMPRODUCT($G$4380:$K$4380,$G$4290:$K$4290)*Assumptions!$C$16/12)</f>
        <v>145.27734375</v>
      </c>
    </row>
    <row r="4395" customFormat="false" ht="15" hidden="false" customHeight="false" outlineLevel="0" collapsed="false">
      <c r="A4395" s="23" t="s">
        <v>502</v>
      </c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</row>
    <row r="4396" customFormat="false" ht="15" hidden="false" customHeight="false" outlineLevel="0" collapsed="false">
      <c r="A4396" s="3" t="s">
        <v>499</v>
      </c>
      <c r="C4396" s="27" t="n">
        <f aca="false">Assumptions!$M$56</f>
        <v>1</v>
      </c>
    </row>
    <row r="4397" customFormat="false" ht="15" hidden="false" customHeight="false" outlineLevel="0" collapsed="false">
      <c r="A4397" s="3" t="s">
        <v>500</v>
      </c>
      <c r="C4397" s="27" t="n">
        <f aca="false">Assumptions!$M$57</f>
        <v>2</v>
      </c>
    </row>
    <row r="4398" customFormat="false" ht="15" hidden="false" customHeight="false" outlineLevel="0" collapsed="false">
      <c r="A4398" s="3" t="s">
        <v>501</v>
      </c>
      <c r="C4398" s="27" t="n">
        <f aca="false">Assumptions!$M$58</f>
        <v>2</v>
      </c>
    </row>
    <row r="4399" customFormat="false" ht="15" hidden="false" customHeight="false" outlineLevel="0" collapsed="false">
      <c r="A4399" s="23" t="s">
        <v>503</v>
      </c>
      <c r="B4399" s="24"/>
      <c r="C4399" s="24"/>
      <c r="D4399" s="24"/>
      <c r="E4399" s="24"/>
      <c r="F4399" s="24"/>
      <c r="G4399" s="24"/>
      <c r="H4399" s="24"/>
      <c r="I4399" s="24"/>
      <c r="J4399" s="24"/>
      <c r="K4399" s="24"/>
    </row>
    <row r="4400" customFormat="false" ht="15" hidden="false" customHeight="false" outlineLevel="0" collapsed="false">
      <c r="A4400" s="3" t="s">
        <v>499</v>
      </c>
      <c r="C4400" s="35" t="n">
        <f aca="false">Assumptions!$Q$56</f>
        <v>0</v>
      </c>
    </row>
    <row r="4401" customFormat="false" ht="15" hidden="false" customHeight="false" outlineLevel="0" collapsed="false">
      <c r="A4401" s="3" t="s">
        <v>500</v>
      </c>
      <c r="C4401" s="35" t="n">
        <f aca="false">Assumptions!$Q$57</f>
        <v>0</v>
      </c>
    </row>
    <row r="4402" customFormat="false" ht="15" hidden="false" customHeight="false" outlineLevel="0" collapsed="false">
      <c r="A4402" s="3" t="s">
        <v>501</v>
      </c>
      <c r="C4402" s="35" t="n">
        <f aca="false">Assumptions!$Q$58</f>
        <v>0</v>
      </c>
    </row>
    <row r="4403" customFormat="false" ht="15" hidden="false" customHeight="false" outlineLevel="0" collapsed="false">
      <c r="A4403" s="23" t="s">
        <v>504</v>
      </c>
      <c r="B4403" s="24"/>
      <c r="C4403" s="24"/>
      <c r="D4403" s="24"/>
      <c r="E4403" s="24"/>
      <c r="F4403" s="24"/>
      <c r="G4403" s="24"/>
      <c r="H4403" s="24"/>
      <c r="I4403" s="24"/>
      <c r="J4403" s="24"/>
      <c r="K4403" s="24"/>
    </row>
    <row r="4404" customFormat="false" ht="15" hidden="false" customHeight="false" outlineLevel="0" collapsed="false">
      <c r="A4404" s="3" t="s">
        <v>499</v>
      </c>
      <c r="C4404" s="25" t="n">
        <f aca="false">IF(C4400&gt;0,MIN(C4392,C4400*$C$4390),0)</f>
        <v>0</v>
      </c>
    </row>
    <row r="4405" customFormat="false" ht="15" hidden="false" customHeight="false" outlineLevel="0" collapsed="false">
      <c r="A4405" s="3" t="s">
        <v>500</v>
      </c>
      <c r="C4405" s="25" t="n">
        <f aca="false">IF(C4401&gt;0,MIN(C4393,C4401*$C$4390),0)</f>
        <v>0</v>
      </c>
    </row>
    <row r="4406" customFormat="false" ht="15" hidden="false" customHeight="false" outlineLevel="0" collapsed="false">
      <c r="A4406" s="3" t="s">
        <v>501</v>
      </c>
      <c r="C4406" s="25" t="n">
        <f aca="false">IF(C4402&gt;0,MIN(C4394,C4402*$C$4390),0)</f>
        <v>0</v>
      </c>
    </row>
    <row r="4407" customFormat="false" ht="15" hidden="false" customHeight="false" outlineLevel="0" collapsed="false">
      <c r="A4407" s="23" t="s">
        <v>505</v>
      </c>
      <c r="B4407" s="24"/>
      <c r="C4407" s="24"/>
      <c r="D4407" s="24"/>
      <c r="E4407" s="24"/>
      <c r="F4407" s="24"/>
      <c r="G4407" s="24"/>
      <c r="H4407" s="24"/>
      <c r="I4407" s="24"/>
      <c r="J4407" s="24"/>
      <c r="K4407" s="24"/>
    </row>
    <row r="4408" customFormat="false" ht="15" hidden="false" customHeight="false" outlineLevel="0" collapsed="false">
      <c r="A4408" s="3" t="s">
        <v>499</v>
      </c>
      <c r="C4408" s="25" t="n">
        <f aca="false">IF(C4400&gt;0,C4392-C4404,0)</f>
        <v>0</v>
      </c>
      <c r="G4408" s="20" t="n">
        <f aca="false">IF(AND(G4262=1,G4259=1),1,0)</f>
        <v>0</v>
      </c>
      <c r="H4408" s="20" t="n">
        <f aca="false">IF(G4408=1,1,IF(AND(H4262=1,H4259=1),1,0))</f>
        <v>0</v>
      </c>
      <c r="I4408" s="20" t="n">
        <f aca="false">IF(H4408=1,1,IF(AND(I4262=1,I4259=1),1,0))</f>
        <v>0</v>
      </c>
      <c r="J4408" s="20" t="n">
        <f aca="false">IF(I4408=1,1,IF(AND(J4262=1,J4259=1),1,0))</f>
        <v>0</v>
      </c>
      <c r="K4408" s="20" t="n">
        <f aca="false">IF(J4408=1,1,IF(AND(K4262=1,K4259=1),1,0))</f>
        <v>0</v>
      </c>
    </row>
    <row r="4409" customFormat="false" ht="15" hidden="false" customHeight="false" outlineLevel="0" collapsed="false">
      <c r="A4409" s="3" t="s">
        <v>500</v>
      </c>
      <c r="C4409" s="25" t="n">
        <f aca="false">IF(C4401&gt;0,C4393-C4405,0)</f>
        <v>0</v>
      </c>
      <c r="G4409" s="20" t="n">
        <f aca="false">IF(AND(G4275=1,G4259=1),1,0)</f>
        <v>0</v>
      </c>
      <c r="H4409" s="20" t="n">
        <f aca="false">IF(G4409=1,1,IF(AND(H4275=1,H4259=1),1,0))</f>
        <v>0</v>
      </c>
      <c r="I4409" s="20" t="n">
        <f aca="false">IF(H4409=1,1,IF(AND(I4275=1,I4259=1),1,0))</f>
        <v>0</v>
      </c>
      <c r="J4409" s="20" t="n">
        <f aca="false">IF(I4409=1,1,IF(AND(J4275=1,J4259=1),1,0))</f>
        <v>0</v>
      </c>
      <c r="K4409" s="20" t="n">
        <f aca="false">IF(J4409=1,1,IF(AND(K4275=1,K4259=1),1,0))</f>
        <v>0</v>
      </c>
    </row>
    <row r="4410" customFormat="false" ht="15" hidden="false" customHeight="false" outlineLevel="0" collapsed="false">
      <c r="A4410" s="3" t="s">
        <v>501</v>
      </c>
      <c r="C4410" s="25" t="n">
        <f aca="false">IF(C4402&gt;0,C4394-C4406,0)</f>
        <v>0</v>
      </c>
      <c r="G4410" s="20" t="n">
        <f aca="false">IF(AND(G4288=1,G4259=1),1,0)</f>
        <v>0</v>
      </c>
      <c r="H4410" s="20" t="n">
        <f aca="false">IF(G4410=1,1,IF(AND(H4288=1,H4259=1),1,0))</f>
        <v>0</v>
      </c>
      <c r="I4410" s="20" t="n">
        <f aca="false">IF(H4410=1,1,IF(AND(I4288=1,I4259=1),1,0))</f>
        <v>0</v>
      </c>
      <c r="J4410" s="20" t="n">
        <f aca="false">IF(I4410=1,1,IF(AND(J4288=1,J4259=1),1,0))</f>
        <v>0</v>
      </c>
      <c r="K4410" s="20" t="n">
        <f aca="false">IF(J4410=1,1,IF(AND(K4288=1,K4259=1),1,0))</f>
        <v>0</v>
      </c>
    </row>
    <row r="4411" customFormat="false" ht="15" hidden="false" customHeight="false" outlineLevel="0" collapsed="false">
      <c r="A4411" s="23" t="s">
        <v>506</v>
      </c>
      <c r="B4411" s="24"/>
      <c r="C4411" s="24"/>
      <c r="D4411" s="24"/>
      <c r="E4411" s="24"/>
      <c r="F4411" s="24"/>
      <c r="G4411" s="24"/>
      <c r="H4411" s="24"/>
      <c r="I4411" s="24"/>
      <c r="J4411" s="24"/>
      <c r="K4411" s="24"/>
    </row>
    <row r="4412" customFormat="false" ht="15" hidden="false" customHeight="false" outlineLevel="0" collapsed="false">
      <c r="A4412" s="3" t="s">
        <v>499</v>
      </c>
      <c r="C4412" s="25" t="n">
        <f aca="false">IF(C4400&gt;0,C4408,C4392)</f>
        <v>1349.6193225</v>
      </c>
    </row>
    <row r="4413" customFormat="false" ht="15" hidden="false" customHeight="false" outlineLevel="0" collapsed="false">
      <c r="A4413" s="3" t="s">
        <v>500</v>
      </c>
      <c r="C4413" s="25" t="n">
        <f aca="false">IF(C4401&gt;0,C4409,C4393)</f>
        <v>215.055364307415</v>
      </c>
    </row>
    <row r="4414" customFormat="false" ht="15" hidden="false" customHeight="false" outlineLevel="0" collapsed="false">
      <c r="A4414" s="3" t="s">
        <v>501</v>
      </c>
      <c r="C4414" s="25" t="n">
        <f aca="false">IF(C4402&gt;0,C4410,C4394)</f>
        <v>145.27734375</v>
      </c>
    </row>
    <row r="4415" customFormat="false" ht="15" hidden="false" customHeight="false" outlineLevel="0" collapsed="false">
      <c r="A4415" s="23" t="s">
        <v>507</v>
      </c>
      <c r="B4415" s="24"/>
      <c r="C4415" s="24"/>
      <c r="D4415" s="24"/>
      <c r="E4415" s="24"/>
      <c r="F4415" s="24"/>
      <c r="G4415" s="24"/>
      <c r="H4415" s="24"/>
      <c r="I4415" s="24"/>
      <c r="J4415" s="24"/>
      <c r="K4415" s="24"/>
    </row>
    <row r="4416" customFormat="false" ht="15" hidden="false" customHeight="false" outlineLevel="0" collapsed="false">
      <c r="A4416" s="3" t="s">
        <v>499</v>
      </c>
      <c r="C4416" s="20" t="n">
        <f aca="false">IF(C4400&gt;0,Assumptions!$C$17,C4396)</f>
        <v>1</v>
      </c>
    </row>
    <row r="4417" customFormat="false" ht="15" hidden="false" customHeight="false" outlineLevel="0" collapsed="false">
      <c r="A4417" s="3" t="s">
        <v>500</v>
      </c>
      <c r="C4417" s="20" t="n">
        <f aca="false">IF(C4401&gt;0,Assumptions!$C$17,C4397)</f>
        <v>2</v>
      </c>
    </row>
    <row r="4418" customFormat="false" ht="15" hidden="false" customHeight="false" outlineLevel="0" collapsed="false">
      <c r="A4418" s="3" t="s">
        <v>501</v>
      </c>
      <c r="C4418" s="20" t="n">
        <f aca="false">IF(C4402&gt;0,Assumptions!$C$17,C4398)</f>
        <v>2</v>
      </c>
    </row>
    <row r="4419" customFormat="false" ht="15" hidden="false" customHeight="false" outlineLevel="0" collapsed="false">
      <c r="A4419" s="23" t="s">
        <v>508</v>
      </c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</row>
    <row r="4420" customFormat="false" ht="15" hidden="false" customHeight="false" outlineLevel="0" collapsed="false">
      <c r="A4420" s="3" t="s">
        <v>499</v>
      </c>
      <c r="C4420" s="25" t="n">
        <f aca="false">SUMPRODUCT(($C$4416:$C$4418&lt;C4416)*$C$4412:$C$4414)</f>
        <v>0</v>
      </c>
    </row>
    <row r="4421" customFormat="false" ht="15" hidden="false" customHeight="false" outlineLevel="0" collapsed="false">
      <c r="A4421" s="3" t="s">
        <v>500</v>
      </c>
      <c r="C4421" s="25" t="n">
        <f aca="false">SUMPRODUCT(($C$4416:$C$4418&lt;C4417)*$C$4412:$C$4414)</f>
        <v>1349.6193225</v>
      </c>
    </row>
    <row r="4422" customFormat="false" ht="15" hidden="false" customHeight="false" outlineLevel="0" collapsed="false">
      <c r="A4422" s="3" t="s">
        <v>501</v>
      </c>
      <c r="C4422" s="25" t="n">
        <f aca="false">SUMPRODUCT(($C$4416:$C$4418&lt;C4418)*$C$4412:$C$4414)</f>
        <v>1349.6193225</v>
      </c>
    </row>
    <row r="4423" customFormat="false" ht="15" hidden="false" customHeight="false" outlineLevel="0" collapsed="false">
      <c r="A4423" s="23" t="s">
        <v>509</v>
      </c>
      <c r="B4423" s="24"/>
      <c r="C4423" s="24"/>
      <c r="D4423" s="24"/>
      <c r="E4423" s="24"/>
      <c r="F4423" s="24"/>
      <c r="G4423" s="24"/>
      <c r="H4423" s="24"/>
      <c r="I4423" s="24"/>
      <c r="J4423" s="24"/>
      <c r="K4423" s="24"/>
    </row>
    <row r="4424" customFormat="false" ht="15" hidden="false" customHeight="false" outlineLevel="0" collapsed="false">
      <c r="A4424" s="3" t="s">
        <v>499</v>
      </c>
      <c r="C4424" s="25" t="n">
        <f aca="false">SUMPRODUCT(($C$4416:$C$4418=C4416)*$C$4412:$C$4414)</f>
        <v>1349.6193225</v>
      </c>
    </row>
    <row r="4425" customFormat="false" ht="15" hidden="false" customHeight="false" outlineLevel="0" collapsed="false">
      <c r="A4425" s="3" t="s">
        <v>500</v>
      </c>
      <c r="C4425" s="25" t="n">
        <f aca="false">SUMPRODUCT(($C$4416:$C$4418=C4417)*$C$4412:$C$4414)</f>
        <v>360.332708057415</v>
      </c>
    </row>
    <row r="4426" customFormat="false" ht="15" hidden="false" customHeight="false" outlineLevel="0" collapsed="false">
      <c r="A4426" s="3" t="s">
        <v>501</v>
      </c>
      <c r="C4426" s="25" t="n">
        <f aca="false">SUMPRODUCT(($C$4416:$C$4418=C4418)*$C$4412:$C$4414)</f>
        <v>360.332708057415</v>
      </c>
    </row>
    <row r="4427" customFormat="false" ht="15" hidden="false" customHeight="false" outlineLevel="0" collapsed="false">
      <c r="A4427" s="23" t="s">
        <v>510</v>
      </c>
      <c r="B4427" s="24"/>
      <c r="C4427" s="24"/>
      <c r="D4427" s="24"/>
      <c r="E4427" s="24"/>
      <c r="F4427" s="24"/>
      <c r="G4427" s="24"/>
      <c r="H4427" s="24"/>
      <c r="I4427" s="24"/>
      <c r="J4427" s="24"/>
      <c r="K4427" s="24"/>
    </row>
    <row r="4428" customFormat="false" ht="15" hidden="false" customHeight="false" outlineLevel="0" collapsed="false">
      <c r="A4428" s="3" t="s">
        <v>499</v>
      </c>
      <c r="C4428" s="25" t="n">
        <f aca="false">IF(C4424=0,0,C4412/C4424*MAX(0,MIN(C4424,$C$4390-SUM($C$4404:$C$4406)-C4420)))</f>
        <v>459.5705712</v>
      </c>
    </row>
    <row r="4429" customFormat="false" ht="15" hidden="false" customHeight="false" outlineLevel="0" collapsed="false">
      <c r="A4429" s="3" t="s">
        <v>500</v>
      </c>
      <c r="C4429" s="25" t="n">
        <f aca="false">IF(C4425=0,0,C4413/C4425*MAX(0,MIN(C4425,$C$4390-SUM($C$4404:$C$4406)-C4421)))</f>
        <v>0</v>
      </c>
    </row>
    <row r="4430" customFormat="false" ht="15" hidden="false" customHeight="false" outlineLevel="0" collapsed="false">
      <c r="A4430" s="3" t="s">
        <v>501</v>
      </c>
      <c r="C4430" s="25" t="n">
        <f aca="false">IF(C4426=0,0,C4414/C4426*MAX(0,MIN(C4426,$C$4390-SUM($C$4404:$C$4406)-C4422)))</f>
        <v>0</v>
      </c>
    </row>
    <row r="4431" customFormat="false" ht="15" hidden="false" customHeight="false" outlineLevel="0" collapsed="false">
      <c r="A4431" s="23" t="s">
        <v>511</v>
      </c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</row>
    <row r="4432" customFormat="false" ht="15" hidden="false" customHeight="false" outlineLevel="0" collapsed="false">
      <c r="A4432" s="2" t="s">
        <v>499</v>
      </c>
      <c r="C4432" s="16" t="n">
        <f aca="false">C4404+C4428</f>
        <v>459.5705712</v>
      </c>
    </row>
    <row r="4433" customFormat="false" ht="15" hidden="false" customHeight="false" outlineLevel="0" collapsed="false">
      <c r="A4433" s="2" t="s">
        <v>500</v>
      </c>
      <c r="C4433" s="16" t="n">
        <f aca="false">C4405+C4429</f>
        <v>0</v>
      </c>
    </row>
    <row r="4434" customFormat="false" ht="15" hidden="false" customHeight="false" outlineLevel="0" collapsed="false">
      <c r="A4434" s="2" t="s">
        <v>501</v>
      </c>
      <c r="C4434" s="16" t="n">
        <f aca="false">C4406+C4430</f>
        <v>0</v>
      </c>
    </row>
    <row r="4435" customFormat="false" ht="15" hidden="false" customHeight="false" outlineLevel="0" collapsed="false">
      <c r="A4435" s="23" t="s">
        <v>512</v>
      </c>
      <c r="B4435" s="24"/>
      <c r="C4435" s="24"/>
      <c r="D4435" s="24"/>
      <c r="E4435" s="24"/>
      <c r="F4435" s="24"/>
      <c r="G4435" s="24"/>
      <c r="H4435" s="24"/>
      <c r="I4435" s="24"/>
      <c r="J4435" s="24"/>
      <c r="K4435" s="24"/>
    </row>
    <row r="4436" customFormat="false" ht="15" hidden="false" customHeight="false" outlineLevel="0" collapsed="false">
      <c r="A4436" s="3" t="s">
        <v>499</v>
      </c>
      <c r="C4436" s="21" t="n">
        <f aca="false">IF(C4392=0,1,C4432/C4392)</f>
        <v>0.340518665921812</v>
      </c>
    </row>
    <row r="4437" customFormat="false" ht="15" hidden="false" customHeight="false" outlineLevel="0" collapsed="false">
      <c r="A4437" s="3" t="s">
        <v>500</v>
      </c>
      <c r="C4437" s="21" t="n">
        <f aca="false">IF(C4393=0,1,C4433/C4393)</f>
        <v>0</v>
      </c>
    </row>
    <row r="4438" customFormat="false" ht="15" hidden="false" customHeight="false" outlineLevel="0" collapsed="false">
      <c r="A4438" s="3" t="s">
        <v>501</v>
      </c>
      <c r="C4438" s="21" t="n">
        <f aca="false">IF(C4394=0,1,C4434/C4394)</f>
        <v>0</v>
      </c>
    </row>
    <row r="4439" customFormat="false" ht="15" hidden="false" customHeight="false" outlineLevel="0" collapsed="false">
      <c r="A4439" s="23" t="s">
        <v>513</v>
      </c>
      <c r="B4439" s="24"/>
      <c r="C4439" s="24"/>
      <c r="D4439" s="24"/>
      <c r="E4439" s="24"/>
      <c r="F4439" s="24"/>
      <c r="G4439" s="24"/>
      <c r="H4439" s="24"/>
      <c r="I4439" s="24"/>
      <c r="J4439" s="24"/>
      <c r="K4439" s="24"/>
    </row>
    <row r="4440" customFormat="false" ht="15" hidden="false" customHeight="false" outlineLevel="0" collapsed="false">
      <c r="A4440" s="3" t="s">
        <v>499</v>
      </c>
      <c r="C4440" s="25" t="n">
        <f aca="false">C4392-C4432</f>
        <v>890.0487513</v>
      </c>
    </row>
    <row r="4441" customFormat="false" ht="15" hidden="false" customHeight="false" outlineLevel="0" collapsed="false">
      <c r="A4441" s="3" t="s">
        <v>500</v>
      </c>
      <c r="C4441" s="25" t="n">
        <f aca="false">C4393-C4433</f>
        <v>215.055364307415</v>
      </c>
    </row>
    <row r="4442" customFormat="false" ht="15" hidden="false" customHeight="false" outlineLevel="0" collapsed="false">
      <c r="A4442" s="3" t="s">
        <v>501</v>
      </c>
      <c r="C4442" s="25" t="n">
        <f aca="false">C4394-C4434</f>
        <v>145.27734375</v>
      </c>
    </row>
    <row r="4443" customFormat="false" ht="15" hidden="false" customHeight="false" outlineLevel="0" collapsed="false">
      <c r="A4443" s="23" t="s">
        <v>514</v>
      </c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</row>
    <row r="4444" customFormat="false" ht="15" hidden="false" customHeight="false" outlineLevel="0" collapsed="false">
      <c r="A4444" s="3" t="s">
        <v>499</v>
      </c>
      <c r="C4444" s="21" t="n">
        <f aca="false">IF(C4392=0,0,C4440/C4392)</f>
        <v>0.659481334078188</v>
      </c>
    </row>
    <row r="4445" customFormat="false" ht="15" hidden="false" customHeight="false" outlineLevel="0" collapsed="false">
      <c r="A4445" s="3" t="s">
        <v>500</v>
      </c>
      <c r="C4445" s="21" t="n">
        <f aca="false">IF(C4393=0,0,C4441/C4393)</f>
        <v>1</v>
      </c>
    </row>
    <row r="4446" customFormat="false" ht="15" hidden="false" customHeight="false" outlineLevel="0" collapsed="false">
      <c r="A4446" s="3" t="s">
        <v>501</v>
      </c>
      <c r="C4446" s="21" t="n">
        <f aca="false">IF(C4394=0,0,C4442/C4394)</f>
        <v>1</v>
      </c>
    </row>
    <row r="4447" customFormat="false" ht="15" hidden="false" customHeight="false" outlineLevel="0" collapsed="false">
      <c r="A4447" s="2" t="s">
        <v>515</v>
      </c>
      <c r="C4447" s="16" t="n">
        <f aca="false">MAX(0,$C$4390-SUM($C$4404:$C$4406)-SUM($C$4412:$C$4414))</f>
        <v>0</v>
      </c>
    </row>
    <row r="4448" customFormat="false" ht="15" hidden="false" customHeight="false" outlineLevel="0" collapsed="false">
      <c r="A4448" s="3" t="s">
        <v>516</v>
      </c>
      <c r="C4448" s="25" t="n">
        <f aca="false">SUM($C$4432:$C$4434)+C4447+C4389-C4388</f>
        <v>0</v>
      </c>
    </row>
    <row r="4450" customFormat="false" ht="15" hidden="false" customHeight="false" outlineLevel="0" collapsed="false">
      <c r="A4450" s="23" t="s">
        <v>519</v>
      </c>
      <c r="B4450" s="24"/>
      <c r="C4450" s="24"/>
      <c r="D4450" s="24"/>
      <c r="E4450" s="24"/>
      <c r="F4450" s="24"/>
      <c r="G4450" s="24"/>
      <c r="H4450" s="24"/>
      <c r="I4450" s="24"/>
      <c r="J4450" s="24"/>
      <c r="K4450" s="24"/>
    </row>
    <row r="4451" customFormat="false" ht="15" hidden="false" customHeight="false" outlineLevel="0" collapsed="false">
      <c r="A4451" s="3" t="s">
        <v>520</v>
      </c>
      <c r="C4451" s="27" t="n">
        <f aca="false">Assumptions!$C$33</f>
        <v>1</v>
      </c>
    </row>
    <row r="4452" customFormat="false" ht="15" hidden="false" customHeight="false" outlineLevel="0" collapsed="false">
      <c r="A4452" s="3" t="s">
        <v>521</v>
      </c>
      <c r="C4452" s="29" t="n">
        <f aca="false">Assumptions!$C$34</f>
        <v>100</v>
      </c>
    </row>
    <row r="4453" customFormat="false" ht="15" hidden="false" customHeight="false" outlineLevel="0" collapsed="false">
      <c r="A4453" s="3" t="s">
        <v>522</v>
      </c>
      <c r="C4453" s="40" t="n">
        <f aca="false">Assumptions!$C$35</f>
        <v>95</v>
      </c>
    </row>
    <row r="4454" customFormat="false" ht="15" hidden="false" customHeight="false" outlineLevel="0" collapsed="false">
      <c r="A4454" s="3" t="s">
        <v>523</v>
      </c>
      <c r="C4454" s="25" t="n">
        <f aca="false">C4452*C4453/100*(1+Assumptions!$C$36)</f>
        <v>95</v>
      </c>
    </row>
    <row r="4455" customFormat="false" ht="15" hidden="false" customHeight="false" outlineLevel="0" collapsed="false">
      <c r="A4455" s="3" t="s">
        <v>524</v>
      </c>
      <c r="C4455" s="27" t="n">
        <f aca="false">Assumptions!$C$37</f>
        <v>3</v>
      </c>
    </row>
    <row r="4456" customFormat="false" ht="15" hidden="false" customHeight="false" outlineLevel="0" collapsed="false">
      <c r="A4456" s="3" t="s">
        <v>525</v>
      </c>
      <c r="C4456" s="20" t="n">
        <f aca="false">IF(C4381=1,SUMPRODUCT($G$4333:$K$4333,$G$4226:$K$4226),0)</f>
        <v>3</v>
      </c>
    </row>
    <row r="4457" customFormat="false" ht="15" hidden="false" customHeight="false" outlineLevel="0" collapsed="false">
      <c r="A4457" s="3" t="s">
        <v>526</v>
      </c>
      <c r="C4457" s="21" t="n">
        <f aca="false">IFERROR(C4452/CHOOSE(C4451,SUMPRODUCT($G$4380:$K$4380,$G$4272:$K$4272),SUMPRODUCT($G$4380:$K$4380,$G$4285:$K$4285),SUMPRODUCT($G$4380:$K$4380,$G$4298:$K$4298)),0)</f>
        <v>0.0760399605200525</v>
      </c>
    </row>
    <row r="4458" customFormat="false" ht="15" hidden="false" customHeight="false" outlineLevel="0" collapsed="false">
      <c r="A4458" s="3" t="s">
        <v>527</v>
      </c>
      <c r="C4458" s="25" t="n">
        <f aca="false">CHOOSE(C4451,C4432,C4433,C4434)*C4457</f>
        <v>34.945728090226</v>
      </c>
    </row>
    <row r="4459" customFormat="false" ht="15" hidden="false" customHeight="false" outlineLevel="0" collapsed="false">
      <c r="A4459" s="3" t="s">
        <v>528</v>
      </c>
      <c r="C4459" s="21" t="n">
        <f aca="false">CHOOSE(C4451,C4436,C4437,C4438)</f>
        <v>0.340518665921812</v>
      </c>
    </row>
    <row r="4460" customFormat="false" ht="15" hidden="false" customHeight="false" outlineLevel="0" collapsed="false">
      <c r="A4460" s="3" t="s">
        <v>529</v>
      </c>
      <c r="C4460" s="20" t="n">
        <f aca="false">IF(C4381=1,C4456,C4455)</f>
        <v>3</v>
      </c>
    </row>
    <row r="4461" customFormat="false" ht="15" hidden="false" customHeight="false" outlineLevel="0" collapsed="false">
      <c r="A4461" s="3" t="s">
        <v>530</v>
      </c>
      <c r="C4461" s="34" t="n">
        <f aca="false">CHOOSE($C$4218,Assumptions!$C$83,Assumptions!$C$102,Assumptions!$C$121)</f>
        <v>80</v>
      </c>
    </row>
    <row r="4462" customFormat="false" ht="15" hidden="false" customHeight="false" outlineLevel="0" collapsed="false">
      <c r="A4462" s="3" t="s">
        <v>531</v>
      </c>
      <c r="C4462" s="25" t="n">
        <f aca="false">INDEX($G$4235:$K$4235,C4455)*CHOOSE($C$4218,Assumptions!$C$82,Assumptions!$C$101,Assumptions!$C$120)+MAX(0,INDEX($G$4330:$K$4330,C4455))</f>
        <v>183.5890303104</v>
      </c>
    </row>
    <row r="4463" customFormat="false" ht="15" hidden="false" customHeight="false" outlineLevel="0" collapsed="false">
      <c r="A4463" s="23" t="s">
        <v>532</v>
      </c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</row>
    <row r="4464" customFormat="false" ht="15" hidden="false" customHeight="false" outlineLevel="0" collapsed="false">
      <c r="A4464" s="3" t="s">
        <v>499</v>
      </c>
      <c r="C4464" s="25" t="n">
        <f aca="false">INDEX($G$4272:$K$4272,C4455)</f>
        <v>1315.098</v>
      </c>
    </row>
    <row r="4465" customFormat="false" ht="15" hidden="false" customHeight="false" outlineLevel="0" collapsed="false">
      <c r="A4465" s="3" t="s">
        <v>500</v>
      </c>
      <c r="C4465" s="25" t="n">
        <f aca="false">INDEX($G$4285:$K$4285,C4455)</f>
        <v>212.79442355712</v>
      </c>
    </row>
    <row r="4466" customFormat="false" ht="15" hidden="false" customHeight="false" outlineLevel="0" collapsed="false">
      <c r="A4466" s="3" t="s">
        <v>501</v>
      </c>
      <c r="C4466" s="25" t="n">
        <f aca="false">INDEX($G$4298:$K$4298,C4455)</f>
        <v>143.75</v>
      </c>
    </row>
    <row r="4467" customFormat="false" ht="15" hidden="false" customHeight="false" outlineLevel="0" collapsed="false">
      <c r="A4467" s="23" t="s">
        <v>502</v>
      </c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</row>
    <row r="4468" customFormat="false" ht="15" hidden="false" customHeight="false" outlineLevel="0" collapsed="false">
      <c r="A4468" s="3" t="s">
        <v>499</v>
      </c>
      <c r="C4468" s="27" t="n">
        <f aca="false">Assumptions!$M$56</f>
        <v>1</v>
      </c>
    </row>
    <row r="4469" customFormat="false" ht="15" hidden="false" customHeight="false" outlineLevel="0" collapsed="false">
      <c r="A4469" s="3" t="s">
        <v>500</v>
      </c>
      <c r="C4469" s="27" t="n">
        <f aca="false">Assumptions!$M$57</f>
        <v>2</v>
      </c>
    </row>
    <row r="4470" customFormat="false" ht="15" hidden="false" customHeight="false" outlineLevel="0" collapsed="false">
      <c r="A4470" s="3" t="s">
        <v>501</v>
      </c>
      <c r="C4470" s="27" t="n">
        <f aca="false">Assumptions!$M$58</f>
        <v>2</v>
      </c>
    </row>
    <row r="4471" customFormat="false" ht="15" hidden="false" customHeight="false" outlineLevel="0" collapsed="false">
      <c r="A4471" s="23" t="s">
        <v>503</v>
      </c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</row>
    <row r="4472" customFormat="false" ht="15" hidden="false" customHeight="false" outlineLevel="0" collapsed="false">
      <c r="A4472" s="3" t="s">
        <v>499</v>
      </c>
      <c r="C4472" s="35" t="n">
        <f aca="false">Assumptions!$Q$56</f>
        <v>0</v>
      </c>
    </row>
    <row r="4473" customFormat="false" ht="15" hidden="false" customHeight="false" outlineLevel="0" collapsed="false">
      <c r="A4473" s="3" t="s">
        <v>500</v>
      </c>
      <c r="C4473" s="35" t="n">
        <f aca="false">Assumptions!$Q$57</f>
        <v>0</v>
      </c>
    </row>
    <row r="4474" customFormat="false" ht="15" hidden="false" customHeight="false" outlineLevel="0" collapsed="false">
      <c r="A4474" s="3" t="s">
        <v>501</v>
      </c>
      <c r="C4474" s="35" t="n">
        <f aca="false">Assumptions!$Q$58</f>
        <v>0</v>
      </c>
    </row>
    <row r="4475" customFormat="false" ht="15" hidden="false" customHeight="false" outlineLevel="0" collapsed="false">
      <c r="A4475" s="23" t="s">
        <v>504</v>
      </c>
      <c r="B4475" s="24"/>
      <c r="C4475" s="24"/>
      <c r="D4475" s="24"/>
      <c r="E4475" s="24"/>
      <c r="F4475" s="24"/>
      <c r="G4475" s="24"/>
      <c r="H4475" s="24"/>
      <c r="I4475" s="24"/>
      <c r="J4475" s="24"/>
      <c r="K4475" s="24"/>
    </row>
    <row r="4476" customFormat="false" ht="15" hidden="false" customHeight="false" outlineLevel="0" collapsed="false">
      <c r="A4476" s="3" t="s">
        <v>499</v>
      </c>
      <c r="C4476" s="25" t="n">
        <f aca="false">IF(C4472&gt;0,MIN(C4464,C4472*$C$4462),0)</f>
        <v>0</v>
      </c>
    </row>
    <row r="4477" customFormat="false" ht="15" hidden="false" customHeight="false" outlineLevel="0" collapsed="false">
      <c r="A4477" s="3" t="s">
        <v>500</v>
      </c>
      <c r="C4477" s="25" t="n">
        <f aca="false">IF(C4473&gt;0,MIN(C4465,C4473*$C$4462),0)</f>
        <v>0</v>
      </c>
    </row>
    <row r="4478" customFormat="false" ht="15" hidden="false" customHeight="false" outlineLevel="0" collapsed="false">
      <c r="A4478" s="3" t="s">
        <v>501</v>
      </c>
      <c r="C4478" s="25" t="n">
        <f aca="false">IF(C4474&gt;0,MIN(C4466,C4474*$C$4462),0)</f>
        <v>0</v>
      </c>
    </row>
    <row r="4479" customFormat="false" ht="15" hidden="false" customHeight="false" outlineLevel="0" collapsed="false">
      <c r="A4479" s="23" t="s">
        <v>505</v>
      </c>
      <c r="B4479" s="24"/>
      <c r="C4479" s="24"/>
      <c r="D4479" s="24"/>
      <c r="E4479" s="24"/>
      <c r="F4479" s="24"/>
      <c r="G4479" s="24"/>
      <c r="H4479" s="24"/>
      <c r="I4479" s="24"/>
      <c r="J4479" s="24"/>
      <c r="K4479" s="24"/>
    </row>
    <row r="4480" customFormat="false" ht="15" hidden="false" customHeight="false" outlineLevel="0" collapsed="false">
      <c r="A4480" s="3" t="s">
        <v>499</v>
      </c>
      <c r="C4480" s="25" t="n">
        <f aca="false">IF(C4472&gt;0,C4464-C4476,0)</f>
        <v>0</v>
      </c>
    </row>
    <row r="4481" customFormat="false" ht="15" hidden="false" customHeight="false" outlineLevel="0" collapsed="false">
      <c r="A4481" s="3" t="s">
        <v>500</v>
      </c>
      <c r="C4481" s="25" t="n">
        <f aca="false">IF(C4473&gt;0,C4465-C4477,0)</f>
        <v>0</v>
      </c>
    </row>
    <row r="4482" customFormat="false" ht="15" hidden="false" customHeight="false" outlineLevel="0" collapsed="false">
      <c r="A4482" s="3" t="s">
        <v>501</v>
      </c>
      <c r="C4482" s="25" t="n">
        <f aca="false">IF(C4474&gt;0,C4466-C4478,0)</f>
        <v>0</v>
      </c>
    </row>
    <row r="4483" customFormat="false" ht="15" hidden="false" customHeight="false" outlineLevel="0" collapsed="false">
      <c r="A4483" s="23" t="s">
        <v>506</v>
      </c>
      <c r="B4483" s="24"/>
      <c r="C4483" s="24"/>
      <c r="D4483" s="24"/>
      <c r="E4483" s="24"/>
      <c r="F4483" s="24"/>
      <c r="G4483" s="24"/>
      <c r="H4483" s="24"/>
      <c r="I4483" s="24"/>
      <c r="J4483" s="24"/>
      <c r="K4483" s="24"/>
    </row>
    <row r="4484" customFormat="false" ht="15" hidden="false" customHeight="false" outlineLevel="0" collapsed="false">
      <c r="A4484" s="3" t="s">
        <v>499</v>
      </c>
      <c r="C4484" s="25" t="n">
        <f aca="false">IF(C4472&gt;0,C4480,C4464)</f>
        <v>1315.098</v>
      </c>
    </row>
    <row r="4485" customFormat="false" ht="15" hidden="false" customHeight="false" outlineLevel="0" collapsed="false">
      <c r="A4485" s="3" t="s">
        <v>500</v>
      </c>
      <c r="C4485" s="25" t="n">
        <f aca="false">IF(C4473&gt;0,C4481,C4465)</f>
        <v>212.79442355712</v>
      </c>
    </row>
    <row r="4486" customFormat="false" ht="15" hidden="false" customHeight="false" outlineLevel="0" collapsed="false">
      <c r="A4486" s="3" t="s">
        <v>501</v>
      </c>
      <c r="C4486" s="25" t="n">
        <f aca="false">IF(C4474&gt;0,C4482,C4466)</f>
        <v>143.75</v>
      </c>
    </row>
    <row r="4487" customFormat="false" ht="15" hidden="false" customHeight="false" outlineLevel="0" collapsed="false">
      <c r="A4487" s="23" t="s">
        <v>507</v>
      </c>
      <c r="B4487" s="24"/>
      <c r="C4487" s="24"/>
      <c r="D4487" s="24"/>
      <c r="E4487" s="24"/>
      <c r="F4487" s="24"/>
      <c r="G4487" s="24"/>
      <c r="H4487" s="24"/>
      <c r="I4487" s="24"/>
      <c r="J4487" s="24"/>
      <c r="K4487" s="24"/>
    </row>
    <row r="4488" customFormat="false" ht="15" hidden="false" customHeight="false" outlineLevel="0" collapsed="false">
      <c r="A4488" s="3" t="s">
        <v>499</v>
      </c>
      <c r="C4488" s="20" t="n">
        <f aca="false">IF(C4472&gt;0,Assumptions!$C$17,C4468)</f>
        <v>1</v>
      </c>
    </row>
    <row r="4489" customFormat="false" ht="15" hidden="false" customHeight="false" outlineLevel="0" collapsed="false">
      <c r="A4489" s="3" t="s">
        <v>500</v>
      </c>
      <c r="C4489" s="20" t="n">
        <f aca="false">IF(C4473&gt;0,Assumptions!$C$17,C4469)</f>
        <v>2</v>
      </c>
    </row>
    <row r="4490" customFormat="false" ht="15" hidden="false" customHeight="false" outlineLevel="0" collapsed="false">
      <c r="A4490" s="3" t="s">
        <v>501</v>
      </c>
      <c r="C4490" s="20" t="n">
        <f aca="false">IF(C4474&gt;0,Assumptions!$C$17,C4470)</f>
        <v>2</v>
      </c>
    </row>
    <row r="4491" customFormat="false" ht="15" hidden="false" customHeight="false" outlineLevel="0" collapsed="false">
      <c r="A4491" s="23" t="s">
        <v>508</v>
      </c>
      <c r="B4491" s="24"/>
      <c r="C4491" s="24"/>
      <c r="D4491" s="24"/>
      <c r="E4491" s="24"/>
      <c r="F4491" s="24"/>
      <c r="G4491" s="24"/>
      <c r="H4491" s="24"/>
      <c r="I4491" s="24"/>
      <c r="J4491" s="24"/>
      <c r="K4491" s="24"/>
    </row>
    <row r="4492" customFormat="false" ht="15" hidden="false" customHeight="false" outlineLevel="0" collapsed="false">
      <c r="A4492" s="3" t="s">
        <v>499</v>
      </c>
      <c r="C4492" s="25" t="n">
        <f aca="false">SUMPRODUCT(($C$4488:$C$4490&lt;C4488)*$C$4484:$C$4486)</f>
        <v>0</v>
      </c>
    </row>
    <row r="4493" customFormat="false" ht="15" hidden="false" customHeight="false" outlineLevel="0" collapsed="false">
      <c r="A4493" s="3" t="s">
        <v>500</v>
      </c>
      <c r="C4493" s="25" t="n">
        <f aca="false">SUMPRODUCT(($C$4488:$C$4490&lt;C4489)*$C$4484:$C$4486)</f>
        <v>1315.098</v>
      </c>
    </row>
    <row r="4494" customFormat="false" ht="15" hidden="false" customHeight="false" outlineLevel="0" collapsed="false">
      <c r="A4494" s="3" t="s">
        <v>501</v>
      </c>
      <c r="C4494" s="25" t="n">
        <f aca="false">SUMPRODUCT(($C$4488:$C$4490&lt;C4490)*$C$4484:$C$4486)</f>
        <v>1315.098</v>
      </c>
    </row>
    <row r="4495" customFormat="false" ht="15" hidden="false" customHeight="false" outlineLevel="0" collapsed="false">
      <c r="A4495" s="23" t="s">
        <v>509</v>
      </c>
      <c r="B4495" s="24"/>
      <c r="C4495" s="24"/>
      <c r="D4495" s="24"/>
      <c r="E4495" s="24"/>
      <c r="F4495" s="24"/>
      <c r="G4495" s="24"/>
      <c r="H4495" s="24"/>
      <c r="I4495" s="24"/>
      <c r="J4495" s="24"/>
      <c r="K4495" s="24"/>
    </row>
    <row r="4496" customFormat="false" ht="15" hidden="false" customHeight="false" outlineLevel="0" collapsed="false">
      <c r="A4496" s="3" t="s">
        <v>499</v>
      </c>
      <c r="C4496" s="25" t="n">
        <f aca="false">SUMPRODUCT(($C$4488:$C$4490=C4488)*$C$4484:$C$4486)</f>
        <v>1315.098</v>
      </c>
    </row>
    <row r="4497" customFormat="false" ht="15" hidden="false" customHeight="false" outlineLevel="0" collapsed="false">
      <c r="A4497" s="3" t="s">
        <v>500</v>
      </c>
      <c r="C4497" s="25" t="n">
        <f aca="false">SUMPRODUCT(($C$4488:$C$4490=C4489)*$C$4484:$C$4486)</f>
        <v>356.54442355712</v>
      </c>
    </row>
    <row r="4498" customFormat="false" ht="15" hidden="false" customHeight="false" outlineLevel="0" collapsed="false">
      <c r="A4498" s="3" t="s">
        <v>501</v>
      </c>
      <c r="C4498" s="25" t="n">
        <f aca="false">SUMPRODUCT(($C$4488:$C$4490=C4490)*$C$4484:$C$4486)</f>
        <v>356.54442355712</v>
      </c>
    </row>
    <row r="4499" customFormat="false" ht="15" hidden="false" customHeight="false" outlineLevel="0" collapsed="false">
      <c r="A4499" s="23" t="s">
        <v>510</v>
      </c>
      <c r="B4499" s="24"/>
      <c r="C4499" s="24"/>
      <c r="D4499" s="24"/>
      <c r="E4499" s="24"/>
      <c r="F4499" s="24"/>
      <c r="G4499" s="24"/>
      <c r="H4499" s="24"/>
      <c r="I4499" s="24"/>
      <c r="J4499" s="24"/>
      <c r="K4499" s="24"/>
    </row>
    <row r="4500" customFormat="false" ht="15" hidden="false" customHeight="false" outlineLevel="0" collapsed="false">
      <c r="A4500" s="3" t="s">
        <v>499</v>
      </c>
      <c r="C4500" s="25" t="n">
        <f aca="false">IF(C4496=0,0,C4484/C4496*MAX(0,MIN(C4496,$C$4462-SUM($C$4476:$C$4478)-C4492)))</f>
        <v>183.5890303104</v>
      </c>
    </row>
    <row r="4501" customFormat="false" ht="15" hidden="false" customHeight="false" outlineLevel="0" collapsed="false">
      <c r="A4501" s="3" t="s">
        <v>500</v>
      </c>
      <c r="C4501" s="25" t="n">
        <f aca="false">IF(C4497=0,0,C4485/C4497*MAX(0,MIN(C4497,$C$4462-SUM($C$4476:$C$4478)-C4493)))</f>
        <v>0</v>
      </c>
    </row>
    <row r="4502" customFormat="false" ht="15" hidden="false" customHeight="false" outlineLevel="0" collapsed="false">
      <c r="A4502" s="3" t="s">
        <v>501</v>
      </c>
      <c r="C4502" s="25" t="n">
        <f aca="false">IF(C4498=0,0,C4486/C4498*MAX(0,MIN(C4498,$C$4462-SUM($C$4476:$C$4478)-C4494)))</f>
        <v>0</v>
      </c>
    </row>
    <row r="4503" customFormat="false" ht="15" hidden="false" customHeight="false" outlineLevel="0" collapsed="false">
      <c r="A4503" s="23" t="s">
        <v>511</v>
      </c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</row>
    <row r="4504" customFormat="false" ht="15" hidden="false" customHeight="false" outlineLevel="0" collapsed="false">
      <c r="A4504" s="2" t="s">
        <v>499</v>
      </c>
      <c r="C4504" s="16" t="n">
        <f aca="false">C4476+C4500</f>
        <v>183.5890303104</v>
      </c>
    </row>
    <row r="4505" customFormat="false" ht="15" hidden="false" customHeight="false" outlineLevel="0" collapsed="false">
      <c r="A4505" s="2" t="s">
        <v>500</v>
      </c>
      <c r="C4505" s="16" t="n">
        <f aca="false">C4477+C4501</f>
        <v>0</v>
      </c>
    </row>
    <row r="4506" customFormat="false" ht="15" hidden="false" customHeight="false" outlineLevel="0" collapsed="false">
      <c r="A4506" s="2" t="s">
        <v>501</v>
      </c>
      <c r="C4506" s="16" t="n">
        <f aca="false">C4478+C4502</f>
        <v>0</v>
      </c>
    </row>
    <row r="4507" customFormat="false" ht="15" hidden="false" customHeight="false" outlineLevel="0" collapsed="false">
      <c r="A4507" s="23" t="s">
        <v>512</v>
      </c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</row>
    <row r="4508" customFormat="false" ht="15" hidden="false" customHeight="false" outlineLevel="0" collapsed="false">
      <c r="A4508" s="3" t="s">
        <v>499</v>
      </c>
      <c r="C4508" s="21" t="n">
        <f aca="false">IF(C4464=0,1,C4504/C4464)</f>
        <v>0.139601026167175</v>
      </c>
    </row>
    <row r="4509" customFormat="false" ht="15" hidden="false" customHeight="false" outlineLevel="0" collapsed="false">
      <c r="A4509" s="3" t="s">
        <v>500</v>
      </c>
      <c r="C4509" s="21" t="n">
        <f aca="false">IF(C4465=0,1,C4505/C4465)</f>
        <v>0</v>
      </c>
    </row>
    <row r="4510" customFormat="false" ht="15" hidden="false" customHeight="false" outlineLevel="0" collapsed="false">
      <c r="A4510" s="3" t="s">
        <v>501</v>
      </c>
      <c r="C4510" s="21" t="n">
        <f aca="false">IF(C4466=0,1,C4506/C4466)</f>
        <v>0</v>
      </c>
    </row>
    <row r="4511" customFormat="false" ht="15" hidden="false" customHeight="false" outlineLevel="0" collapsed="false">
      <c r="A4511" s="23" t="s">
        <v>513</v>
      </c>
      <c r="B4511" s="24"/>
      <c r="C4511" s="24"/>
      <c r="D4511" s="24"/>
      <c r="E4511" s="24"/>
      <c r="F4511" s="24"/>
      <c r="G4511" s="24"/>
      <c r="H4511" s="24"/>
      <c r="I4511" s="24"/>
      <c r="J4511" s="24"/>
      <c r="K4511" s="24"/>
    </row>
    <row r="4512" customFormat="false" ht="15" hidden="false" customHeight="false" outlineLevel="0" collapsed="false">
      <c r="A4512" s="3" t="s">
        <v>499</v>
      </c>
      <c r="C4512" s="25" t="n">
        <f aca="false">C4464-C4504</f>
        <v>1131.5089696896</v>
      </c>
    </row>
    <row r="4513" customFormat="false" ht="15" hidden="false" customHeight="false" outlineLevel="0" collapsed="false">
      <c r="A4513" s="3" t="s">
        <v>500</v>
      </c>
      <c r="C4513" s="25" t="n">
        <f aca="false">C4465-C4505</f>
        <v>212.79442355712</v>
      </c>
    </row>
    <row r="4514" customFormat="false" ht="15" hidden="false" customHeight="false" outlineLevel="0" collapsed="false">
      <c r="A4514" s="3" t="s">
        <v>501</v>
      </c>
      <c r="C4514" s="25" t="n">
        <f aca="false">C4466-C4506</f>
        <v>143.75</v>
      </c>
    </row>
    <row r="4515" customFormat="false" ht="15" hidden="false" customHeight="false" outlineLevel="0" collapsed="false">
      <c r="A4515" s="23" t="s">
        <v>514</v>
      </c>
      <c r="B4515" s="24"/>
      <c r="C4515" s="24"/>
      <c r="D4515" s="24"/>
      <c r="E4515" s="24"/>
      <c r="F4515" s="24"/>
      <c r="G4515" s="24"/>
      <c r="H4515" s="24"/>
      <c r="I4515" s="24"/>
      <c r="J4515" s="24"/>
      <c r="K4515" s="24"/>
    </row>
    <row r="4516" customFormat="false" ht="15" hidden="false" customHeight="false" outlineLevel="0" collapsed="false">
      <c r="A4516" s="3" t="s">
        <v>499</v>
      </c>
      <c r="C4516" s="21" t="n">
        <f aca="false">IF(C4464=0,0,C4512/C4464)</f>
        <v>0.860398973832825</v>
      </c>
    </row>
    <row r="4517" customFormat="false" ht="15" hidden="false" customHeight="false" outlineLevel="0" collapsed="false">
      <c r="A4517" s="3" t="s">
        <v>500</v>
      </c>
      <c r="C4517" s="21" t="n">
        <f aca="false">IF(C4465=0,0,C4513/C4465)</f>
        <v>1</v>
      </c>
    </row>
    <row r="4518" customFormat="false" ht="15" hidden="false" customHeight="false" outlineLevel="0" collapsed="false">
      <c r="A4518" s="3" t="s">
        <v>501</v>
      </c>
      <c r="C4518" s="21" t="n">
        <f aca="false">IF(C4466=0,0,C4514/C4466)</f>
        <v>1</v>
      </c>
    </row>
    <row r="4519" customFormat="false" ht="15" hidden="false" customHeight="false" outlineLevel="0" collapsed="false">
      <c r="A4519" s="2" t="s">
        <v>515</v>
      </c>
      <c r="C4519" s="16" t="n">
        <f aca="false">MAX(0,$C$4462-SUM($C$4476:$C$4478)-SUM($C$4484:$C$4486))</f>
        <v>0</v>
      </c>
    </row>
    <row r="4520" customFormat="false" ht="15" hidden="false" customHeight="false" outlineLevel="0" collapsed="false">
      <c r="A4520" s="3" t="s">
        <v>533</v>
      </c>
      <c r="C4520" s="34" t="n">
        <f aca="false">MIN(C4461,100*CHOOSE(C4451,C4508,C4509,C4510))</f>
        <v>13.9601026167175</v>
      </c>
    </row>
    <row r="4521" customFormat="false" ht="15" hidden="false" customHeight="false" outlineLevel="0" collapsed="false">
      <c r="A4521" s="3" t="s">
        <v>534</v>
      </c>
      <c r="C4521" s="20" t="n">
        <f aca="false">IF(C4381=1,C4456+Assumptions!$C$39,C4455)</f>
        <v>4</v>
      </c>
    </row>
    <row r="4522" customFormat="false" ht="15" hidden="false" customHeight="false" outlineLevel="0" collapsed="false">
      <c r="A4522" s="23" t="s">
        <v>535</v>
      </c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</row>
    <row r="4523" customFormat="false" ht="15" hidden="false" customHeight="false" outlineLevel="0" collapsed="false">
      <c r="A4523" s="3" t="s">
        <v>536</v>
      </c>
      <c r="C4523" s="20" t="n">
        <f aca="false">COLUMN()-COLUMN($C$1)</f>
        <v>0</v>
      </c>
      <c r="D4523" s="20" t="n">
        <f aca="false">COLUMN()-COLUMN($C$1)</f>
        <v>1</v>
      </c>
      <c r="E4523" s="20" t="n">
        <f aca="false">COLUMN()-COLUMN($C$1)</f>
        <v>2</v>
      </c>
      <c r="F4523" s="20" t="n">
        <f aca="false">COLUMN()-COLUMN($C$1)</f>
        <v>3</v>
      </c>
      <c r="G4523" s="20" t="n">
        <f aca="false">COLUMN()-COLUMN($C$1)</f>
        <v>4</v>
      </c>
      <c r="H4523" s="20" t="n">
        <f aca="false">COLUMN()-COLUMN($C$1)</f>
        <v>5</v>
      </c>
      <c r="I4523" s="20" t="n">
        <f aca="false">COLUMN()-COLUMN($C$1)</f>
        <v>6</v>
      </c>
    </row>
    <row r="4524" customFormat="false" ht="15" hidden="false" customHeight="false" outlineLevel="0" collapsed="false">
      <c r="A4524" s="3" t="s">
        <v>537</v>
      </c>
      <c r="D4524" s="31" t="n">
        <f aca="false">CHOOSE($C$4451,G4264,G4277,G4290)</f>
        <v>0.105</v>
      </c>
      <c r="E4524" s="31" t="n">
        <f aca="false">CHOOSE($C$4451,H4264,H4277,H4290)</f>
        <v>0.105</v>
      </c>
      <c r="F4524" s="31" t="n">
        <f aca="false">CHOOSE($C$4451,I4264,I4277,I4290)</f>
        <v>0.105</v>
      </c>
      <c r="G4524" s="31" t="n">
        <f aca="false">CHOOSE($C$4451,J4264,J4277,J4290)</f>
        <v>0.105</v>
      </c>
      <c r="H4524" s="31" t="n">
        <f aca="false">CHOOSE($C$4451,K4264,K4277,K4290)</f>
        <v>0.105</v>
      </c>
    </row>
    <row r="4525" customFormat="false" ht="15" hidden="false" customHeight="false" outlineLevel="0" collapsed="false">
      <c r="A4525" s="3" t="s">
        <v>538</v>
      </c>
      <c r="D4525" s="25" t="n">
        <f aca="false">IF(D4523&lt;=$C$4460,$C$4452*D4524,0)</f>
        <v>10.5</v>
      </c>
      <c r="E4525" s="25" t="n">
        <f aca="false">IF(E4523&lt;=$C$4460,$C$4452*E4524,0)</f>
        <v>10.5</v>
      </c>
      <c r="F4525" s="25" t="n">
        <f aca="false">IF(F4523&lt;=$C$4460,$C$4452*F4524,0)</f>
        <v>10.5</v>
      </c>
      <c r="G4525" s="25" t="n">
        <f aca="false">IF(G4523&lt;=$C$4460,$C$4452*G4524,0)</f>
        <v>0</v>
      </c>
      <c r="H4525" s="25" t="n">
        <f aca="false">IF(H4523&lt;=$C$4460,$C$4452*H4524,0)</f>
        <v>0</v>
      </c>
    </row>
    <row r="4526" customFormat="false" ht="15" hidden="false" customHeight="false" outlineLevel="0" collapsed="false">
      <c r="A4526" s="3" t="s">
        <v>539</v>
      </c>
      <c r="D4526" s="25" t="n">
        <f aca="false">IF(AND($C$4381=0,D4523=$C$4455),$C$4452*$C$4520/100,0)+IF(AND($C$4381=1,D4523=$C$4521),$C$4458,0)</f>
        <v>0</v>
      </c>
      <c r="E4526" s="25" t="n">
        <f aca="false">IF(AND($C$4381=0,E4523=$C$4455),$C$4452*$C$4520/100,0)+IF(AND($C$4381=1,E4523=$C$4521),$C$4458,0)</f>
        <v>0</v>
      </c>
      <c r="F4526" s="25" t="n">
        <f aca="false">IF(AND($C$4381=0,F4523=$C$4455),$C$4452*$C$4520/100,0)+IF(AND($C$4381=1,F4523=$C$4521),$C$4458,0)</f>
        <v>0</v>
      </c>
      <c r="G4526" s="25" t="n">
        <f aca="false">IF(AND($C$4381=0,G4523=$C$4455),$C$4452*$C$4520/100,0)+IF(AND($C$4381=1,G4523=$C$4521),$C$4458,0)</f>
        <v>34.945728090226</v>
      </c>
      <c r="H4526" s="25" t="n">
        <f aca="false">IF(AND($C$4381=0,H4523=$C$4455),$C$4452*$C$4520/100,0)+IF(AND($C$4381=1,H4523=$C$4521),$C$4458,0)</f>
        <v>0</v>
      </c>
      <c r="I4526" s="25" t="n">
        <f aca="false">IF(AND($C$4381=0,I4523=$C$4455),$C$4452*$C$4520/100,0)+IF(AND($C$4381=1,I4523=$C$4521),$C$4458,0)</f>
        <v>0</v>
      </c>
    </row>
    <row r="4527" customFormat="false" ht="15" hidden="false" customHeight="false" outlineLevel="0" collapsed="false">
      <c r="A4527" s="2" t="s">
        <v>540</v>
      </c>
      <c r="C4527" s="16" t="n">
        <f aca="false">-$C$4454</f>
        <v>-95</v>
      </c>
      <c r="D4527" s="16" t="n">
        <f aca="false">D4525+D4526</f>
        <v>10.5</v>
      </c>
      <c r="E4527" s="16" t="n">
        <f aca="false">E4525+E4526</f>
        <v>10.5</v>
      </c>
      <c r="F4527" s="16" t="n">
        <f aca="false">F4525+F4526</f>
        <v>10.5</v>
      </c>
      <c r="G4527" s="16" t="n">
        <f aca="false">G4525+G4526</f>
        <v>34.945728090226</v>
      </c>
      <c r="H4527" s="16" t="n">
        <f aca="false">H4525+H4526</f>
        <v>0</v>
      </c>
      <c r="I4527" s="16" t="n">
        <f aca="false">I4525+I4526</f>
        <v>0</v>
      </c>
    </row>
    <row r="4528" customFormat="false" ht="15" hidden="false" customHeight="false" outlineLevel="0" collapsed="false">
      <c r="A4528" s="3" t="s">
        <v>541</v>
      </c>
      <c r="C4528" s="25" t="n">
        <f aca="false">SUM($C$4525:$I$4525)</f>
        <v>31.5</v>
      </c>
    </row>
    <row r="4529" customFormat="false" ht="15" hidden="false" customHeight="false" outlineLevel="0" collapsed="false">
      <c r="A4529" s="3" t="s">
        <v>542</v>
      </c>
      <c r="C4529" s="25" t="n">
        <f aca="false">SUM($C$4526:$I$4526)</f>
        <v>34.945728090226</v>
      </c>
    </row>
    <row r="4530" customFormat="false" ht="15" hidden="false" customHeight="false" outlineLevel="0" collapsed="false">
      <c r="A4530" s="3" t="s">
        <v>543</v>
      </c>
      <c r="C4530" s="25" t="n">
        <f aca="false">C4528+C4529</f>
        <v>66.445728090226</v>
      </c>
    </row>
    <row r="4531" customFormat="false" ht="15" hidden="false" customHeight="false" outlineLevel="0" collapsed="false">
      <c r="A4531" s="3" t="s">
        <v>544</v>
      </c>
      <c r="C4531" s="25" t="n">
        <f aca="false">C4529-C4452*C4453/100</f>
        <v>-60.054271909774</v>
      </c>
    </row>
    <row r="4532" customFormat="false" ht="15" hidden="false" customHeight="false" outlineLevel="0" collapsed="false">
      <c r="A4532" s="3" t="s">
        <v>545</v>
      </c>
      <c r="C4532" s="25" t="n">
        <f aca="false">C4530-C4454</f>
        <v>-28.554271909774</v>
      </c>
    </row>
    <row r="4533" customFormat="false" ht="15" hidden="false" customHeight="false" outlineLevel="0" collapsed="false">
      <c r="A4533" s="2" t="s">
        <v>427</v>
      </c>
      <c r="C4533" s="44" t="n">
        <f aca="false">C4530/C4454</f>
        <v>0.699428716739221</v>
      </c>
    </row>
    <row r="4534" customFormat="false" ht="15" hidden="false" customHeight="false" outlineLevel="0" collapsed="false">
      <c r="A4534" s="2" t="s">
        <v>426</v>
      </c>
      <c r="C4534" s="42" t="n">
        <f aca="false">IF(C4530&lt;=0,-1,IFERROR(IRR($C$4527:$I$4527,MAX(-0.9,C4533^(1/C4521)-1)),IRR($C$4527:$I$4527,0.1)))</f>
        <v>-0.10811295237651</v>
      </c>
    </row>
    <row r="4535" customFormat="false" ht="15" hidden="false" customHeight="false" outlineLevel="0" collapsed="false">
      <c r="A4535" s="3" t="s">
        <v>546</v>
      </c>
      <c r="C4535" s="32" t="n">
        <f aca="false">MAX($G$4341:$K$4341)</f>
        <v>49.5616123119543</v>
      </c>
    </row>
    <row r="4536" customFormat="false" ht="15" hidden="false" customHeight="false" outlineLevel="0" collapsed="false">
      <c r="A4536" s="3" t="s">
        <v>547</v>
      </c>
      <c r="C4536" s="32" t="n">
        <f aca="false">MIN($G$4342:$K$4342)</f>
        <v>0.259020853129631</v>
      </c>
    </row>
    <row r="4537" customFormat="false" ht="15" hidden="false" customHeight="false" outlineLevel="0" collapsed="false">
      <c r="A4537" s="3" t="s">
        <v>548</v>
      </c>
      <c r="C4537" s="25" t="n">
        <f aca="false">SUM($G$4248:$K$4248)</f>
        <v>-695.638956182875</v>
      </c>
    </row>
    <row r="4541" customFormat="false" ht="15" hidden="false" customHeight="false" outlineLevel="0" collapsed="false">
      <c r="A4541" s="9" t="s">
        <v>1028</v>
      </c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</row>
    <row r="4542" customFormat="false" ht="15" hidden="false" customHeight="false" outlineLevel="0" collapsed="false">
      <c r="A4542" s="3" t="s">
        <v>1010</v>
      </c>
      <c r="C4542" s="11" t="n">
        <v>3</v>
      </c>
    </row>
    <row r="4543" customFormat="false" ht="15" hidden="false" customHeight="false" outlineLevel="0" collapsed="false">
      <c r="A4543" s="3" t="s">
        <v>1011</v>
      </c>
      <c r="C4543" s="18" t="n">
        <v>0</v>
      </c>
    </row>
    <row r="4544" customFormat="false" ht="15" hidden="false" customHeight="false" outlineLevel="0" collapsed="false">
      <c r="A4544" s="3" t="s">
        <v>1012</v>
      </c>
      <c r="C4544" s="30" t="n">
        <f aca="false">Sensitivities!$A$31</f>
        <v>-0.02</v>
      </c>
    </row>
    <row r="4545" customFormat="false" ht="15" hidden="false" customHeight="false" outlineLevel="0" collapsed="false">
      <c r="A4545" s="3" t="s">
        <v>1013</v>
      </c>
      <c r="C4545" s="18" t="n">
        <v>0</v>
      </c>
    </row>
    <row r="4546" customFormat="false" ht="15" hidden="false" customHeight="false" outlineLevel="0" collapsed="false">
      <c r="A4546" s="3" t="s">
        <v>1014</v>
      </c>
      <c r="C4546" s="15" t="n">
        <v>0</v>
      </c>
    </row>
    <row r="4548" customFormat="false" ht="15" hidden="false" customHeight="false" outlineLevel="0" collapsed="false">
      <c r="A4548" s="23" t="s">
        <v>281</v>
      </c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</row>
    <row r="4549" customFormat="false" ht="15" hidden="false" customHeight="false" outlineLevel="0" collapsed="false">
      <c r="A4549" s="3" t="s">
        <v>282</v>
      </c>
      <c r="F4549" s="27" t="n">
        <f aca="false">Assumptions!$C$6</f>
        <v>2026</v>
      </c>
      <c r="G4549" s="20" t="n">
        <f aca="false">F4549+1</f>
        <v>2027</v>
      </c>
      <c r="H4549" s="20" t="n">
        <f aca="false">G4549+1</f>
        <v>2028</v>
      </c>
      <c r="I4549" s="20" t="n">
        <f aca="false">H4549+1</f>
        <v>2029</v>
      </c>
      <c r="J4549" s="20" t="n">
        <f aca="false">I4549+1</f>
        <v>2030</v>
      </c>
      <c r="K4549" s="20" t="n">
        <f aca="false">J4549+1</f>
        <v>2031</v>
      </c>
    </row>
    <row r="4550" customFormat="false" ht="15" hidden="false" customHeight="false" outlineLevel="0" collapsed="false">
      <c r="A4550" s="3" t="s">
        <v>283</v>
      </c>
      <c r="G4550" s="20" t="n">
        <f aca="false">G4549-Assumptions!$C$6</f>
        <v>1</v>
      </c>
      <c r="H4550" s="20" t="n">
        <f aca="false">H4549-Assumptions!$C$6</f>
        <v>2</v>
      </c>
      <c r="I4550" s="20" t="n">
        <f aca="false">I4549-Assumptions!$C$6</f>
        <v>3</v>
      </c>
      <c r="J4550" s="20" t="n">
        <f aca="false">J4549-Assumptions!$C$6</f>
        <v>4</v>
      </c>
      <c r="K4550" s="20" t="n">
        <f aca="false">K4549-Assumptions!$C$6</f>
        <v>5</v>
      </c>
    </row>
    <row r="4551" customFormat="false" ht="15" hidden="false" customHeight="false" outlineLevel="0" collapsed="false">
      <c r="A4551" s="3" t="s">
        <v>165</v>
      </c>
      <c r="G4551" s="21" t="n">
        <f aca="false">CHOOSE($C$4542,Assumptions!$G$71,Assumptions!$G$90,Assumptions!$G$109)+$C$4543</f>
        <v>-0.14</v>
      </c>
      <c r="H4551" s="21" t="n">
        <f aca="false">CHOOSE($C$4542,Assumptions!$H$71,Assumptions!$H$90,Assumptions!$H$109)+$C$4543</f>
        <v>-0.12</v>
      </c>
      <c r="I4551" s="21" t="n">
        <f aca="false">CHOOSE($C$4542,Assumptions!$I$71,Assumptions!$I$90,Assumptions!$I$109)+$C$4543</f>
        <v>-0.1</v>
      </c>
      <c r="J4551" s="21" t="n">
        <f aca="false">CHOOSE($C$4542,Assumptions!$J$71,Assumptions!$J$90,Assumptions!$J$109)+$C$4543</f>
        <v>-0.08</v>
      </c>
      <c r="K4551" s="21" t="n">
        <f aca="false">CHOOSE($C$4542,Assumptions!$K$71,Assumptions!$K$90,Assumptions!$K$109)+$C$4543</f>
        <v>-0.06</v>
      </c>
    </row>
    <row r="4552" customFormat="false" ht="15" hidden="false" customHeight="false" outlineLevel="0" collapsed="false">
      <c r="A4552" s="3" t="s">
        <v>166</v>
      </c>
      <c r="G4552" s="21" t="n">
        <f aca="false">CHOOSE($C$4542,Assumptions!$G$72,Assumptions!$G$91,Assumptions!$G$110)</f>
        <v>0.433246670103635</v>
      </c>
      <c r="H4552" s="21" t="n">
        <f aca="false">CHOOSE($C$4542,Assumptions!$H$72,Assumptions!$H$91,Assumptions!$H$110)</f>
        <v>0.418246670103635</v>
      </c>
      <c r="I4552" s="21" t="n">
        <f aca="false">CHOOSE($C$4542,Assumptions!$I$72,Assumptions!$I$91,Assumptions!$I$110)</f>
        <v>0.413246670103635</v>
      </c>
      <c r="J4552" s="21" t="n">
        <f aca="false">CHOOSE($C$4542,Assumptions!$J$72,Assumptions!$J$91,Assumptions!$J$110)</f>
        <v>0.413246670103635</v>
      </c>
      <c r="K4552" s="21" t="n">
        <f aca="false">CHOOSE($C$4542,Assumptions!$K$72,Assumptions!$K$91,Assumptions!$K$110)</f>
        <v>0.413246670103635</v>
      </c>
    </row>
    <row r="4553" customFormat="false" ht="15" hidden="false" customHeight="false" outlineLevel="0" collapsed="false">
      <c r="A4553" s="3" t="s">
        <v>167</v>
      </c>
      <c r="G4553" s="21" t="n">
        <f aca="false">CHOOSE($C$4542,Assumptions!$G$73,Assumptions!$G$92,Assumptions!$G$111)+$C$4544</f>
        <v>0.07</v>
      </c>
      <c r="H4553" s="21" t="n">
        <f aca="false">CHOOSE($C$4542,Assumptions!$H$73,Assumptions!$H$92,Assumptions!$H$111)+$C$4544</f>
        <v>0.055</v>
      </c>
      <c r="I4553" s="21" t="n">
        <f aca="false">CHOOSE($C$4542,Assumptions!$I$73,Assumptions!$I$92,Assumptions!$I$111)+$C$4544</f>
        <v>0.05</v>
      </c>
      <c r="J4553" s="21" t="n">
        <f aca="false">CHOOSE($C$4542,Assumptions!$J$73,Assumptions!$J$92,Assumptions!$J$111)+$C$4544</f>
        <v>0.05</v>
      </c>
      <c r="K4553" s="21" t="n">
        <f aca="false">CHOOSE($C$4542,Assumptions!$K$73,Assumptions!$K$92,Assumptions!$K$111)+$C$4544</f>
        <v>0.05</v>
      </c>
    </row>
    <row r="4554" customFormat="false" ht="15" hidden="false" customHeight="false" outlineLevel="0" collapsed="false">
      <c r="A4554" s="23" t="s">
        <v>284</v>
      </c>
      <c r="B4554" s="24"/>
      <c r="C4554" s="24"/>
      <c r="D4554" s="24"/>
      <c r="E4554" s="24"/>
      <c r="F4554" s="24"/>
      <c r="G4554" s="24"/>
      <c r="H4554" s="24"/>
      <c r="I4554" s="24"/>
      <c r="J4554" s="24"/>
      <c r="K4554" s="24"/>
    </row>
    <row r="4555" customFormat="false" ht="15" hidden="false" customHeight="false" outlineLevel="0" collapsed="false">
      <c r="A4555" s="2" t="s">
        <v>256</v>
      </c>
      <c r="F4555" s="28" t="n">
        <f aca="false">'Historical Financials'!G23</f>
        <v>2246.166</v>
      </c>
      <c r="G4555" s="16" t="n">
        <f aca="false">F4555*(1+G4551)</f>
        <v>1931.70276</v>
      </c>
      <c r="H4555" s="16" t="n">
        <f aca="false">G4555*(1+H4551)</f>
        <v>1699.8984288</v>
      </c>
      <c r="I4555" s="16" t="n">
        <f aca="false">H4555*(1+I4551)</f>
        <v>1529.90858592</v>
      </c>
      <c r="J4555" s="16" t="n">
        <f aca="false">I4555*(1+J4551)</f>
        <v>1407.5158990464</v>
      </c>
      <c r="K4555" s="16" t="n">
        <f aca="false">J4555*(1+K4551)</f>
        <v>1323.06494510362</v>
      </c>
    </row>
    <row r="4556" customFormat="false" ht="15" hidden="false" customHeight="false" outlineLevel="0" collapsed="false">
      <c r="A4556" s="3" t="s">
        <v>257</v>
      </c>
      <c r="G4556" s="25" t="n">
        <f aca="false">G4555*(1-G4552)</f>
        <v>1094.7989716</v>
      </c>
      <c r="H4556" s="25" t="n">
        <f aca="false">H4555*(1-H4552)</f>
        <v>988.92157144</v>
      </c>
      <c r="I4556" s="25" t="n">
        <f aca="false">I4555*(1-I4552)</f>
        <v>897.6789572256</v>
      </c>
      <c r="J4556" s="25" t="n">
        <f aca="false">J4555*(1-J4552)</f>
        <v>825.864640647552</v>
      </c>
      <c r="K4556" s="25" t="n">
        <f aca="false">K4555*(1-K4552)</f>
        <v>776.312762208699</v>
      </c>
    </row>
    <row r="4557" customFormat="false" ht="15" hidden="false" customHeight="false" outlineLevel="0" collapsed="false">
      <c r="A4557" s="2" t="s">
        <v>258</v>
      </c>
      <c r="G4557" s="16" t="n">
        <f aca="false">G4555-G4556</f>
        <v>836.9037884</v>
      </c>
      <c r="H4557" s="16" t="n">
        <f aca="false">H4555-H4556</f>
        <v>710.97685736</v>
      </c>
      <c r="I4557" s="16" t="n">
        <f aca="false">I4555-I4556</f>
        <v>632.2296286944</v>
      </c>
      <c r="J4557" s="16" t="n">
        <f aca="false">J4555-J4556</f>
        <v>581.651258398848</v>
      </c>
      <c r="K4557" s="16" t="n">
        <f aca="false">K4555-K4556</f>
        <v>546.752182894917</v>
      </c>
    </row>
    <row r="4558" customFormat="false" ht="15" hidden="false" customHeight="false" outlineLevel="0" collapsed="false">
      <c r="A4558" s="3" t="s">
        <v>285</v>
      </c>
      <c r="G4558" s="25" t="n">
        <f aca="false">G4557-G4559</f>
        <v>701.6845952</v>
      </c>
      <c r="H4558" s="25" t="n">
        <f aca="false">H4557-H4559</f>
        <v>617.482443776</v>
      </c>
      <c r="I4558" s="25" t="n">
        <f aca="false">I4557-I4559</f>
        <v>555.7341993984</v>
      </c>
      <c r="J4558" s="25" t="n">
        <f aca="false">J4557-J4559</f>
        <v>511.275463446528</v>
      </c>
      <c r="K4558" s="25" t="n">
        <f aca="false">K4557-K4559</f>
        <v>480.598935639736</v>
      </c>
    </row>
    <row r="4559" customFormat="false" ht="15" hidden="false" customHeight="false" outlineLevel="0" collapsed="false">
      <c r="A4559" s="2" t="s">
        <v>286</v>
      </c>
      <c r="G4559" s="16" t="n">
        <f aca="false">G4555*G4553</f>
        <v>135.2191932</v>
      </c>
      <c r="H4559" s="16" t="n">
        <f aca="false">H4555*H4553</f>
        <v>93.494413584</v>
      </c>
      <c r="I4559" s="16" t="n">
        <f aca="false">I4555*I4553</f>
        <v>76.495429296</v>
      </c>
      <c r="J4559" s="16" t="n">
        <f aca="false">J4555*J4553</f>
        <v>70.37579495232</v>
      </c>
      <c r="K4559" s="16" t="n">
        <f aca="false">K4555*K4553</f>
        <v>66.1532472551808</v>
      </c>
    </row>
    <row r="4560" customFormat="false" ht="15" hidden="false" customHeight="false" outlineLevel="0" collapsed="false">
      <c r="A4560" s="3" t="s">
        <v>287</v>
      </c>
      <c r="G4560" s="25" t="n">
        <f aca="false">G4555*'Historical Financials'!G28/'Historical Financials'!G23</f>
        <v>73.35456</v>
      </c>
      <c r="H4560" s="25" t="n">
        <f aca="false">H4555*'Historical Financials'!G28/'Historical Financials'!G23</f>
        <v>64.5520128</v>
      </c>
      <c r="I4560" s="25" t="n">
        <f aca="false">I4555*'Historical Financials'!G28/'Historical Financials'!G23</f>
        <v>58.09681152</v>
      </c>
      <c r="J4560" s="25" t="n">
        <f aca="false">J4555*'Historical Financials'!G28/'Historical Financials'!G23</f>
        <v>53.4490665984</v>
      </c>
      <c r="K4560" s="25" t="n">
        <f aca="false">K4555*'Historical Financials'!G28/'Historical Financials'!G23</f>
        <v>50.242122602496</v>
      </c>
    </row>
    <row r="4561" customFormat="false" ht="15" hidden="false" customHeight="false" outlineLevel="0" collapsed="false">
      <c r="A4561" s="3" t="s">
        <v>288</v>
      </c>
      <c r="G4561" s="25" t="n">
        <f aca="false">G4555*'Historical Financials'!G29/'Historical Financials'!G23</f>
        <v>20.94616</v>
      </c>
      <c r="H4561" s="25" t="n">
        <f aca="false">H4555*'Historical Financials'!G29/'Historical Financials'!G23</f>
        <v>18.4326208</v>
      </c>
      <c r="I4561" s="25" t="n">
        <f aca="false">I4555*'Historical Financials'!G29/'Historical Financials'!G23</f>
        <v>16.58935872</v>
      </c>
      <c r="J4561" s="25" t="n">
        <f aca="false">J4555*'Historical Financials'!G29/'Historical Financials'!G23</f>
        <v>15.2622100224</v>
      </c>
      <c r="K4561" s="25" t="n">
        <f aca="false">K4555*'Historical Financials'!G29/'Historical Financials'!G23</f>
        <v>14.346477421056</v>
      </c>
    </row>
    <row r="4562" customFormat="false" ht="15" hidden="false" customHeight="false" outlineLevel="0" collapsed="false">
      <c r="A4562" s="2" t="s">
        <v>289</v>
      </c>
      <c r="G4562" s="16" t="n">
        <f aca="false">G4559-G4560-G4561</f>
        <v>40.9184732</v>
      </c>
      <c r="H4562" s="16" t="n">
        <f aca="false">H4559-H4560-H4561</f>
        <v>10.509779984</v>
      </c>
      <c r="I4562" s="16" t="n">
        <f aca="false">I4559-I4560-I4561</f>
        <v>1.80925905599998</v>
      </c>
      <c r="J4562" s="16" t="n">
        <f aca="false">J4559-J4560-J4561</f>
        <v>1.66451833151999</v>
      </c>
      <c r="K4562" s="16" t="n">
        <f aca="false">K4559-K4560-K4561</f>
        <v>1.5646472316288</v>
      </c>
    </row>
    <row r="4563" customFormat="false" ht="15" hidden="false" customHeight="false" outlineLevel="0" collapsed="false">
      <c r="A4563" s="3" t="s">
        <v>290</v>
      </c>
      <c r="G4563" s="25" t="n">
        <f aca="false">G4589+G4602+G4615</f>
        <v>155.95467</v>
      </c>
      <c r="H4563" s="25" t="n">
        <f aca="false">H4589+H4602+H4615</f>
        <v>155.95467</v>
      </c>
      <c r="I4563" s="25" t="n">
        <f aca="false">I4589+I4602+I4615</f>
        <v>155.95467</v>
      </c>
      <c r="J4563" s="25" t="n">
        <f aca="false">J4589+J4602+J4615</f>
        <v>148.851144692666</v>
      </c>
      <c r="K4563" s="25" t="n">
        <f aca="false">K4589+K4602+K4615</f>
        <v>148.851144692666</v>
      </c>
    </row>
    <row r="4564" customFormat="false" ht="15" hidden="false" customHeight="false" outlineLevel="0" collapsed="false">
      <c r="A4564" s="3" t="s">
        <v>291</v>
      </c>
      <c r="G4564" s="25" t="n">
        <f aca="false">G4590+G4603+G4616</f>
        <v>0</v>
      </c>
      <c r="H4564" s="25" t="n">
        <f aca="false">H4590+H4603+H4616</f>
        <v>0</v>
      </c>
      <c r="I4564" s="25" t="n">
        <f aca="false">I4590+I4603+I4616</f>
        <v>0</v>
      </c>
      <c r="J4564" s="25" t="n">
        <f aca="false">J4590+J4603+J4616</f>
        <v>0</v>
      </c>
      <c r="K4564" s="25" t="n">
        <f aca="false">K4590+K4603+K4616</f>
        <v>0</v>
      </c>
    </row>
    <row r="4565" customFormat="false" ht="15" hidden="false" customHeight="false" outlineLevel="0" collapsed="false">
      <c r="A4565" s="3" t="s">
        <v>239</v>
      </c>
      <c r="G4565" s="25" t="n">
        <f aca="false">G4563+G4564</f>
        <v>155.95467</v>
      </c>
      <c r="H4565" s="25" t="n">
        <f aca="false">H4563+H4564</f>
        <v>155.95467</v>
      </c>
      <c r="I4565" s="25" t="n">
        <f aca="false">I4563+I4564</f>
        <v>155.95467</v>
      </c>
      <c r="J4565" s="25" t="n">
        <f aca="false">J4563+J4564</f>
        <v>148.851144692666</v>
      </c>
      <c r="K4565" s="25" t="n">
        <f aca="false">K4563+K4564</f>
        <v>148.851144692666</v>
      </c>
    </row>
    <row r="4566" customFormat="false" ht="15" hidden="false" customHeight="false" outlineLevel="0" collapsed="false">
      <c r="A4566" s="2" t="s">
        <v>264</v>
      </c>
      <c r="G4566" s="16" t="n">
        <f aca="false">G4562-G4565</f>
        <v>-115.0361968</v>
      </c>
      <c r="H4566" s="16" t="n">
        <f aca="false">H4562-H4565</f>
        <v>-145.444890016</v>
      </c>
      <c r="I4566" s="16" t="n">
        <f aca="false">I4562-I4565</f>
        <v>-154.145410944</v>
      </c>
      <c r="J4566" s="16" t="n">
        <f aca="false">J4562-J4565</f>
        <v>-147.186626361146</v>
      </c>
      <c r="K4566" s="16" t="n">
        <f aca="false">K4562-K4565</f>
        <v>-147.286497461037</v>
      </c>
    </row>
    <row r="4567" customFormat="false" ht="15" hidden="false" customHeight="false" outlineLevel="0" collapsed="false">
      <c r="A4567" s="3" t="s">
        <v>292</v>
      </c>
      <c r="G4567" s="25" t="n">
        <f aca="false">MAX(0,G4566)*Assumptions!$C$9</f>
        <v>0</v>
      </c>
      <c r="H4567" s="25" t="n">
        <f aca="false">MAX(0,H4566)*Assumptions!$C$9</f>
        <v>0</v>
      </c>
      <c r="I4567" s="25" t="n">
        <f aca="false">MAX(0,I4566)*Assumptions!$C$9</f>
        <v>0</v>
      </c>
      <c r="J4567" s="25" t="n">
        <f aca="false">MAX(0,J4566)*Assumptions!$C$9</f>
        <v>0</v>
      </c>
      <c r="K4567" s="25" t="n">
        <f aca="false">MAX(0,K4566)*Assumptions!$C$9</f>
        <v>0</v>
      </c>
    </row>
    <row r="4568" customFormat="false" ht="15" hidden="false" customHeight="false" outlineLevel="0" collapsed="false">
      <c r="A4568" s="2" t="s">
        <v>293</v>
      </c>
      <c r="G4568" s="16" t="n">
        <f aca="false">G4566-G4567</f>
        <v>-115.0361968</v>
      </c>
      <c r="H4568" s="16" t="n">
        <f aca="false">H4566-H4567</f>
        <v>-145.444890016</v>
      </c>
      <c r="I4568" s="16" t="n">
        <f aca="false">I4566-I4567</f>
        <v>-154.145410944</v>
      </c>
      <c r="J4568" s="16" t="n">
        <f aca="false">J4566-J4567</f>
        <v>-147.186626361146</v>
      </c>
      <c r="K4568" s="16" t="n">
        <f aca="false">K4566-K4567</f>
        <v>-147.286497461037</v>
      </c>
    </row>
    <row r="4569" customFormat="false" ht="15" hidden="false" customHeight="false" outlineLevel="0" collapsed="false">
      <c r="A4569" s="23" t="s">
        <v>294</v>
      </c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</row>
    <row r="4570" customFormat="false" ht="15" hidden="false" customHeight="false" outlineLevel="0" collapsed="false">
      <c r="A4570" s="3" t="s">
        <v>169</v>
      </c>
      <c r="G4570" s="25" t="n">
        <f aca="false">G4555*CHOOSE($C$4542,Assumptions!$C$75,Assumptions!$C$94,Assumptions!$C$113)</f>
        <v>21.24873036</v>
      </c>
      <c r="H4570" s="25" t="n">
        <f aca="false">H4555*CHOOSE($C$4542,Assumptions!$C$75,Assumptions!$C$94,Assumptions!$C$113)</f>
        <v>18.6988827168</v>
      </c>
      <c r="I4570" s="25" t="n">
        <f aca="false">I4555*CHOOSE($C$4542,Assumptions!$C$75,Assumptions!$C$94,Assumptions!$C$113)</f>
        <v>16.82899444512</v>
      </c>
      <c r="J4570" s="25" t="n">
        <f aca="false">J4555*CHOOSE($C$4542,Assumptions!$C$75,Assumptions!$C$94,Assumptions!$C$113)</f>
        <v>15.4826748895104</v>
      </c>
      <c r="K4570" s="25" t="n">
        <f aca="false">K4555*CHOOSE($C$4542,Assumptions!$C$75,Assumptions!$C$94,Assumptions!$C$113)</f>
        <v>14.5537143961398</v>
      </c>
    </row>
    <row r="4571" customFormat="false" ht="15" hidden="false" customHeight="false" outlineLevel="0" collapsed="false">
      <c r="A4571" s="3" t="s">
        <v>295</v>
      </c>
      <c r="G4571" s="25" t="n">
        <f aca="false">CHOOSE($C$4542,Assumptions!$C$76,Assumptions!$C$95,Assumptions!$C$114)*(G4555-F4555)+CHOOSE($C$4542,Assumptions!$C$77,Assumptions!$C$96,Assumptions!$C$115)*G4555</f>
        <v>28.9755414</v>
      </c>
      <c r="H4571" s="25" t="n">
        <f aca="false">CHOOSE($C$4542,Assumptions!$C$76,Assumptions!$C$95,Assumptions!$C$114)*(H4555-G4555)+CHOOSE($C$4542,Assumptions!$C$77,Assumptions!$C$96,Assumptions!$C$115)*H4555</f>
        <v>25.498476432</v>
      </c>
      <c r="I4571" s="25" t="n">
        <f aca="false">CHOOSE($C$4542,Assumptions!$C$76,Assumptions!$C$95,Assumptions!$C$114)*(I4555-H4555)+CHOOSE($C$4542,Assumptions!$C$77,Assumptions!$C$96,Assumptions!$C$115)*I4555</f>
        <v>22.9486287888</v>
      </c>
      <c r="J4571" s="25" t="n">
        <f aca="false">CHOOSE($C$4542,Assumptions!$C$76,Assumptions!$C$95,Assumptions!$C$114)*(J4555-I4555)+CHOOSE($C$4542,Assumptions!$C$77,Assumptions!$C$96,Assumptions!$C$115)*J4555</f>
        <v>21.112738485696</v>
      </c>
      <c r="K4571" s="25" t="n">
        <f aca="false">CHOOSE($C$4542,Assumptions!$C$76,Assumptions!$C$95,Assumptions!$C$114)*(K4555-J4555)+CHOOSE($C$4542,Assumptions!$C$77,Assumptions!$C$96,Assumptions!$C$115)*K4555</f>
        <v>19.8459741765542</v>
      </c>
    </row>
    <row r="4572" customFormat="false" ht="15" hidden="false" customHeight="false" outlineLevel="0" collapsed="false">
      <c r="A4572" s="2" t="s">
        <v>296</v>
      </c>
      <c r="G4572" s="16" t="n">
        <f aca="false">G4568+G4560+G4561+G4564-G4570-G4571</f>
        <v>-70.95974856</v>
      </c>
      <c r="H4572" s="16" t="n">
        <f aca="false">H4568+H4560+H4561+H4564-H4570-H4571</f>
        <v>-106.6576155648</v>
      </c>
      <c r="I4572" s="16" t="n">
        <f aca="false">I4568+I4560+I4561+I4564-I4570-I4571</f>
        <v>-119.23686393792</v>
      </c>
      <c r="J4572" s="16" t="n">
        <f aca="false">J4568+J4560+J4561+J4564-J4570-J4571</f>
        <v>-115.070763115552</v>
      </c>
      <c r="K4572" s="16" t="n">
        <f aca="false">K4568+K4560+K4561+K4564-K4570-K4571</f>
        <v>-117.097586010179</v>
      </c>
    </row>
    <row r="4574" customFormat="false" ht="15" hidden="false" customHeight="false" outlineLevel="0" collapsed="false">
      <c r="A4574" s="23" t="s">
        <v>298</v>
      </c>
      <c r="B4574" s="24"/>
      <c r="C4574" s="24"/>
      <c r="D4574" s="24"/>
      <c r="E4574" s="24"/>
      <c r="F4574" s="24"/>
      <c r="G4574" s="24"/>
      <c r="H4574" s="24"/>
      <c r="I4574" s="24"/>
      <c r="J4574" s="24"/>
      <c r="K4574" s="24"/>
    </row>
    <row r="4575" customFormat="false" ht="15" hidden="false" customHeight="false" outlineLevel="0" collapsed="false">
      <c r="A4575" s="3" t="s">
        <v>299</v>
      </c>
      <c r="G4575" s="30" t="n">
        <f aca="false">Assumptions!$G$52</f>
        <v>0.039</v>
      </c>
      <c r="H4575" s="30" t="n">
        <f aca="false">Assumptions!$H$52</f>
        <v>0.0375</v>
      </c>
      <c r="I4575" s="30" t="n">
        <f aca="false">Assumptions!$I$52</f>
        <v>0.035</v>
      </c>
      <c r="J4575" s="30" t="n">
        <f aca="false">Assumptions!$J$52</f>
        <v>0.035</v>
      </c>
      <c r="K4575" s="30" t="n">
        <f aca="false">Assumptions!$K$52</f>
        <v>0.035</v>
      </c>
    </row>
    <row r="4576" customFormat="false" ht="15" hidden="false" customHeight="false" outlineLevel="0" collapsed="false">
      <c r="A4576" s="3" t="s">
        <v>300</v>
      </c>
      <c r="C4576" s="31" t="n">
        <f aca="false">CHOOSE($C$4542,Assumptions!$C$78,Assumptions!$C$97,Assumptions!$C$116)+$C$4545</f>
        <v>0.03</v>
      </c>
    </row>
    <row r="4577" customFormat="false" ht="15" hidden="false" customHeight="false" outlineLevel="0" collapsed="false">
      <c r="A4577" s="3" t="s">
        <v>301</v>
      </c>
      <c r="C4577" s="31" t="n">
        <f aca="false">CHOOSE($C$4542,Assumptions!$C$79,Assumptions!$C$98,Assumptions!$C$117)</f>
        <v>0.15</v>
      </c>
    </row>
    <row r="4578" customFormat="false" ht="15" hidden="false" customHeight="false" outlineLevel="0" collapsed="false">
      <c r="A4578" s="3" t="s">
        <v>302</v>
      </c>
      <c r="C4578" s="32" t="n">
        <f aca="false">CHOOSE($C$4542,Assumptions!$C$80,Assumptions!$C$99,Assumptions!$C$118)</f>
        <v>5</v>
      </c>
    </row>
    <row r="4579" customFormat="false" ht="15" hidden="false" customHeight="false" outlineLevel="0" collapsed="false">
      <c r="A4579" s="3" t="s">
        <v>303</v>
      </c>
      <c r="C4579" s="32" t="n">
        <f aca="false">CHOOSE($C$4542,Assumptions!$C$81,Assumptions!$C$100,Assumptions!$C$119)</f>
        <v>1.75</v>
      </c>
    </row>
    <row r="4580" customFormat="false" ht="15" hidden="false" customHeight="false" outlineLevel="0" collapsed="false">
      <c r="A4580" s="3" t="s">
        <v>304</v>
      </c>
      <c r="G4580" s="25" t="n">
        <f aca="false">G4585+G4598+G4611</f>
        <v>1735.554</v>
      </c>
      <c r="H4580" s="25" t="n">
        <f aca="false">H4585+H4598+H4611</f>
        <v>1735.554</v>
      </c>
      <c r="I4580" s="25" t="n">
        <f aca="false">I4585+I4598+I4611</f>
        <v>1735.554</v>
      </c>
      <c r="J4580" s="25" t="n">
        <f aca="false">J4585+J4598+J4611</f>
        <v>1568.41222806272</v>
      </c>
      <c r="K4580" s="25" t="n">
        <f aca="false">K4585+K4598+K4611</f>
        <v>1568.41222806272</v>
      </c>
    </row>
    <row r="4581" customFormat="false" ht="15" hidden="false" customHeight="false" outlineLevel="0" collapsed="false">
      <c r="A4581" s="3" t="s">
        <v>305</v>
      </c>
      <c r="G4581" s="25" t="n">
        <f aca="false">F4654</f>
        <v>463.996</v>
      </c>
      <c r="H4581" s="25" t="n">
        <f aca="false">G4654</f>
        <v>393.03625144</v>
      </c>
      <c r="I4581" s="25" t="n">
        <f aca="false">H4654</f>
        <v>286.3786358752</v>
      </c>
      <c r="J4581" s="25" t="n">
        <f aca="false">I4654</f>
        <v>0</v>
      </c>
      <c r="K4581" s="25" t="n">
        <f aca="false">J4654</f>
        <v>-115.070763115552</v>
      </c>
    </row>
    <row r="4582" customFormat="false" ht="15" hidden="false" customHeight="false" outlineLevel="0" collapsed="false">
      <c r="A4582" s="3" t="s">
        <v>306</v>
      </c>
      <c r="G4582" s="25" t="n">
        <f aca="false">G4585*IF(G4586=1,$C$4577,IF(Assumptions!$I$56=1,MAX(G4575,Assumptions!$G$56)+Assumptions!$F$56+$C$4576,Assumptions!$E$56))+G4598*IF(G4599=1,$C$4577,IF(Assumptions!$I$57=1,MAX(G4575,Assumptions!$G$57)+Assumptions!$F$57+$C$4576,Assumptions!$E$57))+G4611*IF(G4612=1,$C$4577,IF(Assumptions!$I$58=1,MAX(G4575,Assumptions!$G$58)+Assumptions!$F$58+$C$4576,Assumptions!$E$58))</f>
        <v>155.95467</v>
      </c>
      <c r="H4582" s="25" t="n">
        <f aca="false">H4585*IF(OR(H4586=1,G4732=1),$C$4577,IF(Assumptions!$I$56=1,MAX(H4575,Assumptions!$G$56)+Assumptions!$F$56+$C$4576,Assumptions!$E$56))+H4598*IF(OR(H4599=1,G4733=1),$C$4577,IF(Assumptions!$I$57=1,MAX(H4575,Assumptions!$G$57)+Assumptions!$F$57+$C$4576,Assumptions!$E$57))+H4611*IF(OR(H4612=1,G4734=1),$C$4577,IF(Assumptions!$I$58=1,MAX(H4575,Assumptions!$G$58)+Assumptions!$F$58+$C$4576,Assumptions!$E$58))</f>
        <v>155.95467</v>
      </c>
      <c r="I4582" s="25" t="n">
        <f aca="false">I4585*IF(OR(I4586=1,H4732=1),$C$4577,IF(Assumptions!$I$56=1,MAX(I4575,Assumptions!$G$56)+Assumptions!$F$56+$C$4576,Assumptions!$E$56))+I4598*IF(OR(I4599=1,H4733=1),$C$4577,IF(Assumptions!$I$57=1,MAX(I4575,Assumptions!$G$57)+Assumptions!$F$57+$C$4576,Assumptions!$E$57))+I4611*IF(OR(I4612=1,H4734=1),$C$4577,IF(Assumptions!$I$58=1,MAX(I4575,Assumptions!$G$58)+Assumptions!$F$58+$C$4576,Assumptions!$E$58))</f>
        <v>201.15369</v>
      </c>
      <c r="J4582" s="25" t="n">
        <f aca="false">J4585*IF(OR(J4586=1,I4732=1),$C$4577,IF(Assumptions!$I$56=1,MAX(J4575,Assumptions!$G$56)+Assumptions!$F$56+$C$4576,Assumptions!$E$56))+J4598*IF(OR(J4599=1,I4733=1),$C$4577,IF(Assumptions!$I$57=1,MAX(J4575,Assumptions!$G$57)+Assumptions!$F$57+$C$4576,Assumptions!$E$57))+J4611*IF(OR(J4612=1,I4734=1),$C$4577,IF(Assumptions!$I$58=1,MAX(J4575,Assumptions!$G$58)+Assumptions!$F$58+$C$4576,Assumptions!$E$58))</f>
        <v>148.851144692666</v>
      </c>
      <c r="K4582" s="25" t="n">
        <f aca="false">K4585*IF(OR(K4586=1,J4732=1),$C$4577,IF(Assumptions!$I$56=1,MAX(K4575,Assumptions!$G$56)+Assumptions!$F$56+$C$4576,Assumptions!$E$56))+K4598*IF(OR(K4599=1,J4733=1),$C$4577,IF(Assumptions!$I$57=1,MAX(K4575,Assumptions!$G$57)+Assumptions!$F$57+$C$4576,Assumptions!$E$57))+K4611*IF(OR(K4612=1,J4734=1),$C$4577,IF(Assumptions!$I$58=1,MAX(K4575,Assumptions!$G$58)+Assumptions!$F$58+$C$4576,Assumptions!$E$58))</f>
        <v>148.851144692666</v>
      </c>
    </row>
    <row r="4583" customFormat="false" ht="15" hidden="false" customHeight="false" outlineLevel="0" collapsed="false">
      <c r="A4583" s="3" t="s">
        <v>307</v>
      </c>
      <c r="G4583" s="20" t="n">
        <f aca="false">IF(G4559&lt;=0,0,IF(AND((G4580-G4581)/G4559&lt;=$C$4578,G4559/G4582&gt;=$C$4579),1,0))</f>
        <v>0</v>
      </c>
      <c r="H4583" s="20" t="n">
        <f aca="false">IF(H4559&lt;=0,0,IF(AND((H4580-H4581)/H4559&lt;=$C$4578,H4559/H4582&gt;=$C$4579),1,0))</f>
        <v>0</v>
      </c>
      <c r="I4583" s="20" t="n">
        <f aca="false">IF(I4559&lt;=0,0,IF(AND((I4580-I4581)/I4559&lt;=$C$4578,I4559/I4582&gt;=$C$4579),1,0))</f>
        <v>0</v>
      </c>
      <c r="J4583" s="20" t="n">
        <f aca="false">IF(J4559&lt;=0,0,IF(AND((J4580-J4581)/J4559&lt;=$C$4578,J4559/J4582&gt;=$C$4579),1,0))</f>
        <v>0</v>
      </c>
      <c r="K4583" s="20" t="n">
        <f aca="false">IF(K4559&lt;=0,0,IF(AND((K4580-K4581)/K4559&lt;=$C$4578,K4559/K4582&gt;=$C$4579),1,0))</f>
        <v>0</v>
      </c>
    </row>
    <row r="4584" customFormat="false" ht="15" hidden="false" customHeight="false" outlineLevel="0" collapsed="false">
      <c r="A4584" s="23" t="s">
        <v>308</v>
      </c>
      <c r="B4584" s="24"/>
      <c r="C4584" s="24"/>
      <c r="D4584" s="24"/>
      <c r="E4584" s="24"/>
      <c r="F4584" s="24"/>
      <c r="G4584" s="24"/>
      <c r="H4584" s="24"/>
      <c r="I4584" s="24"/>
      <c r="J4584" s="24"/>
      <c r="K4584" s="24"/>
    </row>
    <row r="4585" customFormat="false" ht="15" hidden="false" customHeight="false" outlineLevel="0" collapsed="false">
      <c r="A4585" s="3" t="s">
        <v>309</v>
      </c>
      <c r="G4585" s="25" t="n">
        <f aca="false">F4596</f>
        <v>1315.098</v>
      </c>
      <c r="H4585" s="25" t="n">
        <f aca="false">G4596</f>
        <v>1315.098</v>
      </c>
      <c r="I4585" s="25" t="n">
        <f aca="false">H4596</f>
        <v>1315.098</v>
      </c>
      <c r="J4585" s="25" t="n">
        <f aca="false">I4596</f>
        <v>1315.098</v>
      </c>
      <c r="K4585" s="25" t="n">
        <f aca="false">J4596</f>
        <v>1315.098</v>
      </c>
    </row>
    <row r="4586" customFormat="false" ht="15" hidden="false" customHeight="false" outlineLevel="0" collapsed="false">
      <c r="A4586" s="3" t="s">
        <v>310</v>
      </c>
      <c r="G4586" s="20" t="n">
        <f aca="false">IF(G4549=Assumptions!$K$56,1,0)</f>
        <v>0</v>
      </c>
      <c r="H4586" s="20" t="n">
        <f aca="false">IF(H4549=Assumptions!$K$56,1,0)</f>
        <v>0</v>
      </c>
      <c r="I4586" s="20" t="n">
        <f aca="false">IF(I4549=Assumptions!$K$56,1,0)</f>
        <v>0</v>
      </c>
      <c r="J4586" s="20" t="n">
        <f aca="false">IF(J4549=Assumptions!$K$56,1,0)</f>
        <v>0</v>
      </c>
      <c r="K4586" s="20" t="n">
        <f aca="false">IF(K4549=Assumptions!$K$56,1,0)</f>
        <v>0</v>
      </c>
    </row>
    <row r="4588" customFormat="false" ht="15" hidden="false" customHeight="false" outlineLevel="0" collapsed="false">
      <c r="A4588" s="3" t="s">
        <v>311</v>
      </c>
      <c r="G4588" s="31" t="n">
        <f aca="false">IF(Assumptions!$I$56=1,MAX(G4575,Assumptions!$G$56)+Assumptions!$F$56+$C$4576,Assumptions!$E$56)</f>
        <v>0.105</v>
      </c>
      <c r="H4588" s="31" t="n">
        <f aca="false">IF(G4732=1,$C$4577,IF(Assumptions!$I$56=1,MAX(H4575,Assumptions!$G$56)+Assumptions!$F$56+$C$4576,Assumptions!$E$56))</f>
        <v>0.105</v>
      </c>
      <c r="I4588" s="31" t="n">
        <f aca="false">IF(H4732=1,$C$4577,IF(Assumptions!$I$56=1,MAX(I4575,Assumptions!$G$56)+Assumptions!$F$56+$C$4576,Assumptions!$E$56))</f>
        <v>0.105</v>
      </c>
      <c r="J4588" s="31" t="n">
        <f aca="false">IF(I4732=1,$C$4577,IF(Assumptions!$I$56=1,MAX(J4575,Assumptions!$G$56)+Assumptions!$F$56+$C$4576,Assumptions!$E$56))</f>
        <v>0.105</v>
      </c>
      <c r="K4588" s="31" t="n">
        <f aca="false">IF(J4732=1,$C$4577,IF(Assumptions!$I$56=1,MAX(K4575,Assumptions!$G$56)+Assumptions!$F$56+$C$4576,Assumptions!$E$56))</f>
        <v>0.105</v>
      </c>
    </row>
    <row r="4589" customFormat="false" ht="15" hidden="false" customHeight="false" outlineLevel="0" collapsed="false">
      <c r="A4589" s="3" t="s">
        <v>312</v>
      </c>
      <c r="G4589" s="25" t="n">
        <f aca="false">G4585*G4588</f>
        <v>138.08529</v>
      </c>
      <c r="H4589" s="25" t="n">
        <f aca="false">H4585*H4588</f>
        <v>138.08529</v>
      </c>
      <c r="I4589" s="25" t="n">
        <f aca="false">I4585*I4588</f>
        <v>138.08529</v>
      </c>
      <c r="J4589" s="25" t="n">
        <f aca="false">J4585*J4588</f>
        <v>138.08529</v>
      </c>
      <c r="K4589" s="25" t="n">
        <f aca="false">K4585*K4588</f>
        <v>138.08529</v>
      </c>
    </row>
    <row r="4590" customFormat="false" ht="15" hidden="false" customHeight="false" outlineLevel="0" collapsed="false">
      <c r="A4590" s="3" t="s">
        <v>313</v>
      </c>
      <c r="G4590" s="25" t="n">
        <f aca="false">G4585*Assumptions!$H$56</f>
        <v>0</v>
      </c>
      <c r="H4590" s="25" t="n">
        <f aca="false">H4585*Assumptions!$H$56</f>
        <v>0</v>
      </c>
      <c r="I4590" s="25" t="n">
        <f aca="false">I4585*Assumptions!$H$56</f>
        <v>0</v>
      </c>
      <c r="J4590" s="25" t="n">
        <f aca="false">J4585*Assumptions!$H$56</f>
        <v>0</v>
      </c>
      <c r="K4590" s="25" t="n">
        <f aca="false">K4585*Assumptions!$H$56</f>
        <v>0</v>
      </c>
    </row>
    <row r="4591" customFormat="false" ht="15" hidden="false" customHeight="false" outlineLevel="0" collapsed="false">
      <c r="A4591" s="3" t="s">
        <v>314</v>
      </c>
      <c r="G4591" s="25" t="n">
        <f aca="false">MIN(G4585,Assumptions!$L$56*Assumptions!$C$56)</f>
        <v>0</v>
      </c>
      <c r="H4591" s="25" t="n">
        <f aca="false">MIN(H4585,Assumptions!$L$56*Assumptions!$C$56)</f>
        <v>0</v>
      </c>
      <c r="I4591" s="25" t="n">
        <f aca="false">MIN(I4585,Assumptions!$L$56*Assumptions!$C$56)</f>
        <v>0</v>
      </c>
      <c r="J4591" s="25" t="n">
        <f aca="false">MIN(J4585,Assumptions!$L$56*Assumptions!$C$56)</f>
        <v>0</v>
      </c>
      <c r="K4591" s="25" t="n">
        <f aca="false">MIN(K4585,Assumptions!$L$56*Assumptions!$C$56)</f>
        <v>0</v>
      </c>
    </row>
    <row r="4592" customFormat="false" ht="15" hidden="false" customHeight="false" outlineLevel="0" collapsed="false">
      <c r="A4592" s="3" t="s">
        <v>315</v>
      </c>
      <c r="G4592" s="25" t="n">
        <f aca="false">IF(AND(Assumptions!$P$56=1,G4549&lt;Assumptions!$K$56),MIN(MAX(0,-G4646),MAX(0,Assumptions!$D$56-G4585)),0)</f>
        <v>0</v>
      </c>
      <c r="H4592" s="25" t="n">
        <f aca="false">IF(AND(Assumptions!$P$56=1,OR(H4549&lt;Assumptions!$K$56,G4732=1)),MIN(MAX(0,-H4646),MAX(0,Assumptions!$D$56-H4585)),0)</f>
        <v>0</v>
      </c>
      <c r="I4592" s="25" t="n">
        <f aca="false">IF(AND(Assumptions!$P$56=1,OR(I4549&lt;Assumptions!$K$56,H4732=1)),MIN(MAX(0,-I4646),MAX(0,Assumptions!$D$56-I4585)),0)</f>
        <v>0</v>
      </c>
      <c r="J4592" s="25" t="n">
        <f aca="false">IF(AND(Assumptions!$P$56=1,OR(J4549&lt;Assumptions!$K$56,I4732=1)),MIN(MAX(0,-J4646),MAX(0,Assumptions!$D$56-J4585)),0)</f>
        <v>0</v>
      </c>
      <c r="K4592" s="25" t="n">
        <f aca="false">IF(AND(Assumptions!$P$56=1,OR(K4549&lt;Assumptions!$K$56,J4732=1)),MIN(MAX(0,-K4646),MAX(0,Assumptions!$D$56-K4585)),0)</f>
        <v>0</v>
      </c>
    </row>
    <row r="4593" customFormat="false" ht="15" hidden="false" customHeight="false" outlineLevel="0" collapsed="false">
      <c r="A4593" s="3" t="s">
        <v>316</v>
      </c>
      <c r="G4593" s="25" t="n">
        <f aca="false">G4586*MIN(G4585-G4591+G4590,MAX(0,G4648-Assumptions!$C$12*G4583))</f>
        <v>0</v>
      </c>
      <c r="H4593" s="25" t="n">
        <f aca="false">H4586*MIN(H4585-H4591+H4590,MAX(0,H4648-Assumptions!$C$12*H4583))</f>
        <v>0</v>
      </c>
      <c r="I4593" s="25" t="n">
        <f aca="false">I4586*MIN(I4585-I4591+I4590,MAX(0,I4648-Assumptions!$C$12*I4583))</f>
        <v>0</v>
      </c>
      <c r="J4593" s="25" t="n">
        <f aca="false">J4586*MIN(J4585-J4591+J4590,MAX(0,J4648-Assumptions!$C$12*J4583))</f>
        <v>0</v>
      </c>
      <c r="K4593" s="25" t="n">
        <f aca="false">K4586*MIN(K4585-K4591+K4590,MAX(0,K4648-Assumptions!$C$12*K4583))</f>
        <v>0</v>
      </c>
    </row>
    <row r="4594" customFormat="false" ht="15" hidden="false" customHeight="false" outlineLevel="0" collapsed="false">
      <c r="A4594" s="3" t="s">
        <v>317</v>
      </c>
      <c r="G4594" s="25" t="n">
        <f aca="false">Assumptions!$N$56*MIN(G4585+G4592+G4590-G4591-G4593,MAX(0,G4652))</f>
        <v>0</v>
      </c>
      <c r="H4594" s="25" t="n">
        <f aca="false">Assumptions!$N$56*MIN(H4585+H4592+H4590-H4591-H4593,MAX(0,H4652))</f>
        <v>0</v>
      </c>
      <c r="I4594" s="25" t="n">
        <f aca="false">Assumptions!$N$56*MIN(I4585+I4592+I4590-I4591-I4593,MAX(0,I4652))</f>
        <v>0</v>
      </c>
      <c r="J4594" s="25" t="n">
        <f aca="false">Assumptions!$N$56*MIN(J4585+J4592+J4590-J4591-J4593,MAX(0,J4652))</f>
        <v>0</v>
      </c>
      <c r="K4594" s="25" t="n">
        <f aca="false">Assumptions!$N$56*MIN(K4585+K4592+K4590-K4591-K4593,MAX(0,K4652))</f>
        <v>0</v>
      </c>
    </row>
    <row r="4595" customFormat="false" ht="15" hidden="false" customHeight="false" outlineLevel="0" collapsed="false">
      <c r="A4595" s="3" t="s">
        <v>318</v>
      </c>
      <c r="G4595" s="25" t="n">
        <f aca="false">G4586*(1-G4583)*(G4585-G4591+G4590-G4593)</f>
        <v>0</v>
      </c>
      <c r="H4595" s="25" t="n">
        <f aca="false">H4586*(1-H4583)*(H4585-H4591+H4590-H4593)</f>
        <v>0</v>
      </c>
      <c r="I4595" s="25" t="n">
        <f aca="false">I4586*(1-I4583)*(I4585-I4591+I4590-I4593)</f>
        <v>0</v>
      </c>
      <c r="J4595" s="25" t="n">
        <f aca="false">J4586*(1-J4583)*(J4585-J4591+J4590-J4593)</f>
        <v>0</v>
      </c>
      <c r="K4595" s="25" t="n">
        <f aca="false">K4586*(1-K4583)*(K4585-K4591+K4590-K4593)</f>
        <v>0</v>
      </c>
    </row>
    <row r="4596" customFormat="false" ht="15" hidden="false" customHeight="false" outlineLevel="0" collapsed="false">
      <c r="A4596" s="2" t="s">
        <v>319</v>
      </c>
      <c r="F4596" s="28" t="n">
        <f aca="false">Assumptions!$C$56</f>
        <v>1315.098</v>
      </c>
      <c r="G4596" s="16" t="n">
        <f aca="false">G4585+G4592+G4590-G4591-G4593-G4594</f>
        <v>1315.098</v>
      </c>
      <c r="H4596" s="16" t="n">
        <f aca="false">H4585+H4592+H4590-H4591-H4593-H4594</f>
        <v>1315.098</v>
      </c>
      <c r="I4596" s="16" t="n">
        <f aca="false">I4585+I4592+I4590-I4591-I4593-I4594</f>
        <v>1315.098</v>
      </c>
      <c r="J4596" s="16" t="n">
        <f aca="false">J4585+J4592+J4590-J4591-J4593-J4594</f>
        <v>1315.098</v>
      </c>
      <c r="K4596" s="16" t="n">
        <f aca="false">K4585+K4592+K4590-K4591-K4593-K4594</f>
        <v>1315.098</v>
      </c>
    </row>
    <row r="4597" customFormat="false" ht="15" hidden="false" customHeight="false" outlineLevel="0" collapsed="false">
      <c r="A4597" s="23" t="s">
        <v>320</v>
      </c>
      <c r="B4597" s="24"/>
      <c r="C4597" s="24"/>
      <c r="D4597" s="24"/>
      <c r="E4597" s="24"/>
      <c r="F4597" s="24"/>
      <c r="G4597" s="24"/>
      <c r="H4597" s="24"/>
      <c r="I4597" s="24"/>
      <c r="J4597" s="24"/>
      <c r="K4597" s="24"/>
    </row>
    <row r="4598" customFormat="false" ht="15" hidden="false" customHeight="false" outlineLevel="0" collapsed="false">
      <c r="A4598" s="3" t="s">
        <v>309</v>
      </c>
      <c r="G4598" s="25" t="n">
        <f aca="false">F4609</f>
        <v>276.706</v>
      </c>
      <c r="H4598" s="25" t="n">
        <f aca="false">G4609</f>
        <v>276.706</v>
      </c>
      <c r="I4598" s="25" t="n">
        <f aca="false">H4609</f>
        <v>276.706</v>
      </c>
      <c r="J4598" s="25" t="n">
        <f aca="false">I4609</f>
        <v>109.56422806272</v>
      </c>
      <c r="K4598" s="25" t="n">
        <f aca="false">J4609</f>
        <v>109.56422806272</v>
      </c>
    </row>
    <row r="4599" customFormat="false" ht="15" hidden="false" customHeight="false" outlineLevel="0" collapsed="false">
      <c r="A4599" s="3" t="s">
        <v>310</v>
      </c>
      <c r="G4599" s="20" t="n">
        <f aca="false">IF(G4549=Assumptions!$K$57,1,0)</f>
        <v>0</v>
      </c>
      <c r="H4599" s="20" t="n">
        <f aca="false">IF(H4549=Assumptions!$K$57,1,0)</f>
        <v>0</v>
      </c>
      <c r="I4599" s="20" t="n">
        <f aca="false">IF(I4549=Assumptions!$K$57,1,0)</f>
        <v>1</v>
      </c>
      <c r="J4599" s="20" t="n">
        <f aca="false">IF(J4549=Assumptions!$K$57,1,0)</f>
        <v>0</v>
      </c>
      <c r="K4599" s="20" t="n">
        <f aca="false">IF(K4549=Assumptions!$K$57,1,0)</f>
        <v>0</v>
      </c>
    </row>
    <row r="4601" customFormat="false" ht="15" hidden="false" customHeight="false" outlineLevel="0" collapsed="false">
      <c r="A4601" s="3" t="s">
        <v>311</v>
      </c>
      <c r="G4601" s="31" t="n">
        <f aca="false">IF(Assumptions!$I$57=1,MAX(G4575,Assumptions!$G$57)+Assumptions!$F$57+$C$4576,Assumptions!$E$57)</f>
        <v>0.0425</v>
      </c>
      <c r="H4601" s="31" t="n">
        <f aca="false">IF(G4733=1,$C$4577,IF(Assumptions!$I$57=1,MAX(H4575,Assumptions!$G$57)+Assumptions!$F$57+$C$4576,Assumptions!$E$57))</f>
        <v>0.0425</v>
      </c>
      <c r="I4601" s="31" t="n">
        <f aca="false">IF(H4733=1,$C$4577,IF(Assumptions!$I$57=1,MAX(I4575,Assumptions!$G$57)+Assumptions!$F$57+$C$4576,Assumptions!$E$57))</f>
        <v>0.0425</v>
      </c>
      <c r="J4601" s="31" t="n">
        <f aca="false">IF(I4733=1,$C$4577,IF(Assumptions!$I$57=1,MAX(J4575,Assumptions!$G$57)+Assumptions!$F$57+$C$4576,Assumptions!$E$57))</f>
        <v>0.0425</v>
      </c>
      <c r="K4601" s="31" t="n">
        <f aca="false">IF(J4733=1,$C$4577,IF(Assumptions!$I$57=1,MAX(K4575,Assumptions!$G$57)+Assumptions!$F$57+$C$4576,Assumptions!$E$57))</f>
        <v>0.0425</v>
      </c>
    </row>
    <row r="4602" customFormat="false" ht="15" hidden="false" customHeight="false" outlineLevel="0" collapsed="false">
      <c r="A4602" s="3" t="s">
        <v>312</v>
      </c>
      <c r="G4602" s="25" t="n">
        <f aca="false">G4598*G4601</f>
        <v>11.760005</v>
      </c>
      <c r="H4602" s="25" t="n">
        <f aca="false">H4598*H4601</f>
        <v>11.760005</v>
      </c>
      <c r="I4602" s="25" t="n">
        <f aca="false">I4598*I4601</f>
        <v>11.760005</v>
      </c>
      <c r="J4602" s="25" t="n">
        <f aca="false">J4598*J4601</f>
        <v>4.6564796926656</v>
      </c>
      <c r="K4602" s="25" t="n">
        <f aca="false">K4598*K4601</f>
        <v>4.6564796926656</v>
      </c>
    </row>
    <row r="4603" customFormat="false" ht="15" hidden="false" customHeight="false" outlineLevel="0" collapsed="false">
      <c r="A4603" s="3" t="s">
        <v>313</v>
      </c>
      <c r="G4603" s="25" t="n">
        <f aca="false">G4598*Assumptions!$H$57</f>
        <v>0</v>
      </c>
      <c r="H4603" s="25" t="n">
        <f aca="false">H4598*Assumptions!$H$57</f>
        <v>0</v>
      </c>
      <c r="I4603" s="25" t="n">
        <f aca="false">I4598*Assumptions!$H$57</f>
        <v>0</v>
      </c>
      <c r="J4603" s="25" t="n">
        <f aca="false">J4598*Assumptions!$H$57</f>
        <v>0</v>
      </c>
      <c r="K4603" s="25" t="n">
        <f aca="false">K4598*Assumptions!$H$57</f>
        <v>0</v>
      </c>
    </row>
    <row r="4604" customFormat="false" ht="15" hidden="false" customHeight="false" outlineLevel="0" collapsed="false">
      <c r="A4604" s="3" t="s">
        <v>314</v>
      </c>
      <c r="G4604" s="25" t="n">
        <f aca="false">MIN(G4598,Assumptions!$L$57*Assumptions!$C$57)</f>
        <v>0</v>
      </c>
      <c r="H4604" s="25" t="n">
        <f aca="false">MIN(H4598,Assumptions!$L$57*Assumptions!$C$57)</f>
        <v>0</v>
      </c>
      <c r="I4604" s="25" t="n">
        <f aca="false">MIN(I4598,Assumptions!$L$57*Assumptions!$C$57)</f>
        <v>0</v>
      </c>
      <c r="J4604" s="25" t="n">
        <f aca="false">MIN(J4598,Assumptions!$L$57*Assumptions!$C$57)</f>
        <v>0</v>
      </c>
      <c r="K4604" s="25" t="n">
        <f aca="false">MIN(K4598,Assumptions!$L$57*Assumptions!$C$57)</f>
        <v>0</v>
      </c>
    </row>
    <row r="4605" customFormat="false" ht="15" hidden="false" customHeight="false" outlineLevel="0" collapsed="false">
      <c r="A4605" s="3" t="s">
        <v>315</v>
      </c>
      <c r="G4605" s="25" t="n">
        <f aca="false">IF(AND(Assumptions!$P$57=1,G4549&lt;Assumptions!$K$57),MIN(MAX(0,-G4646),MAX(0,Assumptions!$D$57-G4598)),0)</f>
        <v>0</v>
      </c>
      <c r="H4605" s="25" t="n">
        <f aca="false">IF(AND(Assumptions!$P$57=1,OR(H4549&lt;Assumptions!$K$57,G4733=1)),MIN(MAX(0,-H4646),MAX(0,Assumptions!$D$57-H4598)),0)</f>
        <v>0</v>
      </c>
      <c r="I4605" s="25" t="n">
        <f aca="false">IF(AND(Assumptions!$P$57=1,OR(I4549&lt;Assumptions!$K$57,H4733=1)),MIN(MAX(0,-I4646),MAX(0,Assumptions!$D$57-I4598)),0)</f>
        <v>0</v>
      </c>
      <c r="J4605" s="25" t="n">
        <f aca="false">IF(AND(Assumptions!$P$57=1,OR(J4549&lt;Assumptions!$K$57,I4733=1)),MIN(MAX(0,-J4646),MAX(0,Assumptions!$D$57-J4598)),0)</f>
        <v>0</v>
      </c>
      <c r="K4605" s="25" t="n">
        <f aca="false">IF(AND(Assumptions!$P$57=1,OR(K4549&lt;Assumptions!$K$57,J4733=1)),MIN(MAX(0,-K4646),MAX(0,Assumptions!$D$57-K4598)),0)</f>
        <v>0</v>
      </c>
    </row>
    <row r="4606" customFormat="false" ht="15" hidden="false" customHeight="false" outlineLevel="0" collapsed="false">
      <c r="A4606" s="3" t="s">
        <v>316</v>
      </c>
      <c r="G4606" s="25" t="n">
        <f aca="false">G4599*MIN(G4598-G4604+G4603,MAX(0,G4648-Assumptions!$C$12*G4583-G4593))</f>
        <v>0</v>
      </c>
      <c r="H4606" s="25" t="n">
        <f aca="false">H4599*MIN(H4598-H4604+H4603,MAX(0,H4648-Assumptions!$C$12*H4583-H4593))</f>
        <v>0</v>
      </c>
      <c r="I4606" s="25" t="n">
        <f aca="false">I4599*MIN(I4598-I4604+I4603,MAX(0,I4648-Assumptions!$C$12*I4583-I4593))</f>
        <v>167.14177193728</v>
      </c>
      <c r="J4606" s="25" t="n">
        <f aca="false">J4599*MIN(J4598-J4604+J4603,MAX(0,J4648-Assumptions!$C$12*J4583-J4593))</f>
        <v>0</v>
      </c>
      <c r="K4606" s="25" t="n">
        <f aca="false">K4599*MIN(K4598-K4604+K4603,MAX(0,K4648-Assumptions!$C$12*K4583-K4593))</f>
        <v>0</v>
      </c>
    </row>
    <row r="4607" customFormat="false" ht="15" hidden="false" customHeight="false" outlineLevel="0" collapsed="false">
      <c r="A4607" s="3" t="s">
        <v>317</v>
      </c>
      <c r="G4607" s="25" t="n">
        <f aca="false">Assumptions!$N$57*MIN(G4598+G4605+G4603-G4604-G4606,MAX(0,G4652-G4594))</f>
        <v>0</v>
      </c>
      <c r="H4607" s="25" t="n">
        <f aca="false">Assumptions!$N$57*MIN(H4598+H4605+H4603-H4604-H4606,MAX(0,H4652-H4594))</f>
        <v>0</v>
      </c>
      <c r="I4607" s="25" t="n">
        <f aca="false">Assumptions!$N$57*MIN(I4598+I4605+I4603-I4604-I4606,MAX(0,I4652-I4594))</f>
        <v>0</v>
      </c>
      <c r="J4607" s="25" t="n">
        <f aca="false">Assumptions!$N$57*MIN(J4598+J4605+J4603-J4604-J4606,MAX(0,J4652-J4594))</f>
        <v>0</v>
      </c>
      <c r="K4607" s="25" t="n">
        <f aca="false">Assumptions!$N$57*MIN(K4598+K4605+K4603-K4604-K4606,MAX(0,K4652-K4594))</f>
        <v>0</v>
      </c>
    </row>
    <row r="4608" customFormat="false" ht="15" hidden="false" customHeight="false" outlineLevel="0" collapsed="false">
      <c r="A4608" s="3" t="s">
        <v>318</v>
      </c>
      <c r="G4608" s="25" t="n">
        <f aca="false">G4599*(1-G4583)*(G4598-G4604+G4603-G4606)</f>
        <v>0</v>
      </c>
      <c r="H4608" s="25" t="n">
        <f aca="false">H4599*(1-H4583)*(H4598-H4604+H4603-H4606)</f>
        <v>0</v>
      </c>
      <c r="I4608" s="25" t="n">
        <f aca="false">I4599*(1-I4583)*(I4598-I4604+I4603-I4606)</f>
        <v>109.56422806272</v>
      </c>
      <c r="J4608" s="25" t="n">
        <f aca="false">J4599*(1-J4583)*(J4598-J4604+J4603-J4606)</f>
        <v>0</v>
      </c>
      <c r="K4608" s="25" t="n">
        <f aca="false">K4599*(1-K4583)*(K4598-K4604+K4603-K4606)</f>
        <v>0</v>
      </c>
    </row>
    <row r="4609" customFormat="false" ht="15" hidden="false" customHeight="false" outlineLevel="0" collapsed="false">
      <c r="A4609" s="2" t="s">
        <v>319</v>
      </c>
      <c r="F4609" s="28" t="n">
        <f aca="false">Assumptions!$C$57</f>
        <v>276.706</v>
      </c>
      <c r="G4609" s="16" t="n">
        <f aca="false">G4598+G4605+G4603-G4604-G4606-G4607</f>
        <v>276.706</v>
      </c>
      <c r="H4609" s="16" t="n">
        <f aca="false">H4598+H4605+H4603-H4604-H4606-H4607</f>
        <v>276.706</v>
      </c>
      <c r="I4609" s="16" t="n">
        <f aca="false">I4598+I4605+I4603-I4604-I4606-I4607</f>
        <v>109.56422806272</v>
      </c>
      <c r="J4609" s="16" t="n">
        <f aca="false">J4598+J4605+J4603-J4604-J4606-J4607</f>
        <v>109.56422806272</v>
      </c>
      <c r="K4609" s="16" t="n">
        <f aca="false">K4598+K4605+K4603-K4604-K4606-K4607</f>
        <v>109.56422806272</v>
      </c>
    </row>
    <row r="4610" customFormat="false" ht="15" hidden="false" customHeight="false" outlineLevel="0" collapsed="false">
      <c r="A4610" s="23" t="s">
        <v>321</v>
      </c>
      <c r="B4610" s="24"/>
      <c r="C4610" s="24"/>
      <c r="D4610" s="24"/>
      <c r="E4610" s="24"/>
      <c r="F4610" s="24"/>
      <c r="G4610" s="24"/>
      <c r="H4610" s="24"/>
      <c r="I4610" s="24"/>
      <c r="J4610" s="24"/>
      <c r="K4610" s="24"/>
    </row>
    <row r="4611" customFormat="false" ht="15" hidden="false" customHeight="false" outlineLevel="0" collapsed="false">
      <c r="A4611" s="3" t="s">
        <v>309</v>
      </c>
      <c r="G4611" s="25" t="n">
        <f aca="false">F4622</f>
        <v>143.75</v>
      </c>
      <c r="H4611" s="25" t="n">
        <f aca="false">G4622</f>
        <v>143.75</v>
      </c>
      <c r="I4611" s="25" t="n">
        <f aca="false">H4622</f>
        <v>143.75</v>
      </c>
      <c r="J4611" s="25" t="n">
        <f aca="false">I4622</f>
        <v>143.75</v>
      </c>
      <c r="K4611" s="25" t="n">
        <f aca="false">J4622</f>
        <v>143.75</v>
      </c>
    </row>
    <row r="4612" customFormat="false" ht="15" hidden="false" customHeight="false" outlineLevel="0" collapsed="false">
      <c r="A4612" s="3" t="s">
        <v>310</v>
      </c>
      <c r="G4612" s="20" t="n">
        <f aca="false">IF(G4549=Assumptions!$K$58,1,0)</f>
        <v>0</v>
      </c>
      <c r="H4612" s="20" t="n">
        <f aca="false">IF(H4549=Assumptions!$K$58,1,0)</f>
        <v>0</v>
      </c>
      <c r="I4612" s="20" t="n">
        <f aca="false">IF(I4549=Assumptions!$K$58,1,0)</f>
        <v>1</v>
      </c>
      <c r="J4612" s="20" t="n">
        <f aca="false">IF(J4549=Assumptions!$K$58,1,0)</f>
        <v>0</v>
      </c>
      <c r="K4612" s="20" t="n">
        <f aca="false">IF(K4549=Assumptions!$K$58,1,0)</f>
        <v>0</v>
      </c>
    </row>
    <row r="4614" customFormat="false" ht="15" hidden="false" customHeight="false" outlineLevel="0" collapsed="false">
      <c r="A4614" s="3" t="s">
        <v>311</v>
      </c>
      <c r="G4614" s="31" t="n">
        <f aca="false">IF(Assumptions!$I$58=1,MAX(G4575,Assumptions!$G$58)+Assumptions!$F$58+$C$4576,Assumptions!$E$58)</f>
        <v>0.0425</v>
      </c>
      <c r="H4614" s="31" t="n">
        <f aca="false">IF(G4734=1,$C$4577,IF(Assumptions!$I$58=1,MAX(H4575,Assumptions!$G$58)+Assumptions!$F$58+$C$4576,Assumptions!$E$58))</f>
        <v>0.0425</v>
      </c>
      <c r="I4614" s="31" t="n">
        <f aca="false">IF(H4734=1,$C$4577,IF(Assumptions!$I$58=1,MAX(I4575,Assumptions!$G$58)+Assumptions!$F$58+$C$4576,Assumptions!$E$58))</f>
        <v>0.0425</v>
      </c>
      <c r="J4614" s="31" t="n">
        <f aca="false">IF(I4734=1,$C$4577,IF(Assumptions!$I$58=1,MAX(J4575,Assumptions!$G$58)+Assumptions!$F$58+$C$4576,Assumptions!$E$58))</f>
        <v>0.0425</v>
      </c>
      <c r="K4614" s="31" t="n">
        <f aca="false">IF(J4734=1,$C$4577,IF(Assumptions!$I$58=1,MAX(K4575,Assumptions!$G$58)+Assumptions!$F$58+$C$4576,Assumptions!$E$58))</f>
        <v>0.0425</v>
      </c>
    </row>
    <row r="4615" customFormat="false" ht="15" hidden="false" customHeight="false" outlineLevel="0" collapsed="false">
      <c r="A4615" s="3" t="s">
        <v>312</v>
      </c>
      <c r="G4615" s="25" t="n">
        <f aca="false">G4611*G4614</f>
        <v>6.109375</v>
      </c>
      <c r="H4615" s="25" t="n">
        <f aca="false">H4611*H4614</f>
        <v>6.109375</v>
      </c>
      <c r="I4615" s="25" t="n">
        <f aca="false">I4611*I4614</f>
        <v>6.109375</v>
      </c>
      <c r="J4615" s="25" t="n">
        <f aca="false">J4611*J4614</f>
        <v>6.109375</v>
      </c>
      <c r="K4615" s="25" t="n">
        <f aca="false">K4611*K4614</f>
        <v>6.109375</v>
      </c>
    </row>
    <row r="4616" customFormat="false" ht="15" hidden="false" customHeight="false" outlineLevel="0" collapsed="false">
      <c r="A4616" s="3" t="s">
        <v>313</v>
      </c>
      <c r="G4616" s="25" t="n">
        <f aca="false">G4611*Assumptions!$H$58</f>
        <v>0</v>
      </c>
      <c r="H4616" s="25" t="n">
        <f aca="false">H4611*Assumptions!$H$58</f>
        <v>0</v>
      </c>
      <c r="I4616" s="25" t="n">
        <f aca="false">I4611*Assumptions!$H$58</f>
        <v>0</v>
      </c>
      <c r="J4616" s="25" t="n">
        <f aca="false">J4611*Assumptions!$H$58</f>
        <v>0</v>
      </c>
      <c r="K4616" s="25" t="n">
        <f aca="false">K4611*Assumptions!$H$58</f>
        <v>0</v>
      </c>
    </row>
    <row r="4617" customFormat="false" ht="15" hidden="false" customHeight="false" outlineLevel="0" collapsed="false">
      <c r="A4617" s="3" t="s">
        <v>314</v>
      </c>
      <c r="G4617" s="25" t="n">
        <f aca="false">MIN(G4611,Assumptions!$L$58*Assumptions!$C$58)</f>
        <v>0</v>
      </c>
      <c r="H4617" s="25" t="n">
        <f aca="false">MIN(H4611,Assumptions!$L$58*Assumptions!$C$58)</f>
        <v>0</v>
      </c>
      <c r="I4617" s="25" t="n">
        <f aca="false">MIN(I4611,Assumptions!$L$58*Assumptions!$C$58)</f>
        <v>0</v>
      </c>
      <c r="J4617" s="25" t="n">
        <f aca="false">MIN(J4611,Assumptions!$L$58*Assumptions!$C$58)</f>
        <v>0</v>
      </c>
      <c r="K4617" s="25" t="n">
        <f aca="false">MIN(K4611,Assumptions!$L$58*Assumptions!$C$58)</f>
        <v>0</v>
      </c>
    </row>
    <row r="4618" customFormat="false" ht="15" hidden="false" customHeight="false" outlineLevel="0" collapsed="false">
      <c r="A4618" s="3" t="s">
        <v>315</v>
      </c>
      <c r="G4618" s="25" t="n">
        <f aca="false">IF(AND(Assumptions!$P$58=1,G4549&lt;Assumptions!$K$58),MIN(MAX(0,-G4646),MAX(0,Assumptions!$D$58-G4611)),0)</f>
        <v>0</v>
      </c>
      <c r="H4618" s="25" t="n">
        <f aca="false">IF(AND(Assumptions!$P$58=1,OR(H4549&lt;Assumptions!$K$58,G4734=1)),MIN(MAX(0,-H4646),MAX(0,Assumptions!$D$58-H4611)),0)</f>
        <v>0</v>
      </c>
      <c r="I4618" s="25" t="n">
        <f aca="false">IF(AND(Assumptions!$P$58=1,OR(I4549&lt;Assumptions!$K$58,H4734=1)),MIN(MAX(0,-I4646),MAX(0,Assumptions!$D$58-I4611)),0)</f>
        <v>0</v>
      </c>
      <c r="J4618" s="25" t="n">
        <f aca="false">IF(AND(Assumptions!$P$58=1,OR(J4549&lt;Assumptions!$K$58,I4734=1)),MIN(MAX(0,-J4646),MAX(0,Assumptions!$D$58-J4611)),0)</f>
        <v>0</v>
      </c>
      <c r="K4618" s="25" t="n">
        <f aca="false">IF(AND(Assumptions!$P$58=1,OR(K4549&lt;Assumptions!$K$58,J4734=1)),MIN(MAX(0,-K4646),MAX(0,Assumptions!$D$58-K4611)),0)</f>
        <v>0</v>
      </c>
    </row>
    <row r="4619" customFormat="false" ht="15" hidden="false" customHeight="false" outlineLevel="0" collapsed="false">
      <c r="A4619" s="3" t="s">
        <v>316</v>
      </c>
      <c r="G4619" s="25" t="n">
        <f aca="false">G4612*MIN(G4611-G4617+G4616,MAX(0,G4648-Assumptions!$C$12*G4583-G4593-G4606))</f>
        <v>0</v>
      </c>
      <c r="H4619" s="25" t="n">
        <f aca="false">H4612*MIN(H4611-H4617+H4616,MAX(0,H4648-Assumptions!$C$12*H4583-H4593-H4606))</f>
        <v>0</v>
      </c>
      <c r="I4619" s="25" t="n">
        <f aca="false">I4612*MIN(I4611-I4617+I4616,MAX(0,I4648-Assumptions!$C$12*I4583-I4593-I4606))</f>
        <v>0</v>
      </c>
      <c r="J4619" s="25" t="n">
        <f aca="false">J4612*MIN(J4611-J4617+J4616,MAX(0,J4648-Assumptions!$C$12*J4583-J4593-J4606))</f>
        <v>0</v>
      </c>
      <c r="K4619" s="25" t="n">
        <f aca="false">K4612*MIN(K4611-K4617+K4616,MAX(0,K4648-Assumptions!$C$12*K4583-K4593-K4606))</f>
        <v>0</v>
      </c>
    </row>
    <row r="4620" customFormat="false" ht="15" hidden="false" customHeight="false" outlineLevel="0" collapsed="false">
      <c r="A4620" s="3" t="s">
        <v>317</v>
      </c>
      <c r="G4620" s="25" t="n">
        <f aca="false">Assumptions!$N$58*MIN(G4611+G4618+G4616-G4617-G4619,MAX(0,G4652-G4594-G4607))</f>
        <v>0</v>
      </c>
      <c r="H4620" s="25" t="n">
        <f aca="false">Assumptions!$N$58*MIN(H4611+H4618+H4616-H4617-H4619,MAX(0,H4652-H4594-H4607))</f>
        <v>0</v>
      </c>
      <c r="I4620" s="25" t="n">
        <f aca="false">Assumptions!$N$58*MIN(I4611+I4618+I4616-I4617-I4619,MAX(0,I4652-I4594-I4607))</f>
        <v>0</v>
      </c>
      <c r="J4620" s="25" t="n">
        <f aca="false">Assumptions!$N$58*MIN(J4611+J4618+J4616-J4617-J4619,MAX(0,J4652-J4594-J4607))</f>
        <v>0</v>
      </c>
      <c r="K4620" s="25" t="n">
        <f aca="false">Assumptions!$N$58*MIN(K4611+K4618+K4616-K4617-K4619,MAX(0,K4652-K4594-K4607))</f>
        <v>0</v>
      </c>
    </row>
    <row r="4621" customFormat="false" ht="15" hidden="false" customHeight="false" outlineLevel="0" collapsed="false">
      <c r="A4621" s="3" t="s">
        <v>318</v>
      </c>
      <c r="G4621" s="25" t="n">
        <f aca="false">G4612*(1-G4583)*(G4611-G4617+G4616-G4619)</f>
        <v>0</v>
      </c>
      <c r="H4621" s="25" t="n">
        <f aca="false">H4612*(1-H4583)*(H4611-H4617+H4616-H4619)</f>
        <v>0</v>
      </c>
      <c r="I4621" s="25" t="n">
        <f aca="false">I4612*(1-I4583)*(I4611-I4617+I4616-I4619)</f>
        <v>143.75</v>
      </c>
      <c r="J4621" s="25" t="n">
        <f aca="false">J4612*(1-J4583)*(J4611-J4617+J4616-J4619)</f>
        <v>0</v>
      </c>
      <c r="K4621" s="25" t="n">
        <f aca="false">K4612*(1-K4583)*(K4611-K4617+K4616-K4619)</f>
        <v>0</v>
      </c>
    </row>
    <row r="4622" customFormat="false" ht="15" hidden="false" customHeight="false" outlineLevel="0" collapsed="false">
      <c r="A4622" s="2" t="s">
        <v>319</v>
      </c>
      <c r="F4622" s="28" t="n">
        <f aca="false">Assumptions!$C$58</f>
        <v>143.75</v>
      </c>
      <c r="G4622" s="16" t="n">
        <f aca="false">G4611+G4618+G4616-G4617-G4619-G4620</f>
        <v>143.75</v>
      </c>
      <c r="H4622" s="16" t="n">
        <f aca="false">H4611+H4618+H4616-H4617-H4619-H4620</f>
        <v>143.75</v>
      </c>
      <c r="I4622" s="16" t="n">
        <f aca="false">I4611+I4618+I4616-I4617-I4619-I4620</f>
        <v>143.75</v>
      </c>
      <c r="J4622" s="16" t="n">
        <f aca="false">J4611+J4618+J4616-J4617-J4619-J4620</f>
        <v>143.75</v>
      </c>
      <c r="K4622" s="16" t="n">
        <f aca="false">K4611+K4618+K4616-K4617-K4619-K4620</f>
        <v>143.75</v>
      </c>
    </row>
    <row r="4623" customFormat="false" ht="15" hidden="false" customHeight="false" outlineLevel="0" collapsed="false">
      <c r="A4623" s="23" t="s">
        <v>322</v>
      </c>
      <c r="B4623" s="24"/>
      <c r="C4623" s="24"/>
      <c r="D4623" s="24"/>
      <c r="E4623" s="24"/>
      <c r="F4623" s="24"/>
      <c r="G4623" s="24"/>
      <c r="H4623" s="24"/>
      <c r="I4623" s="24"/>
      <c r="J4623" s="24"/>
      <c r="K4623" s="24"/>
    </row>
    <row r="4624" customFormat="false" ht="15" hidden="false" customHeight="false" outlineLevel="0" collapsed="false">
      <c r="A4624" s="2" t="s">
        <v>323</v>
      </c>
      <c r="F4624" s="16" t="n">
        <f aca="false">F4596+F4609+F4622</f>
        <v>1735.554</v>
      </c>
      <c r="G4624" s="16" t="n">
        <f aca="false">G4596+G4609+G4622</f>
        <v>1735.554</v>
      </c>
      <c r="H4624" s="16" t="n">
        <f aca="false">H4596+H4609+H4622</f>
        <v>1735.554</v>
      </c>
      <c r="I4624" s="16" t="n">
        <f aca="false">I4596+I4609+I4622</f>
        <v>1568.41222806272</v>
      </c>
      <c r="J4624" s="16" t="n">
        <f aca="false">J4596+J4609+J4622</f>
        <v>1568.41222806272</v>
      </c>
      <c r="K4624" s="16" t="n">
        <f aca="false">K4596+K4609+K4622</f>
        <v>1568.41222806272</v>
      </c>
    </row>
    <row r="4625" customFormat="false" ht="15" hidden="false" customHeight="false" outlineLevel="0" collapsed="false">
      <c r="A4625" s="3" t="s">
        <v>324</v>
      </c>
      <c r="G4625" s="25" t="n">
        <f aca="false">G4586*Assumptions!$C$56+G4599*Assumptions!$C$57+G4612*Assumptions!$C$58</f>
        <v>0</v>
      </c>
      <c r="H4625" s="25" t="n">
        <f aca="false">H4586*Assumptions!$C$56+H4599*Assumptions!$C$57+H4612*Assumptions!$C$58</f>
        <v>0</v>
      </c>
      <c r="I4625" s="25" t="n">
        <f aca="false">I4586*Assumptions!$C$56+I4599*Assumptions!$C$57+I4612*Assumptions!$C$58</f>
        <v>420.456</v>
      </c>
      <c r="J4625" s="25" t="n">
        <f aca="false">J4586*Assumptions!$C$56+J4599*Assumptions!$C$57+J4612*Assumptions!$C$58</f>
        <v>0</v>
      </c>
      <c r="K4625" s="25" t="n">
        <f aca="false">K4586*Assumptions!$C$56+K4599*Assumptions!$C$57+K4612*Assumptions!$C$58</f>
        <v>0</v>
      </c>
    </row>
    <row r="4626" customFormat="false" ht="15" hidden="false" customHeight="false" outlineLevel="0" collapsed="false">
      <c r="A4626" s="23" t="s">
        <v>325</v>
      </c>
      <c r="B4626" s="24"/>
      <c r="C4626" s="24"/>
      <c r="D4626" s="24"/>
      <c r="E4626" s="24"/>
      <c r="F4626" s="24"/>
      <c r="G4626" s="24"/>
      <c r="H4626" s="24"/>
      <c r="I4626" s="24"/>
      <c r="J4626" s="24"/>
      <c r="K4626" s="24"/>
    </row>
    <row r="4627" customFormat="false" ht="15" hidden="false" customHeight="false" outlineLevel="0" collapsed="false">
      <c r="A4627" s="3" t="s">
        <v>326</v>
      </c>
      <c r="C4627" s="25" t="n">
        <f aca="false">SUMPRODUCT($G$4586:$K$4586,$G$4585:$K$4585-$G$4591:$K$4591+$G$4590:$K$4590)</f>
        <v>0</v>
      </c>
    </row>
    <row r="4628" customFormat="false" ht="15" hidden="false" customHeight="false" outlineLevel="0" collapsed="false">
      <c r="A4628" s="3" t="s">
        <v>327</v>
      </c>
      <c r="C4628" s="25" t="n">
        <f aca="false">SUMPRODUCT($G$4586:$K$4586,$G$4593:$K$4593)</f>
        <v>0</v>
      </c>
    </row>
    <row r="4629" customFormat="false" ht="15" hidden="false" customHeight="false" outlineLevel="0" collapsed="false">
      <c r="A4629" s="3" t="s">
        <v>328</v>
      </c>
      <c r="C4629" s="3" t="str">
        <f aca="false">IF(SUM($G$4586:$K$4586)=0,"n/a (beyond horizon)",IF(SUMPRODUCT($G$4586:$K$4586,$G$4583:$K$4583)&gt;0,"REFINANCING PASS","REFINANCING FAILURE"))</f>
        <v>n/a (beyond horizon)</v>
      </c>
    </row>
    <row r="4630" customFormat="false" ht="15" hidden="false" customHeight="false" outlineLevel="0" collapsed="false">
      <c r="A4630" s="3" t="s">
        <v>329</v>
      </c>
      <c r="C4630" s="3" t="str">
        <f aca="false">IF(SUM($G$4586:$K$4586)=0,"n/a",IF(C4628&gt;=C4627-0.001,"Repaid from cash",IF(SUMPRODUCT($G$4586:$K$4586,$G$4583:$K$4583)&gt;0,IF(C4628&gt;0,"Partly repaid; remainder refinanced","Refinanced"),IF(SUM($G$4595:$K$4595)&gt;0.001,IF(C4628&gt;0,"Partial repayment; PAYMENT DEFAULT","PAYMENT DEFAULT"),"Repaid from cash"))))</f>
        <v>n/a</v>
      </c>
    </row>
    <row r="4631" customFormat="false" ht="15" hidden="false" customHeight="false" outlineLevel="0" collapsed="false">
      <c r="A4631" s="3" t="s">
        <v>330</v>
      </c>
      <c r="C4631" s="25" t="n">
        <f aca="false">SUMPRODUCT($G$4599:$K$4599,$G$4598:$K$4598-$G$4604:$K$4604+$G$4603:$K$4603)</f>
        <v>276.706</v>
      </c>
    </row>
    <row r="4632" customFormat="false" ht="15" hidden="false" customHeight="false" outlineLevel="0" collapsed="false">
      <c r="A4632" s="3" t="s">
        <v>331</v>
      </c>
      <c r="C4632" s="25" t="n">
        <f aca="false">SUMPRODUCT($G$4599:$K$4599,$G$4606:$K$4606)</f>
        <v>167.14177193728</v>
      </c>
    </row>
    <row r="4633" customFormat="false" ht="15" hidden="false" customHeight="false" outlineLevel="0" collapsed="false">
      <c r="A4633" s="3" t="s">
        <v>332</v>
      </c>
      <c r="C4633" s="3" t="str">
        <f aca="false">IF(SUM($G$4599:$K$4599)=0,"n/a (beyond horizon)",IF(SUMPRODUCT($G$4599:$K$4599,$G$4583:$K$4583)&gt;0,"REFINANCING PASS","REFINANCING FAILURE"))</f>
        <v>REFINANCING FAILURE</v>
      </c>
    </row>
    <row r="4634" customFormat="false" ht="15" hidden="false" customHeight="false" outlineLevel="0" collapsed="false">
      <c r="A4634" s="3" t="s">
        <v>333</v>
      </c>
      <c r="C4634" s="3" t="str">
        <f aca="false">IF(SUM($G$4599:$K$4599)=0,"n/a",IF(C4632&gt;=C4631-0.001,"Repaid from cash",IF(SUMPRODUCT($G$4599:$K$4599,$G$4583:$K$4583)&gt;0,IF(C4632&gt;0,"Partly repaid; remainder refinanced","Refinanced"),IF(SUM($G$4608:$K$4608)&gt;0.001,IF(C4632&gt;0,"Partial repayment; PAYMENT DEFAULT","PAYMENT DEFAULT"),"Repaid from cash"))))</f>
        <v>Partial repayment; PAYMENT DEFAULT</v>
      </c>
    </row>
    <row r="4635" customFormat="false" ht="15" hidden="false" customHeight="false" outlineLevel="0" collapsed="false">
      <c r="A4635" s="3" t="s">
        <v>334</v>
      </c>
      <c r="C4635" s="25" t="n">
        <f aca="false">SUMPRODUCT($G$4612:$K$4612,$G$4611:$K$4611-$G$4617:$K$4617+$G$4616:$K$4616)</f>
        <v>143.75</v>
      </c>
    </row>
    <row r="4636" customFormat="false" ht="15" hidden="false" customHeight="false" outlineLevel="0" collapsed="false">
      <c r="A4636" s="3" t="s">
        <v>335</v>
      </c>
      <c r="C4636" s="25" t="n">
        <f aca="false">SUMPRODUCT($G$4612:$K$4612,$G$4619:$K$4619)</f>
        <v>0</v>
      </c>
    </row>
    <row r="4637" customFormat="false" ht="15" hidden="false" customHeight="false" outlineLevel="0" collapsed="false">
      <c r="A4637" s="3" t="s">
        <v>336</v>
      </c>
      <c r="C4637" s="3" t="str">
        <f aca="false">IF(SUM($G$4612:$K$4612)=0,"n/a (beyond horizon)",IF(SUMPRODUCT($G$4612:$K$4612,$G$4583:$K$4583)&gt;0,"REFINANCING PASS","REFINANCING FAILURE"))</f>
        <v>REFINANCING FAILURE</v>
      </c>
    </row>
    <row r="4638" customFormat="false" ht="15" hidden="false" customHeight="false" outlineLevel="0" collapsed="false">
      <c r="A4638" s="3" t="s">
        <v>337</v>
      </c>
      <c r="C4638" s="3" t="str">
        <f aca="false">IF(SUM($G$4612:$K$4612)=0,"n/a",IF(C4636&gt;=C4635-0.001,"Repaid from cash",IF(SUMPRODUCT($G$4612:$K$4612,$G$4583:$K$4583)&gt;0,IF(C4636&gt;0,"Partly repaid; remainder refinanced","Refinanced"),IF(SUM($G$4621:$K$4621)&gt;0.001,IF(C4636&gt;0,"Partial repayment; PAYMENT DEFAULT","PAYMENT DEFAULT"),"Repaid from cash"))))</f>
        <v>PAYMENT DEFAULT</v>
      </c>
    </row>
    <row r="4639" customFormat="false" ht="15" hidden="false" customHeight="false" outlineLevel="0" collapsed="false">
      <c r="A4639" s="3" t="s">
        <v>338</v>
      </c>
      <c r="C4639" s="20" t="n">
        <f aca="false">IF(C4629="REFINANCING FAILURE",1,0)+IF(C4633="REFINANCING FAILURE",1,0)+IF(C4637="REFINANCING FAILURE",1,0)</f>
        <v>2</v>
      </c>
    </row>
    <row r="4641" customFormat="false" ht="15" hidden="false" customHeight="false" outlineLevel="0" collapsed="false">
      <c r="A4641" s="23" t="s">
        <v>340</v>
      </c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</row>
    <row r="4642" customFormat="false" ht="15" hidden="false" customHeight="false" outlineLevel="0" collapsed="false">
      <c r="A4642" s="3" t="s">
        <v>305</v>
      </c>
      <c r="G4642" s="25" t="n">
        <f aca="false">F4654</f>
        <v>463.996</v>
      </c>
      <c r="H4642" s="25" t="n">
        <f aca="false">G4654</f>
        <v>393.03625144</v>
      </c>
      <c r="I4642" s="25" t="n">
        <f aca="false">H4654</f>
        <v>286.3786358752</v>
      </c>
      <c r="J4642" s="25" t="n">
        <f aca="false">I4654</f>
        <v>0</v>
      </c>
      <c r="K4642" s="25" t="n">
        <f aca="false">J4654</f>
        <v>-115.070763115552</v>
      </c>
    </row>
    <row r="4643" customFormat="false" ht="15" hidden="false" customHeight="false" outlineLevel="0" collapsed="false">
      <c r="A4643" s="3" t="s">
        <v>341</v>
      </c>
      <c r="G4643" s="25" t="n">
        <f aca="false">G4572</f>
        <v>-70.95974856</v>
      </c>
      <c r="H4643" s="25" t="n">
        <f aca="false">H4572</f>
        <v>-106.6576155648</v>
      </c>
      <c r="I4643" s="25" t="n">
        <f aca="false">I4572</f>
        <v>-119.23686393792</v>
      </c>
      <c r="J4643" s="25" t="n">
        <f aca="false">J4572</f>
        <v>-115.070763115552</v>
      </c>
      <c r="K4643" s="25" t="n">
        <f aca="false">K4572</f>
        <v>-117.097586010179</v>
      </c>
    </row>
    <row r="4644" customFormat="false" ht="15" hidden="false" customHeight="false" outlineLevel="0" collapsed="false">
      <c r="A4644" s="3" t="s">
        <v>342</v>
      </c>
      <c r="G4644" s="25" t="n">
        <f aca="false">CHOOSE($C$4542,Assumptions!$G$74,Assumptions!$G$93,Assumptions!$G$112)</f>
        <v>0</v>
      </c>
      <c r="H4644" s="25" t="n">
        <f aca="false">CHOOSE($C$4542,Assumptions!$H$74,Assumptions!$H$93,Assumptions!$H$112)</f>
        <v>0</v>
      </c>
      <c r="I4644" s="25" t="n">
        <f aca="false">CHOOSE($C$4542,Assumptions!$I$74,Assumptions!$I$93,Assumptions!$I$112)</f>
        <v>0</v>
      </c>
      <c r="J4644" s="25" t="n">
        <f aca="false">CHOOSE($C$4542,Assumptions!$J$74,Assumptions!$J$93,Assumptions!$J$112)</f>
        <v>0</v>
      </c>
      <c r="K4644" s="25" t="n">
        <f aca="false">CHOOSE($C$4542,Assumptions!$K$74,Assumptions!$K$93,Assumptions!$K$112)</f>
        <v>0</v>
      </c>
    </row>
    <row r="4645" customFormat="false" ht="15" hidden="false" customHeight="false" outlineLevel="0" collapsed="false">
      <c r="A4645" s="3" t="s">
        <v>343</v>
      </c>
      <c r="G4645" s="25" t="n">
        <f aca="false">G4591+G4604+G4617</f>
        <v>0</v>
      </c>
      <c r="H4645" s="25" t="n">
        <f aca="false">H4591+H4604+H4617</f>
        <v>0</v>
      </c>
      <c r="I4645" s="25" t="n">
        <f aca="false">I4591+I4604+I4617</f>
        <v>0</v>
      </c>
      <c r="J4645" s="25" t="n">
        <f aca="false">J4591+J4604+J4617</f>
        <v>0</v>
      </c>
      <c r="K4645" s="25" t="n">
        <f aca="false">K4591+K4604+K4617</f>
        <v>0</v>
      </c>
    </row>
    <row r="4646" customFormat="false" ht="15" hidden="false" customHeight="false" outlineLevel="0" collapsed="false">
      <c r="A4646" s="2" t="s">
        <v>344</v>
      </c>
      <c r="G4646" s="16" t="n">
        <f aca="false">G4642+G4643+G4644-G4645</f>
        <v>393.03625144</v>
      </c>
      <c r="H4646" s="16" t="n">
        <f aca="false">H4642+H4643+H4644-H4645</f>
        <v>286.3786358752</v>
      </c>
      <c r="I4646" s="16" t="n">
        <f aca="false">I4642+I4643+I4644-I4645</f>
        <v>167.14177193728</v>
      </c>
      <c r="J4646" s="16" t="n">
        <f aca="false">J4642+J4643+J4644-J4645</f>
        <v>-115.070763115552</v>
      </c>
      <c r="K4646" s="16" t="n">
        <f aca="false">K4642+K4643+K4644-K4645</f>
        <v>-232.168349125731</v>
      </c>
    </row>
    <row r="4647" customFormat="false" ht="15" hidden="false" customHeight="false" outlineLevel="0" collapsed="false">
      <c r="A4647" s="3" t="s">
        <v>345</v>
      </c>
      <c r="G4647" s="25" t="n">
        <f aca="false">G4592+G4605+G4618</f>
        <v>0</v>
      </c>
      <c r="H4647" s="25" t="n">
        <f aca="false">H4592+H4605+H4618</f>
        <v>0</v>
      </c>
      <c r="I4647" s="25" t="n">
        <f aca="false">I4592+I4605+I4618</f>
        <v>0</v>
      </c>
      <c r="J4647" s="25" t="n">
        <f aca="false">J4592+J4605+J4618</f>
        <v>0</v>
      </c>
      <c r="K4647" s="25" t="n">
        <f aca="false">K4592+K4605+K4618</f>
        <v>0</v>
      </c>
    </row>
    <row r="4648" customFormat="false" ht="15" hidden="false" customHeight="false" outlineLevel="0" collapsed="false">
      <c r="A4648" s="2" t="s">
        <v>346</v>
      </c>
      <c r="G4648" s="16" t="n">
        <f aca="false">G4646+G4647</f>
        <v>393.03625144</v>
      </c>
      <c r="H4648" s="16" t="n">
        <f aca="false">H4646+H4647</f>
        <v>286.3786358752</v>
      </c>
      <c r="I4648" s="16" t="n">
        <f aca="false">I4646+I4647</f>
        <v>167.14177193728</v>
      </c>
      <c r="J4648" s="16" t="n">
        <f aca="false">J4646+J4647</f>
        <v>-115.070763115552</v>
      </c>
      <c r="K4648" s="16" t="n">
        <f aca="false">K4646+K4647</f>
        <v>-232.168349125731</v>
      </c>
    </row>
    <row r="4649" customFormat="false" ht="15" hidden="false" customHeight="false" outlineLevel="0" collapsed="false">
      <c r="A4649" s="3" t="s">
        <v>347</v>
      </c>
      <c r="G4649" s="25" t="n">
        <f aca="false">G4593+G4606+G4619</f>
        <v>0</v>
      </c>
      <c r="H4649" s="25" t="n">
        <f aca="false">H4593+H4606+H4619</f>
        <v>0</v>
      </c>
      <c r="I4649" s="25" t="n">
        <f aca="false">I4593+I4606+I4619</f>
        <v>167.14177193728</v>
      </c>
      <c r="J4649" s="25" t="n">
        <f aca="false">J4593+J4606+J4619</f>
        <v>0</v>
      </c>
      <c r="K4649" s="25" t="n">
        <f aca="false">K4593+K4606+K4619</f>
        <v>0</v>
      </c>
    </row>
    <row r="4650" customFormat="false" ht="15" hidden="false" customHeight="false" outlineLevel="0" collapsed="false">
      <c r="A4650" s="2" t="s">
        <v>348</v>
      </c>
      <c r="G4650" s="16" t="n">
        <f aca="false">G4648-G4649</f>
        <v>393.03625144</v>
      </c>
      <c r="H4650" s="16" t="n">
        <f aca="false">H4648-H4649</f>
        <v>286.3786358752</v>
      </c>
      <c r="I4650" s="16" t="n">
        <f aca="false">I4648-I4649</f>
        <v>0</v>
      </c>
      <c r="J4650" s="16" t="n">
        <f aca="false">J4648-J4649</f>
        <v>-115.070763115552</v>
      </c>
      <c r="K4650" s="16" t="n">
        <f aca="false">K4648-K4649</f>
        <v>-232.168349125731</v>
      </c>
    </row>
    <row r="4651" customFormat="false" ht="15" hidden="false" customHeight="false" outlineLevel="0" collapsed="false">
      <c r="A4651" s="3" t="s">
        <v>349</v>
      </c>
      <c r="G4651" s="25" t="n">
        <f aca="false">MAX(0,-G4650)</f>
        <v>0</v>
      </c>
      <c r="H4651" s="25" t="n">
        <f aca="false">MAX(0,-H4650)</f>
        <v>0</v>
      </c>
      <c r="I4651" s="25" t="n">
        <f aca="false">MAX(0,-I4650)</f>
        <v>-0</v>
      </c>
      <c r="J4651" s="25" t="n">
        <f aca="false">MAX(0,-J4650)</f>
        <v>115.070763115552</v>
      </c>
      <c r="K4651" s="25" t="n">
        <f aca="false">MAX(0,-K4650)</f>
        <v>232.168349125731</v>
      </c>
    </row>
    <row r="4652" customFormat="false" ht="15" hidden="false" customHeight="false" outlineLevel="0" collapsed="false">
      <c r="A4652" s="3" t="s">
        <v>350</v>
      </c>
      <c r="G4652" s="25" t="n">
        <f aca="false">MAX(0,G4650-Assumptions!$C$12)*Assumptions!$C$13</f>
        <v>0</v>
      </c>
      <c r="H4652" s="25" t="n">
        <f aca="false">MAX(0,H4650-Assumptions!$C$12)*Assumptions!$C$13</f>
        <v>0</v>
      </c>
      <c r="I4652" s="25" t="n">
        <f aca="false">MAX(0,I4650-Assumptions!$C$12)*Assumptions!$C$13</f>
        <v>0</v>
      </c>
      <c r="J4652" s="25" t="n">
        <f aca="false">MAX(0,J4650-Assumptions!$C$12)*Assumptions!$C$13</f>
        <v>0</v>
      </c>
      <c r="K4652" s="25" t="n">
        <f aca="false">MAX(0,K4650-Assumptions!$C$12)*Assumptions!$C$13</f>
        <v>0</v>
      </c>
    </row>
    <row r="4653" customFormat="false" ht="15" hidden="false" customHeight="false" outlineLevel="0" collapsed="false">
      <c r="A4653" s="3" t="s">
        <v>351</v>
      </c>
      <c r="G4653" s="25" t="n">
        <f aca="false">G4594+G4607+G4620</f>
        <v>0</v>
      </c>
      <c r="H4653" s="25" t="n">
        <f aca="false">H4594+H4607+H4620</f>
        <v>0</v>
      </c>
      <c r="I4653" s="25" t="n">
        <f aca="false">I4594+I4607+I4620</f>
        <v>0</v>
      </c>
      <c r="J4653" s="25" t="n">
        <f aca="false">J4594+J4607+J4620</f>
        <v>0</v>
      </c>
      <c r="K4653" s="25" t="n">
        <f aca="false">K4594+K4607+K4620</f>
        <v>0</v>
      </c>
    </row>
    <row r="4654" customFormat="false" ht="15" hidden="false" customHeight="false" outlineLevel="0" collapsed="false">
      <c r="A4654" s="2" t="s">
        <v>352</v>
      </c>
      <c r="F4654" s="28" t="n">
        <f aca="false">Assumptions!$C$11</f>
        <v>463.996</v>
      </c>
      <c r="G4654" s="16" t="n">
        <f aca="false">G4650-G4653</f>
        <v>393.03625144</v>
      </c>
      <c r="H4654" s="16" t="n">
        <f aca="false">H4650-H4653</f>
        <v>286.3786358752</v>
      </c>
      <c r="I4654" s="16" t="n">
        <f aca="false">I4650-I4653</f>
        <v>0</v>
      </c>
      <c r="J4654" s="16" t="n">
        <f aca="false">J4650-J4653</f>
        <v>-115.070763115552</v>
      </c>
      <c r="K4654" s="16" t="n">
        <f aca="false">K4650-K4653</f>
        <v>-232.168349125731</v>
      </c>
    </row>
    <row r="4655" customFormat="false" ht="15" hidden="false" customHeight="false" outlineLevel="0" collapsed="false">
      <c r="A4655" s="3" t="s">
        <v>353</v>
      </c>
      <c r="G4655" s="25" t="n">
        <f aca="false">G4595+G4608+G4621</f>
        <v>0</v>
      </c>
      <c r="H4655" s="25" t="n">
        <f aca="false">H4595+H4608+H4621</f>
        <v>0</v>
      </c>
      <c r="I4655" s="25" t="n">
        <f aca="false">I4595+I4608+I4621</f>
        <v>253.31422806272</v>
      </c>
      <c r="J4655" s="25" t="n">
        <f aca="false">J4595+J4608+J4621</f>
        <v>0</v>
      </c>
      <c r="K4655" s="25" t="n">
        <f aca="false">K4595+K4608+K4621</f>
        <v>0</v>
      </c>
    </row>
    <row r="4656" customFormat="false" ht="15" hidden="false" customHeight="false" outlineLevel="0" collapsed="false">
      <c r="A4656" s="3" t="s">
        <v>354</v>
      </c>
      <c r="G4656" s="20" t="n">
        <f aca="false">IF(OR(G4651&gt;0.001,G4655&gt;0.001),1,0)</f>
        <v>0</v>
      </c>
      <c r="H4656" s="20" t="n">
        <f aca="false">IF(OR(H4651&gt;0.001,H4655&gt;0.001),1,0)</f>
        <v>0</v>
      </c>
      <c r="I4656" s="20" t="n">
        <f aca="false">IF(OR(I4651&gt;0.001,I4655&gt;0.001),1,0)</f>
        <v>1</v>
      </c>
      <c r="J4656" s="20" t="n">
        <f aca="false">IF(OR(J4651&gt;0.001,J4655&gt;0.001),1,0)</f>
        <v>1</v>
      </c>
      <c r="K4656" s="20" t="n">
        <f aca="false">IF(OR(K4651&gt;0.001,K4655&gt;0.001),1,0)</f>
        <v>1</v>
      </c>
    </row>
    <row r="4657" customFormat="false" ht="15" hidden="false" customHeight="false" outlineLevel="0" collapsed="false">
      <c r="A4657" s="3" t="s">
        <v>355</v>
      </c>
      <c r="G4657" s="20" t="n">
        <f aca="false">IF(G4656=1,1,0)</f>
        <v>0</v>
      </c>
      <c r="H4657" s="20" t="n">
        <f aca="false">IF(AND(H4656=1,SUM($G$4656:G4656)=0),1,0)</f>
        <v>0</v>
      </c>
      <c r="I4657" s="20" t="n">
        <f aca="false">IF(AND(I4656=1,SUM($G$4656:H4656)=0),1,0)</f>
        <v>1</v>
      </c>
      <c r="J4657" s="20" t="n">
        <f aca="false">IF(AND(J4656=1,SUM($G$4656:I4656)=0),1,0)</f>
        <v>0</v>
      </c>
      <c r="K4657" s="20" t="n">
        <f aca="false">IF(AND(K4656=1,SUM($G$4656:J4656)=0),1,0)</f>
        <v>0</v>
      </c>
    </row>
    <row r="4658" customFormat="false" ht="15" hidden="false" customHeight="false" outlineLevel="0" collapsed="false">
      <c r="A4658" s="3" t="s">
        <v>356</v>
      </c>
      <c r="G4658" s="25" t="n">
        <f aca="false">(G4624-F4624)-(G4647+G4564-G4645-G4649-G4653)</f>
        <v>0</v>
      </c>
      <c r="H4658" s="25" t="n">
        <f aca="false">(H4624-G4624)-(H4647+H4564-H4645-H4649-H4653)</f>
        <v>0</v>
      </c>
      <c r="I4658" s="25" t="n">
        <f aca="false">(I4624-H4624)-(I4647+I4564-I4645-I4649-I4653)</f>
        <v>0</v>
      </c>
      <c r="J4658" s="25" t="n">
        <f aca="false">(J4624-I4624)-(J4647+J4564-J4645-J4649-J4653)</f>
        <v>0</v>
      </c>
      <c r="K4658" s="25" t="n">
        <f aca="false">(K4624-J4624)-(K4647+K4564-K4645-K4649-K4653)</f>
        <v>0</v>
      </c>
    </row>
    <row r="4660" customFormat="false" ht="15" hidden="false" customHeight="false" outlineLevel="0" collapsed="false">
      <c r="A4660" s="23" t="s">
        <v>358</v>
      </c>
      <c r="B4660" s="24"/>
      <c r="C4660" s="24"/>
      <c r="D4660" s="24"/>
      <c r="E4660" s="24"/>
      <c r="F4660" s="24"/>
      <c r="G4660" s="24"/>
      <c r="H4660" s="24"/>
      <c r="I4660" s="24"/>
      <c r="J4660" s="24"/>
      <c r="K4660" s="24"/>
    </row>
    <row r="4661" customFormat="false" ht="15" hidden="false" customHeight="false" outlineLevel="0" collapsed="false">
      <c r="A4661" s="3" t="s">
        <v>359</v>
      </c>
      <c r="G4661" s="25" t="n">
        <f aca="false">G4624</f>
        <v>1735.554</v>
      </c>
      <c r="H4661" s="25" t="n">
        <f aca="false">H4624</f>
        <v>1735.554</v>
      </c>
      <c r="I4661" s="25" t="n">
        <f aca="false">I4624</f>
        <v>1568.41222806272</v>
      </c>
      <c r="J4661" s="25" t="n">
        <f aca="false">J4624</f>
        <v>1568.41222806272</v>
      </c>
      <c r="K4661" s="25" t="n">
        <f aca="false">K4624</f>
        <v>1568.41222806272</v>
      </c>
    </row>
    <row r="4662" customFormat="false" ht="15" hidden="false" customHeight="false" outlineLevel="0" collapsed="false">
      <c r="A4662" s="3" t="s">
        <v>360</v>
      </c>
      <c r="G4662" s="25" t="n">
        <f aca="false">Assumptions!$O$56*G4596+Assumptions!$O$57*G4609+Assumptions!$O$58*G4622</f>
        <v>1315.098</v>
      </c>
      <c r="H4662" s="25" t="n">
        <f aca="false">Assumptions!$O$56*H4596+Assumptions!$O$57*H4609+Assumptions!$O$58*H4622</f>
        <v>1315.098</v>
      </c>
      <c r="I4662" s="25" t="n">
        <f aca="false">Assumptions!$O$56*I4596+Assumptions!$O$57*I4609+Assumptions!$O$58*I4622</f>
        <v>1315.098</v>
      </c>
      <c r="J4662" s="25" t="n">
        <f aca="false">Assumptions!$O$56*J4596+Assumptions!$O$57*J4609+Assumptions!$O$58*J4622</f>
        <v>1315.098</v>
      </c>
      <c r="K4662" s="25" t="n">
        <f aca="false">Assumptions!$O$56*K4596+Assumptions!$O$57*K4609+Assumptions!$O$58*K4622</f>
        <v>1315.098</v>
      </c>
    </row>
    <row r="4663" customFormat="false" ht="15" hidden="false" customHeight="false" outlineLevel="0" collapsed="false">
      <c r="A4663" s="3" t="s">
        <v>361</v>
      </c>
      <c r="G4663" s="25" t="n">
        <f aca="false">G4661-G4654</f>
        <v>1342.51774856</v>
      </c>
      <c r="H4663" s="25" t="n">
        <f aca="false">H4661-H4654</f>
        <v>1449.1753641248</v>
      </c>
      <c r="I4663" s="25" t="n">
        <f aca="false">I4661-I4654</f>
        <v>1568.41222806272</v>
      </c>
      <c r="J4663" s="25" t="n">
        <f aca="false">J4661-J4654</f>
        <v>1683.48299117827</v>
      </c>
      <c r="K4663" s="25" t="n">
        <f aca="false">K4661-K4654</f>
        <v>1800.58057718845</v>
      </c>
    </row>
    <row r="4664" customFormat="false" ht="15" hidden="false" customHeight="false" outlineLevel="0" collapsed="false">
      <c r="A4664" s="3" t="s">
        <v>362</v>
      </c>
      <c r="G4664" s="32" t="n">
        <f aca="false">IF(G4559&gt;0,G4661/G4559,0)</f>
        <v>12.8351157770405</v>
      </c>
      <c r="H4664" s="32" t="n">
        <f aca="false">IF(H4559&gt;0,H4661/H4559,0)</f>
        <v>18.5631839750585</v>
      </c>
      <c r="I4664" s="32" t="n">
        <f aca="false">IF(I4559&gt;0,I4661/I4559,0)</f>
        <v>20.5033456573429</v>
      </c>
      <c r="J4664" s="32" t="n">
        <f aca="false">IF(J4559&gt;0,J4661/J4559,0)</f>
        <v>22.2862452797205</v>
      </c>
      <c r="K4664" s="32" t="n">
        <f aca="false">IF(K4559&gt;0,K4661/K4559,0)</f>
        <v>23.7087715741708</v>
      </c>
    </row>
    <row r="4665" customFormat="false" ht="15" hidden="false" customHeight="false" outlineLevel="0" collapsed="false">
      <c r="A4665" s="3" t="s">
        <v>363</v>
      </c>
      <c r="G4665" s="32" t="n">
        <f aca="false">IF(G4559&gt;0,G4663/G4559,0)</f>
        <v>9.92845554531826</v>
      </c>
      <c r="H4665" s="32" t="n">
        <f aca="false">IF(H4559&gt;0,H4663/H4559,0)</f>
        <v>15.5001278533374</v>
      </c>
      <c r="I4665" s="32" t="n">
        <f aca="false">IF(I4559&gt;0,I4663/I4559,0)</f>
        <v>20.5033456573429</v>
      </c>
      <c r="J4665" s="32" t="n">
        <f aca="false">IF(J4559&gt;0,J4663/J4559,0)</f>
        <v>23.9213353443303</v>
      </c>
      <c r="K4665" s="32" t="n">
        <f aca="false">IF(K4559&gt;0,K4663/K4559,0)</f>
        <v>27.2183249031277</v>
      </c>
    </row>
    <row r="4666" customFormat="false" ht="15" hidden="false" customHeight="false" outlineLevel="0" collapsed="false">
      <c r="A4666" s="3" t="s">
        <v>364</v>
      </c>
      <c r="G4666" s="32" t="n">
        <f aca="false">IF(G4563&gt;0,G4559/G4563,0)</f>
        <v>0.867041642292597</v>
      </c>
      <c r="H4666" s="32" t="n">
        <f aca="false">IF(H4563&gt;0,H4559/H4563,0)</f>
        <v>0.599497364099453</v>
      </c>
      <c r="I4666" s="32" t="n">
        <f aca="false">IF(I4563&gt;0,I4559/I4563,0)</f>
        <v>0.490497843354098</v>
      </c>
      <c r="J4666" s="32" t="n">
        <f aca="false">IF(J4563&gt;0,J4559/J4563,0)</f>
        <v>0.472793105472085</v>
      </c>
      <c r="K4666" s="32" t="n">
        <f aca="false">IF(K4563&gt;0,K4559/K4563,0)</f>
        <v>0.44442551914376</v>
      </c>
    </row>
    <row r="4667" customFormat="false" ht="15" hidden="false" customHeight="false" outlineLevel="0" collapsed="false">
      <c r="A4667" s="3" t="s">
        <v>365</v>
      </c>
      <c r="G4667" s="32" t="n">
        <f aca="false">IF(G4563&gt;0,G4562/G4563,0)</f>
        <v>0.262374144999954</v>
      </c>
      <c r="H4667" s="32" t="n">
        <f aca="false">IF(H4563&gt;0,H4562/H4563,0)</f>
        <v>0.0673899664819269</v>
      </c>
      <c r="I4667" s="32" t="n">
        <f aca="false">IF(I4563&gt;0,I4562/I4563,0)</f>
        <v>0.0116011854983245</v>
      </c>
      <c r="J4667" s="32" t="n">
        <f aca="false">IF(J4563&gt;0,J4562/J4563,0)</f>
        <v>0.0111824355463086</v>
      </c>
      <c r="K4667" s="32" t="n">
        <f aca="false">IF(K4563&gt;0,K4562/K4563,0)</f>
        <v>0.0105114894135301</v>
      </c>
    </row>
    <row r="4668" customFormat="false" ht="15" hidden="false" customHeight="false" outlineLevel="0" collapsed="false">
      <c r="A4668" s="3" t="s">
        <v>198</v>
      </c>
      <c r="G4668" s="21" t="n">
        <f aca="false">IF(G4661&gt;0,G4572/G4661,0)</f>
        <v>-0.0408859353036552</v>
      </c>
      <c r="H4668" s="21" t="n">
        <f aca="false">IF(H4661&gt;0,H4572/H4661,0)</f>
        <v>-0.0614545070708258</v>
      </c>
      <c r="I4668" s="21" t="n">
        <f aca="false">IF(I4661&gt;0,I4572/I4661,0)</f>
        <v>-0.0760239315943103</v>
      </c>
      <c r="J4668" s="21" t="n">
        <f aca="false">IF(J4661&gt;0,J4572/J4661,0)</f>
        <v>-0.0733676778697943</v>
      </c>
      <c r="K4668" s="21" t="n">
        <f aca="false">IF(K4661&gt;0,K4572/K4661,0)</f>
        <v>-0.0746599547714672</v>
      </c>
    </row>
    <row r="4669" customFormat="false" ht="15" hidden="false" customHeight="false" outlineLevel="0" collapsed="false">
      <c r="A4669" s="3" t="s">
        <v>366</v>
      </c>
      <c r="G4669" s="32" t="n">
        <f aca="false">IF(G4563+G4645&gt;0,(G4559-G4570-G4567)/(G4563+G4645),0)</f>
        <v>0.730792241360903</v>
      </c>
      <c r="H4669" s="32" t="n">
        <f aca="false">IF(H4563+H4645&gt;0,(H4559-H4570-H4567)/(H4563+H4645),0)</f>
        <v>0.479597891279562</v>
      </c>
      <c r="I4669" s="32" t="n">
        <f aca="false">IF(I4563+I4645&gt;0,(I4559-I4570-I4567)/(I4563+I4645),0)</f>
        <v>0.382588317816196</v>
      </c>
      <c r="J4669" s="32" t="n">
        <f aca="false">IF(J4563+J4645&gt;0,(J4559-J4570-J4567)/(J4563+J4645),0)</f>
        <v>0.368778622268226</v>
      </c>
      <c r="K4669" s="32" t="n">
        <f aca="false">IF(K4563+K4645&gt;0,(K4559-K4570-K4567)/(K4563+K4645),0)</f>
        <v>0.346651904932133</v>
      </c>
    </row>
    <row r="4670" customFormat="false" ht="15" hidden="false" customHeight="false" outlineLevel="0" collapsed="false">
      <c r="A4670" s="3" t="s">
        <v>367</v>
      </c>
      <c r="G4670" s="25" t="n">
        <f aca="false">MAX(0,G4654)+Assumptions!$P$56*MAX(0,Assumptions!$D$56-G4596)+Assumptions!$P$57*MAX(0,Assumptions!$D$57-G4609)+Assumptions!$P$58*MAX(0,Assumptions!$D$58-G4622)</f>
        <v>393.03625144</v>
      </c>
      <c r="H4670" s="25" t="n">
        <f aca="false">MAX(0,H4654)+Assumptions!$P$56*MAX(0,Assumptions!$D$56-H4596)+Assumptions!$P$57*MAX(0,Assumptions!$D$57-H4609)+Assumptions!$P$58*MAX(0,Assumptions!$D$58-H4622)</f>
        <v>286.3786358752</v>
      </c>
      <c r="I4670" s="25" t="n">
        <f aca="false">MAX(0,I4654)+Assumptions!$P$56*MAX(0,Assumptions!$D$56-I4596)+Assumptions!$P$57*MAX(0,Assumptions!$D$57-I4609)+Assumptions!$P$58*MAX(0,Assumptions!$D$58-I4622)</f>
        <v>0</v>
      </c>
      <c r="J4670" s="25" t="n">
        <f aca="false">MAX(0,J4654)+Assumptions!$P$56*MAX(0,Assumptions!$D$56-J4596)+Assumptions!$P$57*MAX(0,Assumptions!$D$57-J4609)+Assumptions!$P$58*MAX(0,Assumptions!$D$58-J4622)</f>
        <v>0</v>
      </c>
      <c r="K4670" s="25" t="n">
        <f aca="false">MAX(0,K4654)+Assumptions!$P$56*MAX(0,Assumptions!$D$56-K4596)+Assumptions!$P$57*MAX(0,Assumptions!$D$57-K4609)+Assumptions!$P$58*MAX(0,Assumptions!$D$58-K4622)</f>
        <v>0</v>
      </c>
    </row>
    <row r="4671" customFormat="false" ht="15" hidden="false" customHeight="false" outlineLevel="0" collapsed="false">
      <c r="A4671" s="3" t="s">
        <v>368</v>
      </c>
      <c r="G4671" s="21" t="n">
        <f aca="false">IF(G4661&gt;0,G4661/(G4661+MAX(0,G4559*CHOOSE($C$4542,Assumptions!$C$82,Assumptions!$C$101,Assumptions!$C$120)-G4663)),0)</f>
        <v>1</v>
      </c>
      <c r="H4671" s="21" t="n">
        <f aca="false">IF(H4661&gt;0,H4661/(H4661+MAX(0,H4559*CHOOSE($C$4542,Assumptions!$C$82,Assumptions!$C$101,Assumptions!$C$120)-H4663)),0)</f>
        <v>1</v>
      </c>
      <c r="I4671" s="21" t="n">
        <f aca="false">IF(I4661&gt;0,I4661/(I4661+MAX(0,I4559*CHOOSE($C$4542,Assumptions!$C$82,Assumptions!$C$101,Assumptions!$C$120)-I4663)),0)</f>
        <v>1</v>
      </c>
      <c r="J4671" s="21" t="n">
        <f aca="false">IF(J4661&gt;0,J4661/(J4661+MAX(0,J4559*CHOOSE($C$4542,Assumptions!$C$82,Assumptions!$C$101,Assumptions!$C$120)-J4663)),0)</f>
        <v>1</v>
      </c>
      <c r="K4671" s="21" t="n">
        <f aca="false">IF(K4661&gt;0,K4661/(K4661+MAX(0,K4559*CHOOSE($C$4542,Assumptions!$C$82,Assumptions!$C$101,Assumptions!$C$120)-K4663)),0)</f>
        <v>1</v>
      </c>
    </row>
    <row r="4672" customFormat="false" ht="15" hidden="false" customHeight="false" outlineLevel="0" collapsed="false">
      <c r="A4672" s="3" t="s">
        <v>369</v>
      </c>
      <c r="G4672" s="21" t="n">
        <f aca="false">IF(G4661&gt;0,MAX(0,G4654)/G4661,0)</f>
        <v>0.226461551435449</v>
      </c>
      <c r="H4672" s="21" t="n">
        <f aca="false">IF(H4661&gt;0,MAX(0,H4654)/H4661,0)</f>
        <v>0.165007044364624</v>
      </c>
      <c r="I4672" s="21" t="n">
        <f aca="false">IF(I4661&gt;0,MAX(0,I4654)/I4661,0)</f>
        <v>0</v>
      </c>
      <c r="J4672" s="21" t="n">
        <f aca="false">IF(J4661&gt;0,MAX(0,J4654)/J4661,0)</f>
        <v>0</v>
      </c>
      <c r="K4672" s="21" t="n">
        <f aca="false">IF(K4661&gt;0,MAX(0,K4654)/K4661,0)</f>
        <v>0</v>
      </c>
    </row>
    <row r="4673" customFormat="false" ht="15" hidden="false" customHeight="false" outlineLevel="0" collapsed="false">
      <c r="A4673" s="3" t="s">
        <v>370</v>
      </c>
      <c r="G4673" s="25" t="n">
        <f aca="false">Assumptions!$C$30*(1-CHOOSE($C$4542,Assumptions!$C$85,Assumptions!$C$104,Assumptions!$C$123))</f>
        <v>1595.73115</v>
      </c>
      <c r="H4673" s="25" t="n">
        <f aca="false">Assumptions!$C$30*(1-CHOOSE($C$4542,Assumptions!$C$85,Assumptions!$C$104,Assumptions!$C$123))</f>
        <v>1595.73115</v>
      </c>
      <c r="I4673" s="25" t="n">
        <f aca="false">Assumptions!$C$30*(1-CHOOSE($C$4542,Assumptions!$C$85,Assumptions!$C$104,Assumptions!$C$123))</f>
        <v>1595.73115</v>
      </c>
      <c r="J4673" s="25" t="n">
        <f aca="false">Assumptions!$C$30*(1-CHOOSE($C$4542,Assumptions!$C$85,Assumptions!$C$104,Assumptions!$C$123))</f>
        <v>1595.73115</v>
      </c>
      <c r="K4673" s="25" t="n">
        <f aca="false">Assumptions!$C$30*(1-CHOOSE($C$4542,Assumptions!$C$85,Assumptions!$C$104,Assumptions!$C$123))</f>
        <v>1595.73115</v>
      </c>
    </row>
    <row r="4674" customFormat="false" ht="15" hidden="false" customHeight="false" outlineLevel="0" collapsed="false">
      <c r="A4674" s="23" t="s">
        <v>371</v>
      </c>
      <c r="B4674" s="24"/>
      <c r="C4674" s="24"/>
      <c r="D4674" s="24"/>
      <c r="E4674" s="24"/>
      <c r="F4674" s="24"/>
      <c r="G4674" s="24"/>
      <c r="H4674" s="24"/>
      <c r="I4674" s="24"/>
      <c r="J4674" s="24"/>
      <c r="K4674" s="24"/>
    </row>
    <row r="4675" customFormat="false" ht="15" hidden="false" customHeight="false" outlineLevel="0" collapsed="false">
      <c r="A4675" s="23" t="s">
        <v>372</v>
      </c>
      <c r="B4675" s="24"/>
      <c r="C4675" s="24"/>
      <c r="D4675" s="24"/>
      <c r="E4675" s="24"/>
      <c r="F4675" s="24"/>
      <c r="G4675" s="24"/>
      <c r="H4675" s="24"/>
      <c r="I4675" s="24"/>
      <c r="J4675" s="24"/>
      <c r="K4675" s="24"/>
    </row>
    <row r="4676" customFormat="false" ht="15" hidden="false" customHeight="false" outlineLevel="0" collapsed="false">
      <c r="A4676" s="3" t="s">
        <v>373</v>
      </c>
      <c r="G4676" s="32" t="n">
        <f aca="false">IF(G4559&gt;0,G4663/G4559,99)</f>
        <v>9.92845554531826</v>
      </c>
      <c r="H4676" s="32" t="n">
        <f aca="false">IF(H4559&gt;0,H4663/H4559,99)</f>
        <v>15.5001278533374</v>
      </c>
      <c r="I4676" s="32" t="n">
        <f aca="false">IF(I4559&gt;0,I4663/I4559,99)</f>
        <v>20.5033456573429</v>
      </c>
      <c r="J4676" s="32" t="n">
        <f aca="false">IF(J4559&gt;0,J4663/J4559,99)</f>
        <v>23.9213353443303</v>
      </c>
      <c r="K4676" s="32" t="n">
        <f aca="false">IF(K4559&gt;0,K4663/K4559,99)</f>
        <v>27.2183249031277</v>
      </c>
    </row>
    <row r="4677" customFormat="false" ht="15" hidden="false" customHeight="false" outlineLevel="0" collapsed="false">
      <c r="A4677" s="3" t="s">
        <v>374</v>
      </c>
      <c r="G4677" s="33" t="n">
        <f aca="false">Assumptions!$G$65</f>
        <v>5.25</v>
      </c>
      <c r="H4677" s="33" t="n">
        <f aca="false">Assumptions!$H$65</f>
        <v>5.25</v>
      </c>
      <c r="I4677" s="33" t="n">
        <f aca="false">Assumptions!$I$65</f>
        <v>5</v>
      </c>
      <c r="J4677" s="33" t="n">
        <f aca="false">Assumptions!$J$65</f>
        <v>5</v>
      </c>
      <c r="K4677" s="33" t="n">
        <f aca="false">Assumptions!$K$65</f>
        <v>5</v>
      </c>
    </row>
    <row r="4678" customFormat="false" ht="15" hidden="false" customHeight="false" outlineLevel="0" collapsed="false">
      <c r="A4678" s="3" t="s">
        <v>375</v>
      </c>
      <c r="G4678" s="32" t="n">
        <f aca="false">G4677-G4676</f>
        <v>-4.67845554531826</v>
      </c>
      <c r="H4678" s="32" t="n">
        <f aca="false">H4677-H4676</f>
        <v>-10.2501278533374</v>
      </c>
      <c r="I4678" s="32" t="n">
        <f aca="false">I4677-I4676</f>
        <v>-15.5033456573429</v>
      </c>
      <c r="J4678" s="32" t="n">
        <f aca="false">J4677-J4676</f>
        <v>-18.9213353443303</v>
      </c>
      <c r="K4678" s="32" t="n">
        <f aca="false">K4677-K4676</f>
        <v>-22.2183249031277</v>
      </c>
    </row>
    <row r="4679" customFormat="false" ht="15" hidden="false" customHeight="false" outlineLevel="0" collapsed="false">
      <c r="A4679" s="3" t="s">
        <v>376</v>
      </c>
      <c r="G4679" s="21" t="n">
        <f aca="false">IF(G4677=0,0,G4678/ABS(G4677))</f>
        <v>-0.89113438958443</v>
      </c>
      <c r="H4679" s="21" t="n">
        <f aca="false">IF(H4677=0,0,H4678/ABS(H4677))</f>
        <v>-1.95240530539759</v>
      </c>
      <c r="I4679" s="21" t="n">
        <f aca="false">IF(I4677=0,0,I4678/ABS(I4677))</f>
        <v>-3.10066913146857</v>
      </c>
      <c r="J4679" s="21" t="n">
        <f aca="false">IF(J4677=0,0,J4678/ABS(J4677))</f>
        <v>-3.78426706886605</v>
      </c>
      <c r="K4679" s="21" t="n">
        <f aca="false">IF(K4677=0,0,K4678/ABS(K4677))</f>
        <v>-4.44366498062554</v>
      </c>
    </row>
    <row r="4680" customFormat="false" ht="15" hidden="false" customHeight="false" outlineLevel="0" collapsed="false">
      <c r="A4680" s="3" t="s">
        <v>377</v>
      </c>
      <c r="G4680" s="20" t="n">
        <f aca="false">IF(G4678&lt;0,1,0)</f>
        <v>1</v>
      </c>
      <c r="H4680" s="20" t="n">
        <f aca="false">IF(H4678&lt;0,1,0)</f>
        <v>1</v>
      </c>
      <c r="I4680" s="20" t="n">
        <f aca="false">IF(I4678&lt;0,1,0)</f>
        <v>1</v>
      </c>
      <c r="J4680" s="20" t="n">
        <f aca="false">IF(J4678&lt;0,1,0)</f>
        <v>1</v>
      </c>
      <c r="K4680" s="20" t="n">
        <f aca="false">IF(K4678&lt;0,1,0)</f>
        <v>1</v>
      </c>
    </row>
    <row r="4681" customFormat="false" ht="15" hidden="false" customHeight="false" outlineLevel="0" collapsed="false">
      <c r="A4681" s="3" t="s">
        <v>378</v>
      </c>
      <c r="C4681" s="20" t="n">
        <f aca="false">IFERROR(INDEX($G$4549:$K$4549,MATCH(1,$G$4680:$K$4680,0)),0)</f>
        <v>2027</v>
      </c>
    </row>
    <row r="4682" customFormat="false" ht="15" hidden="false" customHeight="false" outlineLevel="0" collapsed="false">
      <c r="A4682" s="3" t="s">
        <v>379</v>
      </c>
      <c r="C4682" s="21" t="n">
        <f aca="false">MIN($G$4679:$K$4679)</f>
        <v>-4.44366498062554</v>
      </c>
    </row>
    <row r="4683" customFormat="false" ht="15" hidden="false" customHeight="false" outlineLevel="0" collapsed="false">
      <c r="A4683" s="23" t="s">
        <v>380</v>
      </c>
      <c r="B4683" s="24"/>
      <c r="C4683" s="24"/>
      <c r="D4683" s="24"/>
      <c r="E4683" s="24"/>
      <c r="F4683" s="24"/>
      <c r="G4683" s="24"/>
      <c r="H4683" s="24"/>
      <c r="I4683" s="24"/>
      <c r="J4683" s="24"/>
      <c r="K4683" s="24"/>
    </row>
    <row r="4684" customFormat="false" ht="15" hidden="false" customHeight="false" outlineLevel="0" collapsed="false">
      <c r="A4684" s="3" t="s">
        <v>373</v>
      </c>
      <c r="G4684" s="32" t="n">
        <f aca="false">IF(G4563&gt;0,G4559/G4563,99)</f>
        <v>0.867041642292597</v>
      </c>
      <c r="H4684" s="32" t="n">
        <f aca="false">IF(H4563&gt;0,H4559/H4563,99)</f>
        <v>0.599497364099453</v>
      </c>
      <c r="I4684" s="32" t="n">
        <f aca="false">IF(I4563&gt;0,I4559/I4563,99)</f>
        <v>0.490497843354098</v>
      </c>
      <c r="J4684" s="32" t="n">
        <f aca="false">IF(J4563&gt;0,J4559/J4563,99)</f>
        <v>0.472793105472085</v>
      </c>
      <c r="K4684" s="32" t="n">
        <f aca="false">IF(K4563&gt;0,K4559/K4563,99)</f>
        <v>0.44442551914376</v>
      </c>
    </row>
    <row r="4685" customFormat="false" ht="15" hidden="false" customHeight="false" outlineLevel="0" collapsed="false">
      <c r="A4685" s="3" t="s">
        <v>374</v>
      </c>
      <c r="G4685" s="33" t="n">
        <f aca="false">Assumptions!$G$66</f>
        <v>1.4</v>
      </c>
      <c r="H4685" s="33" t="n">
        <f aca="false">Assumptions!$H$66</f>
        <v>1.4</v>
      </c>
      <c r="I4685" s="33" t="n">
        <f aca="false">Assumptions!$I$66</f>
        <v>1.4</v>
      </c>
      <c r="J4685" s="33" t="n">
        <f aca="false">Assumptions!$J$66</f>
        <v>1.5</v>
      </c>
      <c r="K4685" s="33" t="n">
        <f aca="false">Assumptions!$K$66</f>
        <v>1.5</v>
      </c>
    </row>
    <row r="4686" customFormat="false" ht="15" hidden="false" customHeight="false" outlineLevel="0" collapsed="false">
      <c r="A4686" s="3" t="s">
        <v>375</v>
      </c>
      <c r="G4686" s="32" t="n">
        <f aca="false">G4684-G4685</f>
        <v>-0.532958357707403</v>
      </c>
      <c r="H4686" s="32" t="n">
        <f aca="false">H4684-H4685</f>
        <v>-0.800502635900547</v>
      </c>
      <c r="I4686" s="32" t="n">
        <f aca="false">I4684-I4685</f>
        <v>-0.909502156645902</v>
      </c>
      <c r="J4686" s="32" t="n">
        <f aca="false">J4684-J4685</f>
        <v>-1.02720689452792</v>
      </c>
      <c r="K4686" s="32" t="n">
        <f aca="false">K4684-K4685</f>
        <v>-1.05557448085624</v>
      </c>
    </row>
    <row r="4687" customFormat="false" ht="15" hidden="false" customHeight="false" outlineLevel="0" collapsed="false">
      <c r="A4687" s="3" t="s">
        <v>376</v>
      </c>
      <c r="G4687" s="21" t="n">
        <f aca="false">IF(G4685=0,0,G4686/ABS(G4685))</f>
        <v>-0.380684541219574</v>
      </c>
      <c r="H4687" s="21" t="n">
        <f aca="false">IF(H4685=0,0,H4686/ABS(H4685))</f>
        <v>-0.57178759707182</v>
      </c>
      <c r="I4687" s="21" t="n">
        <f aca="false">IF(I4685=0,0,I4686/ABS(I4685))</f>
        <v>-0.649644397604216</v>
      </c>
      <c r="J4687" s="21" t="n">
        <f aca="false">IF(J4685=0,0,J4686/ABS(J4685))</f>
        <v>-0.684804596351944</v>
      </c>
      <c r="K4687" s="21" t="n">
        <f aca="false">IF(K4685=0,0,K4686/ABS(K4685))</f>
        <v>-0.703716320570827</v>
      </c>
    </row>
    <row r="4688" customFormat="false" ht="15" hidden="false" customHeight="false" outlineLevel="0" collapsed="false">
      <c r="A4688" s="3" t="s">
        <v>377</v>
      </c>
      <c r="G4688" s="20" t="n">
        <f aca="false">IF(G4686&lt;0,1,0)</f>
        <v>1</v>
      </c>
      <c r="H4688" s="20" t="n">
        <f aca="false">IF(H4686&lt;0,1,0)</f>
        <v>1</v>
      </c>
      <c r="I4688" s="20" t="n">
        <f aca="false">IF(I4686&lt;0,1,0)</f>
        <v>1</v>
      </c>
      <c r="J4688" s="20" t="n">
        <f aca="false">IF(J4686&lt;0,1,0)</f>
        <v>1</v>
      </c>
      <c r="K4688" s="20" t="n">
        <f aca="false">IF(K4686&lt;0,1,0)</f>
        <v>1</v>
      </c>
    </row>
    <row r="4689" customFormat="false" ht="15" hidden="false" customHeight="false" outlineLevel="0" collapsed="false">
      <c r="A4689" s="3" t="s">
        <v>378</v>
      </c>
      <c r="C4689" s="20" t="n">
        <f aca="false">IFERROR(INDEX($G$4549:$K$4549,MATCH(1,$G$4688:$K$4688,0)),0)</f>
        <v>2027</v>
      </c>
    </row>
    <row r="4690" customFormat="false" ht="15" hidden="false" customHeight="false" outlineLevel="0" collapsed="false">
      <c r="A4690" s="3" t="s">
        <v>379</v>
      </c>
      <c r="C4690" s="21" t="n">
        <f aca="false">MIN($G$4687:$K$4687)</f>
        <v>-0.703716320570827</v>
      </c>
    </row>
    <row r="4691" customFormat="false" ht="15" hidden="false" customHeight="false" outlineLevel="0" collapsed="false">
      <c r="A4691" s="23" t="s">
        <v>381</v>
      </c>
      <c r="B4691" s="24"/>
      <c r="C4691" s="24"/>
      <c r="D4691" s="24"/>
      <c r="E4691" s="24"/>
      <c r="F4691" s="24"/>
      <c r="G4691" s="24"/>
      <c r="H4691" s="24"/>
      <c r="I4691" s="24"/>
      <c r="J4691" s="24"/>
      <c r="K4691" s="24"/>
    </row>
    <row r="4692" customFormat="false" ht="15" hidden="false" customHeight="false" outlineLevel="0" collapsed="false">
      <c r="A4692" s="3" t="s">
        <v>373</v>
      </c>
      <c r="G4692" s="25" t="n">
        <f aca="false">G4670</f>
        <v>393.03625144</v>
      </c>
      <c r="H4692" s="25" t="n">
        <f aca="false">H4670</f>
        <v>286.3786358752</v>
      </c>
      <c r="I4692" s="25" t="n">
        <f aca="false">I4670</f>
        <v>0</v>
      </c>
      <c r="J4692" s="25" t="n">
        <f aca="false">J4670</f>
        <v>0</v>
      </c>
      <c r="K4692" s="25" t="n">
        <f aca="false">K4670</f>
        <v>0</v>
      </c>
    </row>
    <row r="4693" customFormat="false" ht="15" hidden="false" customHeight="false" outlineLevel="0" collapsed="false">
      <c r="A4693" s="3" t="s">
        <v>374</v>
      </c>
      <c r="G4693" s="29" t="n">
        <f aca="false">Assumptions!$G$67</f>
        <v>200</v>
      </c>
      <c r="H4693" s="29" t="n">
        <f aca="false">Assumptions!$H$67</f>
        <v>200</v>
      </c>
      <c r="I4693" s="29" t="n">
        <f aca="false">Assumptions!$I$67</f>
        <v>200</v>
      </c>
      <c r="J4693" s="29" t="n">
        <f aca="false">Assumptions!$J$67</f>
        <v>200</v>
      </c>
      <c r="K4693" s="29" t="n">
        <f aca="false">Assumptions!$K$67</f>
        <v>200</v>
      </c>
    </row>
    <row r="4694" customFormat="false" ht="15" hidden="false" customHeight="false" outlineLevel="0" collapsed="false">
      <c r="A4694" s="3" t="s">
        <v>375</v>
      </c>
      <c r="G4694" s="25" t="n">
        <f aca="false">G4692-G4693</f>
        <v>193.03625144</v>
      </c>
      <c r="H4694" s="25" t="n">
        <f aca="false">H4692-H4693</f>
        <v>86.3786358752</v>
      </c>
      <c r="I4694" s="25" t="n">
        <f aca="false">I4692-I4693</f>
        <v>-200</v>
      </c>
      <c r="J4694" s="25" t="n">
        <f aca="false">J4692-J4693</f>
        <v>-200</v>
      </c>
      <c r="K4694" s="25" t="n">
        <f aca="false">K4692-K4693</f>
        <v>-200</v>
      </c>
    </row>
    <row r="4695" customFormat="false" ht="15" hidden="false" customHeight="false" outlineLevel="0" collapsed="false">
      <c r="A4695" s="3" t="s">
        <v>376</v>
      </c>
      <c r="G4695" s="21" t="n">
        <f aca="false">IF(G4693=0,0,G4694/ABS(G4693))</f>
        <v>0.9651812572</v>
      </c>
      <c r="H4695" s="21" t="n">
        <f aca="false">IF(H4693=0,0,H4694/ABS(H4693))</f>
        <v>0.431893179376</v>
      </c>
      <c r="I4695" s="21" t="n">
        <f aca="false">IF(I4693=0,0,I4694/ABS(I4693))</f>
        <v>-1</v>
      </c>
      <c r="J4695" s="21" t="n">
        <f aca="false">IF(J4693=0,0,J4694/ABS(J4693))</f>
        <v>-1</v>
      </c>
      <c r="K4695" s="21" t="n">
        <f aca="false">IF(K4693=0,0,K4694/ABS(K4693))</f>
        <v>-1</v>
      </c>
    </row>
    <row r="4696" customFormat="false" ht="15" hidden="false" customHeight="false" outlineLevel="0" collapsed="false">
      <c r="A4696" s="3" t="s">
        <v>377</v>
      </c>
      <c r="G4696" s="20" t="n">
        <f aca="false">IF(G4694&lt;0,1,0)</f>
        <v>0</v>
      </c>
      <c r="H4696" s="20" t="n">
        <f aca="false">IF(H4694&lt;0,1,0)</f>
        <v>0</v>
      </c>
      <c r="I4696" s="20" t="n">
        <f aca="false">IF(I4694&lt;0,1,0)</f>
        <v>1</v>
      </c>
      <c r="J4696" s="20" t="n">
        <f aca="false">IF(J4694&lt;0,1,0)</f>
        <v>1</v>
      </c>
      <c r="K4696" s="20" t="n">
        <f aca="false">IF(K4694&lt;0,1,0)</f>
        <v>1</v>
      </c>
    </row>
    <row r="4697" customFormat="false" ht="15" hidden="false" customHeight="false" outlineLevel="0" collapsed="false">
      <c r="A4697" s="3" t="s">
        <v>378</v>
      </c>
      <c r="C4697" s="20" t="n">
        <f aca="false">IFERROR(INDEX($G$4549:$K$4549,MATCH(1,$G$4696:$K$4696,0)),0)</f>
        <v>2029</v>
      </c>
    </row>
    <row r="4698" customFormat="false" ht="15" hidden="false" customHeight="false" outlineLevel="0" collapsed="false">
      <c r="A4698" s="3" t="s">
        <v>379</v>
      </c>
      <c r="C4698" s="21" t="n">
        <f aca="false">MIN($G$4695:$K$4695)</f>
        <v>-1</v>
      </c>
    </row>
    <row r="4699" customFormat="false" ht="15" hidden="false" customHeight="false" outlineLevel="0" collapsed="false">
      <c r="A4699" s="3" t="s">
        <v>382</v>
      </c>
      <c r="G4699" s="20" t="n">
        <f aca="false">G4680+G4688+G4696</f>
        <v>2</v>
      </c>
      <c r="H4699" s="20" t="n">
        <f aca="false">H4680+H4688+H4696</f>
        <v>2</v>
      </c>
      <c r="I4699" s="20" t="n">
        <f aca="false">I4680+I4688+I4696</f>
        <v>3</v>
      </c>
      <c r="J4699" s="20" t="n">
        <f aca="false">J4680+J4688+J4696</f>
        <v>3</v>
      </c>
      <c r="K4699" s="20" t="n">
        <f aca="false">K4680+K4688+K4696</f>
        <v>3</v>
      </c>
    </row>
    <row r="4700" customFormat="false" ht="15" hidden="false" customHeight="false" outlineLevel="0" collapsed="false">
      <c r="A4700" s="3" t="s">
        <v>383</v>
      </c>
      <c r="C4700" s="20" t="n">
        <f aca="false">SUM($G$4699:$K$4699)</f>
        <v>13</v>
      </c>
    </row>
    <row r="4701" customFormat="false" ht="15" hidden="false" customHeight="false" outlineLevel="0" collapsed="false">
      <c r="A4701" s="3" t="s">
        <v>384</v>
      </c>
      <c r="C4701" s="21" t="n">
        <f aca="false">MIN(C4682,C4690,C4698)</f>
        <v>-4.44366498062554</v>
      </c>
    </row>
    <row r="4703" customFormat="false" ht="15" hidden="false" customHeight="false" outlineLevel="0" collapsed="false">
      <c r="A4703" s="23" t="s">
        <v>486</v>
      </c>
      <c r="B4703" s="24"/>
      <c r="C4703" s="24"/>
      <c r="D4703" s="24"/>
      <c r="E4703" s="24"/>
      <c r="F4703" s="24"/>
      <c r="G4703" s="24"/>
      <c r="H4703" s="24"/>
      <c r="I4703" s="24"/>
      <c r="J4703" s="24"/>
      <c r="K4703" s="24"/>
    </row>
    <row r="4704" customFormat="false" ht="15" hidden="false" customHeight="false" outlineLevel="0" collapsed="false">
      <c r="A4704" s="3" t="s">
        <v>487</v>
      </c>
      <c r="G4704" s="20" t="n">
        <f aca="false">IF($C$4705=1,G4657,IF(G4559=MIN($G$4559:$K$4559),1,0))</f>
        <v>0</v>
      </c>
      <c r="H4704" s="20" t="n">
        <f aca="false">IF($C$4705=1,H4657,IF(AND(H4559=MIN($G$4559:$K$4559),SUM($G$4704:G4704)=0),1,0))</f>
        <v>0</v>
      </c>
      <c r="I4704" s="20" t="n">
        <f aca="false">IF($C$4705=1,I4657,IF(AND(I4559=MIN($G$4559:$K$4559),SUM($G$4704:H4704)=0),1,0))</f>
        <v>1</v>
      </c>
      <c r="J4704" s="20" t="n">
        <f aca="false">IF($C$4705=1,J4657,IF(AND(J4559=MIN($G$4559:$K$4559),SUM($G$4704:I4704)=0),1,0))</f>
        <v>0</v>
      </c>
      <c r="K4704" s="20" t="n">
        <f aca="false">IF($C$4705=1,K4657,IF(AND(K4559=MIN($G$4559:$K$4559),SUM($G$4704:J4704)=0),1,0))</f>
        <v>0</v>
      </c>
    </row>
    <row r="4705" customFormat="false" ht="15" hidden="false" customHeight="false" outlineLevel="0" collapsed="false">
      <c r="A4705" s="3" t="s">
        <v>488</v>
      </c>
      <c r="C4705" s="20" t="n">
        <f aca="false">IF(SUM($G$4657:$K$4657)&gt;0,1,0)</f>
        <v>1</v>
      </c>
    </row>
    <row r="4706" customFormat="false" ht="15" hidden="false" customHeight="false" outlineLevel="0" collapsed="false">
      <c r="A4706" s="3" t="s">
        <v>489</v>
      </c>
      <c r="C4706" s="20" t="n">
        <f aca="false">SUMPRODUCT($G$4704:$K$4704,$G$4549:$K$4549)</f>
        <v>2029</v>
      </c>
    </row>
    <row r="4707" customFormat="false" ht="15" hidden="false" customHeight="false" outlineLevel="0" collapsed="false">
      <c r="A4707" s="3" t="s">
        <v>490</v>
      </c>
      <c r="C4707" s="25" t="n">
        <f aca="false">SUMPRODUCT($G$4704:$K$4704,$G$4559:$K$4559)</f>
        <v>76.495429296</v>
      </c>
    </row>
    <row r="4708" customFormat="false" ht="15" hidden="false" customHeight="false" outlineLevel="0" collapsed="false">
      <c r="A4708" s="3" t="s">
        <v>491</v>
      </c>
      <c r="C4708" s="25" t="n">
        <f aca="false">MAX(0,SUMPRODUCT($G$4704:$K$4704,$G$4654:$K$4654))</f>
        <v>0</v>
      </c>
    </row>
    <row r="4709" customFormat="false" ht="15" hidden="false" customHeight="false" outlineLevel="0" collapsed="false">
      <c r="A4709" s="3" t="s">
        <v>492</v>
      </c>
      <c r="C4709" s="25" t="n">
        <f aca="false">(CHOOSE($C$4542,Assumptions!$C$84,Assumptions!$C$103,Assumptions!$C$122)+$C$4546)*C4707</f>
        <v>305.981717184</v>
      </c>
    </row>
    <row r="4710" customFormat="false" ht="15" hidden="false" customHeight="false" outlineLevel="0" collapsed="false">
      <c r="A4710" s="3" t="s">
        <v>493</v>
      </c>
      <c r="C4710" s="25" t="n">
        <f aca="false">Assumptions!$C$30*(1-CHOOSE($C$4542,Assumptions!$C$85,Assumptions!$C$104,Assumptions!$C$123))*CHOOSE($C$4542,Assumptions!$C$86,Assumptions!$C$105,Assumptions!$C$124)</f>
        <v>478.719345</v>
      </c>
    </row>
    <row r="4711" customFormat="false" ht="15" hidden="false" customHeight="false" outlineLevel="0" collapsed="false">
      <c r="A4711" s="3" t="s">
        <v>494</v>
      </c>
      <c r="C4711" s="25" t="n">
        <f aca="false">MAX(C4709,C4710)+C4708</f>
        <v>478.719345</v>
      </c>
    </row>
    <row r="4712" customFormat="false" ht="15" hidden="false" customHeight="false" outlineLevel="0" collapsed="false">
      <c r="A4712" s="2" t="s">
        <v>495</v>
      </c>
      <c r="C4712" s="16" t="n">
        <f aca="false">IF(ISNUMBER(Assumptions!$C$14),Assumptions!$C$14,C4711)</f>
        <v>478.719345</v>
      </c>
    </row>
    <row r="4713" customFormat="false" ht="15" hidden="false" customHeight="false" outlineLevel="0" collapsed="false">
      <c r="A4713" s="3" t="s">
        <v>496</v>
      </c>
      <c r="C4713" s="25" t="n">
        <f aca="false">C4712*Assumptions!$C$15</f>
        <v>19.1487738</v>
      </c>
    </row>
    <row r="4714" customFormat="false" ht="15" hidden="false" customHeight="false" outlineLevel="0" collapsed="false">
      <c r="A4714" s="2" t="s">
        <v>497</v>
      </c>
      <c r="C4714" s="16" t="n">
        <f aca="false">C4712-C4713</f>
        <v>459.5705712</v>
      </c>
    </row>
    <row r="4715" customFormat="false" ht="15" hidden="false" customHeight="false" outlineLevel="0" collapsed="false">
      <c r="A4715" s="23" t="s">
        <v>498</v>
      </c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</row>
    <row r="4716" customFormat="false" ht="15" hidden="false" customHeight="false" outlineLevel="0" collapsed="false">
      <c r="A4716" s="3" t="s">
        <v>499</v>
      </c>
      <c r="C4716" s="25" t="n">
        <f aca="false">SUMPRODUCT($G$4704:$K$4704,$G$4596:$K$4596)*(1+SUMPRODUCT($G$4704:$K$4704,$G$4588:$K$4588)*Assumptions!$C$16/12)</f>
        <v>1349.6193225</v>
      </c>
    </row>
    <row r="4717" customFormat="false" ht="15" hidden="false" customHeight="false" outlineLevel="0" collapsed="false">
      <c r="A4717" s="3" t="s">
        <v>500</v>
      </c>
      <c r="C4717" s="25" t="n">
        <f aca="false">SUMPRODUCT($G$4704:$K$4704,$G$4609:$K$4609)*(1+SUMPRODUCT($G$4704:$K$4704,$G$4601:$K$4601)*Assumptions!$C$16/12)</f>
        <v>110.728347985886</v>
      </c>
    </row>
    <row r="4718" customFormat="false" ht="15" hidden="false" customHeight="false" outlineLevel="0" collapsed="false">
      <c r="A4718" s="3" t="s">
        <v>501</v>
      </c>
      <c r="C4718" s="25" t="n">
        <f aca="false">SUMPRODUCT($G$4704:$K$4704,$G$4622:$K$4622)*(1+SUMPRODUCT($G$4704:$K$4704,$G$4614:$K$4614)*Assumptions!$C$16/12)</f>
        <v>145.27734375</v>
      </c>
    </row>
    <row r="4719" customFormat="false" ht="15" hidden="false" customHeight="false" outlineLevel="0" collapsed="false">
      <c r="A4719" s="23" t="s">
        <v>502</v>
      </c>
      <c r="B4719" s="24"/>
      <c r="C4719" s="24"/>
      <c r="D4719" s="24"/>
      <c r="E4719" s="24"/>
      <c r="F4719" s="24"/>
      <c r="G4719" s="24"/>
      <c r="H4719" s="24"/>
      <c r="I4719" s="24"/>
      <c r="J4719" s="24"/>
      <c r="K4719" s="24"/>
    </row>
    <row r="4720" customFormat="false" ht="15" hidden="false" customHeight="false" outlineLevel="0" collapsed="false">
      <c r="A4720" s="3" t="s">
        <v>499</v>
      </c>
      <c r="C4720" s="27" t="n">
        <f aca="false">Assumptions!$M$56</f>
        <v>1</v>
      </c>
    </row>
    <row r="4721" customFormat="false" ht="15" hidden="false" customHeight="false" outlineLevel="0" collapsed="false">
      <c r="A4721" s="3" t="s">
        <v>500</v>
      </c>
      <c r="C4721" s="27" t="n">
        <f aca="false">Assumptions!$M$57</f>
        <v>2</v>
      </c>
    </row>
    <row r="4722" customFormat="false" ht="15" hidden="false" customHeight="false" outlineLevel="0" collapsed="false">
      <c r="A4722" s="3" t="s">
        <v>501</v>
      </c>
      <c r="C4722" s="27" t="n">
        <f aca="false">Assumptions!$M$58</f>
        <v>2</v>
      </c>
    </row>
    <row r="4723" customFormat="false" ht="15" hidden="false" customHeight="false" outlineLevel="0" collapsed="false">
      <c r="A4723" s="23" t="s">
        <v>503</v>
      </c>
      <c r="B4723" s="24"/>
      <c r="C4723" s="24"/>
      <c r="D4723" s="24"/>
      <c r="E4723" s="24"/>
      <c r="F4723" s="24"/>
      <c r="G4723" s="24"/>
      <c r="H4723" s="24"/>
      <c r="I4723" s="24"/>
      <c r="J4723" s="24"/>
      <c r="K4723" s="24"/>
    </row>
    <row r="4724" customFormat="false" ht="15" hidden="false" customHeight="false" outlineLevel="0" collapsed="false">
      <c r="A4724" s="3" t="s">
        <v>499</v>
      </c>
      <c r="C4724" s="35" t="n">
        <f aca="false">Assumptions!$Q$56</f>
        <v>0</v>
      </c>
    </row>
    <row r="4725" customFormat="false" ht="15" hidden="false" customHeight="false" outlineLevel="0" collapsed="false">
      <c r="A4725" s="3" t="s">
        <v>500</v>
      </c>
      <c r="C4725" s="35" t="n">
        <f aca="false">Assumptions!$Q$57</f>
        <v>0</v>
      </c>
    </row>
    <row r="4726" customFormat="false" ht="15" hidden="false" customHeight="false" outlineLevel="0" collapsed="false">
      <c r="A4726" s="3" t="s">
        <v>501</v>
      </c>
      <c r="C4726" s="35" t="n">
        <f aca="false">Assumptions!$Q$58</f>
        <v>0</v>
      </c>
    </row>
    <row r="4727" customFormat="false" ht="15" hidden="false" customHeight="false" outlineLevel="0" collapsed="false">
      <c r="A4727" s="23" t="s">
        <v>504</v>
      </c>
      <c r="B4727" s="24"/>
      <c r="C4727" s="24"/>
      <c r="D4727" s="24"/>
      <c r="E4727" s="24"/>
      <c r="F4727" s="24"/>
      <c r="G4727" s="24"/>
      <c r="H4727" s="24"/>
      <c r="I4727" s="24"/>
      <c r="J4727" s="24"/>
      <c r="K4727" s="24"/>
    </row>
    <row r="4728" customFormat="false" ht="15" hidden="false" customHeight="false" outlineLevel="0" collapsed="false">
      <c r="A4728" s="3" t="s">
        <v>499</v>
      </c>
      <c r="C4728" s="25" t="n">
        <f aca="false">IF(C4724&gt;0,MIN(C4716,C4724*$C$4714),0)</f>
        <v>0</v>
      </c>
    </row>
    <row r="4729" customFormat="false" ht="15" hidden="false" customHeight="false" outlineLevel="0" collapsed="false">
      <c r="A4729" s="3" t="s">
        <v>500</v>
      </c>
      <c r="C4729" s="25" t="n">
        <f aca="false">IF(C4725&gt;0,MIN(C4717,C4725*$C$4714),0)</f>
        <v>0</v>
      </c>
    </row>
    <row r="4730" customFormat="false" ht="15" hidden="false" customHeight="false" outlineLevel="0" collapsed="false">
      <c r="A4730" s="3" t="s">
        <v>501</v>
      </c>
      <c r="C4730" s="25" t="n">
        <f aca="false">IF(C4726&gt;0,MIN(C4718,C4726*$C$4714),0)</f>
        <v>0</v>
      </c>
    </row>
    <row r="4731" customFormat="false" ht="15" hidden="false" customHeight="false" outlineLevel="0" collapsed="false">
      <c r="A4731" s="23" t="s">
        <v>505</v>
      </c>
      <c r="B4731" s="24"/>
      <c r="C4731" s="24"/>
      <c r="D4731" s="24"/>
      <c r="E4731" s="24"/>
      <c r="F4731" s="24"/>
      <c r="G4731" s="24"/>
      <c r="H4731" s="24"/>
      <c r="I4731" s="24"/>
      <c r="J4731" s="24"/>
      <c r="K4731" s="24"/>
    </row>
    <row r="4732" customFormat="false" ht="15" hidden="false" customHeight="false" outlineLevel="0" collapsed="false">
      <c r="A4732" s="3" t="s">
        <v>499</v>
      </c>
      <c r="C4732" s="25" t="n">
        <f aca="false">IF(C4724&gt;0,C4716-C4728,0)</f>
        <v>0</v>
      </c>
      <c r="G4732" s="20" t="n">
        <f aca="false">IF(AND(G4586=1,G4583=1),1,0)</f>
        <v>0</v>
      </c>
      <c r="H4732" s="20" t="n">
        <f aca="false">IF(G4732=1,1,IF(AND(H4586=1,H4583=1),1,0))</f>
        <v>0</v>
      </c>
      <c r="I4732" s="20" t="n">
        <f aca="false">IF(H4732=1,1,IF(AND(I4586=1,I4583=1),1,0))</f>
        <v>0</v>
      </c>
      <c r="J4732" s="20" t="n">
        <f aca="false">IF(I4732=1,1,IF(AND(J4586=1,J4583=1),1,0))</f>
        <v>0</v>
      </c>
      <c r="K4732" s="20" t="n">
        <f aca="false">IF(J4732=1,1,IF(AND(K4586=1,K4583=1),1,0))</f>
        <v>0</v>
      </c>
    </row>
    <row r="4733" customFormat="false" ht="15" hidden="false" customHeight="false" outlineLevel="0" collapsed="false">
      <c r="A4733" s="3" t="s">
        <v>500</v>
      </c>
      <c r="C4733" s="25" t="n">
        <f aca="false">IF(C4725&gt;0,C4717-C4729,0)</f>
        <v>0</v>
      </c>
      <c r="G4733" s="20" t="n">
        <f aca="false">IF(AND(G4599=1,G4583=1),1,0)</f>
        <v>0</v>
      </c>
      <c r="H4733" s="20" t="n">
        <f aca="false">IF(G4733=1,1,IF(AND(H4599=1,H4583=1),1,0))</f>
        <v>0</v>
      </c>
      <c r="I4733" s="20" t="n">
        <f aca="false">IF(H4733=1,1,IF(AND(I4599=1,I4583=1),1,0))</f>
        <v>0</v>
      </c>
      <c r="J4733" s="20" t="n">
        <f aca="false">IF(I4733=1,1,IF(AND(J4599=1,J4583=1),1,0))</f>
        <v>0</v>
      </c>
      <c r="K4733" s="20" t="n">
        <f aca="false">IF(J4733=1,1,IF(AND(K4599=1,K4583=1),1,0))</f>
        <v>0</v>
      </c>
    </row>
    <row r="4734" customFormat="false" ht="15" hidden="false" customHeight="false" outlineLevel="0" collapsed="false">
      <c r="A4734" s="3" t="s">
        <v>501</v>
      </c>
      <c r="C4734" s="25" t="n">
        <f aca="false">IF(C4726&gt;0,C4718-C4730,0)</f>
        <v>0</v>
      </c>
      <c r="G4734" s="20" t="n">
        <f aca="false">IF(AND(G4612=1,G4583=1),1,0)</f>
        <v>0</v>
      </c>
      <c r="H4734" s="20" t="n">
        <f aca="false">IF(G4734=1,1,IF(AND(H4612=1,H4583=1),1,0))</f>
        <v>0</v>
      </c>
      <c r="I4734" s="20" t="n">
        <f aca="false">IF(H4734=1,1,IF(AND(I4612=1,I4583=1),1,0))</f>
        <v>0</v>
      </c>
      <c r="J4734" s="20" t="n">
        <f aca="false">IF(I4734=1,1,IF(AND(J4612=1,J4583=1),1,0))</f>
        <v>0</v>
      </c>
      <c r="K4734" s="20" t="n">
        <f aca="false">IF(J4734=1,1,IF(AND(K4612=1,K4583=1),1,0))</f>
        <v>0</v>
      </c>
    </row>
    <row r="4735" customFormat="false" ht="15" hidden="false" customHeight="false" outlineLevel="0" collapsed="false">
      <c r="A4735" s="23" t="s">
        <v>506</v>
      </c>
      <c r="B4735" s="24"/>
      <c r="C4735" s="24"/>
      <c r="D4735" s="24"/>
      <c r="E4735" s="24"/>
      <c r="F4735" s="24"/>
      <c r="G4735" s="24"/>
      <c r="H4735" s="24"/>
      <c r="I4735" s="24"/>
      <c r="J4735" s="24"/>
      <c r="K4735" s="24"/>
    </row>
    <row r="4736" customFormat="false" ht="15" hidden="false" customHeight="false" outlineLevel="0" collapsed="false">
      <c r="A4736" s="3" t="s">
        <v>499</v>
      </c>
      <c r="C4736" s="25" t="n">
        <f aca="false">IF(C4724&gt;0,C4732,C4716)</f>
        <v>1349.6193225</v>
      </c>
    </row>
    <row r="4737" customFormat="false" ht="15" hidden="false" customHeight="false" outlineLevel="0" collapsed="false">
      <c r="A4737" s="3" t="s">
        <v>500</v>
      </c>
      <c r="C4737" s="25" t="n">
        <f aca="false">IF(C4725&gt;0,C4733,C4717)</f>
        <v>110.728347985886</v>
      </c>
    </row>
    <row r="4738" customFormat="false" ht="15" hidden="false" customHeight="false" outlineLevel="0" collapsed="false">
      <c r="A4738" s="3" t="s">
        <v>501</v>
      </c>
      <c r="C4738" s="25" t="n">
        <f aca="false">IF(C4726&gt;0,C4734,C4718)</f>
        <v>145.27734375</v>
      </c>
    </row>
    <row r="4739" customFormat="false" ht="15" hidden="false" customHeight="false" outlineLevel="0" collapsed="false">
      <c r="A4739" s="23" t="s">
        <v>507</v>
      </c>
      <c r="B4739" s="24"/>
      <c r="C4739" s="24"/>
      <c r="D4739" s="24"/>
      <c r="E4739" s="24"/>
      <c r="F4739" s="24"/>
      <c r="G4739" s="24"/>
      <c r="H4739" s="24"/>
      <c r="I4739" s="24"/>
      <c r="J4739" s="24"/>
      <c r="K4739" s="24"/>
    </row>
    <row r="4740" customFormat="false" ht="15" hidden="false" customHeight="false" outlineLevel="0" collapsed="false">
      <c r="A4740" s="3" t="s">
        <v>499</v>
      </c>
      <c r="C4740" s="20" t="n">
        <f aca="false">IF(C4724&gt;0,Assumptions!$C$17,C4720)</f>
        <v>1</v>
      </c>
    </row>
    <row r="4741" customFormat="false" ht="15" hidden="false" customHeight="false" outlineLevel="0" collapsed="false">
      <c r="A4741" s="3" t="s">
        <v>500</v>
      </c>
      <c r="C4741" s="20" t="n">
        <f aca="false">IF(C4725&gt;0,Assumptions!$C$17,C4721)</f>
        <v>2</v>
      </c>
    </row>
    <row r="4742" customFormat="false" ht="15" hidden="false" customHeight="false" outlineLevel="0" collapsed="false">
      <c r="A4742" s="3" t="s">
        <v>501</v>
      </c>
      <c r="C4742" s="20" t="n">
        <f aca="false">IF(C4726&gt;0,Assumptions!$C$17,C4722)</f>
        <v>2</v>
      </c>
    </row>
    <row r="4743" customFormat="false" ht="15" hidden="false" customHeight="false" outlineLevel="0" collapsed="false">
      <c r="A4743" s="23" t="s">
        <v>508</v>
      </c>
      <c r="B4743" s="24"/>
      <c r="C4743" s="24"/>
      <c r="D4743" s="24"/>
      <c r="E4743" s="24"/>
      <c r="F4743" s="24"/>
      <c r="G4743" s="24"/>
      <c r="H4743" s="24"/>
      <c r="I4743" s="24"/>
      <c r="J4743" s="24"/>
      <c r="K4743" s="24"/>
    </row>
    <row r="4744" customFormat="false" ht="15" hidden="false" customHeight="false" outlineLevel="0" collapsed="false">
      <c r="A4744" s="3" t="s">
        <v>499</v>
      </c>
      <c r="C4744" s="25" t="n">
        <f aca="false">SUMPRODUCT(($C$4740:$C$4742&lt;C4740)*$C$4736:$C$4738)</f>
        <v>0</v>
      </c>
    </row>
    <row r="4745" customFormat="false" ht="15" hidden="false" customHeight="false" outlineLevel="0" collapsed="false">
      <c r="A4745" s="3" t="s">
        <v>500</v>
      </c>
      <c r="C4745" s="25" t="n">
        <f aca="false">SUMPRODUCT(($C$4740:$C$4742&lt;C4741)*$C$4736:$C$4738)</f>
        <v>1349.6193225</v>
      </c>
    </row>
    <row r="4746" customFormat="false" ht="15" hidden="false" customHeight="false" outlineLevel="0" collapsed="false">
      <c r="A4746" s="3" t="s">
        <v>501</v>
      </c>
      <c r="C4746" s="25" t="n">
        <f aca="false">SUMPRODUCT(($C$4740:$C$4742&lt;C4742)*$C$4736:$C$4738)</f>
        <v>1349.6193225</v>
      </c>
    </row>
    <row r="4747" customFormat="false" ht="15" hidden="false" customHeight="false" outlineLevel="0" collapsed="false">
      <c r="A4747" s="23" t="s">
        <v>509</v>
      </c>
      <c r="B4747" s="24"/>
      <c r="C4747" s="24"/>
      <c r="D4747" s="24"/>
      <c r="E4747" s="24"/>
      <c r="F4747" s="24"/>
      <c r="G4747" s="24"/>
      <c r="H4747" s="24"/>
      <c r="I4747" s="24"/>
      <c r="J4747" s="24"/>
      <c r="K4747" s="24"/>
    </row>
    <row r="4748" customFormat="false" ht="15" hidden="false" customHeight="false" outlineLevel="0" collapsed="false">
      <c r="A4748" s="3" t="s">
        <v>499</v>
      </c>
      <c r="C4748" s="25" t="n">
        <f aca="false">SUMPRODUCT(($C$4740:$C$4742=C4740)*$C$4736:$C$4738)</f>
        <v>1349.6193225</v>
      </c>
    </row>
    <row r="4749" customFormat="false" ht="15" hidden="false" customHeight="false" outlineLevel="0" collapsed="false">
      <c r="A4749" s="3" t="s">
        <v>500</v>
      </c>
      <c r="C4749" s="25" t="n">
        <f aca="false">SUMPRODUCT(($C$4740:$C$4742=C4741)*$C$4736:$C$4738)</f>
        <v>256.005691735887</v>
      </c>
    </row>
    <row r="4750" customFormat="false" ht="15" hidden="false" customHeight="false" outlineLevel="0" collapsed="false">
      <c r="A4750" s="3" t="s">
        <v>501</v>
      </c>
      <c r="C4750" s="25" t="n">
        <f aca="false">SUMPRODUCT(($C$4740:$C$4742=C4742)*$C$4736:$C$4738)</f>
        <v>256.005691735887</v>
      </c>
    </row>
    <row r="4751" customFormat="false" ht="15" hidden="false" customHeight="false" outlineLevel="0" collapsed="false">
      <c r="A4751" s="23" t="s">
        <v>510</v>
      </c>
      <c r="B4751" s="24"/>
      <c r="C4751" s="24"/>
      <c r="D4751" s="24"/>
      <c r="E4751" s="24"/>
      <c r="F4751" s="24"/>
      <c r="G4751" s="24"/>
      <c r="H4751" s="24"/>
      <c r="I4751" s="24"/>
      <c r="J4751" s="24"/>
      <c r="K4751" s="24"/>
    </row>
    <row r="4752" customFormat="false" ht="15" hidden="false" customHeight="false" outlineLevel="0" collapsed="false">
      <c r="A4752" s="3" t="s">
        <v>499</v>
      </c>
      <c r="C4752" s="25" t="n">
        <f aca="false">IF(C4748=0,0,C4736/C4748*MAX(0,MIN(C4748,$C$4714-SUM($C$4728:$C$4730)-C4744)))</f>
        <v>459.5705712</v>
      </c>
    </row>
    <row r="4753" customFormat="false" ht="15" hidden="false" customHeight="false" outlineLevel="0" collapsed="false">
      <c r="A4753" s="3" t="s">
        <v>500</v>
      </c>
      <c r="C4753" s="25" t="n">
        <f aca="false">IF(C4749=0,0,C4737/C4749*MAX(0,MIN(C4749,$C$4714-SUM($C$4728:$C$4730)-C4745)))</f>
        <v>0</v>
      </c>
    </row>
    <row r="4754" customFormat="false" ht="15" hidden="false" customHeight="false" outlineLevel="0" collapsed="false">
      <c r="A4754" s="3" t="s">
        <v>501</v>
      </c>
      <c r="C4754" s="25" t="n">
        <f aca="false">IF(C4750=0,0,C4738/C4750*MAX(0,MIN(C4750,$C$4714-SUM($C$4728:$C$4730)-C4746)))</f>
        <v>0</v>
      </c>
    </row>
    <row r="4755" customFormat="false" ht="15" hidden="false" customHeight="false" outlineLevel="0" collapsed="false">
      <c r="A4755" s="23" t="s">
        <v>511</v>
      </c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</row>
    <row r="4756" customFormat="false" ht="15" hidden="false" customHeight="false" outlineLevel="0" collapsed="false">
      <c r="A4756" s="2" t="s">
        <v>499</v>
      </c>
      <c r="C4756" s="16" t="n">
        <f aca="false">C4728+C4752</f>
        <v>459.5705712</v>
      </c>
    </row>
    <row r="4757" customFormat="false" ht="15" hidden="false" customHeight="false" outlineLevel="0" collapsed="false">
      <c r="A4757" s="2" t="s">
        <v>500</v>
      </c>
      <c r="C4757" s="16" t="n">
        <f aca="false">C4729+C4753</f>
        <v>0</v>
      </c>
    </row>
    <row r="4758" customFormat="false" ht="15" hidden="false" customHeight="false" outlineLevel="0" collapsed="false">
      <c r="A4758" s="2" t="s">
        <v>501</v>
      </c>
      <c r="C4758" s="16" t="n">
        <f aca="false">C4730+C4754</f>
        <v>0</v>
      </c>
    </row>
    <row r="4759" customFormat="false" ht="15" hidden="false" customHeight="false" outlineLevel="0" collapsed="false">
      <c r="A4759" s="23" t="s">
        <v>512</v>
      </c>
      <c r="B4759" s="24"/>
      <c r="C4759" s="24"/>
      <c r="D4759" s="24"/>
      <c r="E4759" s="24"/>
      <c r="F4759" s="24"/>
      <c r="G4759" s="24"/>
      <c r="H4759" s="24"/>
      <c r="I4759" s="24"/>
      <c r="J4759" s="24"/>
      <c r="K4759" s="24"/>
    </row>
    <row r="4760" customFormat="false" ht="15" hidden="false" customHeight="false" outlineLevel="0" collapsed="false">
      <c r="A4760" s="3" t="s">
        <v>499</v>
      </c>
      <c r="C4760" s="21" t="n">
        <f aca="false">IF(C4716=0,1,C4756/C4716)</f>
        <v>0.340518665921812</v>
      </c>
    </row>
    <row r="4761" customFormat="false" ht="15" hidden="false" customHeight="false" outlineLevel="0" collapsed="false">
      <c r="A4761" s="3" t="s">
        <v>500</v>
      </c>
      <c r="C4761" s="21" t="n">
        <f aca="false">IF(C4717=0,1,C4757/C4717)</f>
        <v>0</v>
      </c>
    </row>
    <row r="4762" customFormat="false" ht="15" hidden="false" customHeight="false" outlineLevel="0" collapsed="false">
      <c r="A4762" s="3" t="s">
        <v>501</v>
      </c>
      <c r="C4762" s="21" t="n">
        <f aca="false">IF(C4718=0,1,C4758/C4718)</f>
        <v>0</v>
      </c>
    </row>
    <row r="4763" customFormat="false" ht="15" hidden="false" customHeight="false" outlineLevel="0" collapsed="false">
      <c r="A4763" s="23" t="s">
        <v>513</v>
      </c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</row>
    <row r="4764" customFormat="false" ht="15" hidden="false" customHeight="false" outlineLevel="0" collapsed="false">
      <c r="A4764" s="3" t="s">
        <v>499</v>
      </c>
      <c r="C4764" s="25" t="n">
        <f aca="false">C4716-C4756</f>
        <v>890.0487513</v>
      </c>
    </row>
    <row r="4765" customFormat="false" ht="15" hidden="false" customHeight="false" outlineLevel="0" collapsed="false">
      <c r="A4765" s="3" t="s">
        <v>500</v>
      </c>
      <c r="C4765" s="25" t="n">
        <f aca="false">C4717-C4757</f>
        <v>110.728347985886</v>
      </c>
    </row>
    <row r="4766" customFormat="false" ht="15" hidden="false" customHeight="false" outlineLevel="0" collapsed="false">
      <c r="A4766" s="3" t="s">
        <v>501</v>
      </c>
      <c r="C4766" s="25" t="n">
        <f aca="false">C4718-C4758</f>
        <v>145.27734375</v>
      </c>
    </row>
    <row r="4767" customFormat="false" ht="15" hidden="false" customHeight="false" outlineLevel="0" collapsed="false">
      <c r="A4767" s="23" t="s">
        <v>514</v>
      </c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</row>
    <row r="4768" customFormat="false" ht="15" hidden="false" customHeight="false" outlineLevel="0" collapsed="false">
      <c r="A4768" s="3" t="s">
        <v>499</v>
      </c>
      <c r="C4768" s="21" t="n">
        <f aca="false">IF(C4716=0,0,C4764/C4716)</f>
        <v>0.659481334078188</v>
      </c>
    </row>
    <row r="4769" customFormat="false" ht="15" hidden="false" customHeight="false" outlineLevel="0" collapsed="false">
      <c r="A4769" s="3" t="s">
        <v>500</v>
      </c>
      <c r="C4769" s="21" t="n">
        <f aca="false">IF(C4717=0,0,C4765/C4717)</f>
        <v>1</v>
      </c>
    </row>
    <row r="4770" customFormat="false" ht="15" hidden="false" customHeight="false" outlineLevel="0" collapsed="false">
      <c r="A4770" s="3" t="s">
        <v>501</v>
      </c>
      <c r="C4770" s="21" t="n">
        <f aca="false">IF(C4718=0,0,C4766/C4718)</f>
        <v>1</v>
      </c>
    </row>
    <row r="4771" customFormat="false" ht="15" hidden="false" customHeight="false" outlineLevel="0" collapsed="false">
      <c r="A4771" s="2" t="s">
        <v>515</v>
      </c>
      <c r="C4771" s="16" t="n">
        <f aca="false">MAX(0,$C$4714-SUM($C$4728:$C$4730)-SUM($C$4736:$C$4738))</f>
        <v>0</v>
      </c>
    </row>
    <row r="4772" customFormat="false" ht="15" hidden="false" customHeight="false" outlineLevel="0" collapsed="false">
      <c r="A4772" s="3" t="s">
        <v>516</v>
      </c>
      <c r="C4772" s="25" t="n">
        <f aca="false">SUM($C$4756:$C$4758)+C4771+C4713-C4712</f>
        <v>0</v>
      </c>
    </row>
    <row r="4774" customFormat="false" ht="15" hidden="false" customHeight="false" outlineLevel="0" collapsed="false">
      <c r="A4774" s="23" t="s">
        <v>519</v>
      </c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</row>
    <row r="4775" customFormat="false" ht="15" hidden="false" customHeight="false" outlineLevel="0" collapsed="false">
      <c r="A4775" s="3" t="s">
        <v>520</v>
      </c>
      <c r="C4775" s="27" t="n">
        <f aca="false">Assumptions!$C$33</f>
        <v>1</v>
      </c>
    </row>
    <row r="4776" customFormat="false" ht="15" hidden="false" customHeight="false" outlineLevel="0" collapsed="false">
      <c r="A4776" s="3" t="s">
        <v>521</v>
      </c>
      <c r="C4776" s="29" t="n">
        <f aca="false">Assumptions!$C$34</f>
        <v>100</v>
      </c>
    </row>
    <row r="4777" customFormat="false" ht="15" hidden="false" customHeight="false" outlineLevel="0" collapsed="false">
      <c r="A4777" s="3" t="s">
        <v>522</v>
      </c>
      <c r="C4777" s="40" t="n">
        <f aca="false">Assumptions!$C$35</f>
        <v>95</v>
      </c>
    </row>
    <row r="4778" customFormat="false" ht="15" hidden="false" customHeight="false" outlineLevel="0" collapsed="false">
      <c r="A4778" s="3" t="s">
        <v>523</v>
      </c>
      <c r="C4778" s="25" t="n">
        <f aca="false">C4776*C4777/100*(1+Assumptions!$C$36)</f>
        <v>95</v>
      </c>
    </row>
    <row r="4779" customFormat="false" ht="15" hidden="false" customHeight="false" outlineLevel="0" collapsed="false">
      <c r="A4779" s="3" t="s">
        <v>524</v>
      </c>
      <c r="C4779" s="27" t="n">
        <f aca="false">Assumptions!$C$37</f>
        <v>3</v>
      </c>
    </row>
    <row r="4780" customFormat="false" ht="15" hidden="false" customHeight="false" outlineLevel="0" collapsed="false">
      <c r="A4780" s="3" t="s">
        <v>525</v>
      </c>
      <c r="C4780" s="20" t="n">
        <f aca="false">IF(C4705=1,SUMPRODUCT($G$4657:$K$4657,$G$4550:$K$4550),0)</f>
        <v>3</v>
      </c>
    </row>
    <row r="4781" customFormat="false" ht="15" hidden="false" customHeight="false" outlineLevel="0" collapsed="false">
      <c r="A4781" s="3" t="s">
        <v>526</v>
      </c>
      <c r="C4781" s="21" t="n">
        <f aca="false">IFERROR(C4776/CHOOSE(C4775,SUMPRODUCT($G$4704:$K$4704,$G$4596:$K$4596),SUMPRODUCT($G$4704:$K$4704,$G$4609:$K$4609),SUMPRODUCT($G$4704:$K$4704,$G$4622:$K$4622)),0)</f>
        <v>0.0760399605200525</v>
      </c>
    </row>
    <row r="4782" customFormat="false" ht="15" hidden="false" customHeight="false" outlineLevel="0" collapsed="false">
      <c r="A4782" s="3" t="s">
        <v>527</v>
      </c>
      <c r="C4782" s="25" t="n">
        <f aca="false">CHOOSE(C4775,C4756,C4757,C4758)*C4781</f>
        <v>34.945728090226</v>
      </c>
    </row>
    <row r="4783" customFormat="false" ht="15" hidden="false" customHeight="false" outlineLevel="0" collapsed="false">
      <c r="A4783" s="3" t="s">
        <v>528</v>
      </c>
      <c r="C4783" s="21" t="n">
        <f aca="false">CHOOSE(C4775,C4760,C4761,C4762)</f>
        <v>0.340518665921812</v>
      </c>
    </row>
    <row r="4784" customFormat="false" ht="15" hidden="false" customHeight="false" outlineLevel="0" collapsed="false">
      <c r="A4784" s="3" t="s">
        <v>529</v>
      </c>
      <c r="C4784" s="20" t="n">
        <f aca="false">IF(C4705=1,C4780,C4779)</f>
        <v>3</v>
      </c>
    </row>
    <row r="4785" customFormat="false" ht="15" hidden="false" customHeight="false" outlineLevel="0" collapsed="false">
      <c r="A4785" s="3" t="s">
        <v>530</v>
      </c>
      <c r="C4785" s="34" t="n">
        <f aca="false">CHOOSE($C$4542,Assumptions!$C$83,Assumptions!$C$102,Assumptions!$C$121)</f>
        <v>80</v>
      </c>
    </row>
    <row r="4786" customFormat="false" ht="15" hidden="false" customHeight="false" outlineLevel="0" collapsed="false">
      <c r="A4786" s="3" t="s">
        <v>531</v>
      </c>
      <c r="C4786" s="25" t="n">
        <f aca="false">INDEX($G$4559:$K$4559,C4779)*CHOOSE($C$4542,Assumptions!$C$82,Assumptions!$C$101,Assumptions!$C$120)+MAX(0,INDEX($G$4654:$K$4654,C4779))</f>
        <v>305.981717184</v>
      </c>
    </row>
    <row r="4787" customFormat="false" ht="15" hidden="false" customHeight="false" outlineLevel="0" collapsed="false">
      <c r="A4787" s="23" t="s">
        <v>532</v>
      </c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</row>
    <row r="4788" customFormat="false" ht="15" hidden="false" customHeight="false" outlineLevel="0" collapsed="false">
      <c r="A4788" s="3" t="s">
        <v>499</v>
      </c>
      <c r="C4788" s="25" t="n">
        <f aca="false">INDEX($G$4596:$K$4596,C4779)</f>
        <v>1315.098</v>
      </c>
    </row>
    <row r="4789" customFormat="false" ht="15" hidden="false" customHeight="false" outlineLevel="0" collapsed="false">
      <c r="A4789" s="3" t="s">
        <v>500</v>
      </c>
      <c r="C4789" s="25" t="n">
        <f aca="false">INDEX($G$4609:$K$4609,C4779)</f>
        <v>109.56422806272</v>
      </c>
    </row>
    <row r="4790" customFormat="false" ht="15" hidden="false" customHeight="false" outlineLevel="0" collapsed="false">
      <c r="A4790" s="3" t="s">
        <v>501</v>
      </c>
      <c r="C4790" s="25" t="n">
        <f aca="false">INDEX($G$4622:$K$4622,C4779)</f>
        <v>143.75</v>
      </c>
    </row>
    <row r="4791" customFormat="false" ht="15" hidden="false" customHeight="false" outlineLevel="0" collapsed="false">
      <c r="A4791" s="23" t="s">
        <v>502</v>
      </c>
      <c r="B4791" s="24"/>
      <c r="C4791" s="24"/>
      <c r="D4791" s="24"/>
      <c r="E4791" s="24"/>
      <c r="F4791" s="24"/>
      <c r="G4791" s="24"/>
      <c r="H4791" s="24"/>
      <c r="I4791" s="24"/>
      <c r="J4791" s="24"/>
      <c r="K4791" s="24"/>
    </row>
    <row r="4792" customFormat="false" ht="15" hidden="false" customHeight="false" outlineLevel="0" collapsed="false">
      <c r="A4792" s="3" t="s">
        <v>499</v>
      </c>
      <c r="C4792" s="27" t="n">
        <f aca="false">Assumptions!$M$56</f>
        <v>1</v>
      </c>
    </row>
    <row r="4793" customFormat="false" ht="15" hidden="false" customHeight="false" outlineLevel="0" collapsed="false">
      <c r="A4793" s="3" t="s">
        <v>500</v>
      </c>
      <c r="C4793" s="27" t="n">
        <f aca="false">Assumptions!$M$57</f>
        <v>2</v>
      </c>
    </row>
    <row r="4794" customFormat="false" ht="15" hidden="false" customHeight="false" outlineLevel="0" collapsed="false">
      <c r="A4794" s="3" t="s">
        <v>501</v>
      </c>
      <c r="C4794" s="27" t="n">
        <f aca="false">Assumptions!$M$58</f>
        <v>2</v>
      </c>
    </row>
    <row r="4795" customFormat="false" ht="15" hidden="false" customHeight="false" outlineLevel="0" collapsed="false">
      <c r="A4795" s="23" t="s">
        <v>503</v>
      </c>
      <c r="B4795" s="24"/>
      <c r="C4795" s="24"/>
      <c r="D4795" s="24"/>
      <c r="E4795" s="24"/>
      <c r="F4795" s="24"/>
      <c r="G4795" s="24"/>
      <c r="H4795" s="24"/>
      <c r="I4795" s="24"/>
      <c r="J4795" s="24"/>
      <c r="K4795" s="24"/>
    </row>
    <row r="4796" customFormat="false" ht="15" hidden="false" customHeight="false" outlineLevel="0" collapsed="false">
      <c r="A4796" s="3" t="s">
        <v>499</v>
      </c>
      <c r="C4796" s="35" t="n">
        <f aca="false">Assumptions!$Q$56</f>
        <v>0</v>
      </c>
    </row>
    <row r="4797" customFormat="false" ht="15" hidden="false" customHeight="false" outlineLevel="0" collapsed="false">
      <c r="A4797" s="3" t="s">
        <v>500</v>
      </c>
      <c r="C4797" s="35" t="n">
        <f aca="false">Assumptions!$Q$57</f>
        <v>0</v>
      </c>
    </row>
    <row r="4798" customFormat="false" ht="15" hidden="false" customHeight="false" outlineLevel="0" collapsed="false">
      <c r="A4798" s="3" t="s">
        <v>501</v>
      </c>
      <c r="C4798" s="35" t="n">
        <f aca="false">Assumptions!$Q$58</f>
        <v>0</v>
      </c>
    </row>
    <row r="4799" customFormat="false" ht="15" hidden="false" customHeight="false" outlineLevel="0" collapsed="false">
      <c r="A4799" s="23" t="s">
        <v>504</v>
      </c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</row>
    <row r="4800" customFormat="false" ht="15" hidden="false" customHeight="false" outlineLevel="0" collapsed="false">
      <c r="A4800" s="3" t="s">
        <v>499</v>
      </c>
      <c r="C4800" s="25" t="n">
        <f aca="false">IF(C4796&gt;0,MIN(C4788,C4796*$C$4786),0)</f>
        <v>0</v>
      </c>
    </row>
    <row r="4801" customFormat="false" ht="15" hidden="false" customHeight="false" outlineLevel="0" collapsed="false">
      <c r="A4801" s="3" t="s">
        <v>500</v>
      </c>
      <c r="C4801" s="25" t="n">
        <f aca="false">IF(C4797&gt;0,MIN(C4789,C4797*$C$4786),0)</f>
        <v>0</v>
      </c>
    </row>
    <row r="4802" customFormat="false" ht="15" hidden="false" customHeight="false" outlineLevel="0" collapsed="false">
      <c r="A4802" s="3" t="s">
        <v>501</v>
      </c>
      <c r="C4802" s="25" t="n">
        <f aca="false">IF(C4798&gt;0,MIN(C4790,C4798*$C$4786),0)</f>
        <v>0</v>
      </c>
    </row>
    <row r="4803" customFormat="false" ht="15" hidden="false" customHeight="false" outlineLevel="0" collapsed="false">
      <c r="A4803" s="23" t="s">
        <v>505</v>
      </c>
      <c r="B4803" s="24"/>
      <c r="C4803" s="24"/>
      <c r="D4803" s="24"/>
      <c r="E4803" s="24"/>
      <c r="F4803" s="24"/>
      <c r="G4803" s="24"/>
      <c r="H4803" s="24"/>
      <c r="I4803" s="24"/>
      <c r="J4803" s="24"/>
      <c r="K4803" s="24"/>
    </row>
    <row r="4804" customFormat="false" ht="15" hidden="false" customHeight="false" outlineLevel="0" collapsed="false">
      <c r="A4804" s="3" t="s">
        <v>499</v>
      </c>
      <c r="C4804" s="25" t="n">
        <f aca="false">IF(C4796&gt;0,C4788-C4800,0)</f>
        <v>0</v>
      </c>
    </row>
    <row r="4805" customFormat="false" ht="15" hidden="false" customHeight="false" outlineLevel="0" collapsed="false">
      <c r="A4805" s="3" t="s">
        <v>500</v>
      </c>
      <c r="C4805" s="25" t="n">
        <f aca="false">IF(C4797&gt;0,C4789-C4801,0)</f>
        <v>0</v>
      </c>
    </row>
    <row r="4806" customFormat="false" ht="15" hidden="false" customHeight="false" outlineLevel="0" collapsed="false">
      <c r="A4806" s="3" t="s">
        <v>501</v>
      </c>
      <c r="C4806" s="25" t="n">
        <f aca="false">IF(C4798&gt;0,C4790-C4802,0)</f>
        <v>0</v>
      </c>
    </row>
    <row r="4807" customFormat="false" ht="15" hidden="false" customHeight="false" outlineLevel="0" collapsed="false">
      <c r="A4807" s="23" t="s">
        <v>506</v>
      </c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</row>
    <row r="4808" customFormat="false" ht="15" hidden="false" customHeight="false" outlineLevel="0" collapsed="false">
      <c r="A4808" s="3" t="s">
        <v>499</v>
      </c>
      <c r="C4808" s="25" t="n">
        <f aca="false">IF(C4796&gt;0,C4804,C4788)</f>
        <v>1315.098</v>
      </c>
    </row>
    <row r="4809" customFormat="false" ht="15" hidden="false" customHeight="false" outlineLevel="0" collapsed="false">
      <c r="A4809" s="3" t="s">
        <v>500</v>
      </c>
      <c r="C4809" s="25" t="n">
        <f aca="false">IF(C4797&gt;0,C4805,C4789)</f>
        <v>109.56422806272</v>
      </c>
    </row>
    <row r="4810" customFormat="false" ht="15" hidden="false" customHeight="false" outlineLevel="0" collapsed="false">
      <c r="A4810" s="3" t="s">
        <v>501</v>
      </c>
      <c r="C4810" s="25" t="n">
        <f aca="false">IF(C4798&gt;0,C4806,C4790)</f>
        <v>143.75</v>
      </c>
    </row>
    <row r="4811" customFormat="false" ht="15" hidden="false" customHeight="false" outlineLevel="0" collapsed="false">
      <c r="A4811" s="23" t="s">
        <v>507</v>
      </c>
      <c r="B4811" s="24"/>
      <c r="C4811" s="24"/>
      <c r="D4811" s="24"/>
      <c r="E4811" s="24"/>
      <c r="F4811" s="24"/>
      <c r="G4811" s="24"/>
      <c r="H4811" s="24"/>
      <c r="I4811" s="24"/>
      <c r="J4811" s="24"/>
      <c r="K4811" s="24"/>
    </row>
    <row r="4812" customFormat="false" ht="15" hidden="false" customHeight="false" outlineLevel="0" collapsed="false">
      <c r="A4812" s="3" t="s">
        <v>499</v>
      </c>
      <c r="C4812" s="20" t="n">
        <f aca="false">IF(C4796&gt;0,Assumptions!$C$17,C4792)</f>
        <v>1</v>
      </c>
    </row>
    <row r="4813" customFormat="false" ht="15" hidden="false" customHeight="false" outlineLevel="0" collapsed="false">
      <c r="A4813" s="3" t="s">
        <v>500</v>
      </c>
      <c r="C4813" s="20" t="n">
        <f aca="false">IF(C4797&gt;0,Assumptions!$C$17,C4793)</f>
        <v>2</v>
      </c>
    </row>
    <row r="4814" customFormat="false" ht="15" hidden="false" customHeight="false" outlineLevel="0" collapsed="false">
      <c r="A4814" s="3" t="s">
        <v>501</v>
      </c>
      <c r="C4814" s="20" t="n">
        <f aca="false">IF(C4798&gt;0,Assumptions!$C$17,C4794)</f>
        <v>2</v>
      </c>
    </row>
    <row r="4815" customFormat="false" ht="15" hidden="false" customHeight="false" outlineLevel="0" collapsed="false">
      <c r="A4815" s="23" t="s">
        <v>508</v>
      </c>
      <c r="B4815" s="24"/>
      <c r="C4815" s="24"/>
      <c r="D4815" s="24"/>
      <c r="E4815" s="24"/>
      <c r="F4815" s="24"/>
      <c r="G4815" s="24"/>
      <c r="H4815" s="24"/>
      <c r="I4815" s="24"/>
      <c r="J4815" s="24"/>
      <c r="K4815" s="24"/>
    </row>
    <row r="4816" customFormat="false" ht="15" hidden="false" customHeight="false" outlineLevel="0" collapsed="false">
      <c r="A4816" s="3" t="s">
        <v>499</v>
      </c>
      <c r="C4816" s="25" t="n">
        <f aca="false">SUMPRODUCT(($C$4812:$C$4814&lt;C4812)*$C$4808:$C$4810)</f>
        <v>0</v>
      </c>
    </row>
    <row r="4817" customFormat="false" ht="15" hidden="false" customHeight="false" outlineLevel="0" collapsed="false">
      <c r="A4817" s="3" t="s">
        <v>500</v>
      </c>
      <c r="C4817" s="25" t="n">
        <f aca="false">SUMPRODUCT(($C$4812:$C$4814&lt;C4813)*$C$4808:$C$4810)</f>
        <v>1315.098</v>
      </c>
    </row>
    <row r="4818" customFormat="false" ht="15" hidden="false" customHeight="false" outlineLevel="0" collapsed="false">
      <c r="A4818" s="3" t="s">
        <v>501</v>
      </c>
      <c r="C4818" s="25" t="n">
        <f aca="false">SUMPRODUCT(($C$4812:$C$4814&lt;C4814)*$C$4808:$C$4810)</f>
        <v>1315.098</v>
      </c>
    </row>
    <row r="4819" customFormat="false" ht="15" hidden="false" customHeight="false" outlineLevel="0" collapsed="false">
      <c r="A4819" s="23" t="s">
        <v>509</v>
      </c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</row>
    <row r="4820" customFormat="false" ht="15" hidden="false" customHeight="false" outlineLevel="0" collapsed="false">
      <c r="A4820" s="3" t="s">
        <v>499</v>
      </c>
      <c r="C4820" s="25" t="n">
        <f aca="false">SUMPRODUCT(($C$4812:$C$4814=C4812)*$C$4808:$C$4810)</f>
        <v>1315.098</v>
      </c>
    </row>
    <row r="4821" customFormat="false" ht="15" hidden="false" customHeight="false" outlineLevel="0" collapsed="false">
      <c r="A4821" s="3" t="s">
        <v>500</v>
      </c>
      <c r="C4821" s="25" t="n">
        <f aca="false">SUMPRODUCT(($C$4812:$C$4814=C4813)*$C$4808:$C$4810)</f>
        <v>253.31422806272</v>
      </c>
    </row>
    <row r="4822" customFormat="false" ht="15" hidden="false" customHeight="false" outlineLevel="0" collapsed="false">
      <c r="A4822" s="3" t="s">
        <v>501</v>
      </c>
      <c r="C4822" s="25" t="n">
        <f aca="false">SUMPRODUCT(($C$4812:$C$4814=C4814)*$C$4808:$C$4810)</f>
        <v>253.31422806272</v>
      </c>
    </row>
    <row r="4823" customFormat="false" ht="15" hidden="false" customHeight="false" outlineLevel="0" collapsed="false">
      <c r="A4823" s="23" t="s">
        <v>510</v>
      </c>
      <c r="B4823" s="24"/>
      <c r="C4823" s="24"/>
      <c r="D4823" s="24"/>
      <c r="E4823" s="24"/>
      <c r="F4823" s="24"/>
      <c r="G4823" s="24"/>
      <c r="H4823" s="24"/>
      <c r="I4823" s="24"/>
      <c r="J4823" s="24"/>
      <c r="K4823" s="24"/>
    </row>
    <row r="4824" customFormat="false" ht="15" hidden="false" customHeight="false" outlineLevel="0" collapsed="false">
      <c r="A4824" s="3" t="s">
        <v>499</v>
      </c>
      <c r="C4824" s="25" t="n">
        <f aca="false">IF(C4820=0,0,C4808/C4820*MAX(0,MIN(C4820,$C$4786-SUM($C$4800:$C$4802)-C4816)))</f>
        <v>305.981717184</v>
      </c>
    </row>
    <row r="4825" customFormat="false" ht="15" hidden="false" customHeight="false" outlineLevel="0" collapsed="false">
      <c r="A4825" s="3" t="s">
        <v>500</v>
      </c>
      <c r="C4825" s="25" t="n">
        <f aca="false">IF(C4821=0,0,C4809/C4821*MAX(0,MIN(C4821,$C$4786-SUM($C$4800:$C$4802)-C4817)))</f>
        <v>0</v>
      </c>
    </row>
    <row r="4826" customFormat="false" ht="15" hidden="false" customHeight="false" outlineLevel="0" collapsed="false">
      <c r="A4826" s="3" t="s">
        <v>501</v>
      </c>
      <c r="C4826" s="25" t="n">
        <f aca="false">IF(C4822=0,0,C4810/C4822*MAX(0,MIN(C4822,$C$4786-SUM($C$4800:$C$4802)-C4818)))</f>
        <v>0</v>
      </c>
    </row>
    <row r="4827" customFormat="false" ht="15" hidden="false" customHeight="false" outlineLevel="0" collapsed="false">
      <c r="A4827" s="23" t="s">
        <v>511</v>
      </c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</row>
    <row r="4828" customFormat="false" ht="15" hidden="false" customHeight="false" outlineLevel="0" collapsed="false">
      <c r="A4828" s="2" t="s">
        <v>499</v>
      </c>
      <c r="C4828" s="16" t="n">
        <f aca="false">C4800+C4824</f>
        <v>305.981717184</v>
      </c>
    </row>
    <row r="4829" customFormat="false" ht="15" hidden="false" customHeight="false" outlineLevel="0" collapsed="false">
      <c r="A4829" s="2" t="s">
        <v>500</v>
      </c>
      <c r="C4829" s="16" t="n">
        <f aca="false">C4801+C4825</f>
        <v>0</v>
      </c>
    </row>
    <row r="4830" customFormat="false" ht="15" hidden="false" customHeight="false" outlineLevel="0" collapsed="false">
      <c r="A4830" s="2" t="s">
        <v>501</v>
      </c>
      <c r="C4830" s="16" t="n">
        <f aca="false">C4802+C4826</f>
        <v>0</v>
      </c>
    </row>
    <row r="4831" customFormat="false" ht="15" hidden="false" customHeight="false" outlineLevel="0" collapsed="false">
      <c r="A4831" s="23" t="s">
        <v>512</v>
      </c>
      <c r="B4831" s="24"/>
      <c r="C4831" s="24"/>
      <c r="D4831" s="24"/>
      <c r="E4831" s="24"/>
      <c r="F4831" s="24"/>
      <c r="G4831" s="24"/>
      <c r="H4831" s="24"/>
      <c r="I4831" s="24"/>
      <c r="J4831" s="24"/>
      <c r="K4831" s="24"/>
    </row>
    <row r="4832" customFormat="false" ht="15" hidden="false" customHeight="false" outlineLevel="0" collapsed="false">
      <c r="A4832" s="3" t="s">
        <v>499</v>
      </c>
      <c r="C4832" s="21" t="n">
        <f aca="false">IF(C4788=0,1,C4828/C4788)</f>
        <v>0.232668376945292</v>
      </c>
    </row>
    <row r="4833" customFormat="false" ht="15" hidden="false" customHeight="false" outlineLevel="0" collapsed="false">
      <c r="A4833" s="3" t="s">
        <v>500</v>
      </c>
      <c r="C4833" s="21" t="n">
        <f aca="false">IF(C4789=0,1,C4829/C4789)</f>
        <v>0</v>
      </c>
    </row>
    <row r="4834" customFormat="false" ht="15" hidden="false" customHeight="false" outlineLevel="0" collapsed="false">
      <c r="A4834" s="3" t="s">
        <v>501</v>
      </c>
      <c r="C4834" s="21" t="n">
        <f aca="false">IF(C4790=0,1,C4830/C4790)</f>
        <v>0</v>
      </c>
    </row>
    <row r="4835" customFormat="false" ht="15" hidden="false" customHeight="false" outlineLevel="0" collapsed="false">
      <c r="A4835" s="23" t="s">
        <v>513</v>
      </c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</row>
    <row r="4836" customFormat="false" ht="15" hidden="false" customHeight="false" outlineLevel="0" collapsed="false">
      <c r="A4836" s="3" t="s">
        <v>499</v>
      </c>
      <c r="C4836" s="25" t="n">
        <f aca="false">C4788-C4828</f>
        <v>1009.116282816</v>
      </c>
    </row>
    <row r="4837" customFormat="false" ht="15" hidden="false" customHeight="false" outlineLevel="0" collapsed="false">
      <c r="A4837" s="3" t="s">
        <v>500</v>
      </c>
      <c r="C4837" s="25" t="n">
        <f aca="false">C4789-C4829</f>
        <v>109.56422806272</v>
      </c>
    </row>
    <row r="4838" customFormat="false" ht="15" hidden="false" customHeight="false" outlineLevel="0" collapsed="false">
      <c r="A4838" s="3" t="s">
        <v>501</v>
      </c>
      <c r="C4838" s="25" t="n">
        <f aca="false">C4790-C4830</f>
        <v>143.75</v>
      </c>
    </row>
    <row r="4839" customFormat="false" ht="15" hidden="false" customHeight="false" outlineLevel="0" collapsed="false">
      <c r="A4839" s="23" t="s">
        <v>514</v>
      </c>
      <c r="B4839" s="24"/>
      <c r="C4839" s="24"/>
      <c r="D4839" s="24"/>
      <c r="E4839" s="24"/>
      <c r="F4839" s="24"/>
      <c r="G4839" s="24"/>
      <c r="H4839" s="24"/>
      <c r="I4839" s="24"/>
      <c r="J4839" s="24"/>
      <c r="K4839" s="24"/>
    </row>
    <row r="4840" customFormat="false" ht="15" hidden="false" customHeight="false" outlineLevel="0" collapsed="false">
      <c r="A4840" s="3" t="s">
        <v>499</v>
      </c>
      <c r="C4840" s="21" t="n">
        <f aca="false">IF(C4788=0,0,C4836/C4788)</f>
        <v>0.767331623054708</v>
      </c>
    </row>
    <row r="4841" customFormat="false" ht="15" hidden="false" customHeight="false" outlineLevel="0" collapsed="false">
      <c r="A4841" s="3" t="s">
        <v>500</v>
      </c>
      <c r="C4841" s="21" t="n">
        <f aca="false">IF(C4789=0,0,C4837/C4789)</f>
        <v>1</v>
      </c>
    </row>
    <row r="4842" customFormat="false" ht="15" hidden="false" customHeight="false" outlineLevel="0" collapsed="false">
      <c r="A4842" s="3" t="s">
        <v>501</v>
      </c>
      <c r="C4842" s="21" t="n">
        <f aca="false">IF(C4790=0,0,C4838/C4790)</f>
        <v>1</v>
      </c>
    </row>
    <row r="4843" customFormat="false" ht="15" hidden="false" customHeight="false" outlineLevel="0" collapsed="false">
      <c r="A4843" s="2" t="s">
        <v>515</v>
      </c>
      <c r="C4843" s="16" t="n">
        <f aca="false">MAX(0,$C$4786-SUM($C$4800:$C$4802)-SUM($C$4808:$C$4810))</f>
        <v>0</v>
      </c>
    </row>
    <row r="4844" customFormat="false" ht="15" hidden="false" customHeight="false" outlineLevel="0" collapsed="false">
      <c r="A4844" s="3" t="s">
        <v>533</v>
      </c>
      <c r="C4844" s="34" t="n">
        <f aca="false">MIN(C4785,100*CHOOSE(C4775,C4832,C4833,C4834))</f>
        <v>23.2668376945292</v>
      </c>
    </row>
    <row r="4845" customFormat="false" ht="15" hidden="false" customHeight="false" outlineLevel="0" collapsed="false">
      <c r="A4845" s="3" t="s">
        <v>534</v>
      </c>
      <c r="C4845" s="20" t="n">
        <f aca="false">IF(C4705=1,C4780+Assumptions!$C$39,C4779)</f>
        <v>4</v>
      </c>
    </row>
    <row r="4846" customFormat="false" ht="15" hidden="false" customHeight="false" outlineLevel="0" collapsed="false">
      <c r="A4846" s="23" t="s">
        <v>535</v>
      </c>
      <c r="B4846" s="24"/>
      <c r="C4846" s="24"/>
      <c r="D4846" s="24"/>
      <c r="E4846" s="24"/>
      <c r="F4846" s="24"/>
      <c r="G4846" s="24"/>
      <c r="H4846" s="24"/>
      <c r="I4846" s="24"/>
      <c r="J4846" s="24"/>
      <c r="K4846" s="24"/>
    </row>
    <row r="4847" customFormat="false" ht="15" hidden="false" customHeight="false" outlineLevel="0" collapsed="false">
      <c r="A4847" s="3" t="s">
        <v>536</v>
      </c>
      <c r="C4847" s="20" t="n">
        <f aca="false">COLUMN()-COLUMN($C$1)</f>
        <v>0</v>
      </c>
      <c r="D4847" s="20" t="n">
        <f aca="false">COLUMN()-COLUMN($C$1)</f>
        <v>1</v>
      </c>
      <c r="E4847" s="20" t="n">
        <f aca="false">COLUMN()-COLUMN($C$1)</f>
        <v>2</v>
      </c>
      <c r="F4847" s="20" t="n">
        <f aca="false">COLUMN()-COLUMN($C$1)</f>
        <v>3</v>
      </c>
      <c r="G4847" s="20" t="n">
        <f aca="false">COLUMN()-COLUMN($C$1)</f>
        <v>4</v>
      </c>
      <c r="H4847" s="20" t="n">
        <f aca="false">COLUMN()-COLUMN($C$1)</f>
        <v>5</v>
      </c>
      <c r="I4847" s="20" t="n">
        <f aca="false">COLUMN()-COLUMN($C$1)</f>
        <v>6</v>
      </c>
    </row>
    <row r="4848" customFormat="false" ht="15" hidden="false" customHeight="false" outlineLevel="0" collapsed="false">
      <c r="A4848" s="3" t="s">
        <v>537</v>
      </c>
      <c r="D4848" s="31" t="n">
        <f aca="false">CHOOSE($C$4775,G4588,G4601,G4614)</f>
        <v>0.105</v>
      </c>
      <c r="E4848" s="31" t="n">
        <f aca="false">CHOOSE($C$4775,H4588,H4601,H4614)</f>
        <v>0.105</v>
      </c>
      <c r="F4848" s="31" t="n">
        <f aca="false">CHOOSE($C$4775,I4588,I4601,I4614)</f>
        <v>0.105</v>
      </c>
      <c r="G4848" s="31" t="n">
        <f aca="false">CHOOSE($C$4775,J4588,J4601,J4614)</f>
        <v>0.105</v>
      </c>
      <c r="H4848" s="31" t="n">
        <f aca="false">CHOOSE($C$4775,K4588,K4601,K4614)</f>
        <v>0.105</v>
      </c>
    </row>
    <row r="4849" customFormat="false" ht="15" hidden="false" customHeight="false" outlineLevel="0" collapsed="false">
      <c r="A4849" s="3" t="s">
        <v>538</v>
      </c>
      <c r="D4849" s="25" t="n">
        <f aca="false">IF(D4847&lt;=$C$4784,$C$4776*D4848,0)</f>
        <v>10.5</v>
      </c>
      <c r="E4849" s="25" t="n">
        <f aca="false">IF(E4847&lt;=$C$4784,$C$4776*E4848,0)</f>
        <v>10.5</v>
      </c>
      <c r="F4849" s="25" t="n">
        <f aca="false">IF(F4847&lt;=$C$4784,$C$4776*F4848,0)</f>
        <v>10.5</v>
      </c>
      <c r="G4849" s="25" t="n">
        <f aca="false">IF(G4847&lt;=$C$4784,$C$4776*G4848,0)</f>
        <v>0</v>
      </c>
      <c r="H4849" s="25" t="n">
        <f aca="false">IF(H4847&lt;=$C$4784,$C$4776*H4848,0)</f>
        <v>0</v>
      </c>
    </row>
    <row r="4850" customFormat="false" ht="15" hidden="false" customHeight="false" outlineLevel="0" collapsed="false">
      <c r="A4850" s="3" t="s">
        <v>539</v>
      </c>
      <c r="D4850" s="25" t="n">
        <f aca="false">IF(AND($C$4705=0,D4847=$C$4779),$C$4776*$C$4844/100,0)+IF(AND($C$4705=1,D4847=$C$4845),$C$4782,0)</f>
        <v>0</v>
      </c>
      <c r="E4850" s="25" t="n">
        <f aca="false">IF(AND($C$4705=0,E4847=$C$4779),$C$4776*$C$4844/100,0)+IF(AND($C$4705=1,E4847=$C$4845),$C$4782,0)</f>
        <v>0</v>
      </c>
      <c r="F4850" s="25" t="n">
        <f aca="false">IF(AND($C$4705=0,F4847=$C$4779),$C$4776*$C$4844/100,0)+IF(AND($C$4705=1,F4847=$C$4845),$C$4782,0)</f>
        <v>0</v>
      </c>
      <c r="G4850" s="25" t="n">
        <f aca="false">IF(AND($C$4705=0,G4847=$C$4779),$C$4776*$C$4844/100,0)+IF(AND($C$4705=1,G4847=$C$4845),$C$4782,0)</f>
        <v>34.945728090226</v>
      </c>
      <c r="H4850" s="25" t="n">
        <f aca="false">IF(AND($C$4705=0,H4847=$C$4779),$C$4776*$C$4844/100,0)+IF(AND($C$4705=1,H4847=$C$4845),$C$4782,0)</f>
        <v>0</v>
      </c>
      <c r="I4850" s="25" t="n">
        <f aca="false">IF(AND($C$4705=0,I4847=$C$4779),$C$4776*$C$4844/100,0)+IF(AND($C$4705=1,I4847=$C$4845),$C$4782,0)</f>
        <v>0</v>
      </c>
    </row>
    <row r="4851" customFormat="false" ht="15" hidden="false" customHeight="false" outlineLevel="0" collapsed="false">
      <c r="A4851" s="2" t="s">
        <v>540</v>
      </c>
      <c r="C4851" s="16" t="n">
        <f aca="false">-$C$4778</f>
        <v>-95</v>
      </c>
      <c r="D4851" s="16" t="n">
        <f aca="false">D4849+D4850</f>
        <v>10.5</v>
      </c>
      <c r="E4851" s="16" t="n">
        <f aca="false">E4849+E4850</f>
        <v>10.5</v>
      </c>
      <c r="F4851" s="16" t="n">
        <f aca="false">F4849+F4850</f>
        <v>10.5</v>
      </c>
      <c r="G4851" s="16" t="n">
        <f aca="false">G4849+G4850</f>
        <v>34.945728090226</v>
      </c>
      <c r="H4851" s="16" t="n">
        <f aca="false">H4849+H4850</f>
        <v>0</v>
      </c>
      <c r="I4851" s="16" t="n">
        <f aca="false">I4849+I4850</f>
        <v>0</v>
      </c>
    </row>
    <row r="4852" customFormat="false" ht="15" hidden="false" customHeight="false" outlineLevel="0" collapsed="false">
      <c r="A4852" s="3" t="s">
        <v>541</v>
      </c>
      <c r="C4852" s="25" t="n">
        <f aca="false">SUM($C$4849:$I$4849)</f>
        <v>31.5</v>
      </c>
    </row>
    <row r="4853" customFormat="false" ht="15" hidden="false" customHeight="false" outlineLevel="0" collapsed="false">
      <c r="A4853" s="3" t="s">
        <v>542</v>
      </c>
      <c r="C4853" s="25" t="n">
        <f aca="false">SUM($C$4850:$I$4850)</f>
        <v>34.945728090226</v>
      </c>
    </row>
    <row r="4854" customFormat="false" ht="15" hidden="false" customHeight="false" outlineLevel="0" collapsed="false">
      <c r="A4854" s="3" t="s">
        <v>543</v>
      </c>
      <c r="C4854" s="25" t="n">
        <f aca="false">C4852+C4853</f>
        <v>66.445728090226</v>
      </c>
    </row>
    <row r="4855" customFormat="false" ht="15" hidden="false" customHeight="false" outlineLevel="0" collapsed="false">
      <c r="A4855" s="3" t="s">
        <v>544</v>
      </c>
      <c r="C4855" s="25" t="n">
        <f aca="false">C4853-C4776*C4777/100</f>
        <v>-60.054271909774</v>
      </c>
    </row>
    <row r="4856" customFormat="false" ht="15" hidden="false" customHeight="false" outlineLevel="0" collapsed="false">
      <c r="A4856" s="3" t="s">
        <v>545</v>
      </c>
      <c r="C4856" s="25" t="n">
        <f aca="false">C4854-C4778</f>
        <v>-28.554271909774</v>
      </c>
    </row>
    <row r="4857" customFormat="false" ht="15" hidden="false" customHeight="false" outlineLevel="0" collapsed="false">
      <c r="A4857" s="2" t="s">
        <v>427</v>
      </c>
      <c r="C4857" s="44" t="n">
        <f aca="false">C4854/C4778</f>
        <v>0.699428716739221</v>
      </c>
    </row>
    <row r="4858" customFormat="false" ht="15" hidden="false" customHeight="false" outlineLevel="0" collapsed="false">
      <c r="A4858" s="2" t="s">
        <v>426</v>
      </c>
      <c r="C4858" s="42" t="n">
        <f aca="false">IF(C4854&lt;=0,-1,IFERROR(IRR($C$4851:$I$4851,MAX(-0.9,C4857^(1/C4845)-1)),IRR($C$4851:$I$4851,0.1)))</f>
        <v>-0.10811295237651</v>
      </c>
    </row>
    <row r="4859" customFormat="false" ht="15" hidden="false" customHeight="false" outlineLevel="0" collapsed="false">
      <c r="A4859" s="3" t="s">
        <v>546</v>
      </c>
      <c r="C4859" s="32" t="n">
        <f aca="false">MAX($G$4665:$K$4665)</f>
        <v>27.2183249031277</v>
      </c>
    </row>
    <row r="4860" customFormat="false" ht="15" hidden="false" customHeight="false" outlineLevel="0" collapsed="false">
      <c r="A4860" s="3" t="s">
        <v>547</v>
      </c>
      <c r="C4860" s="32" t="n">
        <f aca="false">MIN($G$4666:$K$4666)</f>
        <v>0.44442551914376</v>
      </c>
    </row>
    <row r="4861" customFormat="false" ht="15" hidden="false" customHeight="false" outlineLevel="0" collapsed="false">
      <c r="A4861" s="3" t="s">
        <v>548</v>
      </c>
      <c r="C4861" s="25" t="n">
        <f aca="false">SUM($G$4572:$K$4572)</f>
        <v>-529.022577188451</v>
      </c>
    </row>
    <row r="4865" customFormat="false" ht="15" hidden="false" customHeight="false" outlineLevel="0" collapsed="false">
      <c r="A4865" s="9" t="s">
        <v>1029</v>
      </c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</row>
    <row r="4866" customFormat="false" ht="15" hidden="false" customHeight="false" outlineLevel="0" collapsed="false">
      <c r="A4866" s="3" t="s">
        <v>1010</v>
      </c>
      <c r="C4866" s="11" t="n">
        <v>3</v>
      </c>
    </row>
    <row r="4867" customFormat="false" ht="15" hidden="false" customHeight="false" outlineLevel="0" collapsed="false">
      <c r="A4867" s="3" t="s">
        <v>1011</v>
      </c>
      <c r="C4867" s="18" t="n">
        <v>0</v>
      </c>
    </row>
    <row r="4868" customFormat="false" ht="15" hidden="false" customHeight="false" outlineLevel="0" collapsed="false">
      <c r="A4868" s="3" t="s">
        <v>1012</v>
      </c>
      <c r="C4868" s="30" t="n">
        <f aca="false">Sensitivities!$A$32</f>
        <v>0</v>
      </c>
    </row>
    <row r="4869" customFormat="false" ht="15" hidden="false" customHeight="false" outlineLevel="0" collapsed="false">
      <c r="A4869" s="3" t="s">
        <v>1013</v>
      </c>
      <c r="C4869" s="18" t="n">
        <v>0</v>
      </c>
    </row>
    <row r="4870" customFormat="false" ht="15" hidden="false" customHeight="false" outlineLevel="0" collapsed="false">
      <c r="A4870" s="3" t="s">
        <v>1014</v>
      </c>
      <c r="C4870" s="15" t="n">
        <v>0</v>
      </c>
    </row>
    <row r="4872" customFormat="false" ht="15" hidden="false" customHeight="false" outlineLevel="0" collapsed="false">
      <c r="A4872" s="23" t="s">
        <v>281</v>
      </c>
      <c r="B4872" s="24"/>
      <c r="C4872" s="24"/>
      <c r="D4872" s="24"/>
      <c r="E4872" s="24"/>
      <c r="F4872" s="24"/>
      <c r="G4872" s="24"/>
      <c r="H4872" s="24"/>
      <c r="I4872" s="24"/>
      <c r="J4872" s="24"/>
      <c r="K4872" s="24"/>
    </row>
    <row r="4873" customFormat="false" ht="15" hidden="false" customHeight="false" outlineLevel="0" collapsed="false">
      <c r="A4873" s="3" t="s">
        <v>282</v>
      </c>
      <c r="F4873" s="27" t="n">
        <f aca="false">Assumptions!$C$6</f>
        <v>2026</v>
      </c>
      <c r="G4873" s="20" t="n">
        <f aca="false">F4873+1</f>
        <v>2027</v>
      </c>
      <c r="H4873" s="20" t="n">
        <f aca="false">G4873+1</f>
        <v>2028</v>
      </c>
      <c r="I4873" s="20" t="n">
        <f aca="false">H4873+1</f>
        <v>2029</v>
      </c>
      <c r="J4873" s="20" t="n">
        <f aca="false">I4873+1</f>
        <v>2030</v>
      </c>
      <c r="K4873" s="20" t="n">
        <f aca="false">J4873+1</f>
        <v>2031</v>
      </c>
    </row>
    <row r="4874" customFormat="false" ht="15" hidden="false" customHeight="false" outlineLevel="0" collapsed="false">
      <c r="A4874" s="3" t="s">
        <v>283</v>
      </c>
      <c r="G4874" s="20" t="n">
        <f aca="false">G4873-Assumptions!$C$6</f>
        <v>1</v>
      </c>
      <c r="H4874" s="20" t="n">
        <f aca="false">H4873-Assumptions!$C$6</f>
        <v>2</v>
      </c>
      <c r="I4874" s="20" t="n">
        <f aca="false">I4873-Assumptions!$C$6</f>
        <v>3</v>
      </c>
      <c r="J4874" s="20" t="n">
        <f aca="false">J4873-Assumptions!$C$6</f>
        <v>4</v>
      </c>
      <c r="K4874" s="20" t="n">
        <f aca="false">K4873-Assumptions!$C$6</f>
        <v>5</v>
      </c>
    </row>
    <row r="4875" customFormat="false" ht="15" hidden="false" customHeight="false" outlineLevel="0" collapsed="false">
      <c r="A4875" s="3" t="s">
        <v>165</v>
      </c>
      <c r="G4875" s="21" t="n">
        <f aca="false">CHOOSE($C$4866,Assumptions!$G$71,Assumptions!$G$90,Assumptions!$G$109)+$C$4867</f>
        <v>-0.14</v>
      </c>
      <c r="H4875" s="21" t="n">
        <f aca="false">CHOOSE($C$4866,Assumptions!$H$71,Assumptions!$H$90,Assumptions!$H$109)+$C$4867</f>
        <v>-0.12</v>
      </c>
      <c r="I4875" s="21" t="n">
        <f aca="false">CHOOSE($C$4866,Assumptions!$I$71,Assumptions!$I$90,Assumptions!$I$109)+$C$4867</f>
        <v>-0.1</v>
      </c>
      <c r="J4875" s="21" t="n">
        <f aca="false">CHOOSE($C$4866,Assumptions!$J$71,Assumptions!$J$90,Assumptions!$J$109)+$C$4867</f>
        <v>-0.08</v>
      </c>
      <c r="K4875" s="21" t="n">
        <f aca="false">CHOOSE($C$4866,Assumptions!$K$71,Assumptions!$K$90,Assumptions!$K$109)+$C$4867</f>
        <v>-0.06</v>
      </c>
    </row>
    <row r="4876" customFormat="false" ht="15" hidden="false" customHeight="false" outlineLevel="0" collapsed="false">
      <c r="A4876" s="3" t="s">
        <v>166</v>
      </c>
      <c r="G4876" s="21" t="n">
        <f aca="false">CHOOSE($C$4866,Assumptions!$G$72,Assumptions!$G$91,Assumptions!$G$110)</f>
        <v>0.433246670103635</v>
      </c>
      <c r="H4876" s="21" t="n">
        <f aca="false">CHOOSE($C$4866,Assumptions!$H$72,Assumptions!$H$91,Assumptions!$H$110)</f>
        <v>0.418246670103635</v>
      </c>
      <c r="I4876" s="21" t="n">
        <f aca="false">CHOOSE($C$4866,Assumptions!$I$72,Assumptions!$I$91,Assumptions!$I$110)</f>
        <v>0.413246670103635</v>
      </c>
      <c r="J4876" s="21" t="n">
        <f aca="false">CHOOSE($C$4866,Assumptions!$J$72,Assumptions!$J$91,Assumptions!$J$110)</f>
        <v>0.413246670103635</v>
      </c>
      <c r="K4876" s="21" t="n">
        <f aca="false">CHOOSE($C$4866,Assumptions!$K$72,Assumptions!$K$91,Assumptions!$K$110)</f>
        <v>0.413246670103635</v>
      </c>
    </row>
    <row r="4877" customFormat="false" ht="15" hidden="false" customHeight="false" outlineLevel="0" collapsed="false">
      <c r="A4877" s="3" t="s">
        <v>167</v>
      </c>
      <c r="G4877" s="21" t="n">
        <f aca="false">CHOOSE($C$4866,Assumptions!$G$73,Assumptions!$G$92,Assumptions!$G$111)+$C$4868</f>
        <v>0.09</v>
      </c>
      <c r="H4877" s="21" t="n">
        <f aca="false">CHOOSE($C$4866,Assumptions!$H$73,Assumptions!$H$92,Assumptions!$H$111)+$C$4868</f>
        <v>0.075</v>
      </c>
      <c r="I4877" s="21" t="n">
        <f aca="false">CHOOSE($C$4866,Assumptions!$I$73,Assumptions!$I$92,Assumptions!$I$111)+$C$4868</f>
        <v>0.07</v>
      </c>
      <c r="J4877" s="21" t="n">
        <f aca="false">CHOOSE($C$4866,Assumptions!$J$73,Assumptions!$J$92,Assumptions!$J$111)+$C$4868</f>
        <v>0.07</v>
      </c>
      <c r="K4877" s="21" t="n">
        <f aca="false">CHOOSE($C$4866,Assumptions!$K$73,Assumptions!$K$92,Assumptions!$K$111)+$C$4868</f>
        <v>0.07</v>
      </c>
    </row>
    <row r="4878" customFormat="false" ht="15" hidden="false" customHeight="false" outlineLevel="0" collapsed="false">
      <c r="A4878" s="23" t="s">
        <v>284</v>
      </c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</row>
    <row r="4879" customFormat="false" ht="15" hidden="false" customHeight="false" outlineLevel="0" collapsed="false">
      <c r="A4879" s="2" t="s">
        <v>256</v>
      </c>
      <c r="F4879" s="28" t="n">
        <f aca="false">'Historical Financials'!G23</f>
        <v>2246.166</v>
      </c>
      <c r="G4879" s="16" t="n">
        <f aca="false">F4879*(1+G4875)</f>
        <v>1931.70276</v>
      </c>
      <c r="H4879" s="16" t="n">
        <f aca="false">G4879*(1+H4875)</f>
        <v>1699.8984288</v>
      </c>
      <c r="I4879" s="16" t="n">
        <f aca="false">H4879*(1+I4875)</f>
        <v>1529.90858592</v>
      </c>
      <c r="J4879" s="16" t="n">
        <f aca="false">I4879*(1+J4875)</f>
        <v>1407.5158990464</v>
      </c>
      <c r="K4879" s="16" t="n">
        <f aca="false">J4879*(1+K4875)</f>
        <v>1323.06494510362</v>
      </c>
    </row>
    <row r="4880" customFormat="false" ht="15" hidden="false" customHeight="false" outlineLevel="0" collapsed="false">
      <c r="A4880" s="3" t="s">
        <v>257</v>
      </c>
      <c r="G4880" s="25" t="n">
        <f aca="false">G4879*(1-G4876)</f>
        <v>1094.7989716</v>
      </c>
      <c r="H4880" s="25" t="n">
        <f aca="false">H4879*(1-H4876)</f>
        <v>988.92157144</v>
      </c>
      <c r="I4880" s="25" t="n">
        <f aca="false">I4879*(1-I4876)</f>
        <v>897.6789572256</v>
      </c>
      <c r="J4880" s="25" t="n">
        <f aca="false">J4879*(1-J4876)</f>
        <v>825.864640647552</v>
      </c>
      <c r="K4880" s="25" t="n">
        <f aca="false">K4879*(1-K4876)</f>
        <v>776.312762208699</v>
      </c>
    </row>
    <row r="4881" customFormat="false" ht="15" hidden="false" customHeight="false" outlineLevel="0" collapsed="false">
      <c r="A4881" s="2" t="s">
        <v>258</v>
      </c>
      <c r="G4881" s="16" t="n">
        <f aca="false">G4879-G4880</f>
        <v>836.9037884</v>
      </c>
      <c r="H4881" s="16" t="n">
        <f aca="false">H4879-H4880</f>
        <v>710.97685736</v>
      </c>
      <c r="I4881" s="16" t="n">
        <f aca="false">I4879-I4880</f>
        <v>632.2296286944</v>
      </c>
      <c r="J4881" s="16" t="n">
        <f aca="false">J4879-J4880</f>
        <v>581.651258398848</v>
      </c>
      <c r="K4881" s="16" t="n">
        <f aca="false">K4879-K4880</f>
        <v>546.752182894917</v>
      </c>
    </row>
    <row r="4882" customFormat="false" ht="15" hidden="false" customHeight="false" outlineLevel="0" collapsed="false">
      <c r="A4882" s="3" t="s">
        <v>285</v>
      </c>
      <c r="G4882" s="25" t="n">
        <f aca="false">G4881-G4883</f>
        <v>663.05054</v>
      </c>
      <c r="H4882" s="25" t="n">
        <f aca="false">H4881-H4883</f>
        <v>583.4844752</v>
      </c>
      <c r="I4882" s="25" t="n">
        <f aca="false">I4881-I4883</f>
        <v>525.13602768</v>
      </c>
      <c r="J4882" s="25" t="n">
        <f aca="false">J4881-J4883</f>
        <v>483.1251454656</v>
      </c>
      <c r="K4882" s="25" t="n">
        <f aca="false">K4881-K4883</f>
        <v>454.137636737664</v>
      </c>
    </row>
    <row r="4883" customFormat="false" ht="15" hidden="false" customHeight="false" outlineLevel="0" collapsed="false">
      <c r="A4883" s="2" t="s">
        <v>286</v>
      </c>
      <c r="G4883" s="16" t="n">
        <f aca="false">G4879*G4877</f>
        <v>173.8532484</v>
      </c>
      <c r="H4883" s="16" t="n">
        <f aca="false">H4879*H4877</f>
        <v>127.49238216</v>
      </c>
      <c r="I4883" s="16" t="n">
        <f aca="false">I4879*I4877</f>
        <v>107.0936010144</v>
      </c>
      <c r="J4883" s="16" t="n">
        <f aca="false">J4879*J4877</f>
        <v>98.526112933248</v>
      </c>
      <c r="K4883" s="16" t="n">
        <f aca="false">K4879*K4877</f>
        <v>92.6145461572531</v>
      </c>
    </row>
    <row r="4884" customFormat="false" ht="15" hidden="false" customHeight="false" outlineLevel="0" collapsed="false">
      <c r="A4884" s="3" t="s">
        <v>287</v>
      </c>
      <c r="G4884" s="25" t="n">
        <f aca="false">G4879*'Historical Financials'!G28/'Historical Financials'!G23</f>
        <v>73.35456</v>
      </c>
      <c r="H4884" s="25" t="n">
        <f aca="false">H4879*'Historical Financials'!G28/'Historical Financials'!G23</f>
        <v>64.5520128</v>
      </c>
      <c r="I4884" s="25" t="n">
        <f aca="false">I4879*'Historical Financials'!G28/'Historical Financials'!G23</f>
        <v>58.09681152</v>
      </c>
      <c r="J4884" s="25" t="n">
        <f aca="false">J4879*'Historical Financials'!G28/'Historical Financials'!G23</f>
        <v>53.4490665984</v>
      </c>
      <c r="K4884" s="25" t="n">
        <f aca="false">K4879*'Historical Financials'!G28/'Historical Financials'!G23</f>
        <v>50.242122602496</v>
      </c>
    </row>
    <row r="4885" customFormat="false" ht="15" hidden="false" customHeight="false" outlineLevel="0" collapsed="false">
      <c r="A4885" s="3" t="s">
        <v>288</v>
      </c>
      <c r="G4885" s="25" t="n">
        <f aca="false">G4879*'Historical Financials'!G29/'Historical Financials'!G23</f>
        <v>20.94616</v>
      </c>
      <c r="H4885" s="25" t="n">
        <f aca="false">H4879*'Historical Financials'!G29/'Historical Financials'!G23</f>
        <v>18.4326208</v>
      </c>
      <c r="I4885" s="25" t="n">
        <f aca="false">I4879*'Historical Financials'!G29/'Historical Financials'!G23</f>
        <v>16.58935872</v>
      </c>
      <c r="J4885" s="25" t="n">
        <f aca="false">J4879*'Historical Financials'!G29/'Historical Financials'!G23</f>
        <v>15.2622100224</v>
      </c>
      <c r="K4885" s="25" t="n">
        <f aca="false">K4879*'Historical Financials'!G29/'Historical Financials'!G23</f>
        <v>14.346477421056</v>
      </c>
    </row>
    <row r="4886" customFormat="false" ht="15" hidden="false" customHeight="false" outlineLevel="0" collapsed="false">
      <c r="A4886" s="2" t="s">
        <v>289</v>
      </c>
      <c r="G4886" s="16" t="n">
        <f aca="false">G4883-G4884-G4885</f>
        <v>79.5525284</v>
      </c>
      <c r="H4886" s="16" t="n">
        <f aca="false">H4883-H4884-H4885</f>
        <v>44.50774856</v>
      </c>
      <c r="I4886" s="16" t="n">
        <f aca="false">I4883-I4884-I4885</f>
        <v>32.4074307744</v>
      </c>
      <c r="J4886" s="16" t="n">
        <f aca="false">J4883-J4884-J4885</f>
        <v>29.814836312448</v>
      </c>
      <c r="K4886" s="16" t="n">
        <f aca="false">K4883-K4884-K4885</f>
        <v>28.0259461337011</v>
      </c>
    </row>
    <row r="4887" customFormat="false" ht="15" hidden="false" customHeight="false" outlineLevel="0" collapsed="false">
      <c r="A4887" s="3" t="s">
        <v>290</v>
      </c>
      <c r="G4887" s="25" t="n">
        <f aca="false">G4913+G4926+G4939</f>
        <v>155.95467</v>
      </c>
      <c r="H4887" s="25" t="n">
        <f aca="false">H4913+H4926+H4939</f>
        <v>155.95467</v>
      </c>
      <c r="I4887" s="25" t="n">
        <f aca="false">I4913+I4926+I4939</f>
        <v>155.95467</v>
      </c>
      <c r="J4887" s="25" t="n">
        <f aca="false">J4913+J4926+J4939</f>
        <v>144.463861384154</v>
      </c>
      <c r="K4887" s="25" t="n">
        <f aca="false">K4913+K4926+K4939</f>
        <v>144.463861384154</v>
      </c>
    </row>
    <row r="4888" customFormat="false" ht="15" hidden="false" customHeight="false" outlineLevel="0" collapsed="false">
      <c r="A4888" s="3" t="s">
        <v>291</v>
      </c>
      <c r="G4888" s="25" t="n">
        <f aca="false">G4914+G4927+G4940</f>
        <v>0</v>
      </c>
      <c r="H4888" s="25" t="n">
        <f aca="false">H4914+H4927+H4940</f>
        <v>0</v>
      </c>
      <c r="I4888" s="25" t="n">
        <f aca="false">I4914+I4927+I4940</f>
        <v>0</v>
      </c>
      <c r="J4888" s="25" t="n">
        <f aca="false">J4914+J4927+J4940</f>
        <v>0</v>
      </c>
      <c r="K4888" s="25" t="n">
        <f aca="false">K4914+K4927+K4940</f>
        <v>0</v>
      </c>
    </row>
    <row r="4889" customFormat="false" ht="15" hidden="false" customHeight="false" outlineLevel="0" collapsed="false">
      <c r="A4889" s="3" t="s">
        <v>239</v>
      </c>
      <c r="G4889" s="25" t="n">
        <f aca="false">G4887+G4888</f>
        <v>155.95467</v>
      </c>
      <c r="H4889" s="25" t="n">
        <f aca="false">H4887+H4888</f>
        <v>155.95467</v>
      </c>
      <c r="I4889" s="25" t="n">
        <f aca="false">I4887+I4888</f>
        <v>155.95467</v>
      </c>
      <c r="J4889" s="25" t="n">
        <f aca="false">J4887+J4888</f>
        <v>144.463861384154</v>
      </c>
      <c r="K4889" s="25" t="n">
        <f aca="false">K4887+K4888</f>
        <v>144.463861384154</v>
      </c>
    </row>
    <row r="4890" customFormat="false" ht="15" hidden="false" customHeight="false" outlineLevel="0" collapsed="false">
      <c r="A4890" s="2" t="s">
        <v>264</v>
      </c>
      <c r="G4890" s="16" t="n">
        <f aca="false">G4886-G4889</f>
        <v>-76.4021416</v>
      </c>
      <c r="H4890" s="16" t="n">
        <f aca="false">H4886-H4889</f>
        <v>-111.44692144</v>
      </c>
      <c r="I4890" s="16" t="n">
        <f aca="false">I4886-I4889</f>
        <v>-123.5472392256</v>
      </c>
      <c r="J4890" s="16" t="n">
        <f aca="false">J4886-J4889</f>
        <v>-114.649025071706</v>
      </c>
      <c r="K4890" s="16" t="n">
        <f aca="false">K4886-K4889</f>
        <v>-116.437915250452</v>
      </c>
    </row>
    <row r="4891" customFormat="false" ht="15" hidden="false" customHeight="false" outlineLevel="0" collapsed="false">
      <c r="A4891" s="3" t="s">
        <v>292</v>
      </c>
      <c r="G4891" s="25" t="n">
        <f aca="false">MAX(0,G4890)*Assumptions!$C$9</f>
        <v>0</v>
      </c>
      <c r="H4891" s="25" t="n">
        <f aca="false">MAX(0,H4890)*Assumptions!$C$9</f>
        <v>0</v>
      </c>
      <c r="I4891" s="25" t="n">
        <f aca="false">MAX(0,I4890)*Assumptions!$C$9</f>
        <v>0</v>
      </c>
      <c r="J4891" s="25" t="n">
        <f aca="false">MAX(0,J4890)*Assumptions!$C$9</f>
        <v>0</v>
      </c>
      <c r="K4891" s="25" t="n">
        <f aca="false">MAX(0,K4890)*Assumptions!$C$9</f>
        <v>0</v>
      </c>
    </row>
    <row r="4892" customFormat="false" ht="15" hidden="false" customHeight="false" outlineLevel="0" collapsed="false">
      <c r="A4892" s="2" t="s">
        <v>293</v>
      </c>
      <c r="G4892" s="16" t="n">
        <f aca="false">G4890-G4891</f>
        <v>-76.4021416</v>
      </c>
      <c r="H4892" s="16" t="n">
        <f aca="false">H4890-H4891</f>
        <v>-111.44692144</v>
      </c>
      <c r="I4892" s="16" t="n">
        <f aca="false">I4890-I4891</f>
        <v>-123.5472392256</v>
      </c>
      <c r="J4892" s="16" t="n">
        <f aca="false">J4890-J4891</f>
        <v>-114.649025071706</v>
      </c>
      <c r="K4892" s="16" t="n">
        <f aca="false">K4890-K4891</f>
        <v>-116.437915250452</v>
      </c>
    </row>
    <row r="4893" customFormat="false" ht="15" hidden="false" customHeight="false" outlineLevel="0" collapsed="false">
      <c r="A4893" s="23" t="s">
        <v>294</v>
      </c>
      <c r="B4893" s="24"/>
      <c r="C4893" s="24"/>
      <c r="D4893" s="24"/>
      <c r="E4893" s="24"/>
      <c r="F4893" s="24"/>
      <c r="G4893" s="24"/>
      <c r="H4893" s="24"/>
      <c r="I4893" s="24"/>
      <c r="J4893" s="24"/>
      <c r="K4893" s="24"/>
    </row>
    <row r="4894" customFormat="false" ht="15" hidden="false" customHeight="false" outlineLevel="0" collapsed="false">
      <c r="A4894" s="3" t="s">
        <v>169</v>
      </c>
      <c r="G4894" s="25" t="n">
        <f aca="false">G4879*CHOOSE($C$4866,Assumptions!$C$75,Assumptions!$C$94,Assumptions!$C$113)</f>
        <v>21.24873036</v>
      </c>
      <c r="H4894" s="25" t="n">
        <f aca="false">H4879*CHOOSE($C$4866,Assumptions!$C$75,Assumptions!$C$94,Assumptions!$C$113)</f>
        <v>18.6988827168</v>
      </c>
      <c r="I4894" s="25" t="n">
        <f aca="false">I4879*CHOOSE($C$4866,Assumptions!$C$75,Assumptions!$C$94,Assumptions!$C$113)</f>
        <v>16.82899444512</v>
      </c>
      <c r="J4894" s="25" t="n">
        <f aca="false">J4879*CHOOSE($C$4866,Assumptions!$C$75,Assumptions!$C$94,Assumptions!$C$113)</f>
        <v>15.4826748895104</v>
      </c>
      <c r="K4894" s="25" t="n">
        <f aca="false">K4879*CHOOSE($C$4866,Assumptions!$C$75,Assumptions!$C$94,Assumptions!$C$113)</f>
        <v>14.5537143961398</v>
      </c>
    </row>
    <row r="4895" customFormat="false" ht="15" hidden="false" customHeight="false" outlineLevel="0" collapsed="false">
      <c r="A4895" s="3" t="s">
        <v>295</v>
      </c>
      <c r="G4895" s="25" t="n">
        <f aca="false">CHOOSE($C$4866,Assumptions!$C$76,Assumptions!$C$95,Assumptions!$C$114)*(G4879-F4879)+CHOOSE($C$4866,Assumptions!$C$77,Assumptions!$C$96,Assumptions!$C$115)*G4879</f>
        <v>28.9755414</v>
      </c>
      <c r="H4895" s="25" t="n">
        <f aca="false">CHOOSE($C$4866,Assumptions!$C$76,Assumptions!$C$95,Assumptions!$C$114)*(H4879-G4879)+CHOOSE($C$4866,Assumptions!$C$77,Assumptions!$C$96,Assumptions!$C$115)*H4879</f>
        <v>25.498476432</v>
      </c>
      <c r="I4895" s="25" t="n">
        <f aca="false">CHOOSE($C$4866,Assumptions!$C$76,Assumptions!$C$95,Assumptions!$C$114)*(I4879-H4879)+CHOOSE($C$4866,Assumptions!$C$77,Assumptions!$C$96,Assumptions!$C$115)*I4879</f>
        <v>22.9486287888</v>
      </c>
      <c r="J4895" s="25" t="n">
        <f aca="false">CHOOSE($C$4866,Assumptions!$C$76,Assumptions!$C$95,Assumptions!$C$114)*(J4879-I4879)+CHOOSE($C$4866,Assumptions!$C$77,Assumptions!$C$96,Assumptions!$C$115)*J4879</f>
        <v>21.112738485696</v>
      </c>
      <c r="K4895" s="25" t="n">
        <f aca="false">CHOOSE($C$4866,Assumptions!$C$76,Assumptions!$C$95,Assumptions!$C$114)*(K4879-J4879)+CHOOSE($C$4866,Assumptions!$C$77,Assumptions!$C$96,Assumptions!$C$115)*K4879</f>
        <v>19.8459741765542</v>
      </c>
    </row>
    <row r="4896" customFormat="false" ht="15" hidden="false" customHeight="false" outlineLevel="0" collapsed="false">
      <c r="A4896" s="2" t="s">
        <v>296</v>
      </c>
      <c r="G4896" s="16" t="n">
        <f aca="false">G4892+G4884+G4885+G4888-G4894-G4895</f>
        <v>-32.32569336</v>
      </c>
      <c r="H4896" s="16" t="n">
        <f aca="false">H4892+H4884+H4885+H4888-H4894-H4895</f>
        <v>-72.6596469888</v>
      </c>
      <c r="I4896" s="16" t="n">
        <f aca="false">I4892+I4884+I4885+I4888-I4894-I4895</f>
        <v>-88.63869221952</v>
      </c>
      <c r="J4896" s="16" t="n">
        <f aca="false">J4892+J4884+J4885+J4888-J4894-J4895</f>
        <v>-82.533161826112</v>
      </c>
      <c r="K4896" s="16" t="n">
        <f aca="false">K4892+K4884+K4885+K4888-K4894-K4895</f>
        <v>-86.2490037995945</v>
      </c>
    </row>
    <row r="4898" customFormat="false" ht="15" hidden="false" customHeight="false" outlineLevel="0" collapsed="false">
      <c r="A4898" s="23" t="s">
        <v>298</v>
      </c>
      <c r="B4898" s="24"/>
      <c r="C4898" s="24"/>
      <c r="D4898" s="24"/>
      <c r="E4898" s="24"/>
      <c r="F4898" s="24"/>
      <c r="G4898" s="24"/>
      <c r="H4898" s="24"/>
      <c r="I4898" s="24"/>
      <c r="J4898" s="24"/>
      <c r="K4898" s="24"/>
    </row>
    <row r="4899" customFormat="false" ht="15" hidden="false" customHeight="false" outlineLevel="0" collapsed="false">
      <c r="A4899" s="3" t="s">
        <v>299</v>
      </c>
      <c r="G4899" s="30" t="n">
        <f aca="false">Assumptions!$G$52</f>
        <v>0.039</v>
      </c>
      <c r="H4899" s="30" t="n">
        <f aca="false">Assumptions!$H$52</f>
        <v>0.0375</v>
      </c>
      <c r="I4899" s="30" t="n">
        <f aca="false">Assumptions!$I$52</f>
        <v>0.035</v>
      </c>
      <c r="J4899" s="30" t="n">
        <f aca="false">Assumptions!$J$52</f>
        <v>0.035</v>
      </c>
      <c r="K4899" s="30" t="n">
        <f aca="false">Assumptions!$K$52</f>
        <v>0.035</v>
      </c>
    </row>
    <row r="4900" customFormat="false" ht="15" hidden="false" customHeight="false" outlineLevel="0" collapsed="false">
      <c r="A4900" s="3" t="s">
        <v>300</v>
      </c>
      <c r="C4900" s="31" t="n">
        <f aca="false">CHOOSE($C$4866,Assumptions!$C$78,Assumptions!$C$97,Assumptions!$C$116)+$C$4869</f>
        <v>0.03</v>
      </c>
    </row>
    <row r="4901" customFormat="false" ht="15" hidden="false" customHeight="false" outlineLevel="0" collapsed="false">
      <c r="A4901" s="3" t="s">
        <v>301</v>
      </c>
      <c r="C4901" s="31" t="n">
        <f aca="false">CHOOSE($C$4866,Assumptions!$C$79,Assumptions!$C$98,Assumptions!$C$117)</f>
        <v>0.15</v>
      </c>
    </row>
    <row r="4902" customFormat="false" ht="15" hidden="false" customHeight="false" outlineLevel="0" collapsed="false">
      <c r="A4902" s="3" t="s">
        <v>302</v>
      </c>
      <c r="C4902" s="32" t="n">
        <f aca="false">CHOOSE($C$4866,Assumptions!$C$80,Assumptions!$C$99,Assumptions!$C$118)</f>
        <v>5</v>
      </c>
    </row>
    <row r="4903" customFormat="false" ht="15" hidden="false" customHeight="false" outlineLevel="0" collapsed="false">
      <c r="A4903" s="3" t="s">
        <v>303</v>
      </c>
      <c r="C4903" s="32" t="n">
        <f aca="false">CHOOSE($C$4866,Assumptions!$C$81,Assumptions!$C$100,Assumptions!$C$119)</f>
        <v>1.75</v>
      </c>
    </row>
    <row r="4904" customFormat="false" ht="15" hidden="false" customHeight="false" outlineLevel="0" collapsed="false">
      <c r="A4904" s="3" t="s">
        <v>304</v>
      </c>
      <c r="G4904" s="25" t="n">
        <f aca="false">G4909+G4922+G4935</f>
        <v>1735.554</v>
      </c>
      <c r="H4904" s="25" t="n">
        <f aca="false">H4909+H4922+H4935</f>
        <v>1735.554</v>
      </c>
      <c r="I4904" s="25" t="n">
        <f aca="false">I4909+I4922+I4935</f>
        <v>1735.554</v>
      </c>
      <c r="J4904" s="25" t="n">
        <f aca="false">J4909+J4922+J4935</f>
        <v>1465.18203256832</v>
      </c>
      <c r="K4904" s="25" t="n">
        <f aca="false">K4909+K4922+K4935</f>
        <v>1465.18203256832</v>
      </c>
    </row>
    <row r="4905" customFormat="false" ht="15" hidden="false" customHeight="false" outlineLevel="0" collapsed="false">
      <c r="A4905" s="3" t="s">
        <v>305</v>
      </c>
      <c r="G4905" s="25" t="n">
        <f aca="false">F4978</f>
        <v>463.996</v>
      </c>
      <c r="H4905" s="25" t="n">
        <f aca="false">G4978</f>
        <v>431.67030664</v>
      </c>
      <c r="I4905" s="25" t="n">
        <f aca="false">H4978</f>
        <v>359.0106596512</v>
      </c>
      <c r="J4905" s="25" t="n">
        <f aca="false">I4978</f>
        <v>0</v>
      </c>
      <c r="K4905" s="25" t="n">
        <f aca="false">J4978</f>
        <v>-82.533161826112</v>
      </c>
    </row>
    <row r="4906" customFormat="false" ht="15" hidden="false" customHeight="false" outlineLevel="0" collapsed="false">
      <c r="A4906" s="3" t="s">
        <v>306</v>
      </c>
      <c r="G4906" s="25" t="n">
        <f aca="false">G4909*IF(G4910=1,$C$4901,IF(Assumptions!$I$56=1,MAX(G4899,Assumptions!$G$56)+Assumptions!$F$56+$C$4900,Assumptions!$E$56))+G4922*IF(G4923=1,$C$4901,IF(Assumptions!$I$57=1,MAX(G4899,Assumptions!$G$57)+Assumptions!$F$57+$C$4900,Assumptions!$E$57))+G4935*IF(G4936=1,$C$4901,IF(Assumptions!$I$58=1,MAX(G4899,Assumptions!$G$58)+Assumptions!$F$58+$C$4900,Assumptions!$E$58))</f>
        <v>155.95467</v>
      </c>
      <c r="H4906" s="25" t="n">
        <f aca="false">H4909*IF(OR(H4910=1,G5056=1),$C$4901,IF(Assumptions!$I$56=1,MAX(H4899,Assumptions!$G$56)+Assumptions!$F$56+$C$4900,Assumptions!$E$56))+H4922*IF(OR(H4923=1,G5057=1),$C$4901,IF(Assumptions!$I$57=1,MAX(H4899,Assumptions!$G$57)+Assumptions!$F$57+$C$4900,Assumptions!$E$57))+H4935*IF(OR(H4936=1,G5058=1),$C$4901,IF(Assumptions!$I$58=1,MAX(H4899,Assumptions!$G$58)+Assumptions!$F$58+$C$4900,Assumptions!$E$58))</f>
        <v>155.95467</v>
      </c>
      <c r="I4906" s="25" t="n">
        <f aca="false">I4909*IF(OR(I4910=1,H5056=1),$C$4901,IF(Assumptions!$I$56=1,MAX(I4899,Assumptions!$G$56)+Assumptions!$F$56+$C$4900,Assumptions!$E$56))+I4922*IF(OR(I4923=1,H5057=1),$C$4901,IF(Assumptions!$I$57=1,MAX(I4899,Assumptions!$G$57)+Assumptions!$F$57+$C$4900,Assumptions!$E$57))+I4935*IF(OR(I4936=1,H5058=1),$C$4901,IF(Assumptions!$I$58=1,MAX(I4899,Assumptions!$G$58)+Assumptions!$F$58+$C$4900,Assumptions!$E$58))</f>
        <v>201.15369</v>
      </c>
      <c r="J4906" s="25" t="n">
        <f aca="false">J4909*IF(OR(J4910=1,I5056=1),$C$4901,IF(Assumptions!$I$56=1,MAX(J4899,Assumptions!$G$56)+Assumptions!$F$56+$C$4900,Assumptions!$E$56))+J4922*IF(OR(J4923=1,I5057=1),$C$4901,IF(Assumptions!$I$57=1,MAX(J4899,Assumptions!$G$57)+Assumptions!$F$57+$C$4900,Assumptions!$E$57))+J4935*IF(OR(J4936=1,I5058=1),$C$4901,IF(Assumptions!$I$58=1,MAX(J4899,Assumptions!$G$58)+Assumptions!$F$58+$C$4900,Assumptions!$E$58))</f>
        <v>144.463861384154</v>
      </c>
      <c r="K4906" s="25" t="n">
        <f aca="false">K4909*IF(OR(K4910=1,J5056=1),$C$4901,IF(Assumptions!$I$56=1,MAX(K4899,Assumptions!$G$56)+Assumptions!$F$56+$C$4900,Assumptions!$E$56))+K4922*IF(OR(K4923=1,J5057=1),$C$4901,IF(Assumptions!$I$57=1,MAX(K4899,Assumptions!$G$57)+Assumptions!$F$57+$C$4900,Assumptions!$E$57))+K4935*IF(OR(K4936=1,J5058=1),$C$4901,IF(Assumptions!$I$58=1,MAX(K4899,Assumptions!$G$58)+Assumptions!$F$58+$C$4900,Assumptions!$E$58))</f>
        <v>144.463861384154</v>
      </c>
    </row>
    <row r="4907" customFormat="false" ht="15" hidden="false" customHeight="false" outlineLevel="0" collapsed="false">
      <c r="A4907" s="3" t="s">
        <v>307</v>
      </c>
      <c r="G4907" s="20" t="n">
        <f aca="false">IF(G4883&lt;=0,0,IF(AND((G4904-G4905)/G4883&lt;=$C$4902,G4883/G4906&gt;=$C$4903),1,0))</f>
        <v>0</v>
      </c>
      <c r="H4907" s="20" t="n">
        <f aca="false">IF(H4883&lt;=0,0,IF(AND((H4904-H4905)/H4883&lt;=$C$4902,H4883/H4906&gt;=$C$4903),1,0))</f>
        <v>0</v>
      </c>
      <c r="I4907" s="20" t="n">
        <f aca="false">IF(I4883&lt;=0,0,IF(AND((I4904-I4905)/I4883&lt;=$C$4902,I4883/I4906&gt;=$C$4903),1,0))</f>
        <v>0</v>
      </c>
      <c r="J4907" s="20" t="n">
        <f aca="false">IF(J4883&lt;=0,0,IF(AND((J4904-J4905)/J4883&lt;=$C$4902,J4883/J4906&gt;=$C$4903),1,0))</f>
        <v>0</v>
      </c>
      <c r="K4907" s="20" t="n">
        <f aca="false">IF(K4883&lt;=0,0,IF(AND((K4904-K4905)/K4883&lt;=$C$4902,K4883/K4906&gt;=$C$4903),1,0))</f>
        <v>0</v>
      </c>
    </row>
    <row r="4908" customFormat="false" ht="15" hidden="false" customHeight="false" outlineLevel="0" collapsed="false">
      <c r="A4908" s="23" t="s">
        <v>308</v>
      </c>
      <c r="B4908" s="24"/>
      <c r="C4908" s="24"/>
      <c r="D4908" s="24"/>
      <c r="E4908" s="24"/>
      <c r="F4908" s="24"/>
      <c r="G4908" s="24"/>
      <c r="H4908" s="24"/>
      <c r="I4908" s="24"/>
      <c r="J4908" s="24"/>
      <c r="K4908" s="24"/>
    </row>
    <row r="4909" customFormat="false" ht="15" hidden="false" customHeight="false" outlineLevel="0" collapsed="false">
      <c r="A4909" s="3" t="s">
        <v>309</v>
      </c>
      <c r="G4909" s="25" t="n">
        <f aca="false">F4920</f>
        <v>1315.098</v>
      </c>
      <c r="H4909" s="25" t="n">
        <f aca="false">G4920</f>
        <v>1315.098</v>
      </c>
      <c r="I4909" s="25" t="n">
        <f aca="false">H4920</f>
        <v>1315.098</v>
      </c>
      <c r="J4909" s="25" t="n">
        <f aca="false">I4920</f>
        <v>1315.098</v>
      </c>
      <c r="K4909" s="25" t="n">
        <f aca="false">J4920</f>
        <v>1315.098</v>
      </c>
    </row>
    <row r="4910" customFormat="false" ht="15" hidden="false" customHeight="false" outlineLevel="0" collapsed="false">
      <c r="A4910" s="3" t="s">
        <v>310</v>
      </c>
      <c r="G4910" s="20" t="n">
        <f aca="false">IF(G4873=Assumptions!$K$56,1,0)</f>
        <v>0</v>
      </c>
      <c r="H4910" s="20" t="n">
        <f aca="false">IF(H4873=Assumptions!$K$56,1,0)</f>
        <v>0</v>
      </c>
      <c r="I4910" s="20" t="n">
        <f aca="false">IF(I4873=Assumptions!$K$56,1,0)</f>
        <v>0</v>
      </c>
      <c r="J4910" s="20" t="n">
        <f aca="false">IF(J4873=Assumptions!$K$56,1,0)</f>
        <v>0</v>
      </c>
      <c r="K4910" s="20" t="n">
        <f aca="false">IF(K4873=Assumptions!$K$56,1,0)</f>
        <v>0</v>
      </c>
    </row>
    <row r="4912" customFormat="false" ht="15" hidden="false" customHeight="false" outlineLevel="0" collapsed="false">
      <c r="A4912" s="3" t="s">
        <v>311</v>
      </c>
      <c r="G4912" s="31" t="n">
        <f aca="false">IF(Assumptions!$I$56=1,MAX(G4899,Assumptions!$G$56)+Assumptions!$F$56+$C$4900,Assumptions!$E$56)</f>
        <v>0.105</v>
      </c>
      <c r="H4912" s="31" t="n">
        <f aca="false">IF(G5056=1,$C$4901,IF(Assumptions!$I$56=1,MAX(H4899,Assumptions!$G$56)+Assumptions!$F$56+$C$4900,Assumptions!$E$56))</f>
        <v>0.105</v>
      </c>
      <c r="I4912" s="31" t="n">
        <f aca="false">IF(H5056=1,$C$4901,IF(Assumptions!$I$56=1,MAX(I4899,Assumptions!$G$56)+Assumptions!$F$56+$C$4900,Assumptions!$E$56))</f>
        <v>0.105</v>
      </c>
      <c r="J4912" s="31" t="n">
        <f aca="false">IF(I5056=1,$C$4901,IF(Assumptions!$I$56=1,MAX(J4899,Assumptions!$G$56)+Assumptions!$F$56+$C$4900,Assumptions!$E$56))</f>
        <v>0.105</v>
      </c>
      <c r="K4912" s="31" t="n">
        <f aca="false">IF(J5056=1,$C$4901,IF(Assumptions!$I$56=1,MAX(K4899,Assumptions!$G$56)+Assumptions!$F$56+$C$4900,Assumptions!$E$56))</f>
        <v>0.105</v>
      </c>
    </row>
    <row r="4913" customFormat="false" ht="15" hidden="false" customHeight="false" outlineLevel="0" collapsed="false">
      <c r="A4913" s="3" t="s">
        <v>312</v>
      </c>
      <c r="G4913" s="25" t="n">
        <f aca="false">G4909*G4912</f>
        <v>138.08529</v>
      </c>
      <c r="H4913" s="25" t="n">
        <f aca="false">H4909*H4912</f>
        <v>138.08529</v>
      </c>
      <c r="I4913" s="25" t="n">
        <f aca="false">I4909*I4912</f>
        <v>138.08529</v>
      </c>
      <c r="J4913" s="25" t="n">
        <f aca="false">J4909*J4912</f>
        <v>138.08529</v>
      </c>
      <c r="K4913" s="25" t="n">
        <f aca="false">K4909*K4912</f>
        <v>138.08529</v>
      </c>
    </row>
    <row r="4914" customFormat="false" ht="15" hidden="false" customHeight="false" outlineLevel="0" collapsed="false">
      <c r="A4914" s="3" t="s">
        <v>313</v>
      </c>
      <c r="G4914" s="25" t="n">
        <f aca="false">G4909*Assumptions!$H$56</f>
        <v>0</v>
      </c>
      <c r="H4914" s="25" t="n">
        <f aca="false">H4909*Assumptions!$H$56</f>
        <v>0</v>
      </c>
      <c r="I4914" s="25" t="n">
        <f aca="false">I4909*Assumptions!$H$56</f>
        <v>0</v>
      </c>
      <c r="J4914" s="25" t="n">
        <f aca="false">J4909*Assumptions!$H$56</f>
        <v>0</v>
      </c>
      <c r="K4914" s="25" t="n">
        <f aca="false">K4909*Assumptions!$H$56</f>
        <v>0</v>
      </c>
    </row>
    <row r="4915" customFormat="false" ht="15" hidden="false" customHeight="false" outlineLevel="0" collapsed="false">
      <c r="A4915" s="3" t="s">
        <v>314</v>
      </c>
      <c r="G4915" s="25" t="n">
        <f aca="false">MIN(G4909,Assumptions!$L$56*Assumptions!$C$56)</f>
        <v>0</v>
      </c>
      <c r="H4915" s="25" t="n">
        <f aca="false">MIN(H4909,Assumptions!$L$56*Assumptions!$C$56)</f>
        <v>0</v>
      </c>
      <c r="I4915" s="25" t="n">
        <f aca="false">MIN(I4909,Assumptions!$L$56*Assumptions!$C$56)</f>
        <v>0</v>
      </c>
      <c r="J4915" s="25" t="n">
        <f aca="false">MIN(J4909,Assumptions!$L$56*Assumptions!$C$56)</f>
        <v>0</v>
      </c>
      <c r="K4915" s="25" t="n">
        <f aca="false">MIN(K4909,Assumptions!$L$56*Assumptions!$C$56)</f>
        <v>0</v>
      </c>
    </row>
    <row r="4916" customFormat="false" ht="15" hidden="false" customHeight="false" outlineLevel="0" collapsed="false">
      <c r="A4916" s="3" t="s">
        <v>315</v>
      </c>
      <c r="G4916" s="25" t="n">
        <f aca="false">IF(AND(Assumptions!$P$56=1,G4873&lt;Assumptions!$K$56),MIN(MAX(0,-G4970),MAX(0,Assumptions!$D$56-G4909)),0)</f>
        <v>0</v>
      </c>
      <c r="H4916" s="25" t="n">
        <f aca="false">IF(AND(Assumptions!$P$56=1,OR(H4873&lt;Assumptions!$K$56,G5056=1)),MIN(MAX(0,-H4970),MAX(0,Assumptions!$D$56-H4909)),0)</f>
        <v>0</v>
      </c>
      <c r="I4916" s="25" t="n">
        <f aca="false">IF(AND(Assumptions!$P$56=1,OR(I4873&lt;Assumptions!$K$56,H5056=1)),MIN(MAX(0,-I4970),MAX(0,Assumptions!$D$56-I4909)),0)</f>
        <v>0</v>
      </c>
      <c r="J4916" s="25" t="n">
        <f aca="false">IF(AND(Assumptions!$P$56=1,OR(J4873&lt;Assumptions!$K$56,I5056=1)),MIN(MAX(0,-J4970),MAX(0,Assumptions!$D$56-J4909)),0)</f>
        <v>0</v>
      </c>
      <c r="K4916" s="25" t="n">
        <f aca="false">IF(AND(Assumptions!$P$56=1,OR(K4873&lt;Assumptions!$K$56,J5056=1)),MIN(MAX(0,-K4970),MAX(0,Assumptions!$D$56-K4909)),0)</f>
        <v>0</v>
      </c>
    </row>
    <row r="4917" customFormat="false" ht="15" hidden="false" customHeight="false" outlineLevel="0" collapsed="false">
      <c r="A4917" s="3" t="s">
        <v>316</v>
      </c>
      <c r="G4917" s="25" t="n">
        <f aca="false">G4910*MIN(G4909-G4915+G4914,MAX(0,G4972-Assumptions!$C$12*G4907))</f>
        <v>0</v>
      </c>
      <c r="H4917" s="25" t="n">
        <f aca="false">H4910*MIN(H4909-H4915+H4914,MAX(0,H4972-Assumptions!$C$12*H4907))</f>
        <v>0</v>
      </c>
      <c r="I4917" s="25" t="n">
        <f aca="false">I4910*MIN(I4909-I4915+I4914,MAX(0,I4972-Assumptions!$C$12*I4907))</f>
        <v>0</v>
      </c>
      <c r="J4917" s="25" t="n">
        <f aca="false">J4910*MIN(J4909-J4915+J4914,MAX(0,J4972-Assumptions!$C$12*J4907))</f>
        <v>0</v>
      </c>
      <c r="K4917" s="25" t="n">
        <f aca="false">K4910*MIN(K4909-K4915+K4914,MAX(0,K4972-Assumptions!$C$12*K4907))</f>
        <v>0</v>
      </c>
    </row>
    <row r="4918" customFormat="false" ht="15" hidden="false" customHeight="false" outlineLevel="0" collapsed="false">
      <c r="A4918" s="3" t="s">
        <v>317</v>
      </c>
      <c r="G4918" s="25" t="n">
        <f aca="false">Assumptions!$N$56*MIN(G4909+G4916+G4914-G4915-G4917,MAX(0,G4976))</f>
        <v>0</v>
      </c>
      <c r="H4918" s="25" t="n">
        <f aca="false">Assumptions!$N$56*MIN(H4909+H4916+H4914-H4915-H4917,MAX(0,H4976))</f>
        <v>0</v>
      </c>
      <c r="I4918" s="25" t="n">
        <f aca="false">Assumptions!$N$56*MIN(I4909+I4916+I4914-I4915-I4917,MAX(0,I4976))</f>
        <v>0</v>
      </c>
      <c r="J4918" s="25" t="n">
        <f aca="false">Assumptions!$N$56*MIN(J4909+J4916+J4914-J4915-J4917,MAX(0,J4976))</f>
        <v>0</v>
      </c>
      <c r="K4918" s="25" t="n">
        <f aca="false">Assumptions!$N$56*MIN(K4909+K4916+K4914-K4915-K4917,MAX(0,K4976))</f>
        <v>0</v>
      </c>
    </row>
    <row r="4919" customFormat="false" ht="15" hidden="false" customHeight="false" outlineLevel="0" collapsed="false">
      <c r="A4919" s="3" t="s">
        <v>318</v>
      </c>
      <c r="G4919" s="25" t="n">
        <f aca="false">G4910*(1-G4907)*(G4909-G4915+G4914-G4917)</f>
        <v>0</v>
      </c>
      <c r="H4919" s="25" t="n">
        <f aca="false">H4910*(1-H4907)*(H4909-H4915+H4914-H4917)</f>
        <v>0</v>
      </c>
      <c r="I4919" s="25" t="n">
        <f aca="false">I4910*(1-I4907)*(I4909-I4915+I4914-I4917)</f>
        <v>0</v>
      </c>
      <c r="J4919" s="25" t="n">
        <f aca="false">J4910*(1-J4907)*(J4909-J4915+J4914-J4917)</f>
        <v>0</v>
      </c>
      <c r="K4919" s="25" t="n">
        <f aca="false">K4910*(1-K4907)*(K4909-K4915+K4914-K4917)</f>
        <v>0</v>
      </c>
    </row>
    <row r="4920" customFormat="false" ht="15" hidden="false" customHeight="false" outlineLevel="0" collapsed="false">
      <c r="A4920" s="2" t="s">
        <v>319</v>
      </c>
      <c r="F4920" s="28" t="n">
        <f aca="false">Assumptions!$C$56</f>
        <v>1315.098</v>
      </c>
      <c r="G4920" s="16" t="n">
        <f aca="false">G4909+G4916+G4914-G4915-G4917-G4918</f>
        <v>1315.098</v>
      </c>
      <c r="H4920" s="16" t="n">
        <f aca="false">H4909+H4916+H4914-H4915-H4917-H4918</f>
        <v>1315.098</v>
      </c>
      <c r="I4920" s="16" t="n">
        <f aca="false">I4909+I4916+I4914-I4915-I4917-I4918</f>
        <v>1315.098</v>
      </c>
      <c r="J4920" s="16" t="n">
        <f aca="false">J4909+J4916+J4914-J4915-J4917-J4918</f>
        <v>1315.098</v>
      </c>
      <c r="K4920" s="16" t="n">
        <f aca="false">K4909+K4916+K4914-K4915-K4917-K4918</f>
        <v>1315.098</v>
      </c>
    </row>
    <row r="4921" customFormat="false" ht="15" hidden="false" customHeight="false" outlineLevel="0" collapsed="false">
      <c r="A4921" s="23" t="s">
        <v>320</v>
      </c>
      <c r="B4921" s="24"/>
      <c r="C4921" s="24"/>
      <c r="D4921" s="24"/>
      <c r="E4921" s="24"/>
      <c r="F4921" s="24"/>
      <c r="G4921" s="24"/>
      <c r="H4921" s="24"/>
      <c r="I4921" s="24"/>
      <c r="J4921" s="24"/>
      <c r="K4921" s="24"/>
    </row>
    <row r="4922" customFormat="false" ht="15" hidden="false" customHeight="false" outlineLevel="0" collapsed="false">
      <c r="A4922" s="3" t="s">
        <v>309</v>
      </c>
      <c r="G4922" s="25" t="n">
        <f aca="false">F4933</f>
        <v>276.706</v>
      </c>
      <c r="H4922" s="25" t="n">
        <f aca="false">G4933</f>
        <v>276.706</v>
      </c>
      <c r="I4922" s="25" t="n">
        <f aca="false">H4933</f>
        <v>276.706</v>
      </c>
      <c r="J4922" s="25" t="n">
        <f aca="false">I4933</f>
        <v>6.33403256832008</v>
      </c>
      <c r="K4922" s="25" t="n">
        <f aca="false">J4933</f>
        <v>6.33403256832008</v>
      </c>
    </row>
    <row r="4923" customFormat="false" ht="15" hidden="false" customHeight="false" outlineLevel="0" collapsed="false">
      <c r="A4923" s="3" t="s">
        <v>310</v>
      </c>
      <c r="G4923" s="20" t="n">
        <f aca="false">IF(G4873=Assumptions!$K$57,1,0)</f>
        <v>0</v>
      </c>
      <c r="H4923" s="20" t="n">
        <f aca="false">IF(H4873=Assumptions!$K$57,1,0)</f>
        <v>0</v>
      </c>
      <c r="I4923" s="20" t="n">
        <f aca="false">IF(I4873=Assumptions!$K$57,1,0)</f>
        <v>1</v>
      </c>
      <c r="J4923" s="20" t="n">
        <f aca="false">IF(J4873=Assumptions!$K$57,1,0)</f>
        <v>0</v>
      </c>
      <c r="K4923" s="20" t="n">
        <f aca="false">IF(K4873=Assumptions!$K$57,1,0)</f>
        <v>0</v>
      </c>
    </row>
    <row r="4925" customFormat="false" ht="15" hidden="false" customHeight="false" outlineLevel="0" collapsed="false">
      <c r="A4925" s="3" t="s">
        <v>311</v>
      </c>
      <c r="G4925" s="31" t="n">
        <f aca="false">IF(Assumptions!$I$57=1,MAX(G4899,Assumptions!$G$57)+Assumptions!$F$57+$C$4900,Assumptions!$E$57)</f>
        <v>0.0425</v>
      </c>
      <c r="H4925" s="31" t="n">
        <f aca="false">IF(G5057=1,$C$4901,IF(Assumptions!$I$57=1,MAX(H4899,Assumptions!$G$57)+Assumptions!$F$57+$C$4900,Assumptions!$E$57))</f>
        <v>0.0425</v>
      </c>
      <c r="I4925" s="31" t="n">
        <f aca="false">IF(H5057=1,$C$4901,IF(Assumptions!$I$57=1,MAX(I4899,Assumptions!$G$57)+Assumptions!$F$57+$C$4900,Assumptions!$E$57))</f>
        <v>0.0425</v>
      </c>
      <c r="J4925" s="31" t="n">
        <f aca="false">IF(I5057=1,$C$4901,IF(Assumptions!$I$57=1,MAX(J4899,Assumptions!$G$57)+Assumptions!$F$57+$C$4900,Assumptions!$E$57))</f>
        <v>0.0425</v>
      </c>
      <c r="K4925" s="31" t="n">
        <f aca="false">IF(J5057=1,$C$4901,IF(Assumptions!$I$57=1,MAX(K4899,Assumptions!$G$57)+Assumptions!$F$57+$C$4900,Assumptions!$E$57))</f>
        <v>0.0425</v>
      </c>
    </row>
    <row r="4926" customFormat="false" ht="15" hidden="false" customHeight="false" outlineLevel="0" collapsed="false">
      <c r="A4926" s="3" t="s">
        <v>312</v>
      </c>
      <c r="G4926" s="25" t="n">
        <f aca="false">G4922*G4925</f>
        <v>11.760005</v>
      </c>
      <c r="H4926" s="25" t="n">
        <f aca="false">H4922*H4925</f>
        <v>11.760005</v>
      </c>
      <c r="I4926" s="25" t="n">
        <f aca="false">I4922*I4925</f>
        <v>11.760005</v>
      </c>
      <c r="J4926" s="25" t="n">
        <f aca="false">J4922*J4925</f>
        <v>0.269196384153604</v>
      </c>
      <c r="K4926" s="25" t="n">
        <f aca="false">K4922*K4925</f>
        <v>0.269196384153604</v>
      </c>
    </row>
    <row r="4927" customFormat="false" ht="15" hidden="false" customHeight="false" outlineLevel="0" collapsed="false">
      <c r="A4927" s="3" t="s">
        <v>313</v>
      </c>
      <c r="G4927" s="25" t="n">
        <f aca="false">G4922*Assumptions!$H$57</f>
        <v>0</v>
      </c>
      <c r="H4927" s="25" t="n">
        <f aca="false">H4922*Assumptions!$H$57</f>
        <v>0</v>
      </c>
      <c r="I4927" s="25" t="n">
        <f aca="false">I4922*Assumptions!$H$57</f>
        <v>0</v>
      </c>
      <c r="J4927" s="25" t="n">
        <f aca="false">J4922*Assumptions!$H$57</f>
        <v>0</v>
      </c>
      <c r="K4927" s="25" t="n">
        <f aca="false">K4922*Assumptions!$H$57</f>
        <v>0</v>
      </c>
    </row>
    <row r="4928" customFormat="false" ht="15" hidden="false" customHeight="false" outlineLevel="0" collapsed="false">
      <c r="A4928" s="3" t="s">
        <v>314</v>
      </c>
      <c r="G4928" s="25" t="n">
        <f aca="false">MIN(G4922,Assumptions!$L$57*Assumptions!$C$57)</f>
        <v>0</v>
      </c>
      <c r="H4928" s="25" t="n">
        <f aca="false">MIN(H4922,Assumptions!$L$57*Assumptions!$C$57)</f>
        <v>0</v>
      </c>
      <c r="I4928" s="25" t="n">
        <f aca="false">MIN(I4922,Assumptions!$L$57*Assumptions!$C$57)</f>
        <v>0</v>
      </c>
      <c r="J4928" s="25" t="n">
        <f aca="false">MIN(J4922,Assumptions!$L$57*Assumptions!$C$57)</f>
        <v>0</v>
      </c>
      <c r="K4928" s="25" t="n">
        <f aca="false">MIN(K4922,Assumptions!$L$57*Assumptions!$C$57)</f>
        <v>0</v>
      </c>
    </row>
    <row r="4929" customFormat="false" ht="15" hidden="false" customHeight="false" outlineLevel="0" collapsed="false">
      <c r="A4929" s="3" t="s">
        <v>315</v>
      </c>
      <c r="G4929" s="25" t="n">
        <f aca="false">IF(AND(Assumptions!$P$57=1,G4873&lt;Assumptions!$K$57),MIN(MAX(0,-G4970),MAX(0,Assumptions!$D$57-G4922)),0)</f>
        <v>0</v>
      </c>
      <c r="H4929" s="25" t="n">
        <f aca="false">IF(AND(Assumptions!$P$57=1,OR(H4873&lt;Assumptions!$K$57,G5057=1)),MIN(MAX(0,-H4970),MAX(0,Assumptions!$D$57-H4922)),0)</f>
        <v>0</v>
      </c>
      <c r="I4929" s="25" t="n">
        <f aca="false">IF(AND(Assumptions!$P$57=1,OR(I4873&lt;Assumptions!$K$57,H5057=1)),MIN(MAX(0,-I4970),MAX(0,Assumptions!$D$57-I4922)),0)</f>
        <v>0</v>
      </c>
      <c r="J4929" s="25" t="n">
        <f aca="false">IF(AND(Assumptions!$P$57=1,OR(J4873&lt;Assumptions!$K$57,I5057=1)),MIN(MAX(0,-J4970),MAX(0,Assumptions!$D$57-J4922)),0)</f>
        <v>0</v>
      </c>
      <c r="K4929" s="25" t="n">
        <f aca="false">IF(AND(Assumptions!$P$57=1,OR(K4873&lt;Assumptions!$K$57,J5057=1)),MIN(MAX(0,-K4970),MAX(0,Assumptions!$D$57-K4922)),0)</f>
        <v>0</v>
      </c>
    </row>
    <row r="4930" customFormat="false" ht="15" hidden="false" customHeight="false" outlineLevel="0" collapsed="false">
      <c r="A4930" s="3" t="s">
        <v>316</v>
      </c>
      <c r="G4930" s="25" t="n">
        <f aca="false">G4923*MIN(G4922-G4928+G4927,MAX(0,G4972-Assumptions!$C$12*G4907-G4917))</f>
        <v>0</v>
      </c>
      <c r="H4930" s="25" t="n">
        <f aca="false">H4923*MIN(H4922-H4928+H4927,MAX(0,H4972-Assumptions!$C$12*H4907-H4917))</f>
        <v>0</v>
      </c>
      <c r="I4930" s="25" t="n">
        <f aca="false">I4923*MIN(I4922-I4928+I4927,MAX(0,I4972-Assumptions!$C$12*I4907-I4917))</f>
        <v>270.37196743168</v>
      </c>
      <c r="J4930" s="25" t="n">
        <f aca="false">J4923*MIN(J4922-J4928+J4927,MAX(0,J4972-Assumptions!$C$12*J4907-J4917))</f>
        <v>0</v>
      </c>
      <c r="K4930" s="25" t="n">
        <f aca="false">K4923*MIN(K4922-K4928+K4927,MAX(0,K4972-Assumptions!$C$12*K4907-K4917))</f>
        <v>0</v>
      </c>
    </row>
    <row r="4931" customFormat="false" ht="15" hidden="false" customHeight="false" outlineLevel="0" collapsed="false">
      <c r="A4931" s="3" t="s">
        <v>317</v>
      </c>
      <c r="G4931" s="25" t="n">
        <f aca="false">Assumptions!$N$57*MIN(G4922+G4929+G4927-G4928-G4930,MAX(0,G4976-G4918))</f>
        <v>0</v>
      </c>
      <c r="H4931" s="25" t="n">
        <f aca="false">Assumptions!$N$57*MIN(H4922+H4929+H4927-H4928-H4930,MAX(0,H4976-H4918))</f>
        <v>0</v>
      </c>
      <c r="I4931" s="25" t="n">
        <f aca="false">Assumptions!$N$57*MIN(I4922+I4929+I4927-I4928-I4930,MAX(0,I4976-I4918))</f>
        <v>0</v>
      </c>
      <c r="J4931" s="25" t="n">
        <f aca="false">Assumptions!$N$57*MIN(J4922+J4929+J4927-J4928-J4930,MAX(0,J4976-J4918))</f>
        <v>0</v>
      </c>
      <c r="K4931" s="25" t="n">
        <f aca="false">Assumptions!$N$57*MIN(K4922+K4929+K4927-K4928-K4930,MAX(0,K4976-K4918))</f>
        <v>0</v>
      </c>
    </row>
    <row r="4932" customFormat="false" ht="15" hidden="false" customHeight="false" outlineLevel="0" collapsed="false">
      <c r="A4932" s="3" t="s">
        <v>318</v>
      </c>
      <c r="G4932" s="25" t="n">
        <f aca="false">G4923*(1-G4907)*(G4922-G4928+G4927-G4930)</f>
        <v>0</v>
      </c>
      <c r="H4932" s="25" t="n">
        <f aca="false">H4923*(1-H4907)*(H4922-H4928+H4927-H4930)</f>
        <v>0</v>
      </c>
      <c r="I4932" s="25" t="n">
        <f aca="false">I4923*(1-I4907)*(I4922-I4928+I4927-I4930)</f>
        <v>6.33403256832008</v>
      </c>
      <c r="J4932" s="25" t="n">
        <f aca="false">J4923*(1-J4907)*(J4922-J4928+J4927-J4930)</f>
        <v>0</v>
      </c>
      <c r="K4932" s="25" t="n">
        <f aca="false">K4923*(1-K4907)*(K4922-K4928+K4927-K4930)</f>
        <v>0</v>
      </c>
    </row>
    <row r="4933" customFormat="false" ht="15" hidden="false" customHeight="false" outlineLevel="0" collapsed="false">
      <c r="A4933" s="2" t="s">
        <v>319</v>
      </c>
      <c r="F4933" s="28" t="n">
        <f aca="false">Assumptions!$C$57</f>
        <v>276.706</v>
      </c>
      <c r="G4933" s="16" t="n">
        <f aca="false">G4922+G4929+G4927-G4928-G4930-G4931</f>
        <v>276.706</v>
      </c>
      <c r="H4933" s="16" t="n">
        <f aca="false">H4922+H4929+H4927-H4928-H4930-H4931</f>
        <v>276.706</v>
      </c>
      <c r="I4933" s="16" t="n">
        <f aca="false">I4922+I4929+I4927-I4928-I4930-I4931</f>
        <v>6.33403256832008</v>
      </c>
      <c r="J4933" s="16" t="n">
        <f aca="false">J4922+J4929+J4927-J4928-J4930-J4931</f>
        <v>6.33403256832008</v>
      </c>
      <c r="K4933" s="16" t="n">
        <f aca="false">K4922+K4929+K4927-K4928-K4930-K4931</f>
        <v>6.33403256832008</v>
      </c>
    </row>
    <row r="4934" customFormat="false" ht="15" hidden="false" customHeight="false" outlineLevel="0" collapsed="false">
      <c r="A4934" s="23" t="s">
        <v>321</v>
      </c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</row>
    <row r="4935" customFormat="false" ht="15" hidden="false" customHeight="false" outlineLevel="0" collapsed="false">
      <c r="A4935" s="3" t="s">
        <v>309</v>
      </c>
      <c r="G4935" s="25" t="n">
        <f aca="false">F4946</f>
        <v>143.75</v>
      </c>
      <c r="H4935" s="25" t="n">
        <f aca="false">G4946</f>
        <v>143.75</v>
      </c>
      <c r="I4935" s="25" t="n">
        <f aca="false">H4946</f>
        <v>143.75</v>
      </c>
      <c r="J4935" s="25" t="n">
        <f aca="false">I4946</f>
        <v>143.75</v>
      </c>
      <c r="K4935" s="25" t="n">
        <f aca="false">J4946</f>
        <v>143.75</v>
      </c>
    </row>
    <row r="4936" customFormat="false" ht="15" hidden="false" customHeight="false" outlineLevel="0" collapsed="false">
      <c r="A4936" s="3" t="s">
        <v>310</v>
      </c>
      <c r="G4936" s="20" t="n">
        <f aca="false">IF(G4873=Assumptions!$K$58,1,0)</f>
        <v>0</v>
      </c>
      <c r="H4936" s="20" t="n">
        <f aca="false">IF(H4873=Assumptions!$K$58,1,0)</f>
        <v>0</v>
      </c>
      <c r="I4936" s="20" t="n">
        <f aca="false">IF(I4873=Assumptions!$K$58,1,0)</f>
        <v>1</v>
      </c>
      <c r="J4936" s="20" t="n">
        <f aca="false">IF(J4873=Assumptions!$K$58,1,0)</f>
        <v>0</v>
      </c>
      <c r="K4936" s="20" t="n">
        <f aca="false">IF(K4873=Assumptions!$K$58,1,0)</f>
        <v>0</v>
      </c>
    </row>
    <row r="4938" customFormat="false" ht="15" hidden="false" customHeight="false" outlineLevel="0" collapsed="false">
      <c r="A4938" s="3" t="s">
        <v>311</v>
      </c>
      <c r="G4938" s="31" t="n">
        <f aca="false">IF(Assumptions!$I$58=1,MAX(G4899,Assumptions!$G$58)+Assumptions!$F$58+$C$4900,Assumptions!$E$58)</f>
        <v>0.0425</v>
      </c>
      <c r="H4938" s="31" t="n">
        <f aca="false">IF(G5058=1,$C$4901,IF(Assumptions!$I$58=1,MAX(H4899,Assumptions!$G$58)+Assumptions!$F$58+$C$4900,Assumptions!$E$58))</f>
        <v>0.0425</v>
      </c>
      <c r="I4938" s="31" t="n">
        <f aca="false">IF(H5058=1,$C$4901,IF(Assumptions!$I$58=1,MAX(I4899,Assumptions!$G$58)+Assumptions!$F$58+$C$4900,Assumptions!$E$58))</f>
        <v>0.0425</v>
      </c>
      <c r="J4938" s="31" t="n">
        <f aca="false">IF(I5058=1,$C$4901,IF(Assumptions!$I$58=1,MAX(J4899,Assumptions!$G$58)+Assumptions!$F$58+$C$4900,Assumptions!$E$58))</f>
        <v>0.0425</v>
      </c>
      <c r="K4938" s="31" t="n">
        <f aca="false">IF(J5058=1,$C$4901,IF(Assumptions!$I$58=1,MAX(K4899,Assumptions!$G$58)+Assumptions!$F$58+$C$4900,Assumptions!$E$58))</f>
        <v>0.0425</v>
      </c>
    </row>
    <row r="4939" customFormat="false" ht="15" hidden="false" customHeight="false" outlineLevel="0" collapsed="false">
      <c r="A4939" s="3" t="s">
        <v>312</v>
      </c>
      <c r="G4939" s="25" t="n">
        <f aca="false">G4935*G4938</f>
        <v>6.109375</v>
      </c>
      <c r="H4939" s="25" t="n">
        <f aca="false">H4935*H4938</f>
        <v>6.109375</v>
      </c>
      <c r="I4939" s="25" t="n">
        <f aca="false">I4935*I4938</f>
        <v>6.109375</v>
      </c>
      <c r="J4939" s="25" t="n">
        <f aca="false">J4935*J4938</f>
        <v>6.109375</v>
      </c>
      <c r="K4939" s="25" t="n">
        <f aca="false">K4935*K4938</f>
        <v>6.109375</v>
      </c>
    </row>
    <row r="4940" customFormat="false" ht="15" hidden="false" customHeight="false" outlineLevel="0" collapsed="false">
      <c r="A4940" s="3" t="s">
        <v>313</v>
      </c>
      <c r="G4940" s="25" t="n">
        <f aca="false">G4935*Assumptions!$H$58</f>
        <v>0</v>
      </c>
      <c r="H4940" s="25" t="n">
        <f aca="false">H4935*Assumptions!$H$58</f>
        <v>0</v>
      </c>
      <c r="I4940" s="25" t="n">
        <f aca="false">I4935*Assumptions!$H$58</f>
        <v>0</v>
      </c>
      <c r="J4940" s="25" t="n">
        <f aca="false">J4935*Assumptions!$H$58</f>
        <v>0</v>
      </c>
      <c r="K4940" s="25" t="n">
        <f aca="false">K4935*Assumptions!$H$58</f>
        <v>0</v>
      </c>
    </row>
    <row r="4941" customFormat="false" ht="15" hidden="false" customHeight="false" outlineLevel="0" collapsed="false">
      <c r="A4941" s="3" t="s">
        <v>314</v>
      </c>
      <c r="G4941" s="25" t="n">
        <f aca="false">MIN(G4935,Assumptions!$L$58*Assumptions!$C$58)</f>
        <v>0</v>
      </c>
      <c r="H4941" s="25" t="n">
        <f aca="false">MIN(H4935,Assumptions!$L$58*Assumptions!$C$58)</f>
        <v>0</v>
      </c>
      <c r="I4941" s="25" t="n">
        <f aca="false">MIN(I4935,Assumptions!$L$58*Assumptions!$C$58)</f>
        <v>0</v>
      </c>
      <c r="J4941" s="25" t="n">
        <f aca="false">MIN(J4935,Assumptions!$L$58*Assumptions!$C$58)</f>
        <v>0</v>
      </c>
      <c r="K4941" s="25" t="n">
        <f aca="false">MIN(K4935,Assumptions!$L$58*Assumptions!$C$58)</f>
        <v>0</v>
      </c>
    </row>
    <row r="4942" customFormat="false" ht="15" hidden="false" customHeight="false" outlineLevel="0" collapsed="false">
      <c r="A4942" s="3" t="s">
        <v>315</v>
      </c>
      <c r="G4942" s="25" t="n">
        <f aca="false">IF(AND(Assumptions!$P$58=1,G4873&lt;Assumptions!$K$58),MIN(MAX(0,-G4970),MAX(0,Assumptions!$D$58-G4935)),0)</f>
        <v>0</v>
      </c>
      <c r="H4942" s="25" t="n">
        <f aca="false">IF(AND(Assumptions!$P$58=1,OR(H4873&lt;Assumptions!$K$58,G5058=1)),MIN(MAX(0,-H4970),MAX(0,Assumptions!$D$58-H4935)),0)</f>
        <v>0</v>
      </c>
      <c r="I4942" s="25" t="n">
        <f aca="false">IF(AND(Assumptions!$P$58=1,OR(I4873&lt;Assumptions!$K$58,H5058=1)),MIN(MAX(0,-I4970),MAX(0,Assumptions!$D$58-I4935)),0)</f>
        <v>0</v>
      </c>
      <c r="J4942" s="25" t="n">
        <f aca="false">IF(AND(Assumptions!$P$58=1,OR(J4873&lt;Assumptions!$K$58,I5058=1)),MIN(MAX(0,-J4970),MAX(0,Assumptions!$D$58-J4935)),0)</f>
        <v>0</v>
      </c>
      <c r="K4942" s="25" t="n">
        <f aca="false">IF(AND(Assumptions!$P$58=1,OR(K4873&lt;Assumptions!$K$58,J5058=1)),MIN(MAX(0,-K4970),MAX(0,Assumptions!$D$58-K4935)),0)</f>
        <v>0</v>
      </c>
    </row>
    <row r="4943" customFormat="false" ht="15" hidden="false" customHeight="false" outlineLevel="0" collapsed="false">
      <c r="A4943" s="3" t="s">
        <v>316</v>
      </c>
      <c r="G4943" s="25" t="n">
        <f aca="false">G4936*MIN(G4935-G4941+G4940,MAX(0,G4972-Assumptions!$C$12*G4907-G4917-G4930))</f>
        <v>0</v>
      </c>
      <c r="H4943" s="25" t="n">
        <f aca="false">H4936*MIN(H4935-H4941+H4940,MAX(0,H4972-Assumptions!$C$12*H4907-H4917-H4930))</f>
        <v>0</v>
      </c>
      <c r="I4943" s="25" t="n">
        <f aca="false">I4936*MIN(I4935-I4941+I4940,MAX(0,I4972-Assumptions!$C$12*I4907-I4917-I4930))</f>
        <v>0</v>
      </c>
      <c r="J4943" s="25" t="n">
        <f aca="false">J4936*MIN(J4935-J4941+J4940,MAX(0,J4972-Assumptions!$C$12*J4907-J4917-J4930))</f>
        <v>0</v>
      </c>
      <c r="K4943" s="25" t="n">
        <f aca="false">K4936*MIN(K4935-K4941+K4940,MAX(0,K4972-Assumptions!$C$12*K4907-K4917-K4930))</f>
        <v>0</v>
      </c>
    </row>
    <row r="4944" customFormat="false" ht="15" hidden="false" customHeight="false" outlineLevel="0" collapsed="false">
      <c r="A4944" s="3" t="s">
        <v>317</v>
      </c>
      <c r="G4944" s="25" t="n">
        <f aca="false">Assumptions!$N$58*MIN(G4935+G4942+G4940-G4941-G4943,MAX(0,G4976-G4918-G4931))</f>
        <v>0</v>
      </c>
      <c r="H4944" s="25" t="n">
        <f aca="false">Assumptions!$N$58*MIN(H4935+H4942+H4940-H4941-H4943,MAX(0,H4976-H4918-H4931))</f>
        <v>0</v>
      </c>
      <c r="I4944" s="25" t="n">
        <f aca="false">Assumptions!$N$58*MIN(I4935+I4942+I4940-I4941-I4943,MAX(0,I4976-I4918-I4931))</f>
        <v>0</v>
      </c>
      <c r="J4944" s="25" t="n">
        <f aca="false">Assumptions!$N$58*MIN(J4935+J4942+J4940-J4941-J4943,MAX(0,J4976-J4918-J4931))</f>
        <v>0</v>
      </c>
      <c r="K4944" s="25" t="n">
        <f aca="false">Assumptions!$N$58*MIN(K4935+K4942+K4940-K4941-K4943,MAX(0,K4976-K4918-K4931))</f>
        <v>0</v>
      </c>
    </row>
    <row r="4945" customFormat="false" ht="15" hidden="false" customHeight="false" outlineLevel="0" collapsed="false">
      <c r="A4945" s="3" t="s">
        <v>318</v>
      </c>
      <c r="G4945" s="25" t="n">
        <f aca="false">G4936*(1-G4907)*(G4935-G4941+G4940-G4943)</f>
        <v>0</v>
      </c>
      <c r="H4945" s="25" t="n">
        <f aca="false">H4936*(1-H4907)*(H4935-H4941+H4940-H4943)</f>
        <v>0</v>
      </c>
      <c r="I4945" s="25" t="n">
        <f aca="false">I4936*(1-I4907)*(I4935-I4941+I4940-I4943)</f>
        <v>143.75</v>
      </c>
      <c r="J4945" s="25" t="n">
        <f aca="false">J4936*(1-J4907)*(J4935-J4941+J4940-J4943)</f>
        <v>0</v>
      </c>
      <c r="K4945" s="25" t="n">
        <f aca="false">K4936*(1-K4907)*(K4935-K4941+K4940-K4943)</f>
        <v>0</v>
      </c>
    </row>
    <row r="4946" customFormat="false" ht="15" hidden="false" customHeight="false" outlineLevel="0" collapsed="false">
      <c r="A4946" s="2" t="s">
        <v>319</v>
      </c>
      <c r="F4946" s="28" t="n">
        <f aca="false">Assumptions!$C$58</f>
        <v>143.75</v>
      </c>
      <c r="G4946" s="16" t="n">
        <f aca="false">G4935+G4942+G4940-G4941-G4943-G4944</f>
        <v>143.75</v>
      </c>
      <c r="H4946" s="16" t="n">
        <f aca="false">H4935+H4942+H4940-H4941-H4943-H4944</f>
        <v>143.75</v>
      </c>
      <c r="I4946" s="16" t="n">
        <f aca="false">I4935+I4942+I4940-I4941-I4943-I4944</f>
        <v>143.75</v>
      </c>
      <c r="J4946" s="16" t="n">
        <f aca="false">J4935+J4942+J4940-J4941-J4943-J4944</f>
        <v>143.75</v>
      </c>
      <c r="K4946" s="16" t="n">
        <f aca="false">K4935+K4942+K4940-K4941-K4943-K4944</f>
        <v>143.75</v>
      </c>
    </row>
    <row r="4947" customFormat="false" ht="15" hidden="false" customHeight="false" outlineLevel="0" collapsed="false">
      <c r="A4947" s="23" t="s">
        <v>322</v>
      </c>
      <c r="B4947" s="24"/>
      <c r="C4947" s="24"/>
      <c r="D4947" s="24"/>
      <c r="E4947" s="24"/>
      <c r="F4947" s="24"/>
      <c r="G4947" s="24"/>
      <c r="H4947" s="24"/>
      <c r="I4947" s="24"/>
      <c r="J4947" s="24"/>
      <c r="K4947" s="24"/>
    </row>
    <row r="4948" customFormat="false" ht="15" hidden="false" customHeight="false" outlineLevel="0" collapsed="false">
      <c r="A4948" s="2" t="s">
        <v>323</v>
      </c>
      <c r="F4948" s="16" t="n">
        <f aca="false">F4920+F4933+F4946</f>
        <v>1735.554</v>
      </c>
      <c r="G4948" s="16" t="n">
        <f aca="false">G4920+G4933+G4946</f>
        <v>1735.554</v>
      </c>
      <c r="H4948" s="16" t="n">
        <f aca="false">H4920+H4933+H4946</f>
        <v>1735.554</v>
      </c>
      <c r="I4948" s="16" t="n">
        <f aca="false">I4920+I4933+I4946</f>
        <v>1465.18203256832</v>
      </c>
      <c r="J4948" s="16" t="n">
        <f aca="false">J4920+J4933+J4946</f>
        <v>1465.18203256832</v>
      </c>
      <c r="K4948" s="16" t="n">
        <f aca="false">K4920+K4933+K4946</f>
        <v>1465.18203256832</v>
      </c>
    </row>
    <row r="4949" customFormat="false" ht="15" hidden="false" customHeight="false" outlineLevel="0" collapsed="false">
      <c r="A4949" s="3" t="s">
        <v>324</v>
      </c>
      <c r="G4949" s="25" t="n">
        <f aca="false">G4910*Assumptions!$C$56+G4923*Assumptions!$C$57+G4936*Assumptions!$C$58</f>
        <v>0</v>
      </c>
      <c r="H4949" s="25" t="n">
        <f aca="false">H4910*Assumptions!$C$56+H4923*Assumptions!$C$57+H4936*Assumptions!$C$58</f>
        <v>0</v>
      </c>
      <c r="I4949" s="25" t="n">
        <f aca="false">I4910*Assumptions!$C$56+I4923*Assumptions!$C$57+I4936*Assumptions!$C$58</f>
        <v>420.456</v>
      </c>
      <c r="J4949" s="25" t="n">
        <f aca="false">J4910*Assumptions!$C$56+J4923*Assumptions!$C$57+J4936*Assumptions!$C$58</f>
        <v>0</v>
      </c>
      <c r="K4949" s="25" t="n">
        <f aca="false">K4910*Assumptions!$C$56+K4923*Assumptions!$C$57+K4936*Assumptions!$C$58</f>
        <v>0</v>
      </c>
    </row>
    <row r="4950" customFormat="false" ht="15" hidden="false" customHeight="false" outlineLevel="0" collapsed="false">
      <c r="A4950" s="23" t="s">
        <v>325</v>
      </c>
      <c r="B4950" s="24"/>
      <c r="C4950" s="24"/>
      <c r="D4950" s="24"/>
      <c r="E4950" s="24"/>
      <c r="F4950" s="24"/>
      <c r="G4950" s="24"/>
      <c r="H4950" s="24"/>
      <c r="I4950" s="24"/>
      <c r="J4950" s="24"/>
      <c r="K4950" s="24"/>
    </row>
    <row r="4951" customFormat="false" ht="15" hidden="false" customHeight="false" outlineLevel="0" collapsed="false">
      <c r="A4951" s="3" t="s">
        <v>326</v>
      </c>
      <c r="C4951" s="25" t="n">
        <f aca="false">SUMPRODUCT($G$4910:$K$4910,$G$4909:$K$4909-$G$4915:$K$4915+$G$4914:$K$4914)</f>
        <v>0</v>
      </c>
    </row>
    <row r="4952" customFormat="false" ht="15" hidden="false" customHeight="false" outlineLevel="0" collapsed="false">
      <c r="A4952" s="3" t="s">
        <v>327</v>
      </c>
      <c r="C4952" s="25" t="n">
        <f aca="false">SUMPRODUCT($G$4910:$K$4910,$G$4917:$K$4917)</f>
        <v>0</v>
      </c>
    </row>
    <row r="4953" customFormat="false" ht="15" hidden="false" customHeight="false" outlineLevel="0" collapsed="false">
      <c r="A4953" s="3" t="s">
        <v>328</v>
      </c>
      <c r="C4953" s="3" t="str">
        <f aca="false">IF(SUM($G$4910:$K$4910)=0,"n/a (beyond horizon)",IF(SUMPRODUCT($G$4910:$K$4910,$G$4907:$K$4907)&gt;0,"REFINANCING PASS","REFINANCING FAILURE"))</f>
        <v>n/a (beyond horizon)</v>
      </c>
    </row>
    <row r="4954" customFormat="false" ht="15" hidden="false" customHeight="false" outlineLevel="0" collapsed="false">
      <c r="A4954" s="3" t="s">
        <v>329</v>
      </c>
      <c r="C4954" s="3" t="str">
        <f aca="false">IF(SUM($G$4910:$K$4910)=0,"n/a",IF(C4952&gt;=C4951-0.001,"Repaid from cash",IF(SUMPRODUCT($G$4910:$K$4910,$G$4907:$K$4907)&gt;0,IF(C4952&gt;0,"Partly repaid; remainder refinanced","Refinanced"),IF(SUM($G$4919:$K$4919)&gt;0.001,IF(C4952&gt;0,"Partial repayment; PAYMENT DEFAULT","PAYMENT DEFAULT"),"Repaid from cash"))))</f>
        <v>n/a</v>
      </c>
    </row>
    <row r="4955" customFormat="false" ht="15" hidden="false" customHeight="false" outlineLevel="0" collapsed="false">
      <c r="A4955" s="3" t="s">
        <v>330</v>
      </c>
      <c r="C4955" s="25" t="n">
        <f aca="false">SUMPRODUCT($G$4923:$K$4923,$G$4922:$K$4922-$G$4928:$K$4928+$G$4927:$K$4927)</f>
        <v>276.706</v>
      </c>
    </row>
    <row r="4956" customFormat="false" ht="15" hidden="false" customHeight="false" outlineLevel="0" collapsed="false">
      <c r="A4956" s="3" t="s">
        <v>331</v>
      </c>
      <c r="C4956" s="25" t="n">
        <f aca="false">SUMPRODUCT($G$4923:$K$4923,$G$4930:$K$4930)</f>
        <v>270.37196743168</v>
      </c>
    </row>
    <row r="4957" customFormat="false" ht="15" hidden="false" customHeight="false" outlineLevel="0" collapsed="false">
      <c r="A4957" s="3" t="s">
        <v>332</v>
      </c>
      <c r="C4957" s="3" t="str">
        <f aca="false">IF(SUM($G$4923:$K$4923)=0,"n/a (beyond horizon)",IF(SUMPRODUCT($G$4923:$K$4923,$G$4907:$K$4907)&gt;0,"REFINANCING PASS","REFINANCING FAILURE"))</f>
        <v>REFINANCING FAILURE</v>
      </c>
    </row>
    <row r="4958" customFormat="false" ht="15" hidden="false" customHeight="false" outlineLevel="0" collapsed="false">
      <c r="A4958" s="3" t="s">
        <v>333</v>
      </c>
      <c r="C4958" s="3" t="str">
        <f aca="false">IF(SUM($G$4923:$K$4923)=0,"n/a",IF(C4956&gt;=C4955-0.001,"Repaid from cash",IF(SUMPRODUCT($G$4923:$K$4923,$G$4907:$K$4907)&gt;0,IF(C4956&gt;0,"Partly repaid; remainder refinanced","Refinanced"),IF(SUM($G$4932:$K$4932)&gt;0.001,IF(C4956&gt;0,"Partial repayment; PAYMENT DEFAULT","PAYMENT DEFAULT"),"Repaid from cash"))))</f>
        <v>Partial repayment; PAYMENT DEFAULT</v>
      </c>
    </row>
    <row r="4959" customFormat="false" ht="15" hidden="false" customHeight="false" outlineLevel="0" collapsed="false">
      <c r="A4959" s="3" t="s">
        <v>334</v>
      </c>
      <c r="C4959" s="25" t="n">
        <f aca="false">SUMPRODUCT($G$4936:$K$4936,$G$4935:$K$4935-$G$4941:$K$4941+$G$4940:$K$4940)</f>
        <v>143.75</v>
      </c>
    </row>
    <row r="4960" customFormat="false" ht="15" hidden="false" customHeight="false" outlineLevel="0" collapsed="false">
      <c r="A4960" s="3" t="s">
        <v>335</v>
      </c>
      <c r="C4960" s="25" t="n">
        <f aca="false">SUMPRODUCT($G$4936:$K$4936,$G$4943:$K$4943)</f>
        <v>0</v>
      </c>
    </row>
    <row r="4961" customFormat="false" ht="15" hidden="false" customHeight="false" outlineLevel="0" collapsed="false">
      <c r="A4961" s="3" t="s">
        <v>336</v>
      </c>
      <c r="C4961" s="3" t="str">
        <f aca="false">IF(SUM($G$4936:$K$4936)=0,"n/a (beyond horizon)",IF(SUMPRODUCT($G$4936:$K$4936,$G$4907:$K$4907)&gt;0,"REFINANCING PASS","REFINANCING FAILURE"))</f>
        <v>REFINANCING FAILURE</v>
      </c>
    </row>
    <row r="4962" customFormat="false" ht="15" hidden="false" customHeight="false" outlineLevel="0" collapsed="false">
      <c r="A4962" s="3" t="s">
        <v>337</v>
      </c>
      <c r="C4962" s="3" t="str">
        <f aca="false">IF(SUM($G$4936:$K$4936)=0,"n/a",IF(C4960&gt;=C4959-0.001,"Repaid from cash",IF(SUMPRODUCT($G$4936:$K$4936,$G$4907:$K$4907)&gt;0,IF(C4960&gt;0,"Partly repaid; remainder refinanced","Refinanced"),IF(SUM($G$4945:$K$4945)&gt;0.001,IF(C4960&gt;0,"Partial repayment; PAYMENT DEFAULT","PAYMENT DEFAULT"),"Repaid from cash"))))</f>
        <v>PAYMENT DEFAULT</v>
      </c>
    </row>
    <row r="4963" customFormat="false" ht="15" hidden="false" customHeight="false" outlineLevel="0" collapsed="false">
      <c r="A4963" s="3" t="s">
        <v>338</v>
      </c>
      <c r="C4963" s="20" t="n">
        <f aca="false">IF(C4953="REFINANCING FAILURE",1,0)+IF(C4957="REFINANCING FAILURE",1,0)+IF(C4961="REFINANCING FAILURE",1,0)</f>
        <v>2</v>
      </c>
    </row>
    <row r="4965" customFormat="false" ht="15" hidden="false" customHeight="false" outlineLevel="0" collapsed="false">
      <c r="A4965" s="23" t="s">
        <v>340</v>
      </c>
      <c r="B4965" s="24"/>
      <c r="C4965" s="24"/>
      <c r="D4965" s="24"/>
      <c r="E4965" s="24"/>
      <c r="F4965" s="24"/>
      <c r="G4965" s="24"/>
      <c r="H4965" s="24"/>
      <c r="I4965" s="24"/>
      <c r="J4965" s="24"/>
      <c r="K4965" s="24"/>
    </row>
    <row r="4966" customFormat="false" ht="15" hidden="false" customHeight="false" outlineLevel="0" collapsed="false">
      <c r="A4966" s="3" t="s">
        <v>305</v>
      </c>
      <c r="G4966" s="25" t="n">
        <f aca="false">F4978</f>
        <v>463.996</v>
      </c>
      <c r="H4966" s="25" t="n">
        <f aca="false">G4978</f>
        <v>431.67030664</v>
      </c>
      <c r="I4966" s="25" t="n">
        <f aca="false">H4978</f>
        <v>359.0106596512</v>
      </c>
      <c r="J4966" s="25" t="n">
        <f aca="false">I4978</f>
        <v>0</v>
      </c>
      <c r="K4966" s="25" t="n">
        <f aca="false">J4978</f>
        <v>-82.533161826112</v>
      </c>
    </row>
    <row r="4967" customFormat="false" ht="15" hidden="false" customHeight="false" outlineLevel="0" collapsed="false">
      <c r="A4967" s="3" t="s">
        <v>341</v>
      </c>
      <c r="G4967" s="25" t="n">
        <f aca="false">G4896</f>
        <v>-32.32569336</v>
      </c>
      <c r="H4967" s="25" t="n">
        <f aca="false">H4896</f>
        <v>-72.6596469888</v>
      </c>
      <c r="I4967" s="25" t="n">
        <f aca="false">I4896</f>
        <v>-88.63869221952</v>
      </c>
      <c r="J4967" s="25" t="n">
        <f aca="false">J4896</f>
        <v>-82.533161826112</v>
      </c>
      <c r="K4967" s="25" t="n">
        <f aca="false">K4896</f>
        <v>-86.2490037995945</v>
      </c>
    </row>
    <row r="4968" customFormat="false" ht="15" hidden="false" customHeight="false" outlineLevel="0" collapsed="false">
      <c r="A4968" s="3" t="s">
        <v>342</v>
      </c>
      <c r="G4968" s="25" t="n">
        <f aca="false">CHOOSE($C$4866,Assumptions!$G$74,Assumptions!$G$93,Assumptions!$G$112)</f>
        <v>0</v>
      </c>
      <c r="H4968" s="25" t="n">
        <f aca="false">CHOOSE($C$4866,Assumptions!$H$74,Assumptions!$H$93,Assumptions!$H$112)</f>
        <v>0</v>
      </c>
      <c r="I4968" s="25" t="n">
        <f aca="false">CHOOSE($C$4866,Assumptions!$I$74,Assumptions!$I$93,Assumptions!$I$112)</f>
        <v>0</v>
      </c>
      <c r="J4968" s="25" t="n">
        <f aca="false">CHOOSE($C$4866,Assumptions!$J$74,Assumptions!$J$93,Assumptions!$J$112)</f>
        <v>0</v>
      </c>
      <c r="K4968" s="25" t="n">
        <f aca="false">CHOOSE($C$4866,Assumptions!$K$74,Assumptions!$K$93,Assumptions!$K$112)</f>
        <v>0</v>
      </c>
    </row>
    <row r="4969" customFormat="false" ht="15" hidden="false" customHeight="false" outlineLevel="0" collapsed="false">
      <c r="A4969" s="3" t="s">
        <v>343</v>
      </c>
      <c r="G4969" s="25" t="n">
        <f aca="false">G4915+G4928+G4941</f>
        <v>0</v>
      </c>
      <c r="H4969" s="25" t="n">
        <f aca="false">H4915+H4928+H4941</f>
        <v>0</v>
      </c>
      <c r="I4969" s="25" t="n">
        <f aca="false">I4915+I4928+I4941</f>
        <v>0</v>
      </c>
      <c r="J4969" s="25" t="n">
        <f aca="false">J4915+J4928+J4941</f>
        <v>0</v>
      </c>
      <c r="K4969" s="25" t="n">
        <f aca="false">K4915+K4928+K4941</f>
        <v>0</v>
      </c>
    </row>
    <row r="4970" customFormat="false" ht="15" hidden="false" customHeight="false" outlineLevel="0" collapsed="false">
      <c r="A4970" s="2" t="s">
        <v>344</v>
      </c>
      <c r="G4970" s="16" t="n">
        <f aca="false">G4966+G4967+G4968-G4969</f>
        <v>431.67030664</v>
      </c>
      <c r="H4970" s="16" t="n">
        <f aca="false">H4966+H4967+H4968-H4969</f>
        <v>359.0106596512</v>
      </c>
      <c r="I4970" s="16" t="n">
        <f aca="false">I4966+I4967+I4968-I4969</f>
        <v>270.37196743168</v>
      </c>
      <c r="J4970" s="16" t="n">
        <f aca="false">J4966+J4967+J4968-J4969</f>
        <v>-82.533161826112</v>
      </c>
      <c r="K4970" s="16" t="n">
        <f aca="false">K4966+K4967+K4968-K4969</f>
        <v>-168.782165625707</v>
      </c>
    </row>
    <row r="4971" customFormat="false" ht="15" hidden="false" customHeight="false" outlineLevel="0" collapsed="false">
      <c r="A4971" s="3" t="s">
        <v>345</v>
      </c>
      <c r="G4971" s="25" t="n">
        <f aca="false">G4916+G4929+G4942</f>
        <v>0</v>
      </c>
      <c r="H4971" s="25" t="n">
        <f aca="false">H4916+H4929+H4942</f>
        <v>0</v>
      </c>
      <c r="I4971" s="25" t="n">
        <f aca="false">I4916+I4929+I4942</f>
        <v>0</v>
      </c>
      <c r="J4971" s="25" t="n">
        <f aca="false">J4916+J4929+J4942</f>
        <v>0</v>
      </c>
      <c r="K4971" s="25" t="n">
        <f aca="false">K4916+K4929+K4942</f>
        <v>0</v>
      </c>
    </row>
    <row r="4972" customFormat="false" ht="15" hidden="false" customHeight="false" outlineLevel="0" collapsed="false">
      <c r="A4972" s="2" t="s">
        <v>346</v>
      </c>
      <c r="G4972" s="16" t="n">
        <f aca="false">G4970+G4971</f>
        <v>431.67030664</v>
      </c>
      <c r="H4972" s="16" t="n">
        <f aca="false">H4970+H4971</f>
        <v>359.0106596512</v>
      </c>
      <c r="I4972" s="16" t="n">
        <f aca="false">I4970+I4971</f>
        <v>270.37196743168</v>
      </c>
      <c r="J4972" s="16" t="n">
        <f aca="false">J4970+J4971</f>
        <v>-82.533161826112</v>
      </c>
      <c r="K4972" s="16" t="n">
        <f aca="false">K4970+K4971</f>
        <v>-168.782165625707</v>
      </c>
    </row>
    <row r="4973" customFormat="false" ht="15" hidden="false" customHeight="false" outlineLevel="0" collapsed="false">
      <c r="A4973" s="3" t="s">
        <v>347</v>
      </c>
      <c r="G4973" s="25" t="n">
        <f aca="false">G4917+G4930+G4943</f>
        <v>0</v>
      </c>
      <c r="H4973" s="25" t="n">
        <f aca="false">H4917+H4930+H4943</f>
        <v>0</v>
      </c>
      <c r="I4973" s="25" t="n">
        <f aca="false">I4917+I4930+I4943</f>
        <v>270.37196743168</v>
      </c>
      <c r="J4973" s="25" t="n">
        <f aca="false">J4917+J4930+J4943</f>
        <v>0</v>
      </c>
      <c r="K4973" s="25" t="n">
        <f aca="false">K4917+K4930+K4943</f>
        <v>0</v>
      </c>
    </row>
    <row r="4974" customFormat="false" ht="15" hidden="false" customHeight="false" outlineLevel="0" collapsed="false">
      <c r="A4974" s="2" t="s">
        <v>348</v>
      </c>
      <c r="G4974" s="16" t="n">
        <f aca="false">G4972-G4973</f>
        <v>431.67030664</v>
      </c>
      <c r="H4974" s="16" t="n">
        <f aca="false">H4972-H4973</f>
        <v>359.0106596512</v>
      </c>
      <c r="I4974" s="16" t="n">
        <f aca="false">I4972-I4973</f>
        <v>0</v>
      </c>
      <c r="J4974" s="16" t="n">
        <f aca="false">J4972-J4973</f>
        <v>-82.533161826112</v>
      </c>
      <c r="K4974" s="16" t="n">
        <f aca="false">K4972-K4973</f>
        <v>-168.782165625707</v>
      </c>
    </row>
    <row r="4975" customFormat="false" ht="15" hidden="false" customHeight="false" outlineLevel="0" collapsed="false">
      <c r="A4975" s="3" t="s">
        <v>349</v>
      </c>
      <c r="G4975" s="25" t="n">
        <f aca="false">MAX(0,-G4974)</f>
        <v>0</v>
      </c>
      <c r="H4975" s="25" t="n">
        <f aca="false">MAX(0,-H4974)</f>
        <v>0</v>
      </c>
      <c r="I4975" s="25" t="n">
        <f aca="false">MAX(0,-I4974)</f>
        <v>-0</v>
      </c>
      <c r="J4975" s="25" t="n">
        <f aca="false">MAX(0,-J4974)</f>
        <v>82.533161826112</v>
      </c>
      <c r="K4975" s="25" t="n">
        <f aca="false">MAX(0,-K4974)</f>
        <v>168.782165625707</v>
      </c>
    </row>
    <row r="4976" customFormat="false" ht="15" hidden="false" customHeight="false" outlineLevel="0" collapsed="false">
      <c r="A4976" s="3" t="s">
        <v>350</v>
      </c>
      <c r="G4976" s="25" t="n">
        <f aca="false">MAX(0,G4974-Assumptions!$C$12)*Assumptions!$C$13</f>
        <v>0</v>
      </c>
      <c r="H4976" s="25" t="n">
        <f aca="false">MAX(0,H4974-Assumptions!$C$12)*Assumptions!$C$13</f>
        <v>0</v>
      </c>
      <c r="I4976" s="25" t="n">
        <f aca="false">MAX(0,I4974-Assumptions!$C$12)*Assumptions!$C$13</f>
        <v>0</v>
      </c>
      <c r="J4976" s="25" t="n">
        <f aca="false">MAX(0,J4974-Assumptions!$C$12)*Assumptions!$C$13</f>
        <v>0</v>
      </c>
      <c r="K4976" s="25" t="n">
        <f aca="false">MAX(0,K4974-Assumptions!$C$12)*Assumptions!$C$13</f>
        <v>0</v>
      </c>
    </row>
    <row r="4977" customFormat="false" ht="15" hidden="false" customHeight="false" outlineLevel="0" collapsed="false">
      <c r="A4977" s="3" t="s">
        <v>351</v>
      </c>
      <c r="G4977" s="25" t="n">
        <f aca="false">G4918+G4931+G4944</f>
        <v>0</v>
      </c>
      <c r="H4977" s="25" t="n">
        <f aca="false">H4918+H4931+H4944</f>
        <v>0</v>
      </c>
      <c r="I4977" s="25" t="n">
        <f aca="false">I4918+I4931+I4944</f>
        <v>0</v>
      </c>
      <c r="J4977" s="25" t="n">
        <f aca="false">J4918+J4931+J4944</f>
        <v>0</v>
      </c>
      <c r="K4977" s="25" t="n">
        <f aca="false">K4918+K4931+K4944</f>
        <v>0</v>
      </c>
    </row>
    <row r="4978" customFormat="false" ht="15" hidden="false" customHeight="false" outlineLevel="0" collapsed="false">
      <c r="A4978" s="2" t="s">
        <v>352</v>
      </c>
      <c r="F4978" s="28" t="n">
        <f aca="false">Assumptions!$C$11</f>
        <v>463.996</v>
      </c>
      <c r="G4978" s="16" t="n">
        <f aca="false">G4974-G4977</f>
        <v>431.67030664</v>
      </c>
      <c r="H4978" s="16" t="n">
        <f aca="false">H4974-H4977</f>
        <v>359.0106596512</v>
      </c>
      <c r="I4978" s="16" t="n">
        <f aca="false">I4974-I4977</f>
        <v>0</v>
      </c>
      <c r="J4978" s="16" t="n">
        <f aca="false">J4974-J4977</f>
        <v>-82.533161826112</v>
      </c>
      <c r="K4978" s="16" t="n">
        <f aca="false">K4974-K4977</f>
        <v>-168.782165625707</v>
      </c>
    </row>
    <row r="4979" customFormat="false" ht="15" hidden="false" customHeight="false" outlineLevel="0" collapsed="false">
      <c r="A4979" s="3" t="s">
        <v>353</v>
      </c>
      <c r="G4979" s="25" t="n">
        <f aca="false">G4919+G4932+G4945</f>
        <v>0</v>
      </c>
      <c r="H4979" s="25" t="n">
        <f aca="false">H4919+H4932+H4945</f>
        <v>0</v>
      </c>
      <c r="I4979" s="25" t="n">
        <f aca="false">I4919+I4932+I4945</f>
        <v>150.08403256832</v>
      </c>
      <c r="J4979" s="25" t="n">
        <f aca="false">J4919+J4932+J4945</f>
        <v>0</v>
      </c>
      <c r="K4979" s="25" t="n">
        <f aca="false">K4919+K4932+K4945</f>
        <v>0</v>
      </c>
    </row>
    <row r="4980" customFormat="false" ht="15" hidden="false" customHeight="false" outlineLevel="0" collapsed="false">
      <c r="A4980" s="3" t="s">
        <v>354</v>
      </c>
      <c r="G4980" s="20" t="n">
        <f aca="false">IF(OR(G4975&gt;0.001,G4979&gt;0.001),1,0)</f>
        <v>0</v>
      </c>
      <c r="H4980" s="20" t="n">
        <f aca="false">IF(OR(H4975&gt;0.001,H4979&gt;0.001),1,0)</f>
        <v>0</v>
      </c>
      <c r="I4980" s="20" t="n">
        <f aca="false">IF(OR(I4975&gt;0.001,I4979&gt;0.001),1,0)</f>
        <v>1</v>
      </c>
      <c r="J4980" s="20" t="n">
        <f aca="false">IF(OR(J4975&gt;0.001,J4979&gt;0.001),1,0)</f>
        <v>1</v>
      </c>
      <c r="K4980" s="20" t="n">
        <f aca="false">IF(OR(K4975&gt;0.001,K4979&gt;0.001),1,0)</f>
        <v>1</v>
      </c>
    </row>
    <row r="4981" customFormat="false" ht="15" hidden="false" customHeight="false" outlineLevel="0" collapsed="false">
      <c r="A4981" s="3" t="s">
        <v>355</v>
      </c>
      <c r="G4981" s="20" t="n">
        <f aca="false">IF(G4980=1,1,0)</f>
        <v>0</v>
      </c>
      <c r="H4981" s="20" t="n">
        <f aca="false">IF(AND(H4980=1,SUM($G$4980:G4980)=0),1,0)</f>
        <v>0</v>
      </c>
      <c r="I4981" s="20" t="n">
        <f aca="false">IF(AND(I4980=1,SUM($G$4980:H4980)=0),1,0)</f>
        <v>1</v>
      </c>
      <c r="J4981" s="20" t="n">
        <f aca="false">IF(AND(J4980=1,SUM($G$4980:I4980)=0),1,0)</f>
        <v>0</v>
      </c>
      <c r="K4981" s="20" t="n">
        <f aca="false">IF(AND(K4980=1,SUM($G$4980:J4980)=0),1,0)</f>
        <v>0</v>
      </c>
    </row>
    <row r="4982" customFormat="false" ht="15" hidden="false" customHeight="false" outlineLevel="0" collapsed="false">
      <c r="A4982" s="3" t="s">
        <v>356</v>
      </c>
      <c r="G4982" s="25" t="n">
        <f aca="false">(G4948-F4948)-(G4971+G4888-G4969-G4973-G4977)</f>
        <v>0</v>
      </c>
      <c r="H4982" s="25" t="n">
        <f aca="false">(H4948-G4948)-(H4971+H4888-H4969-H4973-H4977)</f>
        <v>0</v>
      </c>
      <c r="I4982" s="25" t="n">
        <f aca="false">(I4948-H4948)-(I4971+I4888-I4969-I4973-I4977)</f>
        <v>0</v>
      </c>
      <c r="J4982" s="25" t="n">
        <f aca="false">(J4948-I4948)-(J4971+J4888-J4969-J4973-J4977)</f>
        <v>0</v>
      </c>
      <c r="K4982" s="25" t="n">
        <f aca="false">(K4948-J4948)-(K4971+K4888-K4969-K4973-K4977)</f>
        <v>0</v>
      </c>
    </row>
    <row r="4984" customFormat="false" ht="15" hidden="false" customHeight="false" outlineLevel="0" collapsed="false">
      <c r="A4984" s="23" t="s">
        <v>358</v>
      </c>
      <c r="B4984" s="24"/>
      <c r="C4984" s="24"/>
      <c r="D4984" s="24"/>
      <c r="E4984" s="24"/>
      <c r="F4984" s="24"/>
      <c r="G4984" s="24"/>
      <c r="H4984" s="24"/>
      <c r="I4984" s="24"/>
      <c r="J4984" s="24"/>
      <c r="K4984" s="24"/>
    </row>
    <row r="4985" customFormat="false" ht="15" hidden="false" customHeight="false" outlineLevel="0" collapsed="false">
      <c r="A4985" s="3" t="s">
        <v>359</v>
      </c>
      <c r="G4985" s="25" t="n">
        <f aca="false">G4948</f>
        <v>1735.554</v>
      </c>
      <c r="H4985" s="25" t="n">
        <f aca="false">H4948</f>
        <v>1735.554</v>
      </c>
      <c r="I4985" s="25" t="n">
        <f aca="false">I4948</f>
        <v>1465.18203256832</v>
      </c>
      <c r="J4985" s="25" t="n">
        <f aca="false">J4948</f>
        <v>1465.18203256832</v>
      </c>
      <c r="K4985" s="25" t="n">
        <f aca="false">K4948</f>
        <v>1465.18203256832</v>
      </c>
    </row>
    <row r="4986" customFormat="false" ht="15" hidden="false" customHeight="false" outlineLevel="0" collapsed="false">
      <c r="A4986" s="3" t="s">
        <v>360</v>
      </c>
      <c r="G4986" s="25" t="n">
        <f aca="false">Assumptions!$O$56*G4920+Assumptions!$O$57*G4933+Assumptions!$O$58*G4946</f>
        <v>1315.098</v>
      </c>
      <c r="H4986" s="25" t="n">
        <f aca="false">Assumptions!$O$56*H4920+Assumptions!$O$57*H4933+Assumptions!$O$58*H4946</f>
        <v>1315.098</v>
      </c>
      <c r="I4986" s="25" t="n">
        <f aca="false">Assumptions!$O$56*I4920+Assumptions!$O$57*I4933+Assumptions!$O$58*I4946</f>
        <v>1315.098</v>
      </c>
      <c r="J4986" s="25" t="n">
        <f aca="false">Assumptions!$O$56*J4920+Assumptions!$O$57*J4933+Assumptions!$O$58*J4946</f>
        <v>1315.098</v>
      </c>
      <c r="K4986" s="25" t="n">
        <f aca="false">Assumptions!$O$56*K4920+Assumptions!$O$57*K4933+Assumptions!$O$58*K4946</f>
        <v>1315.098</v>
      </c>
    </row>
    <row r="4987" customFormat="false" ht="15" hidden="false" customHeight="false" outlineLevel="0" collapsed="false">
      <c r="A4987" s="3" t="s">
        <v>361</v>
      </c>
      <c r="G4987" s="25" t="n">
        <f aca="false">G4985-G4978</f>
        <v>1303.88369336</v>
      </c>
      <c r="H4987" s="25" t="n">
        <f aca="false">H4985-H4978</f>
        <v>1376.5433403488</v>
      </c>
      <c r="I4987" s="25" t="n">
        <f aca="false">I4985-I4978</f>
        <v>1465.18203256832</v>
      </c>
      <c r="J4987" s="25" t="n">
        <f aca="false">J4985-J4978</f>
        <v>1547.71519439443</v>
      </c>
      <c r="K4987" s="25" t="n">
        <f aca="false">K4985-K4978</f>
        <v>1633.96419819403</v>
      </c>
    </row>
    <row r="4988" customFormat="false" ht="15" hidden="false" customHeight="false" outlineLevel="0" collapsed="false">
      <c r="A4988" s="3" t="s">
        <v>362</v>
      </c>
      <c r="G4988" s="32" t="n">
        <f aca="false">IF(G4883&gt;0,G4985/G4883,0)</f>
        <v>9.98286782658702</v>
      </c>
      <c r="H4988" s="32" t="n">
        <f aca="false">IF(H4883&gt;0,H4985/H4883,0)</f>
        <v>13.6130015817096</v>
      </c>
      <c r="I4988" s="32" t="n">
        <f aca="false">IF(I4883&gt;0,I4985/I4883,0)</f>
        <v>13.6813219341771</v>
      </c>
      <c r="J4988" s="32" t="n">
        <f aca="false">IF(J4883&gt;0,J4985/J4883,0)</f>
        <v>14.8710021023664</v>
      </c>
      <c r="K4988" s="32" t="n">
        <f aca="false">IF(K4883&gt;0,K4985/K4883,0)</f>
        <v>15.8202150025174</v>
      </c>
    </row>
    <row r="4989" customFormat="false" ht="15" hidden="false" customHeight="false" outlineLevel="0" collapsed="false">
      <c r="A4989" s="3" t="s">
        <v>363</v>
      </c>
      <c r="G4989" s="32" t="n">
        <f aca="false">IF(G4883&gt;0,G4987/G4883,0)</f>
        <v>7.49990986858087</v>
      </c>
      <c r="H4989" s="32" t="n">
        <f aca="false">IF(H4883&gt;0,H4987/H4883,0)</f>
        <v>10.7970634560838</v>
      </c>
      <c r="I4989" s="32" t="n">
        <f aca="false">IF(I4883&gt;0,I4987/I4883,0)</f>
        <v>13.6813219341771</v>
      </c>
      <c r="J4989" s="32" t="n">
        <f aca="false">IF(J4883&gt;0,J4987/J4883,0)</f>
        <v>15.7086801490181</v>
      </c>
      <c r="K4989" s="32" t="n">
        <f aca="false">IF(K4883&gt;0,K4987/K4883,0)</f>
        <v>17.6426302993449</v>
      </c>
    </row>
    <row r="4990" customFormat="false" ht="15" hidden="false" customHeight="false" outlineLevel="0" collapsed="false">
      <c r="A4990" s="3" t="s">
        <v>364</v>
      </c>
      <c r="G4990" s="32" t="n">
        <f aca="false">IF(G4887&gt;0,G4883/G4887,0)</f>
        <v>1.11476782580477</v>
      </c>
      <c r="H4990" s="32" t="n">
        <f aca="false">IF(H4887&gt;0,H4883/H4887,0)</f>
        <v>0.817496405590163</v>
      </c>
      <c r="I4990" s="32" t="n">
        <f aca="false">IF(I4887&gt;0,I4883/I4887,0)</f>
        <v>0.686696980695737</v>
      </c>
      <c r="J4990" s="32" t="n">
        <f aca="false">IF(J4887&gt;0,J4883/J4887,0)</f>
        <v>0.682012179303795</v>
      </c>
      <c r="K4990" s="32" t="n">
        <f aca="false">IF(K4887&gt;0,K4883/K4887,0)</f>
        <v>0.641091448545568</v>
      </c>
    </row>
    <row r="4991" customFormat="false" ht="15" hidden="false" customHeight="false" outlineLevel="0" collapsed="false">
      <c r="A4991" s="3" t="s">
        <v>365</v>
      </c>
      <c r="G4991" s="32" t="n">
        <f aca="false">IF(G4887&gt;0,G4886/G4887,0)</f>
        <v>0.510100328512125</v>
      </c>
      <c r="H4991" s="32" t="n">
        <f aca="false">IF(H4887&gt;0,H4886/H4887,0)</f>
        <v>0.285389007972637</v>
      </c>
      <c r="I4991" s="32" t="n">
        <f aca="false">IF(I4887&gt;0,I4886/I4887,0)</f>
        <v>0.207800322839964</v>
      </c>
      <c r="J4991" s="32" t="n">
        <f aca="false">IF(J4887&gt;0,J4886/J4887,0)</f>
        <v>0.206382662257416</v>
      </c>
      <c r="K4991" s="32" t="n">
        <f aca="false">IF(K4887&gt;0,K4886/K4887,0)</f>
        <v>0.193999702521971</v>
      </c>
    </row>
    <row r="4992" customFormat="false" ht="15" hidden="false" customHeight="false" outlineLevel="0" collapsed="false">
      <c r="A4992" s="3" t="s">
        <v>198</v>
      </c>
      <c r="G4992" s="21" t="n">
        <f aca="false">IF(G4985&gt;0,G4896/G4985,0)</f>
        <v>-0.0186255762482758</v>
      </c>
      <c r="H4992" s="21" t="n">
        <f aca="false">IF(H4985&gt;0,H4896/H4985,0)</f>
        <v>-0.0418653911020919</v>
      </c>
      <c r="I4992" s="21" t="n">
        <f aca="false">IF(I4985&gt;0,I4896/I4985,0)</f>
        <v>-0.0604967097938985</v>
      </c>
      <c r="J4992" s="21" t="n">
        <f aca="false">IF(J4985&gt;0,J4896/J4985,0)</f>
        <v>-0.0563296300333683</v>
      </c>
      <c r="K4992" s="21" t="n">
        <f aca="false">IF(K4985&gt;0,K4896/K4985,0)</f>
        <v>-0.0588657258159305</v>
      </c>
    </row>
    <row r="4993" customFormat="false" ht="15" hidden="false" customHeight="false" outlineLevel="0" collapsed="false">
      <c r="A4993" s="3" t="s">
        <v>366</v>
      </c>
      <c r="G4993" s="32" t="n">
        <f aca="false">IF(G4887+G4969&gt;0,(G4883-G4894-G4891)/(G4887+G4969),0)</f>
        <v>0.978518424873074</v>
      </c>
      <c r="H4993" s="32" t="n">
        <f aca="false">IF(H4887+H4969&gt;0,(H4883-H4894-H4891)/(H4887+H4969),0)</f>
        <v>0.697596932770272</v>
      </c>
      <c r="I4993" s="32" t="n">
        <f aca="false">IF(I4887+I4969&gt;0,(I4883-I4894-I4891)/(I4887+I4969),0)</f>
        <v>0.578787455157835</v>
      </c>
      <c r="J4993" s="32" t="n">
        <f aca="false">IF(J4887+J4969&gt;0,(J4883-J4894-J4891)/(J4887+J4969),0)</f>
        <v>0.57483883684177</v>
      </c>
      <c r="K4993" s="32" t="n">
        <f aca="false">IF(K4887+K4969&gt;0,(K4883-K4894-K4891)/(K4887+K4969),0)</f>
        <v>0.540348506631264</v>
      </c>
    </row>
    <row r="4994" customFormat="false" ht="15" hidden="false" customHeight="false" outlineLevel="0" collapsed="false">
      <c r="A4994" s="3" t="s">
        <v>367</v>
      </c>
      <c r="G4994" s="25" t="n">
        <f aca="false">MAX(0,G4978)+Assumptions!$P$56*MAX(0,Assumptions!$D$56-G4920)+Assumptions!$P$57*MAX(0,Assumptions!$D$57-G4933)+Assumptions!$P$58*MAX(0,Assumptions!$D$58-G4946)</f>
        <v>431.67030664</v>
      </c>
      <c r="H4994" s="25" t="n">
        <f aca="false">MAX(0,H4978)+Assumptions!$P$56*MAX(0,Assumptions!$D$56-H4920)+Assumptions!$P$57*MAX(0,Assumptions!$D$57-H4933)+Assumptions!$P$58*MAX(0,Assumptions!$D$58-H4946)</f>
        <v>359.0106596512</v>
      </c>
      <c r="I4994" s="25" t="n">
        <f aca="false">MAX(0,I4978)+Assumptions!$P$56*MAX(0,Assumptions!$D$56-I4920)+Assumptions!$P$57*MAX(0,Assumptions!$D$57-I4933)+Assumptions!$P$58*MAX(0,Assumptions!$D$58-I4946)</f>
        <v>0</v>
      </c>
      <c r="J4994" s="25" t="n">
        <f aca="false">MAX(0,J4978)+Assumptions!$P$56*MAX(0,Assumptions!$D$56-J4920)+Assumptions!$P$57*MAX(0,Assumptions!$D$57-J4933)+Assumptions!$P$58*MAX(0,Assumptions!$D$58-J4946)</f>
        <v>0</v>
      </c>
      <c r="K4994" s="25" t="n">
        <f aca="false">MAX(0,K4978)+Assumptions!$P$56*MAX(0,Assumptions!$D$56-K4920)+Assumptions!$P$57*MAX(0,Assumptions!$D$57-K4933)+Assumptions!$P$58*MAX(0,Assumptions!$D$58-K4946)</f>
        <v>0</v>
      </c>
    </row>
    <row r="4995" customFormat="false" ht="15" hidden="false" customHeight="false" outlineLevel="0" collapsed="false">
      <c r="A4995" s="3" t="s">
        <v>368</v>
      </c>
      <c r="G4995" s="21" t="n">
        <f aca="false">IF(G4985&gt;0,G4985/(G4985+MAX(0,G4883*CHOOSE($C$4866,Assumptions!$C$82,Assumptions!$C$101,Assumptions!$C$120)-G4987)),0)</f>
        <v>1</v>
      </c>
      <c r="H4995" s="21" t="n">
        <f aca="false">IF(H4985&gt;0,H4985/(H4985+MAX(0,H4883*CHOOSE($C$4866,Assumptions!$C$82,Assumptions!$C$101,Assumptions!$C$120)-H4987)),0)</f>
        <v>1</v>
      </c>
      <c r="I4995" s="21" t="n">
        <f aca="false">IF(I4985&gt;0,I4985/(I4985+MAX(0,I4883*CHOOSE($C$4866,Assumptions!$C$82,Assumptions!$C$101,Assumptions!$C$120)-I4987)),0)</f>
        <v>1</v>
      </c>
      <c r="J4995" s="21" t="n">
        <f aca="false">IF(J4985&gt;0,J4985/(J4985+MAX(0,J4883*CHOOSE($C$4866,Assumptions!$C$82,Assumptions!$C$101,Assumptions!$C$120)-J4987)),0)</f>
        <v>1</v>
      </c>
      <c r="K4995" s="21" t="n">
        <f aca="false">IF(K4985&gt;0,K4985/(K4985+MAX(0,K4883*CHOOSE($C$4866,Assumptions!$C$82,Assumptions!$C$101,Assumptions!$C$120)-K4987)),0)</f>
        <v>1</v>
      </c>
    </row>
    <row r="4996" customFormat="false" ht="15" hidden="false" customHeight="false" outlineLevel="0" collapsed="false">
      <c r="A4996" s="3" t="s">
        <v>369</v>
      </c>
      <c r="G4996" s="21" t="n">
        <f aca="false">IF(G4985&gt;0,MAX(0,G4978)/G4985,0)</f>
        <v>0.248721910490829</v>
      </c>
      <c r="H4996" s="21" t="n">
        <f aca="false">IF(H4985&gt;0,MAX(0,H4978)/H4985,0)</f>
        <v>0.206856519388737</v>
      </c>
      <c r="I4996" s="21" t="n">
        <f aca="false">IF(I4985&gt;0,MAX(0,I4978)/I4985,0)</f>
        <v>0</v>
      </c>
      <c r="J4996" s="21" t="n">
        <f aca="false">IF(J4985&gt;0,MAX(0,J4978)/J4985,0)</f>
        <v>0</v>
      </c>
      <c r="K4996" s="21" t="n">
        <f aca="false">IF(K4985&gt;0,MAX(0,K4978)/K4985,0)</f>
        <v>0</v>
      </c>
    </row>
    <row r="4997" customFormat="false" ht="15" hidden="false" customHeight="false" outlineLevel="0" collapsed="false">
      <c r="A4997" s="3" t="s">
        <v>370</v>
      </c>
      <c r="G4997" s="25" t="n">
        <f aca="false">Assumptions!$C$30*(1-CHOOSE($C$4866,Assumptions!$C$85,Assumptions!$C$104,Assumptions!$C$123))</f>
        <v>1595.73115</v>
      </c>
      <c r="H4997" s="25" t="n">
        <f aca="false">Assumptions!$C$30*(1-CHOOSE($C$4866,Assumptions!$C$85,Assumptions!$C$104,Assumptions!$C$123))</f>
        <v>1595.73115</v>
      </c>
      <c r="I4997" s="25" t="n">
        <f aca="false">Assumptions!$C$30*(1-CHOOSE($C$4866,Assumptions!$C$85,Assumptions!$C$104,Assumptions!$C$123))</f>
        <v>1595.73115</v>
      </c>
      <c r="J4997" s="25" t="n">
        <f aca="false">Assumptions!$C$30*(1-CHOOSE($C$4866,Assumptions!$C$85,Assumptions!$C$104,Assumptions!$C$123))</f>
        <v>1595.73115</v>
      </c>
      <c r="K4997" s="25" t="n">
        <f aca="false">Assumptions!$C$30*(1-CHOOSE($C$4866,Assumptions!$C$85,Assumptions!$C$104,Assumptions!$C$123))</f>
        <v>1595.73115</v>
      </c>
    </row>
    <row r="4998" customFormat="false" ht="15" hidden="false" customHeight="false" outlineLevel="0" collapsed="false">
      <c r="A4998" s="23" t="s">
        <v>371</v>
      </c>
      <c r="B4998" s="24"/>
      <c r="C4998" s="24"/>
      <c r="D4998" s="24"/>
      <c r="E4998" s="24"/>
      <c r="F4998" s="24"/>
      <c r="G4998" s="24"/>
      <c r="H4998" s="24"/>
      <c r="I4998" s="24"/>
      <c r="J4998" s="24"/>
      <c r="K4998" s="24"/>
    </row>
    <row r="4999" customFormat="false" ht="15" hidden="false" customHeight="false" outlineLevel="0" collapsed="false">
      <c r="A4999" s="23" t="s">
        <v>372</v>
      </c>
      <c r="B4999" s="24"/>
      <c r="C4999" s="24"/>
      <c r="D4999" s="24"/>
      <c r="E4999" s="24"/>
      <c r="F4999" s="24"/>
      <c r="G4999" s="24"/>
      <c r="H4999" s="24"/>
      <c r="I4999" s="24"/>
      <c r="J4999" s="24"/>
      <c r="K4999" s="24"/>
    </row>
    <row r="5000" customFormat="false" ht="15" hidden="false" customHeight="false" outlineLevel="0" collapsed="false">
      <c r="A5000" s="3" t="s">
        <v>373</v>
      </c>
      <c r="G5000" s="32" t="n">
        <f aca="false">IF(G4883&gt;0,G4987/G4883,99)</f>
        <v>7.49990986858087</v>
      </c>
      <c r="H5000" s="32" t="n">
        <f aca="false">IF(H4883&gt;0,H4987/H4883,99)</f>
        <v>10.7970634560838</v>
      </c>
      <c r="I5000" s="32" t="n">
        <f aca="false">IF(I4883&gt;0,I4987/I4883,99)</f>
        <v>13.6813219341771</v>
      </c>
      <c r="J5000" s="32" t="n">
        <f aca="false">IF(J4883&gt;0,J4987/J4883,99)</f>
        <v>15.7086801490181</v>
      </c>
      <c r="K5000" s="32" t="n">
        <f aca="false">IF(K4883&gt;0,K4987/K4883,99)</f>
        <v>17.6426302993449</v>
      </c>
    </row>
    <row r="5001" customFormat="false" ht="15" hidden="false" customHeight="false" outlineLevel="0" collapsed="false">
      <c r="A5001" s="3" t="s">
        <v>374</v>
      </c>
      <c r="G5001" s="33" t="n">
        <f aca="false">Assumptions!$G$65</f>
        <v>5.25</v>
      </c>
      <c r="H5001" s="33" t="n">
        <f aca="false">Assumptions!$H$65</f>
        <v>5.25</v>
      </c>
      <c r="I5001" s="33" t="n">
        <f aca="false">Assumptions!$I$65</f>
        <v>5</v>
      </c>
      <c r="J5001" s="33" t="n">
        <f aca="false">Assumptions!$J$65</f>
        <v>5</v>
      </c>
      <c r="K5001" s="33" t="n">
        <f aca="false">Assumptions!$K$65</f>
        <v>5</v>
      </c>
    </row>
    <row r="5002" customFormat="false" ht="15" hidden="false" customHeight="false" outlineLevel="0" collapsed="false">
      <c r="A5002" s="3" t="s">
        <v>375</v>
      </c>
      <c r="G5002" s="32" t="n">
        <f aca="false">G5001-G5000</f>
        <v>-2.24990986858086</v>
      </c>
      <c r="H5002" s="32" t="n">
        <f aca="false">H5001-H5000</f>
        <v>-5.54706345608375</v>
      </c>
      <c r="I5002" s="32" t="n">
        <f aca="false">I5001-I5000</f>
        <v>-8.68132193417709</v>
      </c>
      <c r="J5002" s="32" t="n">
        <f aca="false">J5001-J5000</f>
        <v>-10.7086801490181</v>
      </c>
      <c r="K5002" s="32" t="n">
        <f aca="false">K5001-K5000</f>
        <v>-12.6426302993449</v>
      </c>
    </row>
    <row r="5003" customFormat="false" ht="15" hidden="false" customHeight="false" outlineLevel="0" collapsed="false">
      <c r="A5003" s="3" t="s">
        <v>376</v>
      </c>
      <c r="G5003" s="21" t="n">
        <f aca="false">IF(G5001=0,0,G5002/ABS(G5001))</f>
        <v>-0.42855426068207</v>
      </c>
      <c r="H5003" s="21" t="n">
        <f aca="false">IF(H5001=0,0,H5002/ABS(H5001))</f>
        <v>-1.05658351544452</v>
      </c>
      <c r="I5003" s="21" t="n">
        <f aca="false">IF(I5001=0,0,I5002/ABS(I5001))</f>
        <v>-1.73626438683542</v>
      </c>
      <c r="J5003" s="21" t="n">
        <f aca="false">IF(J5001=0,0,J5002/ABS(J5001))</f>
        <v>-2.14173602980363</v>
      </c>
      <c r="K5003" s="21" t="n">
        <f aca="false">IF(K5001=0,0,K5002/ABS(K5001))</f>
        <v>-2.52852605986897</v>
      </c>
    </row>
    <row r="5004" customFormat="false" ht="15" hidden="false" customHeight="false" outlineLevel="0" collapsed="false">
      <c r="A5004" s="3" t="s">
        <v>377</v>
      </c>
      <c r="G5004" s="20" t="n">
        <f aca="false">IF(G5002&lt;0,1,0)</f>
        <v>1</v>
      </c>
      <c r="H5004" s="20" t="n">
        <f aca="false">IF(H5002&lt;0,1,0)</f>
        <v>1</v>
      </c>
      <c r="I5004" s="20" t="n">
        <f aca="false">IF(I5002&lt;0,1,0)</f>
        <v>1</v>
      </c>
      <c r="J5004" s="20" t="n">
        <f aca="false">IF(J5002&lt;0,1,0)</f>
        <v>1</v>
      </c>
      <c r="K5004" s="20" t="n">
        <f aca="false">IF(K5002&lt;0,1,0)</f>
        <v>1</v>
      </c>
    </row>
    <row r="5005" customFormat="false" ht="15" hidden="false" customHeight="false" outlineLevel="0" collapsed="false">
      <c r="A5005" s="3" t="s">
        <v>378</v>
      </c>
      <c r="C5005" s="20" t="n">
        <f aca="false">IFERROR(INDEX($G$4873:$K$4873,MATCH(1,$G$5004:$K$5004,0)),0)</f>
        <v>2027</v>
      </c>
    </row>
    <row r="5006" customFormat="false" ht="15" hidden="false" customHeight="false" outlineLevel="0" collapsed="false">
      <c r="A5006" s="3" t="s">
        <v>379</v>
      </c>
      <c r="C5006" s="21" t="n">
        <f aca="false">MIN($G$5003:$K$5003)</f>
        <v>-2.52852605986897</v>
      </c>
    </row>
    <row r="5007" customFormat="false" ht="15" hidden="false" customHeight="false" outlineLevel="0" collapsed="false">
      <c r="A5007" s="23" t="s">
        <v>380</v>
      </c>
      <c r="B5007" s="24"/>
      <c r="C5007" s="24"/>
      <c r="D5007" s="24"/>
      <c r="E5007" s="24"/>
      <c r="F5007" s="24"/>
      <c r="G5007" s="24"/>
      <c r="H5007" s="24"/>
      <c r="I5007" s="24"/>
      <c r="J5007" s="24"/>
      <c r="K5007" s="24"/>
    </row>
    <row r="5008" customFormat="false" ht="15" hidden="false" customHeight="false" outlineLevel="0" collapsed="false">
      <c r="A5008" s="3" t="s">
        <v>373</v>
      </c>
      <c r="G5008" s="32" t="n">
        <f aca="false">IF(G4887&gt;0,G4883/G4887,99)</f>
        <v>1.11476782580477</v>
      </c>
      <c r="H5008" s="32" t="n">
        <f aca="false">IF(H4887&gt;0,H4883/H4887,99)</f>
        <v>0.817496405590163</v>
      </c>
      <c r="I5008" s="32" t="n">
        <f aca="false">IF(I4887&gt;0,I4883/I4887,99)</f>
        <v>0.686696980695737</v>
      </c>
      <c r="J5008" s="32" t="n">
        <f aca="false">IF(J4887&gt;0,J4883/J4887,99)</f>
        <v>0.682012179303795</v>
      </c>
      <c r="K5008" s="32" t="n">
        <f aca="false">IF(K4887&gt;0,K4883/K4887,99)</f>
        <v>0.641091448545568</v>
      </c>
    </row>
    <row r="5009" customFormat="false" ht="15" hidden="false" customHeight="false" outlineLevel="0" collapsed="false">
      <c r="A5009" s="3" t="s">
        <v>374</v>
      </c>
      <c r="G5009" s="33" t="n">
        <f aca="false">Assumptions!$G$66</f>
        <v>1.4</v>
      </c>
      <c r="H5009" s="33" t="n">
        <f aca="false">Assumptions!$H$66</f>
        <v>1.4</v>
      </c>
      <c r="I5009" s="33" t="n">
        <f aca="false">Assumptions!$I$66</f>
        <v>1.4</v>
      </c>
      <c r="J5009" s="33" t="n">
        <f aca="false">Assumptions!$J$66</f>
        <v>1.5</v>
      </c>
      <c r="K5009" s="33" t="n">
        <f aca="false">Assumptions!$K$66</f>
        <v>1.5</v>
      </c>
    </row>
    <row r="5010" customFormat="false" ht="15" hidden="false" customHeight="false" outlineLevel="0" collapsed="false">
      <c r="A5010" s="3" t="s">
        <v>375</v>
      </c>
      <c r="G5010" s="32" t="n">
        <f aca="false">G5008-G5009</f>
        <v>-0.285232174195233</v>
      </c>
      <c r="H5010" s="32" t="n">
        <f aca="false">H5008-H5009</f>
        <v>-0.582503594409837</v>
      </c>
      <c r="I5010" s="32" t="n">
        <f aca="false">I5008-I5009</f>
        <v>-0.713303019304263</v>
      </c>
      <c r="J5010" s="32" t="n">
        <f aca="false">J5008-J5009</f>
        <v>-0.817987820696205</v>
      </c>
      <c r="K5010" s="32" t="n">
        <f aca="false">K5008-K5009</f>
        <v>-0.858908551454433</v>
      </c>
    </row>
    <row r="5011" customFormat="false" ht="15" hidden="false" customHeight="false" outlineLevel="0" collapsed="false">
      <c r="A5011" s="3" t="s">
        <v>376</v>
      </c>
      <c r="G5011" s="21" t="n">
        <f aca="false">IF(G5009=0,0,G5010/ABS(G5009))</f>
        <v>-0.203737267282309</v>
      </c>
      <c r="H5011" s="21" t="n">
        <f aca="false">IF(H5009=0,0,H5010/ABS(H5009))</f>
        <v>-0.416073996007027</v>
      </c>
      <c r="I5011" s="21" t="n">
        <f aca="false">IF(I5009=0,0,I5010/ABS(I5009))</f>
        <v>-0.509502156645902</v>
      </c>
      <c r="J5011" s="21" t="n">
        <f aca="false">IF(J5009=0,0,J5010/ABS(J5009))</f>
        <v>-0.54532521379747</v>
      </c>
      <c r="K5011" s="21" t="n">
        <f aca="false">IF(K5009=0,0,K5010/ABS(K5009))</f>
        <v>-0.572605700969622</v>
      </c>
    </row>
    <row r="5012" customFormat="false" ht="15" hidden="false" customHeight="false" outlineLevel="0" collapsed="false">
      <c r="A5012" s="3" t="s">
        <v>377</v>
      </c>
      <c r="G5012" s="20" t="n">
        <f aca="false">IF(G5010&lt;0,1,0)</f>
        <v>1</v>
      </c>
      <c r="H5012" s="20" t="n">
        <f aca="false">IF(H5010&lt;0,1,0)</f>
        <v>1</v>
      </c>
      <c r="I5012" s="20" t="n">
        <f aca="false">IF(I5010&lt;0,1,0)</f>
        <v>1</v>
      </c>
      <c r="J5012" s="20" t="n">
        <f aca="false">IF(J5010&lt;0,1,0)</f>
        <v>1</v>
      </c>
      <c r="K5012" s="20" t="n">
        <f aca="false">IF(K5010&lt;0,1,0)</f>
        <v>1</v>
      </c>
    </row>
    <row r="5013" customFormat="false" ht="15" hidden="false" customHeight="false" outlineLevel="0" collapsed="false">
      <c r="A5013" s="3" t="s">
        <v>378</v>
      </c>
      <c r="C5013" s="20" t="n">
        <f aca="false">IFERROR(INDEX($G$4873:$K$4873,MATCH(1,$G$5012:$K$5012,0)),0)</f>
        <v>2027</v>
      </c>
    </row>
    <row r="5014" customFormat="false" ht="15" hidden="false" customHeight="false" outlineLevel="0" collapsed="false">
      <c r="A5014" s="3" t="s">
        <v>379</v>
      </c>
      <c r="C5014" s="21" t="n">
        <f aca="false">MIN($G$5011:$K$5011)</f>
        <v>-0.572605700969622</v>
      </c>
    </row>
    <row r="5015" customFormat="false" ht="15" hidden="false" customHeight="false" outlineLevel="0" collapsed="false">
      <c r="A5015" s="23" t="s">
        <v>381</v>
      </c>
      <c r="B5015" s="24"/>
      <c r="C5015" s="24"/>
      <c r="D5015" s="24"/>
      <c r="E5015" s="24"/>
      <c r="F5015" s="24"/>
      <c r="G5015" s="24"/>
      <c r="H5015" s="24"/>
      <c r="I5015" s="24"/>
      <c r="J5015" s="24"/>
      <c r="K5015" s="24"/>
    </row>
    <row r="5016" customFormat="false" ht="15" hidden="false" customHeight="false" outlineLevel="0" collapsed="false">
      <c r="A5016" s="3" t="s">
        <v>373</v>
      </c>
      <c r="G5016" s="25" t="n">
        <f aca="false">G4994</f>
        <v>431.67030664</v>
      </c>
      <c r="H5016" s="25" t="n">
        <f aca="false">H4994</f>
        <v>359.0106596512</v>
      </c>
      <c r="I5016" s="25" t="n">
        <f aca="false">I4994</f>
        <v>0</v>
      </c>
      <c r="J5016" s="25" t="n">
        <f aca="false">J4994</f>
        <v>0</v>
      </c>
      <c r="K5016" s="25" t="n">
        <f aca="false">K4994</f>
        <v>0</v>
      </c>
    </row>
    <row r="5017" customFormat="false" ht="15" hidden="false" customHeight="false" outlineLevel="0" collapsed="false">
      <c r="A5017" s="3" t="s">
        <v>374</v>
      </c>
      <c r="G5017" s="29" t="n">
        <f aca="false">Assumptions!$G$67</f>
        <v>200</v>
      </c>
      <c r="H5017" s="29" t="n">
        <f aca="false">Assumptions!$H$67</f>
        <v>200</v>
      </c>
      <c r="I5017" s="29" t="n">
        <f aca="false">Assumptions!$I$67</f>
        <v>200</v>
      </c>
      <c r="J5017" s="29" t="n">
        <f aca="false">Assumptions!$J$67</f>
        <v>200</v>
      </c>
      <c r="K5017" s="29" t="n">
        <f aca="false">Assumptions!$K$67</f>
        <v>200</v>
      </c>
    </row>
    <row r="5018" customFormat="false" ht="15" hidden="false" customHeight="false" outlineLevel="0" collapsed="false">
      <c r="A5018" s="3" t="s">
        <v>375</v>
      </c>
      <c r="G5018" s="25" t="n">
        <f aca="false">G5016-G5017</f>
        <v>231.67030664</v>
      </c>
      <c r="H5018" s="25" t="n">
        <f aca="false">H5016-H5017</f>
        <v>159.0106596512</v>
      </c>
      <c r="I5018" s="25" t="n">
        <f aca="false">I5016-I5017</f>
        <v>-200</v>
      </c>
      <c r="J5018" s="25" t="n">
        <f aca="false">J5016-J5017</f>
        <v>-200</v>
      </c>
      <c r="K5018" s="25" t="n">
        <f aca="false">K5016-K5017</f>
        <v>-200</v>
      </c>
    </row>
    <row r="5019" customFormat="false" ht="15" hidden="false" customHeight="false" outlineLevel="0" collapsed="false">
      <c r="A5019" s="3" t="s">
        <v>376</v>
      </c>
      <c r="G5019" s="21" t="n">
        <f aca="false">IF(G5017=0,0,G5018/ABS(G5017))</f>
        <v>1.1583515332</v>
      </c>
      <c r="H5019" s="21" t="n">
        <f aca="false">IF(H5017=0,0,H5018/ABS(H5017))</f>
        <v>0.795053298256</v>
      </c>
      <c r="I5019" s="21" t="n">
        <f aca="false">IF(I5017=0,0,I5018/ABS(I5017))</f>
        <v>-1</v>
      </c>
      <c r="J5019" s="21" t="n">
        <f aca="false">IF(J5017=0,0,J5018/ABS(J5017))</f>
        <v>-1</v>
      </c>
      <c r="K5019" s="21" t="n">
        <f aca="false">IF(K5017=0,0,K5018/ABS(K5017))</f>
        <v>-1</v>
      </c>
    </row>
    <row r="5020" customFormat="false" ht="15" hidden="false" customHeight="false" outlineLevel="0" collapsed="false">
      <c r="A5020" s="3" t="s">
        <v>377</v>
      </c>
      <c r="G5020" s="20" t="n">
        <f aca="false">IF(G5018&lt;0,1,0)</f>
        <v>0</v>
      </c>
      <c r="H5020" s="20" t="n">
        <f aca="false">IF(H5018&lt;0,1,0)</f>
        <v>0</v>
      </c>
      <c r="I5020" s="20" t="n">
        <f aca="false">IF(I5018&lt;0,1,0)</f>
        <v>1</v>
      </c>
      <c r="J5020" s="20" t="n">
        <f aca="false">IF(J5018&lt;0,1,0)</f>
        <v>1</v>
      </c>
      <c r="K5020" s="20" t="n">
        <f aca="false">IF(K5018&lt;0,1,0)</f>
        <v>1</v>
      </c>
    </row>
    <row r="5021" customFormat="false" ht="15" hidden="false" customHeight="false" outlineLevel="0" collapsed="false">
      <c r="A5021" s="3" t="s">
        <v>378</v>
      </c>
      <c r="C5021" s="20" t="n">
        <f aca="false">IFERROR(INDEX($G$4873:$K$4873,MATCH(1,$G$5020:$K$5020,0)),0)</f>
        <v>2029</v>
      </c>
    </row>
    <row r="5022" customFormat="false" ht="15" hidden="false" customHeight="false" outlineLevel="0" collapsed="false">
      <c r="A5022" s="3" t="s">
        <v>379</v>
      </c>
      <c r="C5022" s="21" t="n">
        <f aca="false">MIN($G$5019:$K$5019)</f>
        <v>-1</v>
      </c>
    </row>
    <row r="5023" customFormat="false" ht="15" hidden="false" customHeight="false" outlineLevel="0" collapsed="false">
      <c r="A5023" s="3" t="s">
        <v>382</v>
      </c>
      <c r="G5023" s="20" t="n">
        <f aca="false">G5004+G5012+G5020</f>
        <v>2</v>
      </c>
      <c r="H5023" s="20" t="n">
        <f aca="false">H5004+H5012+H5020</f>
        <v>2</v>
      </c>
      <c r="I5023" s="20" t="n">
        <f aca="false">I5004+I5012+I5020</f>
        <v>3</v>
      </c>
      <c r="J5023" s="20" t="n">
        <f aca="false">J5004+J5012+J5020</f>
        <v>3</v>
      </c>
      <c r="K5023" s="20" t="n">
        <f aca="false">K5004+K5012+K5020</f>
        <v>3</v>
      </c>
    </row>
    <row r="5024" customFormat="false" ht="15" hidden="false" customHeight="false" outlineLevel="0" collapsed="false">
      <c r="A5024" s="3" t="s">
        <v>383</v>
      </c>
      <c r="C5024" s="20" t="n">
        <f aca="false">SUM($G$5023:$K$5023)</f>
        <v>13</v>
      </c>
    </row>
    <row r="5025" customFormat="false" ht="15" hidden="false" customHeight="false" outlineLevel="0" collapsed="false">
      <c r="A5025" s="3" t="s">
        <v>384</v>
      </c>
      <c r="C5025" s="21" t="n">
        <f aca="false">MIN(C5006,C5014,C5022)</f>
        <v>-2.52852605986897</v>
      </c>
    </row>
    <row r="5027" customFormat="false" ht="15" hidden="false" customHeight="false" outlineLevel="0" collapsed="false">
      <c r="A5027" s="23" t="s">
        <v>486</v>
      </c>
      <c r="B5027" s="24"/>
      <c r="C5027" s="24"/>
      <c r="D5027" s="24"/>
      <c r="E5027" s="24"/>
      <c r="F5027" s="24"/>
      <c r="G5027" s="24"/>
      <c r="H5027" s="24"/>
      <c r="I5027" s="24"/>
      <c r="J5027" s="24"/>
      <c r="K5027" s="24"/>
    </row>
    <row r="5028" customFormat="false" ht="15" hidden="false" customHeight="false" outlineLevel="0" collapsed="false">
      <c r="A5028" s="3" t="s">
        <v>487</v>
      </c>
      <c r="G5028" s="20" t="n">
        <f aca="false">IF($C$5029=1,G4981,IF(G4883=MIN($G$4883:$K$4883),1,0))</f>
        <v>0</v>
      </c>
      <c r="H5028" s="20" t="n">
        <f aca="false">IF($C$5029=1,H4981,IF(AND(H4883=MIN($G$4883:$K$4883),SUM($G$5028:G5028)=0),1,0))</f>
        <v>0</v>
      </c>
      <c r="I5028" s="20" t="n">
        <f aca="false">IF($C$5029=1,I4981,IF(AND(I4883=MIN($G$4883:$K$4883),SUM($G$5028:H5028)=0),1,0))</f>
        <v>1</v>
      </c>
      <c r="J5028" s="20" t="n">
        <f aca="false">IF($C$5029=1,J4981,IF(AND(J4883=MIN($G$4883:$K$4883),SUM($G$5028:I5028)=0),1,0))</f>
        <v>0</v>
      </c>
      <c r="K5028" s="20" t="n">
        <f aca="false">IF($C$5029=1,K4981,IF(AND(K4883=MIN($G$4883:$K$4883),SUM($G$5028:J5028)=0),1,0))</f>
        <v>0</v>
      </c>
    </row>
    <row r="5029" customFormat="false" ht="15" hidden="false" customHeight="false" outlineLevel="0" collapsed="false">
      <c r="A5029" s="3" t="s">
        <v>488</v>
      </c>
      <c r="C5029" s="20" t="n">
        <f aca="false">IF(SUM($G$4981:$K$4981)&gt;0,1,0)</f>
        <v>1</v>
      </c>
    </row>
    <row r="5030" customFormat="false" ht="15" hidden="false" customHeight="false" outlineLevel="0" collapsed="false">
      <c r="A5030" s="3" t="s">
        <v>489</v>
      </c>
      <c r="C5030" s="20" t="n">
        <f aca="false">SUMPRODUCT($G$5028:$K$5028,$G$4873:$K$4873)</f>
        <v>2029</v>
      </c>
    </row>
    <row r="5031" customFormat="false" ht="15" hidden="false" customHeight="false" outlineLevel="0" collapsed="false">
      <c r="A5031" s="3" t="s">
        <v>490</v>
      </c>
      <c r="C5031" s="25" t="n">
        <f aca="false">SUMPRODUCT($G$5028:$K$5028,$G$4883:$K$4883)</f>
        <v>107.0936010144</v>
      </c>
    </row>
    <row r="5032" customFormat="false" ht="15" hidden="false" customHeight="false" outlineLevel="0" collapsed="false">
      <c r="A5032" s="3" t="s">
        <v>491</v>
      </c>
      <c r="C5032" s="25" t="n">
        <f aca="false">MAX(0,SUMPRODUCT($G$5028:$K$5028,$G$4978:$K$4978))</f>
        <v>0</v>
      </c>
    </row>
    <row r="5033" customFormat="false" ht="15" hidden="false" customHeight="false" outlineLevel="0" collapsed="false">
      <c r="A5033" s="3" t="s">
        <v>492</v>
      </c>
      <c r="C5033" s="25" t="n">
        <f aca="false">(CHOOSE($C$4866,Assumptions!$C$84,Assumptions!$C$103,Assumptions!$C$122)+$C$4870)*C5031</f>
        <v>428.3744040576</v>
      </c>
    </row>
    <row r="5034" customFormat="false" ht="15" hidden="false" customHeight="false" outlineLevel="0" collapsed="false">
      <c r="A5034" s="3" t="s">
        <v>493</v>
      </c>
      <c r="C5034" s="25" t="n">
        <f aca="false">Assumptions!$C$30*(1-CHOOSE($C$4866,Assumptions!$C$85,Assumptions!$C$104,Assumptions!$C$123))*CHOOSE($C$4866,Assumptions!$C$86,Assumptions!$C$105,Assumptions!$C$124)</f>
        <v>478.719345</v>
      </c>
    </row>
    <row r="5035" customFormat="false" ht="15" hidden="false" customHeight="false" outlineLevel="0" collapsed="false">
      <c r="A5035" s="3" t="s">
        <v>494</v>
      </c>
      <c r="C5035" s="25" t="n">
        <f aca="false">MAX(C5033,C5034)+C5032</f>
        <v>478.719345</v>
      </c>
    </row>
    <row r="5036" customFormat="false" ht="15" hidden="false" customHeight="false" outlineLevel="0" collapsed="false">
      <c r="A5036" s="2" t="s">
        <v>495</v>
      </c>
      <c r="C5036" s="16" t="n">
        <f aca="false">IF(ISNUMBER(Assumptions!$C$14),Assumptions!$C$14,C5035)</f>
        <v>478.719345</v>
      </c>
    </row>
    <row r="5037" customFormat="false" ht="15" hidden="false" customHeight="false" outlineLevel="0" collapsed="false">
      <c r="A5037" s="3" t="s">
        <v>496</v>
      </c>
      <c r="C5037" s="25" t="n">
        <f aca="false">C5036*Assumptions!$C$15</f>
        <v>19.1487738</v>
      </c>
    </row>
    <row r="5038" customFormat="false" ht="15" hidden="false" customHeight="false" outlineLevel="0" collapsed="false">
      <c r="A5038" s="2" t="s">
        <v>497</v>
      </c>
      <c r="C5038" s="16" t="n">
        <f aca="false">C5036-C5037</f>
        <v>459.5705712</v>
      </c>
    </row>
    <row r="5039" customFormat="false" ht="15" hidden="false" customHeight="false" outlineLevel="0" collapsed="false">
      <c r="A5039" s="23" t="s">
        <v>498</v>
      </c>
      <c r="B5039" s="24"/>
      <c r="C5039" s="24"/>
      <c r="D5039" s="24"/>
      <c r="E5039" s="24"/>
      <c r="F5039" s="24"/>
      <c r="G5039" s="24"/>
      <c r="H5039" s="24"/>
      <c r="I5039" s="24"/>
      <c r="J5039" s="24"/>
      <c r="K5039" s="24"/>
    </row>
    <row r="5040" customFormat="false" ht="15" hidden="false" customHeight="false" outlineLevel="0" collapsed="false">
      <c r="A5040" s="3" t="s">
        <v>499</v>
      </c>
      <c r="C5040" s="25" t="n">
        <f aca="false">SUMPRODUCT($G$5028:$K$5028,$G$4920:$K$4920)*(1+SUMPRODUCT($G$5028:$K$5028,$G$4912:$K$4912)*Assumptions!$C$16/12)</f>
        <v>1349.6193225</v>
      </c>
    </row>
    <row r="5041" customFormat="false" ht="15" hidden="false" customHeight="false" outlineLevel="0" collapsed="false">
      <c r="A5041" s="3" t="s">
        <v>500</v>
      </c>
      <c r="C5041" s="25" t="n">
        <f aca="false">SUMPRODUCT($G$5028:$K$5028,$G$4933:$K$4933)*(1+SUMPRODUCT($G$5028:$K$5028,$G$4925:$K$4925)*Assumptions!$C$16/12)</f>
        <v>6.40133166435848</v>
      </c>
    </row>
    <row r="5042" customFormat="false" ht="15" hidden="false" customHeight="false" outlineLevel="0" collapsed="false">
      <c r="A5042" s="3" t="s">
        <v>501</v>
      </c>
      <c r="C5042" s="25" t="n">
        <f aca="false">SUMPRODUCT($G$5028:$K$5028,$G$4946:$K$4946)*(1+SUMPRODUCT($G$5028:$K$5028,$G$4938:$K$4938)*Assumptions!$C$16/12)</f>
        <v>145.27734375</v>
      </c>
    </row>
    <row r="5043" customFormat="false" ht="15" hidden="false" customHeight="false" outlineLevel="0" collapsed="false">
      <c r="A5043" s="23" t="s">
        <v>502</v>
      </c>
      <c r="B5043" s="24"/>
      <c r="C5043" s="24"/>
      <c r="D5043" s="24"/>
      <c r="E5043" s="24"/>
      <c r="F5043" s="24"/>
      <c r="G5043" s="24"/>
      <c r="H5043" s="24"/>
      <c r="I5043" s="24"/>
      <c r="J5043" s="24"/>
      <c r="K5043" s="24"/>
    </row>
    <row r="5044" customFormat="false" ht="15" hidden="false" customHeight="false" outlineLevel="0" collapsed="false">
      <c r="A5044" s="3" t="s">
        <v>499</v>
      </c>
      <c r="C5044" s="27" t="n">
        <f aca="false">Assumptions!$M$56</f>
        <v>1</v>
      </c>
    </row>
    <row r="5045" customFormat="false" ht="15" hidden="false" customHeight="false" outlineLevel="0" collapsed="false">
      <c r="A5045" s="3" t="s">
        <v>500</v>
      </c>
      <c r="C5045" s="27" t="n">
        <f aca="false">Assumptions!$M$57</f>
        <v>2</v>
      </c>
    </row>
    <row r="5046" customFormat="false" ht="15" hidden="false" customHeight="false" outlineLevel="0" collapsed="false">
      <c r="A5046" s="3" t="s">
        <v>501</v>
      </c>
      <c r="C5046" s="27" t="n">
        <f aca="false">Assumptions!$M$58</f>
        <v>2</v>
      </c>
    </row>
    <row r="5047" customFormat="false" ht="15" hidden="false" customHeight="false" outlineLevel="0" collapsed="false">
      <c r="A5047" s="23" t="s">
        <v>503</v>
      </c>
      <c r="B5047" s="24"/>
      <c r="C5047" s="24"/>
      <c r="D5047" s="24"/>
      <c r="E5047" s="24"/>
      <c r="F5047" s="24"/>
      <c r="G5047" s="24"/>
      <c r="H5047" s="24"/>
      <c r="I5047" s="24"/>
      <c r="J5047" s="24"/>
      <c r="K5047" s="24"/>
    </row>
    <row r="5048" customFormat="false" ht="15" hidden="false" customHeight="false" outlineLevel="0" collapsed="false">
      <c r="A5048" s="3" t="s">
        <v>499</v>
      </c>
      <c r="C5048" s="35" t="n">
        <f aca="false">Assumptions!$Q$56</f>
        <v>0</v>
      </c>
    </row>
    <row r="5049" customFormat="false" ht="15" hidden="false" customHeight="false" outlineLevel="0" collapsed="false">
      <c r="A5049" s="3" t="s">
        <v>500</v>
      </c>
      <c r="C5049" s="35" t="n">
        <f aca="false">Assumptions!$Q$57</f>
        <v>0</v>
      </c>
    </row>
    <row r="5050" customFormat="false" ht="15" hidden="false" customHeight="false" outlineLevel="0" collapsed="false">
      <c r="A5050" s="3" t="s">
        <v>501</v>
      </c>
      <c r="C5050" s="35" t="n">
        <f aca="false">Assumptions!$Q$58</f>
        <v>0</v>
      </c>
    </row>
    <row r="5051" customFormat="false" ht="15" hidden="false" customHeight="false" outlineLevel="0" collapsed="false">
      <c r="A5051" s="23" t="s">
        <v>504</v>
      </c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</row>
    <row r="5052" customFormat="false" ht="15" hidden="false" customHeight="false" outlineLevel="0" collapsed="false">
      <c r="A5052" s="3" t="s">
        <v>499</v>
      </c>
      <c r="C5052" s="25" t="n">
        <f aca="false">IF(C5048&gt;0,MIN(C5040,C5048*$C$5038),0)</f>
        <v>0</v>
      </c>
    </row>
    <row r="5053" customFormat="false" ht="15" hidden="false" customHeight="false" outlineLevel="0" collapsed="false">
      <c r="A5053" s="3" t="s">
        <v>500</v>
      </c>
      <c r="C5053" s="25" t="n">
        <f aca="false">IF(C5049&gt;0,MIN(C5041,C5049*$C$5038),0)</f>
        <v>0</v>
      </c>
    </row>
    <row r="5054" customFormat="false" ht="15" hidden="false" customHeight="false" outlineLevel="0" collapsed="false">
      <c r="A5054" s="3" t="s">
        <v>501</v>
      </c>
      <c r="C5054" s="25" t="n">
        <f aca="false">IF(C5050&gt;0,MIN(C5042,C5050*$C$5038),0)</f>
        <v>0</v>
      </c>
    </row>
    <row r="5055" customFormat="false" ht="15" hidden="false" customHeight="false" outlineLevel="0" collapsed="false">
      <c r="A5055" s="23" t="s">
        <v>505</v>
      </c>
      <c r="B5055" s="24"/>
      <c r="C5055" s="24"/>
      <c r="D5055" s="24"/>
      <c r="E5055" s="24"/>
      <c r="F5055" s="24"/>
      <c r="G5055" s="24"/>
      <c r="H5055" s="24"/>
      <c r="I5055" s="24"/>
      <c r="J5055" s="24"/>
      <c r="K5055" s="24"/>
    </row>
    <row r="5056" customFormat="false" ht="15" hidden="false" customHeight="false" outlineLevel="0" collapsed="false">
      <c r="A5056" s="3" t="s">
        <v>499</v>
      </c>
      <c r="C5056" s="25" t="n">
        <f aca="false">IF(C5048&gt;0,C5040-C5052,0)</f>
        <v>0</v>
      </c>
      <c r="G5056" s="20" t="n">
        <f aca="false">IF(AND(G4910=1,G4907=1),1,0)</f>
        <v>0</v>
      </c>
      <c r="H5056" s="20" t="n">
        <f aca="false">IF(G5056=1,1,IF(AND(H4910=1,H4907=1),1,0))</f>
        <v>0</v>
      </c>
      <c r="I5056" s="20" t="n">
        <f aca="false">IF(H5056=1,1,IF(AND(I4910=1,I4907=1),1,0))</f>
        <v>0</v>
      </c>
      <c r="J5056" s="20" t="n">
        <f aca="false">IF(I5056=1,1,IF(AND(J4910=1,J4907=1),1,0))</f>
        <v>0</v>
      </c>
      <c r="K5056" s="20" t="n">
        <f aca="false">IF(J5056=1,1,IF(AND(K4910=1,K4907=1),1,0))</f>
        <v>0</v>
      </c>
    </row>
    <row r="5057" customFormat="false" ht="15" hidden="false" customHeight="false" outlineLevel="0" collapsed="false">
      <c r="A5057" s="3" t="s">
        <v>500</v>
      </c>
      <c r="C5057" s="25" t="n">
        <f aca="false">IF(C5049&gt;0,C5041-C5053,0)</f>
        <v>0</v>
      </c>
      <c r="G5057" s="20" t="n">
        <f aca="false">IF(AND(G4923=1,G4907=1),1,0)</f>
        <v>0</v>
      </c>
      <c r="H5057" s="20" t="n">
        <f aca="false">IF(G5057=1,1,IF(AND(H4923=1,H4907=1),1,0))</f>
        <v>0</v>
      </c>
      <c r="I5057" s="20" t="n">
        <f aca="false">IF(H5057=1,1,IF(AND(I4923=1,I4907=1),1,0))</f>
        <v>0</v>
      </c>
      <c r="J5057" s="20" t="n">
        <f aca="false">IF(I5057=1,1,IF(AND(J4923=1,J4907=1),1,0))</f>
        <v>0</v>
      </c>
      <c r="K5057" s="20" t="n">
        <f aca="false">IF(J5057=1,1,IF(AND(K4923=1,K4907=1),1,0))</f>
        <v>0</v>
      </c>
    </row>
    <row r="5058" customFormat="false" ht="15" hidden="false" customHeight="false" outlineLevel="0" collapsed="false">
      <c r="A5058" s="3" t="s">
        <v>501</v>
      </c>
      <c r="C5058" s="25" t="n">
        <f aca="false">IF(C5050&gt;0,C5042-C5054,0)</f>
        <v>0</v>
      </c>
      <c r="G5058" s="20" t="n">
        <f aca="false">IF(AND(G4936=1,G4907=1),1,0)</f>
        <v>0</v>
      </c>
      <c r="H5058" s="20" t="n">
        <f aca="false">IF(G5058=1,1,IF(AND(H4936=1,H4907=1),1,0))</f>
        <v>0</v>
      </c>
      <c r="I5058" s="20" t="n">
        <f aca="false">IF(H5058=1,1,IF(AND(I4936=1,I4907=1),1,0))</f>
        <v>0</v>
      </c>
      <c r="J5058" s="20" t="n">
        <f aca="false">IF(I5058=1,1,IF(AND(J4936=1,J4907=1),1,0))</f>
        <v>0</v>
      </c>
      <c r="K5058" s="20" t="n">
        <f aca="false">IF(J5058=1,1,IF(AND(K4936=1,K4907=1),1,0))</f>
        <v>0</v>
      </c>
    </row>
    <row r="5059" customFormat="false" ht="15" hidden="false" customHeight="false" outlineLevel="0" collapsed="false">
      <c r="A5059" s="23" t="s">
        <v>506</v>
      </c>
      <c r="B5059" s="24"/>
      <c r="C5059" s="24"/>
      <c r="D5059" s="24"/>
      <c r="E5059" s="24"/>
      <c r="F5059" s="24"/>
      <c r="G5059" s="24"/>
      <c r="H5059" s="24"/>
      <c r="I5059" s="24"/>
      <c r="J5059" s="24"/>
      <c r="K5059" s="24"/>
    </row>
    <row r="5060" customFormat="false" ht="15" hidden="false" customHeight="false" outlineLevel="0" collapsed="false">
      <c r="A5060" s="3" t="s">
        <v>499</v>
      </c>
      <c r="C5060" s="25" t="n">
        <f aca="false">IF(C5048&gt;0,C5056,C5040)</f>
        <v>1349.6193225</v>
      </c>
    </row>
    <row r="5061" customFormat="false" ht="15" hidden="false" customHeight="false" outlineLevel="0" collapsed="false">
      <c r="A5061" s="3" t="s">
        <v>500</v>
      </c>
      <c r="C5061" s="25" t="n">
        <f aca="false">IF(C5049&gt;0,C5057,C5041)</f>
        <v>6.40133166435848</v>
      </c>
    </row>
    <row r="5062" customFormat="false" ht="15" hidden="false" customHeight="false" outlineLevel="0" collapsed="false">
      <c r="A5062" s="3" t="s">
        <v>501</v>
      </c>
      <c r="C5062" s="25" t="n">
        <f aca="false">IF(C5050&gt;0,C5058,C5042)</f>
        <v>145.27734375</v>
      </c>
    </row>
    <row r="5063" customFormat="false" ht="15" hidden="false" customHeight="false" outlineLevel="0" collapsed="false">
      <c r="A5063" s="23" t="s">
        <v>507</v>
      </c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</row>
    <row r="5064" customFormat="false" ht="15" hidden="false" customHeight="false" outlineLevel="0" collapsed="false">
      <c r="A5064" s="3" t="s">
        <v>499</v>
      </c>
      <c r="C5064" s="20" t="n">
        <f aca="false">IF(C5048&gt;0,Assumptions!$C$17,C5044)</f>
        <v>1</v>
      </c>
    </row>
    <row r="5065" customFormat="false" ht="15" hidden="false" customHeight="false" outlineLevel="0" collapsed="false">
      <c r="A5065" s="3" t="s">
        <v>500</v>
      </c>
      <c r="C5065" s="20" t="n">
        <f aca="false">IF(C5049&gt;0,Assumptions!$C$17,C5045)</f>
        <v>2</v>
      </c>
    </row>
    <row r="5066" customFormat="false" ht="15" hidden="false" customHeight="false" outlineLevel="0" collapsed="false">
      <c r="A5066" s="3" t="s">
        <v>501</v>
      </c>
      <c r="C5066" s="20" t="n">
        <f aca="false">IF(C5050&gt;0,Assumptions!$C$17,C5046)</f>
        <v>2</v>
      </c>
    </row>
    <row r="5067" customFormat="false" ht="15" hidden="false" customHeight="false" outlineLevel="0" collapsed="false">
      <c r="A5067" s="23" t="s">
        <v>508</v>
      </c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</row>
    <row r="5068" customFormat="false" ht="15" hidden="false" customHeight="false" outlineLevel="0" collapsed="false">
      <c r="A5068" s="3" t="s">
        <v>499</v>
      </c>
      <c r="C5068" s="25" t="n">
        <f aca="false">SUMPRODUCT(($C$5064:$C$5066&lt;C5064)*$C$5060:$C$5062)</f>
        <v>0</v>
      </c>
    </row>
    <row r="5069" customFormat="false" ht="15" hidden="false" customHeight="false" outlineLevel="0" collapsed="false">
      <c r="A5069" s="3" t="s">
        <v>500</v>
      </c>
      <c r="C5069" s="25" t="n">
        <f aca="false">SUMPRODUCT(($C$5064:$C$5066&lt;C5065)*$C$5060:$C$5062)</f>
        <v>1349.6193225</v>
      </c>
    </row>
    <row r="5070" customFormat="false" ht="15" hidden="false" customHeight="false" outlineLevel="0" collapsed="false">
      <c r="A5070" s="3" t="s">
        <v>501</v>
      </c>
      <c r="C5070" s="25" t="n">
        <f aca="false">SUMPRODUCT(($C$5064:$C$5066&lt;C5066)*$C$5060:$C$5062)</f>
        <v>1349.6193225</v>
      </c>
    </row>
    <row r="5071" customFormat="false" ht="15" hidden="false" customHeight="false" outlineLevel="0" collapsed="false">
      <c r="A5071" s="23" t="s">
        <v>509</v>
      </c>
      <c r="B5071" s="24"/>
      <c r="C5071" s="24"/>
      <c r="D5071" s="24"/>
      <c r="E5071" s="24"/>
      <c r="F5071" s="24"/>
      <c r="G5071" s="24"/>
      <c r="H5071" s="24"/>
      <c r="I5071" s="24"/>
      <c r="J5071" s="24"/>
      <c r="K5071" s="24"/>
    </row>
    <row r="5072" customFormat="false" ht="15" hidden="false" customHeight="false" outlineLevel="0" collapsed="false">
      <c r="A5072" s="3" t="s">
        <v>499</v>
      </c>
      <c r="C5072" s="25" t="n">
        <f aca="false">SUMPRODUCT(($C$5064:$C$5066=C5064)*$C$5060:$C$5062)</f>
        <v>1349.6193225</v>
      </c>
    </row>
    <row r="5073" customFormat="false" ht="15" hidden="false" customHeight="false" outlineLevel="0" collapsed="false">
      <c r="A5073" s="3" t="s">
        <v>500</v>
      </c>
      <c r="C5073" s="25" t="n">
        <f aca="false">SUMPRODUCT(($C$5064:$C$5066=C5065)*$C$5060:$C$5062)</f>
        <v>151.678675414359</v>
      </c>
    </row>
    <row r="5074" customFormat="false" ht="15" hidden="false" customHeight="false" outlineLevel="0" collapsed="false">
      <c r="A5074" s="3" t="s">
        <v>501</v>
      </c>
      <c r="C5074" s="25" t="n">
        <f aca="false">SUMPRODUCT(($C$5064:$C$5066=C5066)*$C$5060:$C$5062)</f>
        <v>151.678675414359</v>
      </c>
    </row>
    <row r="5075" customFormat="false" ht="15" hidden="false" customHeight="false" outlineLevel="0" collapsed="false">
      <c r="A5075" s="23" t="s">
        <v>510</v>
      </c>
      <c r="B5075" s="24"/>
      <c r="C5075" s="24"/>
      <c r="D5075" s="24"/>
      <c r="E5075" s="24"/>
      <c r="F5075" s="24"/>
      <c r="G5075" s="24"/>
      <c r="H5075" s="24"/>
      <c r="I5075" s="24"/>
      <c r="J5075" s="24"/>
      <c r="K5075" s="24"/>
    </row>
    <row r="5076" customFormat="false" ht="15" hidden="false" customHeight="false" outlineLevel="0" collapsed="false">
      <c r="A5076" s="3" t="s">
        <v>499</v>
      </c>
      <c r="C5076" s="25" t="n">
        <f aca="false">IF(C5072=0,0,C5060/C5072*MAX(0,MIN(C5072,$C$5038-SUM($C$5052:$C$5054)-C5068)))</f>
        <v>459.5705712</v>
      </c>
    </row>
    <row r="5077" customFormat="false" ht="15" hidden="false" customHeight="false" outlineLevel="0" collapsed="false">
      <c r="A5077" s="3" t="s">
        <v>500</v>
      </c>
      <c r="C5077" s="25" t="n">
        <f aca="false">IF(C5073=0,0,C5061/C5073*MAX(0,MIN(C5073,$C$5038-SUM($C$5052:$C$5054)-C5069)))</f>
        <v>0</v>
      </c>
    </row>
    <row r="5078" customFormat="false" ht="15" hidden="false" customHeight="false" outlineLevel="0" collapsed="false">
      <c r="A5078" s="3" t="s">
        <v>501</v>
      </c>
      <c r="C5078" s="25" t="n">
        <f aca="false">IF(C5074=0,0,C5062/C5074*MAX(0,MIN(C5074,$C$5038-SUM($C$5052:$C$5054)-C5070)))</f>
        <v>0</v>
      </c>
    </row>
    <row r="5079" customFormat="false" ht="15" hidden="false" customHeight="false" outlineLevel="0" collapsed="false">
      <c r="A5079" s="23" t="s">
        <v>511</v>
      </c>
      <c r="B5079" s="24"/>
      <c r="C5079" s="24"/>
      <c r="D5079" s="24"/>
      <c r="E5079" s="24"/>
      <c r="F5079" s="24"/>
      <c r="G5079" s="24"/>
      <c r="H5079" s="24"/>
      <c r="I5079" s="24"/>
      <c r="J5079" s="24"/>
      <c r="K5079" s="24"/>
    </row>
    <row r="5080" customFormat="false" ht="15" hidden="false" customHeight="false" outlineLevel="0" collapsed="false">
      <c r="A5080" s="2" t="s">
        <v>499</v>
      </c>
      <c r="C5080" s="16" t="n">
        <f aca="false">C5052+C5076</f>
        <v>459.5705712</v>
      </c>
    </row>
    <row r="5081" customFormat="false" ht="15" hidden="false" customHeight="false" outlineLevel="0" collapsed="false">
      <c r="A5081" s="2" t="s">
        <v>500</v>
      </c>
      <c r="C5081" s="16" t="n">
        <f aca="false">C5053+C5077</f>
        <v>0</v>
      </c>
    </row>
    <row r="5082" customFormat="false" ht="15" hidden="false" customHeight="false" outlineLevel="0" collapsed="false">
      <c r="A5082" s="2" t="s">
        <v>501</v>
      </c>
      <c r="C5082" s="16" t="n">
        <f aca="false">C5054+C5078</f>
        <v>0</v>
      </c>
    </row>
    <row r="5083" customFormat="false" ht="15" hidden="false" customHeight="false" outlineLevel="0" collapsed="false">
      <c r="A5083" s="23" t="s">
        <v>512</v>
      </c>
      <c r="B5083" s="24"/>
      <c r="C5083" s="24"/>
      <c r="D5083" s="24"/>
      <c r="E5083" s="24"/>
      <c r="F5083" s="24"/>
      <c r="G5083" s="24"/>
      <c r="H5083" s="24"/>
      <c r="I5083" s="24"/>
      <c r="J5083" s="24"/>
      <c r="K5083" s="24"/>
    </row>
    <row r="5084" customFormat="false" ht="15" hidden="false" customHeight="false" outlineLevel="0" collapsed="false">
      <c r="A5084" s="3" t="s">
        <v>499</v>
      </c>
      <c r="C5084" s="21" t="n">
        <f aca="false">IF(C5040=0,1,C5080/C5040)</f>
        <v>0.340518665921812</v>
      </c>
    </row>
    <row r="5085" customFormat="false" ht="15" hidden="false" customHeight="false" outlineLevel="0" collapsed="false">
      <c r="A5085" s="3" t="s">
        <v>500</v>
      </c>
      <c r="C5085" s="21" t="n">
        <f aca="false">IF(C5041=0,1,C5081/C5041)</f>
        <v>0</v>
      </c>
    </row>
    <row r="5086" customFormat="false" ht="15" hidden="false" customHeight="false" outlineLevel="0" collapsed="false">
      <c r="A5086" s="3" t="s">
        <v>501</v>
      </c>
      <c r="C5086" s="21" t="n">
        <f aca="false">IF(C5042=0,1,C5082/C5042)</f>
        <v>0</v>
      </c>
    </row>
    <row r="5087" customFormat="false" ht="15" hidden="false" customHeight="false" outlineLevel="0" collapsed="false">
      <c r="A5087" s="23" t="s">
        <v>513</v>
      </c>
      <c r="B5087" s="24"/>
      <c r="C5087" s="24"/>
      <c r="D5087" s="24"/>
      <c r="E5087" s="24"/>
      <c r="F5087" s="24"/>
      <c r="G5087" s="24"/>
      <c r="H5087" s="24"/>
      <c r="I5087" s="24"/>
      <c r="J5087" s="24"/>
      <c r="K5087" s="24"/>
    </row>
    <row r="5088" customFormat="false" ht="15" hidden="false" customHeight="false" outlineLevel="0" collapsed="false">
      <c r="A5088" s="3" t="s">
        <v>499</v>
      </c>
      <c r="C5088" s="25" t="n">
        <f aca="false">C5040-C5080</f>
        <v>890.0487513</v>
      </c>
    </row>
    <row r="5089" customFormat="false" ht="15" hidden="false" customHeight="false" outlineLevel="0" collapsed="false">
      <c r="A5089" s="3" t="s">
        <v>500</v>
      </c>
      <c r="C5089" s="25" t="n">
        <f aca="false">C5041-C5081</f>
        <v>6.40133166435848</v>
      </c>
    </row>
    <row r="5090" customFormat="false" ht="15" hidden="false" customHeight="false" outlineLevel="0" collapsed="false">
      <c r="A5090" s="3" t="s">
        <v>501</v>
      </c>
      <c r="C5090" s="25" t="n">
        <f aca="false">C5042-C5082</f>
        <v>145.27734375</v>
      </c>
    </row>
    <row r="5091" customFormat="false" ht="15" hidden="false" customHeight="false" outlineLevel="0" collapsed="false">
      <c r="A5091" s="23" t="s">
        <v>514</v>
      </c>
      <c r="B5091" s="24"/>
      <c r="C5091" s="24"/>
      <c r="D5091" s="24"/>
      <c r="E5091" s="24"/>
      <c r="F5091" s="24"/>
      <c r="G5091" s="24"/>
      <c r="H5091" s="24"/>
      <c r="I5091" s="24"/>
      <c r="J5091" s="24"/>
      <c r="K5091" s="24"/>
    </row>
    <row r="5092" customFormat="false" ht="15" hidden="false" customHeight="false" outlineLevel="0" collapsed="false">
      <c r="A5092" s="3" t="s">
        <v>499</v>
      </c>
      <c r="C5092" s="21" t="n">
        <f aca="false">IF(C5040=0,0,C5088/C5040)</f>
        <v>0.659481334078188</v>
      </c>
    </row>
    <row r="5093" customFormat="false" ht="15" hidden="false" customHeight="false" outlineLevel="0" collapsed="false">
      <c r="A5093" s="3" t="s">
        <v>500</v>
      </c>
      <c r="C5093" s="21" t="n">
        <f aca="false">IF(C5041=0,0,C5089/C5041)</f>
        <v>1</v>
      </c>
    </row>
    <row r="5094" customFormat="false" ht="15" hidden="false" customHeight="false" outlineLevel="0" collapsed="false">
      <c r="A5094" s="3" t="s">
        <v>501</v>
      </c>
      <c r="C5094" s="21" t="n">
        <f aca="false">IF(C5042=0,0,C5090/C5042)</f>
        <v>1</v>
      </c>
    </row>
    <row r="5095" customFormat="false" ht="15" hidden="false" customHeight="false" outlineLevel="0" collapsed="false">
      <c r="A5095" s="2" t="s">
        <v>515</v>
      </c>
      <c r="C5095" s="16" t="n">
        <f aca="false">MAX(0,$C$5038-SUM($C$5052:$C$5054)-SUM($C$5060:$C$5062))</f>
        <v>0</v>
      </c>
    </row>
    <row r="5096" customFormat="false" ht="15" hidden="false" customHeight="false" outlineLevel="0" collapsed="false">
      <c r="A5096" s="3" t="s">
        <v>516</v>
      </c>
      <c r="C5096" s="25" t="n">
        <f aca="false">SUM($C$5080:$C$5082)+C5095+C5037-C5036</f>
        <v>0</v>
      </c>
    </row>
    <row r="5098" customFormat="false" ht="15" hidden="false" customHeight="false" outlineLevel="0" collapsed="false">
      <c r="A5098" s="23" t="s">
        <v>519</v>
      </c>
      <c r="B5098" s="24"/>
      <c r="C5098" s="24"/>
      <c r="D5098" s="24"/>
      <c r="E5098" s="24"/>
      <c r="F5098" s="24"/>
      <c r="G5098" s="24"/>
      <c r="H5098" s="24"/>
      <c r="I5098" s="24"/>
      <c r="J5098" s="24"/>
      <c r="K5098" s="24"/>
    </row>
    <row r="5099" customFormat="false" ht="15" hidden="false" customHeight="false" outlineLevel="0" collapsed="false">
      <c r="A5099" s="3" t="s">
        <v>520</v>
      </c>
      <c r="C5099" s="27" t="n">
        <f aca="false">Assumptions!$C$33</f>
        <v>1</v>
      </c>
    </row>
    <row r="5100" customFormat="false" ht="15" hidden="false" customHeight="false" outlineLevel="0" collapsed="false">
      <c r="A5100" s="3" t="s">
        <v>521</v>
      </c>
      <c r="C5100" s="29" t="n">
        <f aca="false">Assumptions!$C$34</f>
        <v>100</v>
      </c>
    </row>
    <row r="5101" customFormat="false" ht="15" hidden="false" customHeight="false" outlineLevel="0" collapsed="false">
      <c r="A5101" s="3" t="s">
        <v>522</v>
      </c>
      <c r="C5101" s="40" t="n">
        <f aca="false">Assumptions!$C$35</f>
        <v>95</v>
      </c>
    </row>
    <row r="5102" customFormat="false" ht="15" hidden="false" customHeight="false" outlineLevel="0" collapsed="false">
      <c r="A5102" s="3" t="s">
        <v>523</v>
      </c>
      <c r="C5102" s="25" t="n">
        <f aca="false">C5100*C5101/100*(1+Assumptions!$C$36)</f>
        <v>95</v>
      </c>
    </row>
    <row r="5103" customFormat="false" ht="15" hidden="false" customHeight="false" outlineLevel="0" collapsed="false">
      <c r="A5103" s="3" t="s">
        <v>524</v>
      </c>
      <c r="C5103" s="27" t="n">
        <f aca="false">Assumptions!$C$37</f>
        <v>3</v>
      </c>
    </row>
    <row r="5104" customFormat="false" ht="15" hidden="false" customHeight="false" outlineLevel="0" collapsed="false">
      <c r="A5104" s="3" t="s">
        <v>525</v>
      </c>
      <c r="C5104" s="20" t="n">
        <f aca="false">IF(C5029=1,SUMPRODUCT($G$4981:$K$4981,$G$4874:$K$4874),0)</f>
        <v>3</v>
      </c>
    </row>
    <row r="5105" customFormat="false" ht="15" hidden="false" customHeight="false" outlineLevel="0" collapsed="false">
      <c r="A5105" s="3" t="s">
        <v>526</v>
      </c>
      <c r="C5105" s="21" t="n">
        <f aca="false">IFERROR(C5100/CHOOSE(C5099,SUMPRODUCT($G$5028:$K$5028,$G$4920:$K$4920),SUMPRODUCT($G$5028:$K$5028,$G$4933:$K$4933),SUMPRODUCT($G$5028:$K$5028,$G$4946:$K$4946)),0)</f>
        <v>0.0760399605200525</v>
      </c>
    </row>
    <row r="5106" customFormat="false" ht="15" hidden="false" customHeight="false" outlineLevel="0" collapsed="false">
      <c r="A5106" s="3" t="s">
        <v>527</v>
      </c>
      <c r="C5106" s="25" t="n">
        <f aca="false">CHOOSE(C5099,C5080,C5081,C5082)*C5105</f>
        <v>34.945728090226</v>
      </c>
    </row>
    <row r="5107" customFormat="false" ht="15" hidden="false" customHeight="false" outlineLevel="0" collapsed="false">
      <c r="A5107" s="3" t="s">
        <v>528</v>
      </c>
      <c r="C5107" s="21" t="n">
        <f aca="false">CHOOSE(C5099,C5084,C5085,C5086)</f>
        <v>0.340518665921812</v>
      </c>
    </row>
    <row r="5108" customFormat="false" ht="15" hidden="false" customHeight="false" outlineLevel="0" collapsed="false">
      <c r="A5108" s="3" t="s">
        <v>529</v>
      </c>
      <c r="C5108" s="20" t="n">
        <f aca="false">IF(C5029=1,C5104,C5103)</f>
        <v>3</v>
      </c>
    </row>
    <row r="5109" customFormat="false" ht="15" hidden="false" customHeight="false" outlineLevel="0" collapsed="false">
      <c r="A5109" s="3" t="s">
        <v>530</v>
      </c>
      <c r="C5109" s="34" t="n">
        <f aca="false">CHOOSE($C$4866,Assumptions!$C$83,Assumptions!$C$102,Assumptions!$C$121)</f>
        <v>80</v>
      </c>
    </row>
    <row r="5110" customFormat="false" ht="15" hidden="false" customHeight="false" outlineLevel="0" collapsed="false">
      <c r="A5110" s="3" t="s">
        <v>531</v>
      </c>
      <c r="C5110" s="25" t="n">
        <f aca="false">INDEX($G$4883:$K$4883,C5103)*CHOOSE($C$4866,Assumptions!$C$82,Assumptions!$C$101,Assumptions!$C$120)+MAX(0,INDEX($G$4978:$K$4978,C5103))</f>
        <v>428.3744040576</v>
      </c>
    </row>
    <row r="5111" customFormat="false" ht="15" hidden="false" customHeight="false" outlineLevel="0" collapsed="false">
      <c r="A5111" s="23" t="s">
        <v>532</v>
      </c>
      <c r="B5111" s="24"/>
      <c r="C5111" s="24"/>
      <c r="D5111" s="24"/>
      <c r="E5111" s="24"/>
      <c r="F5111" s="24"/>
      <c r="G5111" s="24"/>
      <c r="H5111" s="24"/>
      <c r="I5111" s="24"/>
      <c r="J5111" s="24"/>
      <c r="K5111" s="24"/>
    </row>
    <row r="5112" customFormat="false" ht="15" hidden="false" customHeight="false" outlineLevel="0" collapsed="false">
      <c r="A5112" s="3" t="s">
        <v>499</v>
      </c>
      <c r="C5112" s="25" t="n">
        <f aca="false">INDEX($G$4920:$K$4920,C5103)</f>
        <v>1315.098</v>
      </c>
    </row>
    <row r="5113" customFormat="false" ht="15" hidden="false" customHeight="false" outlineLevel="0" collapsed="false">
      <c r="A5113" s="3" t="s">
        <v>500</v>
      </c>
      <c r="C5113" s="25" t="n">
        <f aca="false">INDEX($G$4933:$K$4933,C5103)</f>
        <v>6.33403256832008</v>
      </c>
    </row>
    <row r="5114" customFormat="false" ht="15" hidden="false" customHeight="false" outlineLevel="0" collapsed="false">
      <c r="A5114" s="3" t="s">
        <v>501</v>
      </c>
      <c r="C5114" s="25" t="n">
        <f aca="false">INDEX($G$4946:$K$4946,C5103)</f>
        <v>143.75</v>
      </c>
    </row>
    <row r="5115" customFormat="false" ht="15" hidden="false" customHeight="false" outlineLevel="0" collapsed="false">
      <c r="A5115" s="23" t="s">
        <v>502</v>
      </c>
      <c r="B5115" s="24"/>
      <c r="C5115" s="24"/>
      <c r="D5115" s="24"/>
      <c r="E5115" s="24"/>
      <c r="F5115" s="24"/>
      <c r="G5115" s="24"/>
      <c r="H5115" s="24"/>
      <c r="I5115" s="24"/>
      <c r="J5115" s="24"/>
      <c r="K5115" s="24"/>
    </row>
    <row r="5116" customFormat="false" ht="15" hidden="false" customHeight="false" outlineLevel="0" collapsed="false">
      <c r="A5116" s="3" t="s">
        <v>499</v>
      </c>
      <c r="C5116" s="27" t="n">
        <f aca="false">Assumptions!$M$56</f>
        <v>1</v>
      </c>
    </row>
    <row r="5117" customFormat="false" ht="15" hidden="false" customHeight="false" outlineLevel="0" collapsed="false">
      <c r="A5117" s="3" t="s">
        <v>500</v>
      </c>
      <c r="C5117" s="27" t="n">
        <f aca="false">Assumptions!$M$57</f>
        <v>2</v>
      </c>
    </row>
    <row r="5118" customFormat="false" ht="15" hidden="false" customHeight="false" outlineLevel="0" collapsed="false">
      <c r="A5118" s="3" t="s">
        <v>501</v>
      </c>
      <c r="C5118" s="27" t="n">
        <f aca="false">Assumptions!$M$58</f>
        <v>2</v>
      </c>
    </row>
    <row r="5119" customFormat="false" ht="15" hidden="false" customHeight="false" outlineLevel="0" collapsed="false">
      <c r="A5119" s="23" t="s">
        <v>503</v>
      </c>
      <c r="B5119" s="24"/>
      <c r="C5119" s="24"/>
      <c r="D5119" s="24"/>
      <c r="E5119" s="24"/>
      <c r="F5119" s="24"/>
      <c r="G5119" s="24"/>
      <c r="H5119" s="24"/>
      <c r="I5119" s="24"/>
      <c r="J5119" s="24"/>
      <c r="K5119" s="24"/>
    </row>
    <row r="5120" customFormat="false" ht="15" hidden="false" customHeight="false" outlineLevel="0" collapsed="false">
      <c r="A5120" s="3" t="s">
        <v>499</v>
      </c>
      <c r="C5120" s="35" t="n">
        <f aca="false">Assumptions!$Q$56</f>
        <v>0</v>
      </c>
    </row>
    <row r="5121" customFormat="false" ht="15" hidden="false" customHeight="false" outlineLevel="0" collapsed="false">
      <c r="A5121" s="3" t="s">
        <v>500</v>
      </c>
      <c r="C5121" s="35" t="n">
        <f aca="false">Assumptions!$Q$57</f>
        <v>0</v>
      </c>
    </row>
    <row r="5122" customFormat="false" ht="15" hidden="false" customHeight="false" outlineLevel="0" collapsed="false">
      <c r="A5122" s="3" t="s">
        <v>501</v>
      </c>
      <c r="C5122" s="35" t="n">
        <f aca="false">Assumptions!$Q$58</f>
        <v>0</v>
      </c>
    </row>
    <row r="5123" customFormat="false" ht="15" hidden="false" customHeight="false" outlineLevel="0" collapsed="false">
      <c r="A5123" s="23" t="s">
        <v>504</v>
      </c>
      <c r="B5123" s="24"/>
      <c r="C5123" s="24"/>
      <c r="D5123" s="24"/>
      <c r="E5123" s="24"/>
      <c r="F5123" s="24"/>
      <c r="G5123" s="24"/>
      <c r="H5123" s="24"/>
      <c r="I5123" s="24"/>
      <c r="J5123" s="24"/>
      <c r="K5123" s="24"/>
    </row>
    <row r="5124" customFormat="false" ht="15" hidden="false" customHeight="false" outlineLevel="0" collapsed="false">
      <c r="A5124" s="3" t="s">
        <v>499</v>
      </c>
      <c r="C5124" s="25" t="n">
        <f aca="false">IF(C5120&gt;0,MIN(C5112,C5120*$C$5110),0)</f>
        <v>0</v>
      </c>
    </row>
    <row r="5125" customFormat="false" ht="15" hidden="false" customHeight="false" outlineLevel="0" collapsed="false">
      <c r="A5125" s="3" t="s">
        <v>500</v>
      </c>
      <c r="C5125" s="25" t="n">
        <f aca="false">IF(C5121&gt;0,MIN(C5113,C5121*$C$5110),0)</f>
        <v>0</v>
      </c>
    </row>
    <row r="5126" customFormat="false" ht="15" hidden="false" customHeight="false" outlineLevel="0" collapsed="false">
      <c r="A5126" s="3" t="s">
        <v>501</v>
      </c>
      <c r="C5126" s="25" t="n">
        <f aca="false">IF(C5122&gt;0,MIN(C5114,C5122*$C$5110),0)</f>
        <v>0</v>
      </c>
    </row>
    <row r="5127" customFormat="false" ht="15" hidden="false" customHeight="false" outlineLevel="0" collapsed="false">
      <c r="A5127" s="23" t="s">
        <v>505</v>
      </c>
      <c r="B5127" s="24"/>
      <c r="C5127" s="24"/>
      <c r="D5127" s="24"/>
      <c r="E5127" s="24"/>
      <c r="F5127" s="24"/>
      <c r="G5127" s="24"/>
      <c r="H5127" s="24"/>
      <c r="I5127" s="24"/>
      <c r="J5127" s="24"/>
      <c r="K5127" s="24"/>
    </row>
    <row r="5128" customFormat="false" ht="15" hidden="false" customHeight="false" outlineLevel="0" collapsed="false">
      <c r="A5128" s="3" t="s">
        <v>499</v>
      </c>
      <c r="C5128" s="25" t="n">
        <f aca="false">IF(C5120&gt;0,C5112-C5124,0)</f>
        <v>0</v>
      </c>
    </row>
    <row r="5129" customFormat="false" ht="15" hidden="false" customHeight="false" outlineLevel="0" collapsed="false">
      <c r="A5129" s="3" t="s">
        <v>500</v>
      </c>
      <c r="C5129" s="25" t="n">
        <f aca="false">IF(C5121&gt;0,C5113-C5125,0)</f>
        <v>0</v>
      </c>
    </row>
    <row r="5130" customFormat="false" ht="15" hidden="false" customHeight="false" outlineLevel="0" collapsed="false">
      <c r="A5130" s="3" t="s">
        <v>501</v>
      </c>
      <c r="C5130" s="25" t="n">
        <f aca="false">IF(C5122&gt;0,C5114-C5126,0)</f>
        <v>0</v>
      </c>
    </row>
    <row r="5131" customFormat="false" ht="15" hidden="false" customHeight="false" outlineLevel="0" collapsed="false">
      <c r="A5131" s="23" t="s">
        <v>506</v>
      </c>
      <c r="B5131" s="24"/>
      <c r="C5131" s="24"/>
      <c r="D5131" s="24"/>
      <c r="E5131" s="24"/>
      <c r="F5131" s="24"/>
      <c r="G5131" s="24"/>
      <c r="H5131" s="24"/>
      <c r="I5131" s="24"/>
      <c r="J5131" s="24"/>
      <c r="K5131" s="24"/>
    </row>
    <row r="5132" customFormat="false" ht="15" hidden="false" customHeight="false" outlineLevel="0" collapsed="false">
      <c r="A5132" s="3" t="s">
        <v>499</v>
      </c>
      <c r="C5132" s="25" t="n">
        <f aca="false">IF(C5120&gt;0,C5128,C5112)</f>
        <v>1315.098</v>
      </c>
    </row>
    <row r="5133" customFormat="false" ht="15" hidden="false" customHeight="false" outlineLevel="0" collapsed="false">
      <c r="A5133" s="3" t="s">
        <v>500</v>
      </c>
      <c r="C5133" s="25" t="n">
        <f aca="false">IF(C5121&gt;0,C5129,C5113)</f>
        <v>6.33403256832008</v>
      </c>
    </row>
    <row r="5134" customFormat="false" ht="15" hidden="false" customHeight="false" outlineLevel="0" collapsed="false">
      <c r="A5134" s="3" t="s">
        <v>501</v>
      </c>
      <c r="C5134" s="25" t="n">
        <f aca="false">IF(C5122&gt;0,C5130,C5114)</f>
        <v>143.75</v>
      </c>
    </row>
    <row r="5135" customFormat="false" ht="15" hidden="false" customHeight="false" outlineLevel="0" collapsed="false">
      <c r="A5135" s="23" t="s">
        <v>507</v>
      </c>
      <c r="B5135" s="24"/>
      <c r="C5135" s="24"/>
      <c r="D5135" s="24"/>
      <c r="E5135" s="24"/>
      <c r="F5135" s="24"/>
      <c r="G5135" s="24"/>
      <c r="H5135" s="24"/>
      <c r="I5135" s="24"/>
      <c r="J5135" s="24"/>
      <c r="K5135" s="24"/>
    </row>
    <row r="5136" customFormat="false" ht="15" hidden="false" customHeight="false" outlineLevel="0" collapsed="false">
      <c r="A5136" s="3" t="s">
        <v>499</v>
      </c>
      <c r="C5136" s="20" t="n">
        <f aca="false">IF(C5120&gt;0,Assumptions!$C$17,C5116)</f>
        <v>1</v>
      </c>
    </row>
    <row r="5137" customFormat="false" ht="15" hidden="false" customHeight="false" outlineLevel="0" collapsed="false">
      <c r="A5137" s="3" t="s">
        <v>500</v>
      </c>
      <c r="C5137" s="20" t="n">
        <f aca="false">IF(C5121&gt;0,Assumptions!$C$17,C5117)</f>
        <v>2</v>
      </c>
    </row>
    <row r="5138" customFormat="false" ht="15" hidden="false" customHeight="false" outlineLevel="0" collapsed="false">
      <c r="A5138" s="3" t="s">
        <v>501</v>
      </c>
      <c r="C5138" s="20" t="n">
        <f aca="false">IF(C5122&gt;0,Assumptions!$C$17,C5118)</f>
        <v>2</v>
      </c>
    </row>
    <row r="5139" customFormat="false" ht="15" hidden="false" customHeight="false" outlineLevel="0" collapsed="false">
      <c r="A5139" s="23" t="s">
        <v>508</v>
      </c>
      <c r="B5139" s="24"/>
      <c r="C5139" s="24"/>
      <c r="D5139" s="24"/>
      <c r="E5139" s="24"/>
      <c r="F5139" s="24"/>
      <c r="G5139" s="24"/>
      <c r="H5139" s="24"/>
      <c r="I5139" s="24"/>
      <c r="J5139" s="24"/>
      <c r="K5139" s="24"/>
    </row>
    <row r="5140" customFormat="false" ht="15" hidden="false" customHeight="false" outlineLevel="0" collapsed="false">
      <c r="A5140" s="3" t="s">
        <v>499</v>
      </c>
      <c r="C5140" s="25" t="n">
        <f aca="false">SUMPRODUCT(($C$5136:$C$5138&lt;C5136)*$C$5132:$C$5134)</f>
        <v>0</v>
      </c>
    </row>
    <row r="5141" customFormat="false" ht="15" hidden="false" customHeight="false" outlineLevel="0" collapsed="false">
      <c r="A5141" s="3" t="s">
        <v>500</v>
      </c>
      <c r="C5141" s="25" t="n">
        <f aca="false">SUMPRODUCT(($C$5136:$C$5138&lt;C5137)*$C$5132:$C$5134)</f>
        <v>1315.098</v>
      </c>
    </row>
    <row r="5142" customFormat="false" ht="15" hidden="false" customHeight="false" outlineLevel="0" collapsed="false">
      <c r="A5142" s="3" t="s">
        <v>501</v>
      </c>
      <c r="C5142" s="25" t="n">
        <f aca="false">SUMPRODUCT(($C$5136:$C$5138&lt;C5138)*$C$5132:$C$5134)</f>
        <v>1315.098</v>
      </c>
    </row>
    <row r="5143" customFormat="false" ht="15" hidden="false" customHeight="false" outlineLevel="0" collapsed="false">
      <c r="A5143" s="23" t="s">
        <v>509</v>
      </c>
      <c r="B5143" s="24"/>
      <c r="C5143" s="24"/>
      <c r="D5143" s="24"/>
      <c r="E5143" s="24"/>
      <c r="F5143" s="24"/>
      <c r="G5143" s="24"/>
      <c r="H5143" s="24"/>
      <c r="I5143" s="24"/>
      <c r="J5143" s="24"/>
      <c r="K5143" s="24"/>
    </row>
    <row r="5144" customFormat="false" ht="15" hidden="false" customHeight="false" outlineLevel="0" collapsed="false">
      <c r="A5144" s="3" t="s">
        <v>499</v>
      </c>
      <c r="C5144" s="25" t="n">
        <f aca="false">SUMPRODUCT(($C$5136:$C$5138=C5136)*$C$5132:$C$5134)</f>
        <v>1315.098</v>
      </c>
    </row>
    <row r="5145" customFormat="false" ht="15" hidden="false" customHeight="false" outlineLevel="0" collapsed="false">
      <c r="A5145" s="3" t="s">
        <v>500</v>
      </c>
      <c r="C5145" s="25" t="n">
        <f aca="false">SUMPRODUCT(($C$5136:$C$5138=C5137)*$C$5132:$C$5134)</f>
        <v>150.08403256832</v>
      </c>
    </row>
    <row r="5146" customFormat="false" ht="15" hidden="false" customHeight="false" outlineLevel="0" collapsed="false">
      <c r="A5146" s="3" t="s">
        <v>501</v>
      </c>
      <c r="C5146" s="25" t="n">
        <f aca="false">SUMPRODUCT(($C$5136:$C$5138=C5138)*$C$5132:$C$5134)</f>
        <v>150.08403256832</v>
      </c>
    </row>
    <row r="5147" customFormat="false" ht="15" hidden="false" customHeight="false" outlineLevel="0" collapsed="false">
      <c r="A5147" s="23" t="s">
        <v>510</v>
      </c>
      <c r="B5147" s="24"/>
      <c r="C5147" s="24"/>
      <c r="D5147" s="24"/>
      <c r="E5147" s="24"/>
      <c r="F5147" s="24"/>
      <c r="G5147" s="24"/>
      <c r="H5147" s="24"/>
      <c r="I5147" s="24"/>
      <c r="J5147" s="24"/>
      <c r="K5147" s="24"/>
    </row>
    <row r="5148" customFormat="false" ht="15" hidden="false" customHeight="false" outlineLevel="0" collapsed="false">
      <c r="A5148" s="3" t="s">
        <v>499</v>
      </c>
      <c r="C5148" s="25" t="n">
        <f aca="false">IF(C5144=0,0,C5132/C5144*MAX(0,MIN(C5144,$C$5110-SUM($C$5124:$C$5126)-C5140)))</f>
        <v>428.3744040576</v>
      </c>
    </row>
    <row r="5149" customFormat="false" ht="15" hidden="false" customHeight="false" outlineLevel="0" collapsed="false">
      <c r="A5149" s="3" t="s">
        <v>500</v>
      </c>
      <c r="C5149" s="25" t="n">
        <f aca="false">IF(C5145=0,0,C5133/C5145*MAX(0,MIN(C5145,$C$5110-SUM($C$5124:$C$5126)-C5141)))</f>
        <v>0</v>
      </c>
    </row>
    <row r="5150" customFormat="false" ht="15" hidden="false" customHeight="false" outlineLevel="0" collapsed="false">
      <c r="A5150" s="3" t="s">
        <v>501</v>
      </c>
      <c r="C5150" s="25" t="n">
        <f aca="false">IF(C5146=0,0,C5134/C5146*MAX(0,MIN(C5146,$C$5110-SUM($C$5124:$C$5126)-C5142)))</f>
        <v>0</v>
      </c>
    </row>
    <row r="5151" customFormat="false" ht="15" hidden="false" customHeight="false" outlineLevel="0" collapsed="false">
      <c r="A5151" s="23" t="s">
        <v>511</v>
      </c>
      <c r="B5151" s="24"/>
      <c r="C5151" s="24"/>
      <c r="D5151" s="24"/>
      <c r="E5151" s="24"/>
      <c r="F5151" s="24"/>
      <c r="G5151" s="24"/>
      <c r="H5151" s="24"/>
      <c r="I5151" s="24"/>
      <c r="J5151" s="24"/>
      <c r="K5151" s="24"/>
    </row>
    <row r="5152" customFormat="false" ht="15" hidden="false" customHeight="false" outlineLevel="0" collapsed="false">
      <c r="A5152" s="2" t="s">
        <v>499</v>
      </c>
      <c r="C5152" s="16" t="n">
        <f aca="false">C5124+C5148</f>
        <v>428.3744040576</v>
      </c>
    </row>
    <row r="5153" customFormat="false" ht="15" hidden="false" customHeight="false" outlineLevel="0" collapsed="false">
      <c r="A5153" s="2" t="s">
        <v>500</v>
      </c>
      <c r="C5153" s="16" t="n">
        <f aca="false">C5125+C5149</f>
        <v>0</v>
      </c>
    </row>
    <row r="5154" customFormat="false" ht="15" hidden="false" customHeight="false" outlineLevel="0" collapsed="false">
      <c r="A5154" s="2" t="s">
        <v>501</v>
      </c>
      <c r="C5154" s="16" t="n">
        <f aca="false">C5126+C5150</f>
        <v>0</v>
      </c>
    </row>
    <row r="5155" customFormat="false" ht="15" hidden="false" customHeight="false" outlineLevel="0" collapsed="false">
      <c r="A5155" s="23" t="s">
        <v>512</v>
      </c>
      <c r="B5155" s="24"/>
      <c r="C5155" s="24"/>
      <c r="D5155" s="24"/>
      <c r="E5155" s="24"/>
      <c r="F5155" s="24"/>
      <c r="G5155" s="24"/>
      <c r="H5155" s="24"/>
      <c r="I5155" s="24"/>
      <c r="J5155" s="24"/>
      <c r="K5155" s="24"/>
    </row>
    <row r="5156" customFormat="false" ht="15" hidden="false" customHeight="false" outlineLevel="0" collapsed="false">
      <c r="A5156" s="3" t="s">
        <v>499</v>
      </c>
      <c r="C5156" s="21" t="n">
        <f aca="false">IF(C5112=0,1,C5152/C5112)</f>
        <v>0.325735727723409</v>
      </c>
    </row>
    <row r="5157" customFormat="false" ht="15" hidden="false" customHeight="false" outlineLevel="0" collapsed="false">
      <c r="A5157" s="3" t="s">
        <v>500</v>
      </c>
      <c r="C5157" s="21" t="n">
        <f aca="false">IF(C5113=0,1,C5153/C5113)</f>
        <v>0</v>
      </c>
    </row>
    <row r="5158" customFormat="false" ht="15" hidden="false" customHeight="false" outlineLevel="0" collapsed="false">
      <c r="A5158" s="3" t="s">
        <v>501</v>
      </c>
      <c r="C5158" s="21" t="n">
        <f aca="false">IF(C5114=0,1,C5154/C5114)</f>
        <v>0</v>
      </c>
    </row>
    <row r="5159" customFormat="false" ht="15" hidden="false" customHeight="false" outlineLevel="0" collapsed="false">
      <c r="A5159" s="23" t="s">
        <v>513</v>
      </c>
      <c r="B5159" s="24"/>
      <c r="C5159" s="24"/>
      <c r="D5159" s="24"/>
      <c r="E5159" s="24"/>
      <c r="F5159" s="24"/>
      <c r="G5159" s="24"/>
      <c r="H5159" s="24"/>
      <c r="I5159" s="24"/>
      <c r="J5159" s="24"/>
      <c r="K5159" s="24"/>
    </row>
    <row r="5160" customFormat="false" ht="15" hidden="false" customHeight="false" outlineLevel="0" collapsed="false">
      <c r="A5160" s="3" t="s">
        <v>499</v>
      </c>
      <c r="C5160" s="25" t="n">
        <f aca="false">C5112-C5152</f>
        <v>886.7235959424</v>
      </c>
    </row>
    <row r="5161" customFormat="false" ht="15" hidden="false" customHeight="false" outlineLevel="0" collapsed="false">
      <c r="A5161" s="3" t="s">
        <v>500</v>
      </c>
      <c r="C5161" s="25" t="n">
        <f aca="false">C5113-C5153</f>
        <v>6.33403256832008</v>
      </c>
    </row>
    <row r="5162" customFormat="false" ht="15" hidden="false" customHeight="false" outlineLevel="0" collapsed="false">
      <c r="A5162" s="3" t="s">
        <v>501</v>
      </c>
      <c r="C5162" s="25" t="n">
        <f aca="false">C5114-C5154</f>
        <v>143.75</v>
      </c>
    </row>
    <row r="5163" customFormat="false" ht="15" hidden="false" customHeight="false" outlineLevel="0" collapsed="false">
      <c r="A5163" s="23" t="s">
        <v>514</v>
      </c>
      <c r="B5163" s="24"/>
      <c r="C5163" s="24"/>
      <c r="D5163" s="24"/>
      <c r="E5163" s="24"/>
      <c r="F5163" s="24"/>
      <c r="G5163" s="24"/>
      <c r="H5163" s="24"/>
      <c r="I5163" s="24"/>
      <c r="J5163" s="24"/>
      <c r="K5163" s="24"/>
    </row>
    <row r="5164" customFormat="false" ht="15" hidden="false" customHeight="false" outlineLevel="0" collapsed="false">
      <c r="A5164" s="3" t="s">
        <v>499</v>
      </c>
      <c r="C5164" s="21" t="n">
        <f aca="false">IF(C5112=0,0,C5160/C5112)</f>
        <v>0.674264272276591</v>
      </c>
    </row>
    <row r="5165" customFormat="false" ht="15" hidden="false" customHeight="false" outlineLevel="0" collapsed="false">
      <c r="A5165" s="3" t="s">
        <v>500</v>
      </c>
      <c r="C5165" s="21" t="n">
        <f aca="false">IF(C5113=0,0,C5161/C5113)</f>
        <v>1</v>
      </c>
    </row>
    <row r="5166" customFormat="false" ht="15" hidden="false" customHeight="false" outlineLevel="0" collapsed="false">
      <c r="A5166" s="3" t="s">
        <v>501</v>
      </c>
      <c r="C5166" s="21" t="n">
        <f aca="false">IF(C5114=0,0,C5162/C5114)</f>
        <v>1</v>
      </c>
    </row>
    <row r="5167" customFormat="false" ht="15" hidden="false" customHeight="false" outlineLevel="0" collapsed="false">
      <c r="A5167" s="2" t="s">
        <v>515</v>
      </c>
      <c r="C5167" s="16" t="n">
        <f aca="false">MAX(0,$C$5110-SUM($C$5124:$C$5126)-SUM($C$5132:$C$5134))</f>
        <v>0</v>
      </c>
    </row>
    <row r="5168" customFormat="false" ht="15" hidden="false" customHeight="false" outlineLevel="0" collapsed="false">
      <c r="A5168" s="3" t="s">
        <v>533</v>
      </c>
      <c r="C5168" s="34" t="n">
        <f aca="false">MIN(C5109,100*CHOOSE(C5099,C5156,C5157,C5158))</f>
        <v>32.5735727723409</v>
      </c>
    </row>
    <row r="5169" customFormat="false" ht="15" hidden="false" customHeight="false" outlineLevel="0" collapsed="false">
      <c r="A5169" s="3" t="s">
        <v>534</v>
      </c>
      <c r="C5169" s="20" t="n">
        <f aca="false">IF(C5029=1,C5104+Assumptions!$C$39,C5103)</f>
        <v>4</v>
      </c>
    </row>
    <row r="5170" customFormat="false" ht="15" hidden="false" customHeight="false" outlineLevel="0" collapsed="false">
      <c r="A5170" s="23" t="s">
        <v>535</v>
      </c>
      <c r="B5170" s="24"/>
      <c r="C5170" s="24"/>
      <c r="D5170" s="24"/>
      <c r="E5170" s="24"/>
      <c r="F5170" s="24"/>
      <c r="G5170" s="24"/>
      <c r="H5170" s="24"/>
      <c r="I5170" s="24"/>
      <c r="J5170" s="24"/>
      <c r="K5170" s="24"/>
    </row>
    <row r="5171" customFormat="false" ht="15" hidden="false" customHeight="false" outlineLevel="0" collapsed="false">
      <c r="A5171" s="3" t="s">
        <v>536</v>
      </c>
      <c r="C5171" s="20" t="n">
        <f aca="false">COLUMN()-COLUMN($C$1)</f>
        <v>0</v>
      </c>
      <c r="D5171" s="20" t="n">
        <f aca="false">COLUMN()-COLUMN($C$1)</f>
        <v>1</v>
      </c>
      <c r="E5171" s="20" t="n">
        <f aca="false">COLUMN()-COLUMN($C$1)</f>
        <v>2</v>
      </c>
      <c r="F5171" s="20" t="n">
        <f aca="false">COLUMN()-COLUMN($C$1)</f>
        <v>3</v>
      </c>
      <c r="G5171" s="20" t="n">
        <f aca="false">COLUMN()-COLUMN($C$1)</f>
        <v>4</v>
      </c>
      <c r="H5171" s="20" t="n">
        <f aca="false">COLUMN()-COLUMN($C$1)</f>
        <v>5</v>
      </c>
      <c r="I5171" s="20" t="n">
        <f aca="false">COLUMN()-COLUMN($C$1)</f>
        <v>6</v>
      </c>
    </row>
    <row r="5172" customFormat="false" ht="15" hidden="false" customHeight="false" outlineLevel="0" collapsed="false">
      <c r="A5172" s="3" t="s">
        <v>537</v>
      </c>
      <c r="D5172" s="31" t="n">
        <f aca="false">CHOOSE($C$5099,G4912,G4925,G4938)</f>
        <v>0.105</v>
      </c>
      <c r="E5172" s="31" t="n">
        <f aca="false">CHOOSE($C$5099,H4912,H4925,H4938)</f>
        <v>0.105</v>
      </c>
      <c r="F5172" s="31" t="n">
        <f aca="false">CHOOSE($C$5099,I4912,I4925,I4938)</f>
        <v>0.105</v>
      </c>
      <c r="G5172" s="31" t="n">
        <f aca="false">CHOOSE($C$5099,J4912,J4925,J4938)</f>
        <v>0.105</v>
      </c>
      <c r="H5172" s="31" t="n">
        <f aca="false">CHOOSE($C$5099,K4912,K4925,K4938)</f>
        <v>0.105</v>
      </c>
    </row>
    <row r="5173" customFormat="false" ht="15" hidden="false" customHeight="false" outlineLevel="0" collapsed="false">
      <c r="A5173" s="3" t="s">
        <v>538</v>
      </c>
      <c r="D5173" s="25" t="n">
        <f aca="false">IF(D5171&lt;=$C$5108,$C$5100*D5172,0)</f>
        <v>10.5</v>
      </c>
      <c r="E5173" s="25" t="n">
        <f aca="false">IF(E5171&lt;=$C$5108,$C$5100*E5172,0)</f>
        <v>10.5</v>
      </c>
      <c r="F5173" s="25" t="n">
        <f aca="false">IF(F5171&lt;=$C$5108,$C$5100*F5172,0)</f>
        <v>10.5</v>
      </c>
      <c r="G5173" s="25" t="n">
        <f aca="false">IF(G5171&lt;=$C$5108,$C$5100*G5172,0)</f>
        <v>0</v>
      </c>
      <c r="H5173" s="25" t="n">
        <f aca="false">IF(H5171&lt;=$C$5108,$C$5100*H5172,0)</f>
        <v>0</v>
      </c>
    </row>
    <row r="5174" customFormat="false" ht="15" hidden="false" customHeight="false" outlineLevel="0" collapsed="false">
      <c r="A5174" s="3" t="s">
        <v>539</v>
      </c>
      <c r="D5174" s="25" t="n">
        <f aca="false">IF(AND($C$5029=0,D5171=$C$5103),$C$5100*$C$5168/100,0)+IF(AND($C$5029=1,D5171=$C$5169),$C$5106,0)</f>
        <v>0</v>
      </c>
      <c r="E5174" s="25" t="n">
        <f aca="false">IF(AND($C$5029=0,E5171=$C$5103),$C$5100*$C$5168/100,0)+IF(AND($C$5029=1,E5171=$C$5169),$C$5106,0)</f>
        <v>0</v>
      </c>
      <c r="F5174" s="25" t="n">
        <f aca="false">IF(AND($C$5029=0,F5171=$C$5103),$C$5100*$C$5168/100,0)+IF(AND($C$5029=1,F5171=$C$5169),$C$5106,0)</f>
        <v>0</v>
      </c>
      <c r="G5174" s="25" t="n">
        <f aca="false">IF(AND($C$5029=0,G5171=$C$5103),$C$5100*$C$5168/100,0)+IF(AND($C$5029=1,G5171=$C$5169),$C$5106,0)</f>
        <v>34.945728090226</v>
      </c>
      <c r="H5174" s="25" t="n">
        <f aca="false">IF(AND($C$5029=0,H5171=$C$5103),$C$5100*$C$5168/100,0)+IF(AND($C$5029=1,H5171=$C$5169),$C$5106,0)</f>
        <v>0</v>
      </c>
      <c r="I5174" s="25" t="n">
        <f aca="false">IF(AND($C$5029=0,I5171=$C$5103),$C$5100*$C$5168/100,0)+IF(AND($C$5029=1,I5171=$C$5169),$C$5106,0)</f>
        <v>0</v>
      </c>
    </row>
    <row r="5175" customFormat="false" ht="15" hidden="false" customHeight="false" outlineLevel="0" collapsed="false">
      <c r="A5175" s="2" t="s">
        <v>540</v>
      </c>
      <c r="C5175" s="16" t="n">
        <f aca="false">-$C$5102</f>
        <v>-95</v>
      </c>
      <c r="D5175" s="16" t="n">
        <f aca="false">D5173+D5174</f>
        <v>10.5</v>
      </c>
      <c r="E5175" s="16" t="n">
        <f aca="false">E5173+E5174</f>
        <v>10.5</v>
      </c>
      <c r="F5175" s="16" t="n">
        <f aca="false">F5173+F5174</f>
        <v>10.5</v>
      </c>
      <c r="G5175" s="16" t="n">
        <f aca="false">G5173+G5174</f>
        <v>34.945728090226</v>
      </c>
      <c r="H5175" s="16" t="n">
        <f aca="false">H5173+H5174</f>
        <v>0</v>
      </c>
      <c r="I5175" s="16" t="n">
        <f aca="false">I5173+I5174</f>
        <v>0</v>
      </c>
    </row>
    <row r="5176" customFormat="false" ht="15" hidden="false" customHeight="false" outlineLevel="0" collapsed="false">
      <c r="A5176" s="3" t="s">
        <v>541</v>
      </c>
      <c r="C5176" s="25" t="n">
        <f aca="false">SUM($C$5173:$I$5173)</f>
        <v>31.5</v>
      </c>
    </row>
    <row r="5177" customFormat="false" ht="15" hidden="false" customHeight="false" outlineLevel="0" collapsed="false">
      <c r="A5177" s="3" t="s">
        <v>542</v>
      </c>
      <c r="C5177" s="25" t="n">
        <f aca="false">SUM($C$5174:$I$5174)</f>
        <v>34.945728090226</v>
      </c>
    </row>
    <row r="5178" customFormat="false" ht="15" hidden="false" customHeight="false" outlineLevel="0" collapsed="false">
      <c r="A5178" s="3" t="s">
        <v>543</v>
      </c>
      <c r="C5178" s="25" t="n">
        <f aca="false">C5176+C5177</f>
        <v>66.445728090226</v>
      </c>
    </row>
    <row r="5179" customFormat="false" ht="15" hidden="false" customHeight="false" outlineLevel="0" collapsed="false">
      <c r="A5179" s="3" t="s">
        <v>544</v>
      </c>
      <c r="C5179" s="25" t="n">
        <f aca="false">C5177-C5100*C5101/100</f>
        <v>-60.054271909774</v>
      </c>
    </row>
    <row r="5180" customFormat="false" ht="15" hidden="false" customHeight="false" outlineLevel="0" collapsed="false">
      <c r="A5180" s="3" t="s">
        <v>545</v>
      </c>
      <c r="C5180" s="25" t="n">
        <f aca="false">C5178-C5102</f>
        <v>-28.554271909774</v>
      </c>
    </row>
    <row r="5181" customFormat="false" ht="15" hidden="false" customHeight="false" outlineLevel="0" collapsed="false">
      <c r="A5181" s="2" t="s">
        <v>427</v>
      </c>
      <c r="C5181" s="44" t="n">
        <f aca="false">C5178/C5102</f>
        <v>0.699428716739221</v>
      </c>
    </row>
    <row r="5182" customFormat="false" ht="15" hidden="false" customHeight="false" outlineLevel="0" collapsed="false">
      <c r="A5182" s="2" t="s">
        <v>426</v>
      </c>
      <c r="C5182" s="42" t="n">
        <f aca="false">IF(C5178&lt;=0,-1,IFERROR(IRR($C$5175:$I$5175,MAX(-0.9,C5181^(1/C5169)-1)),IRR($C$5175:$I$5175,0.1)))</f>
        <v>-0.10811295237651</v>
      </c>
    </row>
    <row r="5183" customFormat="false" ht="15" hidden="false" customHeight="false" outlineLevel="0" collapsed="false">
      <c r="A5183" s="3" t="s">
        <v>546</v>
      </c>
      <c r="C5183" s="32" t="n">
        <f aca="false">MAX($G$4989:$K$4989)</f>
        <v>17.6426302993449</v>
      </c>
    </row>
    <row r="5184" customFormat="false" ht="15" hidden="false" customHeight="false" outlineLevel="0" collapsed="false">
      <c r="A5184" s="3" t="s">
        <v>547</v>
      </c>
      <c r="C5184" s="32" t="n">
        <f aca="false">MIN($G$4990:$K$4990)</f>
        <v>0.641091448545568</v>
      </c>
    </row>
    <row r="5185" customFormat="false" ht="15" hidden="false" customHeight="false" outlineLevel="0" collapsed="false">
      <c r="A5185" s="3" t="s">
        <v>548</v>
      </c>
      <c r="C5185" s="25" t="n">
        <f aca="false">SUM($G$4896:$K$4896)</f>
        <v>-362.406198194027</v>
      </c>
    </row>
    <row r="5189" customFormat="false" ht="15" hidden="false" customHeight="false" outlineLevel="0" collapsed="false">
      <c r="A5189" s="9" t="s">
        <v>1030</v>
      </c>
      <c r="B5189" s="10"/>
      <c r="C5189" s="10"/>
      <c r="D5189" s="10"/>
      <c r="E5189" s="10"/>
      <c r="F5189" s="10"/>
      <c r="G5189" s="10"/>
      <c r="H5189" s="10"/>
      <c r="I5189" s="10"/>
      <c r="J5189" s="10"/>
      <c r="K5189" s="10"/>
    </row>
    <row r="5190" customFormat="false" ht="15" hidden="false" customHeight="false" outlineLevel="0" collapsed="false">
      <c r="A5190" s="3" t="s">
        <v>1010</v>
      </c>
      <c r="C5190" s="11" t="n">
        <v>3</v>
      </c>
    </row>
    <row r="5191" customFormat="false" ht="15" hidden="false" customHeight="false" outlineLevel="0" collapsed="false">
      <c r="A5191" s="3" t="s">
        <v>1011</v>
      </c>
      <c r="C5191" s="18" t="n">
        <v>0</v>
      </c>
    </row>
    <row r="5192" customFormat="false" ht="15" hidden="false" customHeight="false" outlineLevel="0" collapsed="false">
      <c r="A5192" s="3" t="s">
        <v>1012</v>
      </c>
      <c r="C5192" s="30" t="n">
        <f aca="false">Sensitivities!$A$33</f>
        <v>0.02</v>
      </c>
    </row>
    <row r="5193" customFormat="false" ht="15" hidden="false" customHeight="false" outlineLevel="0" collapsed="false">
      <c r="A5193" s="3" t="s">
        <v>1013</v>
      </c>
      <c r="C5193" s="18" t="n">
        <v>0</v>
      </c>
    </row>
    <row r="5194" customFormat="false" ht="15" hidden="false" customHeight="false" outlineLevel="0" collapsed="false">
      <c r="A5194" s="3" t="s">
        <v>1014</v>
      </c>
      <c r="C5194" s="15" t="n">
        <v>0</v>
      </c>
    </row>
    <row r="5196" customFormat="false" ht="15" hidden="false" customHeight="false" outlineLevel="0" collapsed="false">
      <c r="A5196" s="23" t="s">
        <v>281</v>
      </c>
      <c r="B5196" s="24"/>
      <c r="C5196" s="24"/>
      <c r="D5196" s="24"/>
      <c r="E5196" s="24"/>
      <c r="F5196" s="24"/>
      <c r="G5196" s="24"/>
      <c r="H5196" s="24"/>
      <c r="I5196" s="24"/>
      <c r="J5196" s="24"/>
      <c r="K5196" s="24"/>
    </row>
    <row r="5197" customFormat="false" ht="15" hidden="false" customHeight="false" outlineLevel="0" collapsed="false">
      <c r="A5197" s="3" t="s">
        <v>282</v>
      </c>
      <c r="F5197" s="27" t="n">
        <f aca="false">Assumptions!$C$6</f>
        <v>2026</v>
      </c>
      <c r="G5197" s="20" t="n">
        <f aca="false">F5197+1</f>
        <v>2027</v>
      </c>
      <c r="H5197" s="20" t="n">
        <f aca="false">G5197+1</f>
        <v>2028</v>
      </c>
      <c r="I5197" s="20" t="n">
        <f aca="false">H5197+1</f>
        <v>2029</v>
      </c>
      <c r="J5197" s="20" t="n">
        <f aca="false">I5197+1</f>
        <v>2030</v>
      </c>
      <c r="K5197" s="20" t="n">
        <f aca="false">J5197+1</f>
        <v>2031</v>
      </c>
    </row>
    <row r="5198" customFormat="false" ht="15" hidden="false" customHeight="false" outlineLevel="0" collapsed="false">
      <c r="A5198" s="3" t="s">
        <v>283</v>
      </c>
      <c r="G5198" s="20" t="n">
        <f aca="false">G5197-Assumptions!$C$6</f>
        <v>1</v>
      </c>
      <c r="H5198" s="20" t="n">
        <f aca="false">H5197-Assumptions!$C$6</f>
        <v>2</v>
      </c>
      <c r="I5198" s="20" t="n">
        <f aca="false">I5197-Assumptions!$C$6</f>
        <v>3</v>
      </c>
      <c r="J5198" s="20" t="n">
        <f aca="false">J5197-Assumptions!$C$6</f>
        <v>4</v>
      </c>
      <c r="K5198" s="20" t="n">
        <f aca="false">K5197-Assumptions!$C$6</f>
        <v>5</v>
      </c>
    </row>
    <row r="5199" customFormat="false" ht="15" hidden="false" customHeight="false" outlineLevel="0" collapsed="false">
      <c r="A5199" s="3" t="s">
        <v>165</v>
      </c>
      <c r="G5199" s="21" t="n">
        <f aca="false">CHOOSE($C$5190,Assumptions!$G$71,Assumptions!$G$90,Assumptions!$G$109)+$C$5191</f>
        <v>-0.14</v>
      </c>
      <c r="H5199" s="21" t="n">
        <f aca="false">CHOOSE($C$5190,Assumptions!$H$71,Assumptions!$H$90,Assumptions!$H$109)+$C$5191</f>
        <v>-0.12</v>
      </c>
      <c r="I5199" s="21" t="n">
        <f aca="false">CHOOSE($C$5190,Assumptions!$I$71,Assumptions!$I$90,Assumptions!$I$109)+$C$5191</f>
        <v>-0.1</v>
      </c>
      <c r="J5199" s="21" t="n">
        <f aca="false">CHOOSE($C$5190,Assumptions!$J$71,Assumptions!$J$90,Assumptions!$J$109)+$C$5191</f>
        <v>-0.08</v>
      </c>
      <c r="K5199" s="21" t="n">
        <f aca="false">CHOOSE($C$5190,Assumptions!$K$71,Assumptions!$K$90,Assumptions!$K$109)+$C$5191</f>
        <v>-0.06</v>
      </c>
    </row>
    <row r="5200" customFormat="false" ht="15" hidden="false" customHeight="false" outlineLevel="0" collapsed="false">
      <c r="A5200" s="3" t="s">
        <v>166</v>
      </c>
      <c r="G5200" s="21" t="n">
        <f aca="false">CHOOSE($C$5190,Assumptions!$G$72,Assumptions!$G$91,Assumptions!$G$110)</f>
        <v>0.433246670103635</v>
      </c>
      <c r="H5200" s="21" t="n">
        <f aca="false">CHOOSE($C$5190,Assumptions!$H$72,Assumptions!$H$91,Assumptions!$H$110)</f>
        <v>0.418246670103635</v>
      </c>
      <c r="I5200" s="21" t="n">
        <f aca="false">CHOOSE($C$5190,Assumptions!$I$72,Assumptions!$I$91,Assumptions!$I$110)</f>
        <v>0.413246670103635</v>
      </c>
      <c r="J5200" s="21" t="n">
        <f aca="false">CHOOSE($C$5190,Assumptions!$J$72,Assumptions!$J$91,Assumptions!$J$110)</f>
        <v>0.413246670103635</v>
      </c>
      <c r="K5200" s="21" t="n">
        <f aca="false">CHOOSE($C$5190,Assumptions!$K$72,Assumptions!$K$91,Assumptions!$K$110)</f>
        <v>0.413246670103635</v>
      </c>
    </row>
    <row r="5201" customFormat="false" ht="15" hidden="false" customHeight="false" outlineLevel="0" collapsed="false">
      <c r="A5201" s="3" t="s">
        <v>167</v>
      </c>
      <c r="G5201" s="21" t="n">
        <f aca="false">CHOOSE($C$5190,Assumptions!$G$73,Assumptions!$G$92,Assumptions!$G$111)+$C$5192</f>
        <v>0.11</v>
      </c>
      <c r="H5201" s="21" t="n">
        <f aca="false">CHOOSE($C$5190,Assumptions!$H$73,Assumptions!$H$92,Assumptions!$H$111)+$C$5192</f>
        <v>0.095</v>
      </c>
      <c r="I5201" s="21" t="n">
        <f aca="false">CHOOSE($C$5190,Assumptions!$I$73,Assumptions!$I$92,Assumptions!$I$111)+$C$5192</f>
        <v>0.09</v>
      </c>
      <c r="J5201" s="21" t="n">
        <f aca="false">CHOOSE($C$5190,Assumptions!$J$73,Assumptions!$J$92,Assumptions!$J$111)+$C$5192</f>
        <v>0.09</v>
      </c>
      <c r="K5201" s="21" t="n">
        <f aca="false">CHOOSE($C$5190,Assumptions!$K$73,Assumptions!$K$92,Assumptions!$K$111)+$C$5192</f>
        <v>0.09</v>
      </c>
    </row>
    <row r="5202" customFormat="false" ht="15" hidden="false" customHeight="false" outlineLevel="0" collapsed="false">
      <c r="A5202" s="23" t="s">
        <v>284</v>
      </c>
      <c r="B5202" s="24"/>
      <c r="C5202" s="24"/>
      <c r="D5202" s="24"/>
      <c r="E5202" s="24"/>
      <c r="F5202" s="24"/>
      <c r="G5202" s="24"/>
      <c r="H5202" s="24"/>
      <c r="I5202" s="24"/>
      <c r="J5202" s="24"/>
      <c r="K5202" s="24"/>
    </row>
    <row r="5203" customFormat="false" ht="15" hidden="false" customHeight="false" outlineLevel="0" collapsed="false">
      <c r="A5203" s="2" t="s">
        <v>256</v>
      </c>
      <c r="F5203" s="28" t="n">
        <f aca="false">'Historical Financials'!G23</f>
        <v>2246.166</v>
      </c>
      <c r="G5203" s="16" t="n">
        <f aca="false">F5203*(1+G5199)</f>
        <v>1931.70276</v>
      </c>
      <c r="H5203" s="16" t="n">
        <f aca="false">G5203*(1+H5199)</f>
        <v>1699.8984288</v>
      </c>
      <c r="I5203" s="16" t="n">
        <f aca="false">H5203*(1+I5199)</f>
        <v>1529.90858592</v>
      </c>
      <c r="J5203" s="16" t="n">
        <f aca="false">I5203*(1+J5199)</f>
        <v>1407.5158990464</v>
      </c>
      <c r="K5203" s="16" t="n">
        <f aca="false">J5203*(1+K5199)</f>
        <v>1323.06494510362</v>
      </c>
    </row>
    <row r="5204" customFormat="false" ht="15" hidden="false" customHeight="false" outlineLevel="0" collapsed="false">
      <c r="A5204" s="3" t="s">
        <v>257</v>
      </c>
      <c r="G5204" s="25" t="n">
        <f aca="false">G5203*(1-G5200)</f>
        <v>1094.7989716</v>
      </c>
      <c r="H5204" s="25" t="n">
        <f aca="false">H5203*(1-H5200)</f>
        <v>988.92157144</v>
      </c>
      <c r="I5204" s="25" t="n">
        <f aca="false">I5203*(1-I5200)</f>
        <v>897.6789572256</v>
      </c>
      <c r="J5204" s="25" t="n">
        <f aca="false">J5203*(1-J5200)</f>
        <v>825.864640647552</v>
      </c>
      <c r="K5204" s="25" t="n">
        <f aca="false">K5203*(1-K5200)</f>
        <v>776.312762208699</v>
      </c>
    </row>
    <row r="5205" customFormat="false" ht="15" hidden="false" customHeight="false" outlineLevel="0" collapsed="false">
      <c r="A5205" s="2" t="s">
        <v>258</v>
      </c>
      <c r="G5205" s="16" t="n">
        <f aca="false">G5203-G5204</f>
        <v>836.9037884</v>
      </c>
      <c r="H5205" s="16" t="n">
        <f aca="false">H5203-H5204</f>
        <v>710.97685736</v>
      </c>
      <c r="I5205" s="16" t="n">
        <f aca="false">I5203-I5204</f>
        <v>632.2296286944</v>
      </c>
      <c r="J5205" s="16" t="n">
        <f aca="false">J5203-J5204</f>
        <v>581.651258398848</v>
      </c>
      <c r="K5205" s="16" t="n">
        <f aca="false">K5203-K5204</f>
        <v>546.752182894917</v>
      </c>
    </row>
    <row r="5206" customFormat="false" ht="15" hidden="false" customHeight="false" outlineLevel="0" collapsed="false">
      <c r="A5206" s="3" t="s">
        <v>285</v>
      </c>
      <c r="G5206" s="25" t="n">
        <f aca="false">G5205-G5207</f>
        <v>624.4164848</v>
      </c>
      <c r="H5206" s="25" t="n">
        <f aca="false">H5205-H5207</f>
        <v>549.486506624</v>
      </c>
      <c r="I5206" s="25" t="n">
        <f aca="false">I5205-I5207</f>
        <v>494.5378559616</v>
      </c>
      <c r="J5206" s="25" t="n">
        <f aca="false">J5205-J5207</f>
        <v>454.974827484672</v>
      </c>
      <c r="K5206" s="25" t="n">
        <f aca="false">K5205-K5207</f>
        <v>427.676337835592</v>
      </c>
    </row>
    <row r="5207" customFormat="false" ht="15" hidden="false" customHeight="false" outlineLevel="0" collapsed="false">
      <c r="A5207" s="2" t="s">
        <v>286</v>
      </c>
      <c r="G5207" s="16" t="n">
        <f aca="false">G5203*G5201</f>
        <v>212.4873036</v>
      </c>
      <c r="H5207" s="16" t="n">
        <f aca="false">H5203*H5201</f>
        <v>161.490350736</v>
      </c>
      <c r="I5207" s="16" t="n">
        <f aca="false">I5203*I5201</f>
        <v>137.6917727328</v>
      </c>
      <c r="J5207" s="16" t="n">
        <f aca="false">J5203*J5201</f>
        <v>126.676430914176</v>
      </c>
      <c r="K5207" s="16" t="n">
        <f aca="false">K5203*K5201</f>
        <v>119.075845059325</v>
      </c>
    </row>
    <row r="5208" customFormat="false" ht="15" hidden="false" customHeight="false" outlineLevel="0" collapsed="false">
      <c r="A5208" s="3" t="s">
        <v>287</v>
      </c>
      <c r="G5208" s="25" t="n">
        <f aca="false">G5203*'Historical Financials'!G28/'Historical Financials'!G23</f>
        <v>73.35456</v>
      </c>
      <c r="H5208" s="25" t="n">
        <f aca="false">H5203*'Historical Financials'!G28/'Historical Financials'!G23</f>
        <v>64.5520128</v>
      </c>
      <c r="I5208" s="25" t="n">
        <f aca="false">I5203*'Historical Financials'!G28/'Historical Financials'!G23</f>
        <v>58.09681152</v>
      </c>
      <c r="J5208" s="25" t="n">
        <f aca="false">J5203*'Historical Financials'!G28/'Historical Financials'!G23</f>
        <v>53.4490665984</v>
      </c>
      <c r="K5208" s="25" t="n">
        <f aca="false">K5203*'Historical Financials'!G28/'Historical Financials'!G23</f>
        <v>50.242122602496</v>
      </c>
    </row>
    <row r="5209" customFormat="false" ht="15" hidden="false" customHeight="false" outlineLevel="0" collapsed="false">
      <c r="A5209" s="3" t="s">
        <v>288</v>
      </c>
      <c r="G5209" s="25" t="n">
        <f aca="false">G5203*'Historical Financials'!G29/'Historical Financials'!G23</f>
        <v>20.94616</v>
      </c>
      <c r="H5209" s="25" t="n">
        <f aca="false">H5203*'Historical Financials'!G29/'Historical Financials'!G23</f>
        <v>18.4326208</v>
      </c>
      <c r="I5209" s="25" t="n">
        <f aca="false">I5203*'Historical Financials'!G29/'Historical Financials'!G23</f>
        <v>16.58935872</v>
      </c>
      <c r="J5209" s="25" t="n">
        <f aca="false">J5203*'Historical Financials'!G29/'Historical Financials'!G23</f>
        <v>15.2622100224</v>
      </c>
      <c r="K5209" s="25" t="n">
        <f aca="false">K5203*'Historical Financials'!G29/'Historical Financials'!G23</f>
        <v>14.346477421056</v>
      </c>
    </row>
    <row r="5210" customFormat="false" ht="15" hidden="false" customHeight="false" outlineLevel="0" collapsed="false">
      <c r="A5210" s="2" t="s">
        <v>289</v>
      </c>
      <c r="G5210" s="16" t="n">
        <f aca="false">G5207-G5208-G5209</f>
        <v>118.1865836</v>
      </c>
      <c r="H5210" s="16" t="n">
        <f aca="false">H5207-H5208-H5209</f>
        <v>78.505717136</v>
      </c>
      <c r="I5210" s="16" t="n">
        <f aca="false">I5207-I5208-I5209</f>
        <v>63.0056024928</v>
      </c>
      <c r="J5210" s="16" t="n">
        <f aca="false">J5207-J5208-J5209</f>
        <v>57.965154293376</v>
      </c>
      <c r="K5210" s="16" t="n">
        <f aca="false">K5207-K5208-K5209</f>
        <v>54.4872450357734</v>
      </c>
    </row>
    <row r="5211" customFormat="false" ht="15" hidden="false" customHeight="false" outlineLevel="0" collapsed="false">
      <c r="A5211" s="3" t="s">
        <v>290</v>
      </c>
      <c r="G5211" s="25" t="n">
        <f aca="false">G5237+G5250+G5263</f>
        <v>155.95467</v>
      </c>
      <c r="H5211" s="25" t="n">
        <f aca="false">H5237+H5250+H5263</f>
        <v>155.95467</v>
      </c>
      <c r="I5211" s="25" t="n">
        <f aca="false">I5237+I5250+I5263</f>
        <v>155.95467</v>
      </c>
      <c r="J5211" s="25" t="n">
        <f aca="false">J5237+J5250+J5263</f>
        <v>140.076578075642</v>
      </c>
      <c r="K5211" s="25" t="n">
        <f aca="false">K5237+K5250+K5263</f>
        <v>140.076578075642</v>
      </c>
    </row>
    <row r="5212" customFormat="false" ht="15" hidden="false" customHeight="false" outlineLevel="0" collapsed="false">
      <c r="A5212" s="3" t="s">
        <v>291</v>
      </c>
      <c r="G5212" s="25" t="n">
        <f aca="false">G5238+G5251+G5264</f>
        <v>0</v>
      </c>
      <c r="H5212" s="25" t="n">
        <f aca="false">H5238+H5251+H5264</f>
        <v>0</v>
      </c>
      <c r="I5212" s="25" t="n">
        <f aca="false">I5238+I5251+I5264</f>
        <v>0</v>
      </c>
      <c r="J5212" s="25" t="n">
        <f aca="false">J5238+J5251+J5264</f>
        <v>0</v>
      </c>
      <c r="K5212" s="25" t="n">
        <f aca="false">K5238+K5251+K5264</f>
        <v>0</v>
      </c>
    </row>
    <row r="5213" customFormat="false" ht="15" hidden="false" customHeight="false" outlineLevel="0" collapsed="false">
      <c r="A5213" s="3" t="s">
        <v>239</v>
      </c>
      <c r="G5213" s="25" t="n">
        <f aca="false">G5211+G5212</f>
        <v>155.95467</v>
      </c>
      <c r="H5213" s="25" t="n">
        <f aca="false">H5211+H5212</f>
        <v>155.95467</v>
      </c>
      <c r="I5213" s="25" t="n">
        <f aca="false">I5211+I5212</f>
        <v>155.95467</v>
      </c>
      <c r="J5213" s="25" t="n">
        <f aca="false">J5211+J5212</f>
        <v>140.076578075642</v>
      </c>
      <c r="K5213" s="25" t="n">
        <f aca="false">K5211+K5212</f>
        <v>140.076578075642</v>
      </c>
    </row>
    <row r="5214" customFormat="false" ht="15" hidden="false" customHeight="false" outlineLevel="0" collapsed="false">
      <c r="A5214" s="2" t="s">
        <v>264</v>
      </c>
      <c r="G5214" s="16" t="n">
        <f aca="false">G5210-G5213</f>
        <v>-37.7680864</v>
      </c>
      <c r="H5214" s="16" t="n">
        <f aca="false">H5210-H5213</f>
        <v>-77.448952864</v>
      </c>
      <c r="I5214" s="16" t="n">
        <f aca="false">I5210-I5213</f>
        <v>-92.9490675072</v>
      </c>
      <c r="J5214" s="16" t="n">
        <f aca="false">J5210-J5213</f>
        <v>-82.1114237822656</v>
      </c>
      <c r="K5214" s="16" t="n">
        <f aca="false">K5210-K5213</f>
        <v>-85.5893330398681</v>
      </c>
    </row>
    <row r="5215" customFormat="false" ht="15" hidden="false" customHeight="false" outlineLevel="0" collapsed="false">
      <c r="A5215" s="3" t="s">
        <v>292</v>
      </c>
      <c r="G5215" s="25" t="n">
        <f aca="false">MAX(0,G5214)*Assumptions!$C$9</f>
        <v>0</v>
      </c>
      <c r="H5215" s="25" t="n">
        <f aca="false">MAX(0,H5214)*Assumptions!$C$9</f>
        <v>0</v>
      </c>
      <c r="I5215" s="25" t="n">
        <f aca="false">MAX(0,I5214)*Assumptions!$C$9</f>
        <v>0</v>
      </c>
      <c r="J5215" s="25" t="n">
        <f aca="false">MAX(0,J5214)*Assumptions!$C$9</f>
        <v>0</v>
      </c>
      <c r="K5215" s="25" t="n">
        <f aca="false">MAX(0,K5214)*Assumptions!$C$9</f>
        <v>0</v>
      </c>
    </row>
    <row r="5216" customFormat="false" ht="15" hidden="false" customHeight="false" outlineLevel="0" collapsed="false">
      <c r="A5216" s="2" t="s">
        <v>293</v>
      </c>
      <c r="G5216" s="16" t="n">
        <f aca="false">G5214-G5215</f>
        <v>-37.7680864</v>
      </c>
      <c r="H5216" s="16" t="n">
        <f aca="false">H5214-H5215</f>
        <v>-77.448952864</v>
      </c>
      <c r="I5216" s="16" t="n">
        <f aca="false">I5214-I5215</f>
        <v>-92.9490675072</v>
      </c>
      <c r="J5216" s="16" t="n">
        <f aca="false">J5214-J5215</f>
        <v>-82.1114237822656</v>
      </c>
      <c r="K5216" s="16" t="n">
        <f aca="false">K5214-K5215</f>
        <v>-85.5893330398681</v>
      </c>
    </row>
    <row r="5217" customFormat="false" ht="15" hidden="false" customHeight="false" outlineLevel="0" collapsed="false">
      <c r="A5217" s="23" t="s">
        <v>294</v>
      </c>
      <c r="B5217" s="24"/>
      <c r="C5217" s="24"/>
      <c r="D5217" s="24"/>
      <c r="E5217" s="24"/>
      <c r="F5217" s="24"/>
      <c r="G5217" s="24"/>
      <c r="H5217" s="24"/>
      <c r="I5217" s="24"/>
      <c r="J5217" s="24"/>
      <c r="K5217" s="24"/>
    </row>
    <row r="5218" customFormat="false" ht="15" hidden="false" customHeight="false" outlineLevel="0" collapsed="false">
      <c r="A5218" s="3" t="s">
        <v>169</v>
      </c>
      <c r="G5218" s="25" t="n">
        <f aca="false">G5203*CHOOSE($C$5190,Assumptions!$C$75,Assumptions!$C$94,Assumptions!$C$113)</f>
        <v>21.24873036</v>
      </c>
      <c r="H5218" s="25" t="n">
        <f aca="false">H5203*CHOOSE($C$5190,Assumptions!$C$75,Assumptions!$C$94,Assumptions!$C$113)</f>
        <v>18.6988827168</v>
      </c>
      <c r="I5218" s="25" t="n">
        <f aca="false">I5203*CHOOSE($C$5190,Assumptions!$C$75,Assumptions!$C$94,Assumptions!$C$113)</f>
        <v>16.82899444512</v>
      </c>
      <c r="J5218" s="25" t="n">
        <f aca="false">J5203*CHOOSE($C$5190,Assumptions!$C$75,Assumptions!$C$94,Assumptions!$C$113)</f>
        <v>15.4826748895104</v>
      </c>
      <c r="K5218" s="25" t="n">
        <f aca="false">K5203*CHOOSE($C$5190,Assumptions!$C$75,Assumptions!$C$94,Assumptions!$C$113)</f>
        <v>14.5537143961398</v>
      </c>
    </row>
    <row r="5219" customFormat="false" ht="15" hidden="false" customHeight="false" outlineLevel="0" collapsed="false">
      <c r="A5219" s="3" t="s">
        <v>295</v>
      </c>
      <c r="G5219" s="25" t="n">
        <f aca="false">CHOOSE($C$5190,Assumptions!$C$76,Assumptions!$C$95,Assumptions!$C$114)*(G5203-F5203)+CHOOSE($C$5190,Assumptions!$C$77,Assumptions!$C$96,Assumptions!$C$115)*G5203</f>
        <v>28.9755414</v>
      </c>
      <c r="H5219" s="25" t="n">
        <f aca="false">CHOOSE($C$5190,Assumptions!$C$76,Assumptions!$C$95,Assumptions!$C$114)*(H5203-G5203)+CHOOSE($C$5190,Assumptions!$C$77,Assumptions!$C$96,Assumptions!$C$115)*H5203</f>
        <v>25.498476432</v>
      </c>
      <c r="I5219" s="25" t="n">
        <f aca="false">CHOOSE($C$5190,Assumptions!$C$76,Assumptions!$C$95,Assumptions!$C$114)*(I5203-H5203)+CHOOSE($C$5190,Assumptions!$C$77,Assumptions!$C$96,Assumptions!$C$115)*I5203</f>
        <v>22.9486287888</v>
      </c>
      <c r="J5219" s="25" t="n">
        <f aca="false">CHOOSE($C$5190,Assumptions!$C$76,Assumptions!$C$95,Assumptions!$C$114)*(J5203-I5203)+CHOOSE($C$5190,Assumptions!$C$77,Assumptions!$C$96,Assumptions!$C$115)*J5203</f>
        <v>21.112738485696</v>
      </c>
      <c r="K5219" s="25" t="n">
        <f aca="false">CHOOSE($C$5190,Assumptions!$C$76,Assumptions!$C$95,Assumptions!$C$114)*(K5203-J5203)+CHOOSE($C$5190,Assumptions!$C$77,Assumptions!$C$96,Assumptions!$C$115)*K5203</f>
        <v>19.8459741765542</v>
      </c>
    </row>
    <row r="5220" customFormat="false" ht="15" hidden="false" customHeight="false" outlineLevel="0" collapsed="false">
      <c r="A5220" s="2" t="s">
        <v>296</v>
      </c>
      <c r="G5220" s="16" t="n">
        <f aca="false">G5216+G5208+G5209+G5212-G5218-G5219</f>
        <v>6.30836183999998</v>
      </c>
      <c r="H5220" s="16" t="n">
        <f aca="false">H5216+H5208+H5209+H5212-H5218-H5219</f>
        <v>-38.6616784128</v>
      </c>
      <c r="I5220" s="16" t="n">
        <f aca="false">I5216+I5208+I5209+I5212-I5218-I5219</f>
        <v>-58.04052050112</v>
      </c>
      <c r="J5220" s="16" t="n">
        <f aca="false">J5216+J5208+J5209+J5212-J5218-J5219</f>
        <v>-49.995560536672</v>
      </c>
      <c r="K5220" s="16" t="n">
        <f aca="false">K5216+K5208+K5209+K5212-K5218-K5219</f>
        <v>-55.4004215890101</v>
      </c>
    </row>
    <row r="5222" customFormat="false" ht="15" hidden="false" customHeight="false" outlineLevel="0" collapsed="false">
      <c r="A5222" s="23" t="s">
        <v>298</v>
      </c>
      <c r="B5222" s="24"/>
      <c r="C5222" s="24"/>
      <c r="D5222" s="24"/>
      <c r="E5222" s="24"/>
      <c r="F5222" s="24"/>
      <c r="G5222" s="24"/>
      <c r="H5222" s="24"/>
      <c r="I5222" s="24"/>
      <c r="J5222" s="24"/>
      <c r="K5222" s="24"/>
    </row>
    <row r="5223" customFormat="false" ht="15" hidden="false" customHeight="false" outlineLevel="0" collapsed="false">
      <c r="A5223" s="3" t="s">
        <v>299</v>
      </c>
      <c r="G5223" s="30" t="n">
        <f aca="false">Assumptions!$G$52</f>
        <v>0.039</v>
      </c>
      <c r="H5223" s="30" t="n">
        <f aca="false">Assumptions!$H$52</f>
        <v>0.0375</v>
      </c>
      <c r="I5223" s="30" t="n">
        <f aca="false">Assumptions!$I$52</f>
        <v>0.035</v>
      </c>
      <c r="J5223" s="30" t="n">
        <f aca="false">Assumptions!$J$52</f>
        <v>0.035</v>
      </c>
      <c r="K5223" s="30" t="n">
        <f aca="false">Assumptions!$K$52</f>
        <v>0.035</v>
      </c>
    </row>
    <row r="5224" customFormat="false" ht="15" hidden="false" customHeight="false" outlineLevel="0" collapsed="false">
      <c r="A5224" s="3" t="s">
        <v>300</v>
      </c>
      <c r="C5224" s="31" t="n">
        <f aca="false">CHOOSE($C$5190,Assumptions!$C$78,Assumptions!$C$97,Assumptions!$C$116)+$C$5193</f>
        <v>0.03</v>
      </c>
    </row>
    <row r="5225" customFormat="false" ht="15" hidden="false" customHeight="false" outlineLevel="0" collapsed="false">
      <c r="A5225" s="3" t="s">
        <v>301</v>
      </c>
      <c r="C5225" s="31" t="n">
        <f aca="false">CHOOSE($C$5190,Assumptions!$C$79,Assumptions!$C$98,Assumptions!$C$117)</f>
        <v>0.15</v>
      </c>
    </row>
    <row r="5226" customFormat="false" ht="15" hidden="false" customHeight="false" outlineLevel="0" collapsed="false">
      <c r="A5226" s="3" t="s">
        <v>302</v>
      </c>
      <c r="C5226" s="32" t="n">
        <f aca="false">CHOOSE($C$5190,Assumptions!$C$80,Assumptions!$C$99,Assumptions!$C$118)</f>
        <v>5</v>
      </c>
    </row>
    <row r="5227" customFormat="false" ht="15" hidden="false" customHeight="false" outlineLevel="0" collapsed="false">
      <c r="A5227" s="3" t="s">
        <v>303</v>
      </c>
      <c r="C5227" s="32" t="n">
        <f aca="false">CHOOSE($C$5190,Assumptions!$C$81,Assumptions!$C$100,Assumptions!$C$119)</f>
        <v>1.75</v>
      </c>
    </row>
    <row r="5228" customFormat="false" ht="15" hidden="false" customHeight="false" outlineLevel="0" collapsed="false">
      <c r="A5228" s="3" t="s">
        <v>304</v>
      </c>
      <c r="G5228" s="25" t="n">
        <f aca="false">G5233+G5246+G5259</f>
        <v>1735.554</v>
      </c>
      <c r="H5228" s="25" t="n">
        <f aca="false">H5233+H5246+H5259</f>
        <v>1735.554</v>
      </c>
      <c r="I5228" s="25" t="n">
        <f aca="false">I5233+I5246+I5259</f>
        <v>1735.554</v>
      </c>
      <c r="J5228" s="25" t="n">
        <f aca="false">J5233+J5246+J5259</f>
        <v>1361.95183707392</v>
      </c>
      <c r="K5228" s="25" t="n">
        <f aca="false">K5233+K5246+K5259</f>
        <v>1361.95183707392</v>
      </c>
    </row>
    <row r="5229" customFormat="false" ht="15" hidden="false" customHeight="false" outlineLevel="0" collapsed="false">
      <c r="A5229" s="3" t="s">
        <v>305</v>
      </c>
      <c r="G5229" s="25" t="n">
        <f aca="false">F5302</f>
        <v>463.996</v>
      </c>
      <c r="H5229" s="25" t="n">
        <f aca="false">G5302</f>
        <v>470.30436184</v>
      </c>
      <c r="I5229" s="25" t="n">
        <f aca="false">H5302</f>
        <v>431.6426834272</v>
      </c>
      <c r="J5229" s="25" t="n">
        <f aca="false">I5302</f>
        <v>0</v>
      </c>
      <c r="K5229" s="25" t="n">
        <f aca="false">J5302</f>
        <v>-49.995560536672</v>
      </c>
    </row>
    <row r="5230" customFormat="false" ht="15" hidden="false" customHeight="false" outlineLevel="0" collapsed="false">
      <c r="A5230" s="3" t="s">
        <v>306</v>
      </c>
      <c r="G5230" s="25" t="n">
        <f aca="false">G5233*IF(G5234=1,$C$5225,IF(Assumptions!$I$56=1,MAX(G5223,Assumptions!$G$56)+Assumptions!$F$56+$C$5224,Assumptions!$E$56))+G5246*IF(G5247=1,$C$5225,IF(Assumptions!$I$57=1,MAX(G5223,Assumptions!$G$57)+Assumptions!$F$57+$C$5224,Assumptions!$E$57))+G5259*IF(G5260=1,$C$5225,IF(Assumptions!$I$58=1,MAX(G5223,Assumptions!$G$58)+Assumptions!$F$58+$C$5224,Assumptions!$E$58))</f>
        <v>155.95467</v>
      </c>
      <c r="H5230" s="25" t="n">
        <f aca="false">H5233*IF(OR(H5234=1,G5380=1),$C$5225,IF(Assumptions!$I$56=1,MAX(H5223,Assumptions!$G$56)+Assumptions!$F$56+$C$5224,Assumptions!$E$56))+H5246*IF(OR(H5247=1,G5381=1),$C$5225,IF(Assumptions!$I$57=1,MAX(H5223,Assumptions!$G$57)+Assumptions!$F$57+$C$5224,Assumptions!$E$57))+H5259*IF(OR(H5260=1,G5382=1),$C$5225,IF(Assumptions!$I$58=1,MAX(H5223,Assumptions!$G$58)+Assumptions!$F$58+$C$5224,Assumptions!$E$58))</f>
        <v>155.95467</v>
      </c>
      <c r="I5230" s="25" t="n">
        <f aca="false">I5233*IF(OR(I5234=1,H5380=1),$C$5225,IF(Assumptions!$I$56=1,MAX(I5223,Assumptions!$G$56)+Assumptions!$F$56+$C$5224,Assumptions!$E$56))+I5246*IF(OR(I5247=1,H5381=1),$C$5225,IF(Assumptions!$I$57=1,MAX(I5223,Assumptions!$G$57)+Assumptions!$F$57+$C$5224,Assumptions!$E$57))+I5259*IF(OR(I5260=1,H5382=1),$C$5225,IF(Assumptions!$I$58=1,MAX(I5223,Assumptions!$G$58)+Assumptions!$F$58+$C$5224,Assumptions!$E$58))</f>
        <v>201.15369</v>
      </c>
      <c r="J5230" s="25" t="n">
        <f aca="false">J5233*IF(OR(J5234=1,I5380=1),$C$5225,IF(Assumptions!$I$56=1,MAX(J5223,Assumptions!$G$56)+Assumptions!$F$56+$C$5224,Assumptions!$E$56))+J5246*IF(OR(J5247=1,I5381=1),$C$5225,IF(Assumptions!$I$57=1,MAX(J5223,Assumptions!$G$57)+Assumptions!$F$57+$C$5224,Assumptions!$E$57))+J5259*IF(OR(J5260=1,I5382=1),$C$5225,IF(Assumptions!$I$58=1,MAX(J5223,Assumptions!$G$58)+Assumptions!$F$58+$C$5224,Assumptions!$E$58))</f>
        <v>140.076578075642</v>
      </c>
      <c r="K5230" s="25" t="n">
        <f aca="false">K5233*IF(OR(K5234=1,J5380=1),$C$5225,IF(Assumptions!$I$56=1,MAX(K5223,Assumptions!$G$56)+Assumptions!$F$56+$C$5224,Assumptions!$E$56))+K5246*IF(OR(K5247=1,J5381=1),$C$5225,IF(Assumptions!$I$57=1,MAX(K5223,Assumptions!$G$57)+Assumptions!$F$57+$C$5224,Assumptions!$E$57))+K5259*IF(OR(K5260=1,J5382=1),$C$5225,IF(Assumptions!$I$58=1,MAX(K5223,Assumptions!$G$58)+Assumptions!$F$58+$C$5224,Assumptions!$E$58))</f>
        <v>140.076578075642</v>
      </c>
    </row>
    <row r="5231" customFormat="false" ht="15" hidden="false" customHeight="false" outlineLevel="0" collapsed="false">
      <c r="A5231" s="3" t="s">
        <v>307</v>
      </c>
      <c r="G5231" s="20" t="n">
        <f aca="false">IF(G5207&lt;=0,0,IF(AND((G5228-G5229)/G5207&lt;=$C$5226,G5207/G5230&gt;=$C$5227),1,0))</f>
        <v>0</v>
      </c>
      <c r="H5231" s="20" t="n">
        <f aca="false">IF(H5207&lt;=0,0,IF(AND((H5228-H5229)/H5207&lt;=$C$5226,H5207/H5230&gt;=$C$5227),1,0))</f>
        <v>0</v>
      </c>
      <c r="I5231" s="20" t="n">
        <f aca="false">IF(I5207&lt;=0,0,IF(AND((I5228-I5229)/I5207&lt;=$C$5226,I5207/I5230&gt;=$C$5227),1,0))</f>
        <v>0</v>
      </c>
      <c r="J5231" s="20" t="n">
        <f aca="false">IF(J5207&lt;=0,0,IF(AND((J5228-J5229)/J5207&lt;=$C$5226,J5207/J5230&gt;=$C$5227),1,0))</f>
        <v>0</v>
      </c>
      <c r="K5231" s="20" t="n">
        <f aca="false">IF(K5207&lt;=0,0,IF(AND((K5228-K5229)/K5207&lt;=$C$5226,K5207/K5230&gt;=$C$5227),1,0))</f>
        <v>0</v>
      </c>
    </row>
    <row r="5232" customFormat="false" ht="15" hidden="false" customHeight="false" outlineLevel="0" collapsed="false">
      <c r="A5232" s="23" t="s">
        <v>308</v>
      </c>
      <c r="B5232" s="24"/>
      <c r="C5232" s="24"/>
      <c r="D5232" s="24"/>
      <c r="E5232" s="24"/>
      <c r="F5232" s="24"/>
      <c r="G5232" s="24"/>
      <c r="H5232" s="24"/>
      <c r="I5232" s="24"/>
      <c r="J5232" s="24"/>
      <c r="K5232" s="24"/>
    </row>
    <row r="5233" customFormat="false" ht="15" hidden="false" customHeight="false" outlineLevel="0" collapsed="false">
      <c r="A5233" s="3" t="s">
        <v>309</v>
      </c>
      <c r="G5233" s="25" t="n">
        <f aca="false">F5244</f>
        <v>1315.098</v>
      </c>
      <c r="H5233" s="25" t="n">
        <f aca="false">G5244</f>
        <v>1315.098</v>
      </c>
      <c r="I5233" s="25" t="n">
        <f aca="false">H5244</f>
        <v>1315.098</v>
      </c>
      <c r="J5233" s="25" t="n">
        <f aca="false">I5244</f>
        <v>1315.098</v>
      </c>
      <c r="K5233" s="25" t="n">
        <f aca="false">J5244</f>
        <v>1315.098</v>
      </c>
    </row>
    <row r="5234" customFormat="false" ht="15" hidden="false" customHeight="false" outlineLevel="0" collapsed="false">
      <c r="A5234" s="3" t="s">
        <v>310</v>
      </c>
      <c r="G5234" s="20" t="n">
        <f aca="false">IF(G5197=Assumptions!$K$56,1,0)</f>
        <v>0</v>
      </c>
      <c r="H5234" s="20" t="n">
        <f aca="false">IF(H5197=Assumptions!$K$56,1,0)</f>
        <v>0</v>
      </c>
      <c r="I5234" s="20" t="n">
        <f aca="false">IF(I5197=Assumptions!$K$56,1,0)</f>
        <v>0</v>
      </c>
      <c r="J5234" s="20" t="n">
        <f aca="false">IF(J5197=Assumptions!$K$56,1,0)</f>
        <v>0</v>
      </c>
      <c r="K5234" s="20" t="n">
        <f aca="false">IF(K5197=Assumptions!$K$56,1,0)</f>
        <v>0</v>
      </c>
    </row>
    <row r="5236" customFormat="false" ht="15" hidden="false" customHeight="false" outlineLevel="0" collapsed="false">
      <c r="A5236" s="3" t="s">
        <v>311</v>
      </c>
      <c r="G5236" s="31" t="n">
        <f aca="false">IF(Assumptions!$I$56=1,MAX(G5223,Assumptions!$G$56)+Assumptions!$F$56+$C$5224,Assumptions!$E$56)</f>
        <v>0.105</v>
      </c>
      <c r="H5236" s="31" t="n">
        <f aca="false">IF(G5380=1,$C$5225,IF(Assumptions!$I$56=1,MAX(H5223,Assumptions!$G$56)+Assumptions!$F$56+$C$5224,Assumptions!$E$56))</f>
        <v>0.105</v>
      </c>
      <c r="I5236" s="31" t="n">
        <f aca="false">IF(H5380=1,$C$5225,IF(Assumptions!$I$56=1,MAX(I5223,Assumptions!$G$56)+Assumptions!$F$56+$C$5224,Assumptions!$E$56))</f>
        <v>0.105</v>
      </c>
      <c r="J5236" s="31" t="n">
        <f aca="false">IF(I5380=1,$C$5225,IF(Assumptions!$I$56=1,MAX(J5223,Assumptions!$G$56)+Assumptions!$F$56+$C$5224,Assumptions!$E$56))</f>
        <v>0.105</v>
      </c>
      <c r="K5236" s="31" t="n">
        <f aca="false">IF(J5380=1,$C$5225,IF(Assumptions!$I$56=1,MAX(K5223,Assumptions!$G$56)+Assumptions!$F$56+$C$5224,Assumptions!$E$56))</f>
        <v>0.105</v>
      </c>
    </row>
    <row r="5237" customFormat="false" ht="15" hidden="false" customHeight="false" outlineLevel="0" collapsed="false">
      <c r="A5237" s="3" t="s">
        <v>312</v>
      </c>
      <c r="G5237" s="25" t="n">
        <f aca="false">G5233*G5236</f>
        <v>138.08529</v>
      </c>
      <c r="H5237" s="25" t="n">
        <f aca="false">H5233*H5236</f>
        <v>138.08529</v>
      </c>
      <c r="I5237" s="25" t="n">
        <f aca="false">I5233*I5236</f>
        <v>138.08529</v>
      </c>
      <c r="J5237" s="25" t="n">
        <f aca="false">J5233*J5236</f>
        <v>138.08529</v>
      </c>
      <c r="K5237" s="25" t="n">
        <f aca="false">K5233*K5236</f>
        <v>138.08529</v>
      </c>
    </row>
    <row r="5238" customFormat="false" ht="15" hidden="false" customHeight="false" outlineLevel="0" collapsed="false">
      <c r="A5238" s="3" t="s">
        <v>313</v>
      </c>
      <c r="G5238" s="25" t="n">
        <f aca="false">G5233*Assumptions!$H$56</f>
        <v>0</v>
      </c>
      <c r="H5238" s="25" t="n">
        <f aca="false">H5233*Assumptions!$H$56</f>
        <v>0</v>
      </c>
      <c r="I5238" s="25" t="n">
        <f aca="false">I5233*Assumptions!$H$56</f>
        <v>0</v>
      </c>
      <c r="J5238" s="25" t="n">
        <f aca="false">J5233*Assumptions!$H$56</f>
        <v>0</v>
      </c>
      <c r="K5238" s="25" t="n">
        <f aca="false">K5233*Assumptions!$H$56</f>
        <v>0</v>
      </c>
    </row>
    <row r="5239" customFormat="false" ht="15" hidden="false" customHeight="false" outlineLevel="0" collapsed="false">
      <c r="A5239" s="3" t="s">
        <v>314</v>
      </c>
      <c r="G5239" s="25" t="n">
        <f aca="false">MIN(G5233,Assumptions!$L$56*Assumptions!$C$56)</f>
        <v>0</v>
      </c>
      <c r="H5239" s="25" t="n">
        <f aca="false">MIN(H5233,Assumptions!$L$56*Assumptions!$C$56)</f>
        <v>0</v>
      </c>
      <c r="I5239" s="25" t="n">
        <f aca="false">MIN(I5233,Assumptions!$L$56*Assumptions!$C$56)</f>
        <v>0</v>
      </c>
      <c r="J5239" s="25" t="n">
        <f aca="false">MIN(J5233,Assumptions!$L$56*Assumptions!$C$56)</f>
        <v>0</v>
      </c>
      <c r="K5239" s="25" t="n">
        <f aca="false">MIN(K5233,Assumptions!$L$56*Assumptions!$C$56)</f>
        <v>0</v>
      </c>
    </row>
    <row r="5240" customFormat="false" ht="15" hidden="false" customHeight="false" outlineLevel="0" collapsed="false">
      <c r="A5240" s="3" t="s">
        <v>315</v>
      </c>
      <c r="G5240" s="25" t="n">
        <f aca="false">IF(AND(Assumptions!$P$56=1,G5197&lt;Assumptions!$K$56),MIN(MAX(0,-G5294),MAX(0,Assumptions!$D$56-G5233)),0)</f>
        <v>0</v>
      </c>
      <c r="H5240" s="25" t="n">
        <f aca="false">IF(AND(Assumptions!$P$56=1,OR(H5197&lt;Assumptions!$K$56,G5380=1)),MIN(MAX(0,-H5294),MAX(0,Assumptions!$D$56-H5233)),0)</f>
        <v>0</v>
      </c>
      <c r="I5240" s="25" t="n">
        <f aca="false">IF(AND(Assumptions!$P$56=1,OR(I5197&lt;Assumptions!$K$56,H5380=1)),MIN(MAX(0,-I5294),MAX(0,Assumptions!$D$56-I5233)),0)</f>
        <v>0</v>
      </c>
      <c r="J5240" s="25" t="n">
        <f aca="false">IF(AND(Assumptions!$P$56=1,OR(J5197&lt;Assumptions!$K$56,I5380=1)),MIN(MAX(0,-J5294),MAX(0,Assumptions!$D$56-J5233)),0)</f>
        <v>0</v>
      </c>
      <c r="K5240" s="25" t="n">
        <f aca="false">IF(AND(Assumptions!$P$56=1,OR(K5197&lt;Assumptions!$K$56,J5380=1)),MIN(MAX(0,-K5294),MAX(0,Assumptions!$D$56-K5233)),0)</f>
        <v>0</v>
      </c>
    </row>
    <row r="5241" customFormat="false" ht="15" hidden="false" customHeight="false" outlineLevel="0" collapsed="false">
      <c r="A5241" s="3" t="s">
        <v>316</v>
      </c>
      <c r="G5241" s="25" t="n">
        <f aca="false">G5234*MIN(G5233-G5239+G5238,MAX(0,G5296-Assumptions!$C$12*G5231))</f>
        <v>0</v>
      </c>
      <c r="H5241" s="25" t="n">
        <f aca="false">H5234*MIN(H5233-H5239+H5238,MAX(0,H5296-Assumptions!$C$12*H5231))</f>
        <v>0</v>
      </c>
      <c r="I5241" s="25" t="n">
        <f aca="false">I5234*MIN(I5233-I5239+I5238,MAX(0,I5296-Assumptions!$C$12*I5231))</f>
        <v>0</v>
      </c>
      <c r="J5241" s="25" t="n">
        <f aca="false">J5234*MIN(J5233-J5239+J5238,MAX(0,J5296-Assumptions!$C$12*J5231))</f>
        <v>0</v>
      </c>
      <c r="K5241" s="25" t="n">
        <f aca="false">K5234*MIN(K5233-K5239+K5238,MAX(0,K5296-Assumptions!$C$12*K5231))</f>
        <v>0</v>
      </c>
    </row>
    <row r="5242" customFormat="false" ht="15" hidden="false" customHeight="false" outlineLevel="0" collapsed="false">
      <c r="A5242" s="3" t="s">
        <v>317</v>
      </c>
      <c r="G5242" s="25" t="n">
        <f aca="false">Assumptions!$N$56*MIN(G5233+G5240+G5238-G5239-G5241,MAX(0,G5300))</f>
        <v>0</v>
      </c>
      <c r="H5242" s="25" t="n">
        <f aca="false">Assumptions!$N$56*MIN(H5233+H5240+H5238-H5239-H5241,MAX(0,H5300))</f>
        <v>0</v>
      </c>
      <c r="I5242" s="25" t="n">
        <f aca="false">Assumptions!$N$56*MIN(I5233+I5240+I5238-I5239-I5241,MAX(0,I5300))</f>
        <v>0</v>
      </c>
      <c r="J5242" s="25" t="n">
        <f aca="false">Assumptions!$N$56*MIN(J5233+J5240+J5238-J5239-J5241,MAX(0,J5300))</f>
        <v>0</v>
      </c>
      <c r="K5242" s="25" t="n">
        <f aca="false">Assumptions!$N$56*MIN(K5233+K5240+K5238-K5239-K5241,MAX(0,K5300))</f>
        <v>0</v>
      </c>
    </row>
    <row r="5243" customFormat="false" ht="15" hidden="false" customHeight="false" outlineLevel="0" collapsed="false">
      <c r="A5243" s="3" t="s">
        <v>318</v>
      </c>
      <c r="G5243" s="25" t="n">
        <f aca="false">G5234*(1-G5231)*(G5233-G5239+G5238-G5241)</f>
        <v>0</v>
      </c>
      <c r="H5243" s="25" t="n">
        <f aca="false">H5234*(1-H5231)*(H5233-H5239+H5238-H5241)</f>
        <v>0</v>
      </c>
      <c r="I5243" s="25" t="n">
        <f aca="false">I5234*(1-I5231)*(I5233-I5239+I5238-I5241)</f>
        <v>0</v>
      </c>
      <c r="J5243" s="25" t="n">
        <f aca="false">J5234*(1-J5231)*(J5233-J5239+J5238-J5241)</f>
        <v>0</v>
      </c>
      <c r="K5243" s="25" t="n">
        <f aca="false">K5234*(1-K5231)*(K5233-K5239+K5238-K5241)</f>
        <v>0</v>
      </c>
    </row>
    <row r="5244" customFormat="false" ht="15" hidden="false" customHeight="false" outlineLevel="0" collapsed="false">
      <c r="A5244" s="2" t="s">
        <v>319</v>
      </c>
      <c r="F5244" s="28" t="n">
        <f aca="false">Assumptions!$C$56</f>
        <v>1315.098</v>
      </c>
      <c r="G5244" s="16" t="n">
        <f aca="false">G5233+G5240+G5238-G5239-G5241-G5242</f>
        <v>1315.098</v>
      </c>
      <c r="H5244" s="16" t="n">
        <f aca="false">H5233+H5240+H5238-H5239-H5241-H5242</f>
        <v>1315.098</v>
      </c>
      <c r="I5244" s="16" t="n">
        <f aca="false">I5233+I5240+I5238-I5239-I5241-I5242</f>
        <v>1315.098</v>
      </c>
      <c r="J5244" s="16" t="n">
        <f aca="false">J5233+J5240+J5238-J5239-J5241-J5242</f>
        <v>1315.098</v>
      </c>
      <c r="K5244" s="16" t="n">
        <f aca="false">K5233+K5240+K5238-K5239-K5241-K5242</f>
        <v>1315.098</v>
      </c>
    </row>
    <row r="5245" customFormat="false" ht="15" hidden="false" customHeight="false" outlineLevel="0" collapsed="false">
      <c r="A5245" s="23" t="s">
        <v>320</v>
      </c>
      <c r="B5245" s="24"/>
      <c r="C5245" s="24"/>
      <c r="D5245" s="24"/>
      <c r="E5245" s="24"/>
      <c r="F5245" s="24"/>
      <c r="G5245" s="24"/>
      <c r="H5245" s="24"/>
      <c r="I5245" s="24"/>
      <c r="J5245" s="24"/>
      <c r="K5245" s="24"/>
    </row>
    <row r="5246" customFormat="false" ht="15" hidden="false" customHeight="false" outlineLevel="0" collapsed="false">
      <c r="A5246" s="3" t="s">
        <v>309</v>
      </c>
      <c r="G5246" s="25" t="n">
        <f aca="false">F5257</f>
        <v>276.706</v>
      </c>
      <c r="H5246" s="25" t="n">
        <f aca="false">G5257</f>
        <v>276.706</v>
      </c>
      <c r="I5246" s="25" t="n">
        <f aca="false">H5257</f>
        <v>276.706</v>
      </c>
      <c r="J5246" s="25" t="n">
        <f aca="false">I5257</f>
        <v>0</v>
      </c>
      <c r="K5246" s="25" t="n">
        <f aca="false">J5257</f>
        <v>0</v>
      </c>
    </row>
    <row r="5247" customFormat="false" ht="15" hidden="false" customHeight="false" outlineLevel="0" collapsed="false">
      <c r="A5247" s="3" t="s">
        <v>310</v>
      </c>
      <c r="G5247" s="20" t="n">
        <f aca="false">IF(G5197=Assumptions!$K$57,1,0)</f>
        <v>0</v>
      </c>
      <c r="H5247" s="20" t="n">
        <f aca="false">IF(H5197=Assumptions!$K$57,1,0)</f>
        <v>0</v>
      </c>
      <c r="I5247" s="20" t="n">
        <f aca="false">IF(I5197=Assumptions!$K$57,1,0)</f>
        <v>1</v>
      </c>
      <c r="J5247" s="20" t="n">
        <f aca="false">IF(J5197=Assumptions!$K$57,1,0)</f>
        <v>0</v>
      </c>
      <c r="K5247" s="20" t="n">
        <f aca="false">IF(K5197=Assumptions!$K$57,1,0)</f>
        <v>0</v>
      </c>
    </row>
    <row r="5249" customFormat="false" ht="15" hidden="false" customHeight="false" outlineLevel="0" collapsed="false">
      <c r="A5249" s="3" t="s">
        <v>311</v>
      </c>
      <c r="G5249" s="31" t="n">
        <f aca="false">IF(Assumptions!$I$57=1,MAX(G5223,Assumptions!$G$57)+Assumptions!$F$57+$C$5224,Assumptions!$E$57)</f>
        <v>0.0425</v>
      </c>
      <c r="H5249" s="31" t="n">
        <f aca="false">IF(G5381=1,$C$5225,IF(Assumptions!$I$57=1,MAX(H5223,Assumptions!$G$57)+Assumptions!$F$57+$C$5224,Assumptions!$E$57))</f>
        <v>0.0425</v>
      </c>
      <c r="I5249" s="31" t="n">
        <f aca="false">IF(H5381=1,$C$5225,IF(Assumptions!$I$57=1,MAX(I5223,Assumptions!$G$57)+Assumptions!$F$57+$C$5224,Assumptions!$E$57))</f>
        <v>0.0425</v>
      </c>
      <c r="J5249" s="31" t="n">
        <f aca="false">IF(I5381=1,$C$5225,IF(Assumptions!$I$57=1,MAX(J5223,Assumptions!$G$57)+Assumptions!$F$57+$C$5224,Assumptions!$E$57))</f>
        <v>0.0425</v>
      </c>
      <c r="K5249" s="31" t="n">
        <f aca="false">IF(J5381=1,$C$5225,IF(Assumptions!$I$57=1,MAX(K5223,Assumptions!$G$57)+Assumptions!$F$57+$C$5224,Assumptions!$E$57))</f>
        <v>0.0425</v>
      </c>
    </row>
    <row r="5250" customFormat="false" ht="15" hidden="false" customHeight="false" outlineLevel="0" collapsed="false">
      <c r="A5250" s="3" t="s">
        <v>312</v>
      </c>
      <c r="G5250" s="25" t="n">
        <f aca="false">G5246*G5249</f>
        <v>11.760005</v>
      </c>
      <c r="H5250" s="25" t="n">
        <f aca="false">H5246*H5249</f>
        <v>11.760005</v>
      </c>
      <c r="I5250" s="25" t="n">
        <f aca="false">I5246*I5249</f>
        <v>11.760005</v>
      </c>
      <c r="J5250" s="25" t="n">
        <f aca="false">J5246*J5249</f>
        <v>0</v>
      </c>
      <c r="K5250" s="25" t="n">
        <f aca="false">K5246*K5249</f>
        <v>0</v>
      </c>
    </row>
    <row r="5251" customFormat="false" ht="15" hidden="false" customHeight="false" outlineLevel="0" collapsed="false">
      <c r="A5251" s="3" t="s">
        <v>313</v>
      </c>
      <c r="G5251" s="25" t="n">
        <f aca="false">G5246*Assumptions!$H$57</f>
        <v>0</v>
      </c>
      <c r="H5251" s="25" t="n">
        <f aca="false">H5246*Assumptions!$H$57</f>
        <v>0</v>
      </c>
      <c r="I5251" s="25" t="n">
        <f aca="false">I5246*Assumptions!$H$57</f>
        <v>0</v>
      </c>
      <c r="J5251" s="25" t="n">
        <f aca="false">J5246*Assumptions!$H$57</f>
        <v>0</v>
      </c>
      <c r="K5251" s="25" t="n">
        <f aca="false">K5246*Assumptions!$H$57</f>
        <v>0</v>
      </c>
    </row>
    <row r="5252" customFormat="false" ht="15" hidden="false" customHeight="false" outlineLevel="0" collapsed="false">
      <c r="A5252" s="3" t="s">
        <v>314</v>
      </c>
      <c r="G5252" s="25" t="n">
        <f aca="false">MIN(G5246,Assumptions!$L$57*Assumptions!$C$57)</f>
        <v>0</v>
      </c>
      <c r="H5252" s="25" t="n">
        <f aca="false">MIN(H5246,Assumptions!$L$57*Assumptions!$C$57)</f>
        <v>0</v>
      </c>
      <c r="I5252" s="25" t="n">
        <f aca="false">MIN(I5246,Assumptions!$L$57*Assumptions!$C$57)</f>
        <v>0</v>
      </c>
      <c r="J5252" s="25" t="n">
        <f aca="false">MIN(J5246,Assumptions!$L$57*Assumptions!$C$57)</f>
        <v>0</v>
      </c>
      <c r="K5252" s="25" t="n">
        <f aca="false">MIN(K5246,Assumptions!$L$57*Assumptions!$C$57)</f>
        <v>0</v>
      </c>
    </row>
    <row r="5253" customFormat="false" ht="15" hidden="false" customHeight="false" outlineLevel="0" collapsed="false">
      <c r="A5253" s="3" t="s">
        <v>315</v>
      </c>
      <c r="G5253" s="25" t="n">
        <f aca="false">IF(AND(Assumptions!$P$57=1,G5197&lt;Assumptions!$K$57),MIN(MAX(0,-G5294),MAX(0,Assumptions!$D$57-G5246)),0)</f>
        <v>0</v>
      </c>
      <c r="H5253" s="25" t="n">
        <f aca="false">IF(AND(Assumptions!$P$57=1,OR(H5197&lt;Assumptions!$K$57,G5381=1)),MIN(MAX(0,-H5294),MAX(0,Assumptions!$D$57-H5246)),0)</f>
        <v>0</v>
      </c>
      <c r="I5253" s="25" t="n">
        <f aca="false">IF(AND(Assumptions!$P$57=1,OR(I5197&lt;Assumptions!$K$57,H5381=1)),MIN(MAX(0,-I5294),MAX(0,Assumptions!$D$57-I5246)),0)</f>
        <v>0</v>
      </c>
      <c r="J5253" s="25" t="n">
        <f aca="false">IF(AND(Assumptions!$P$57=1,OR(J5197&lt;Assumptions!$K$57,I5381=1)),MIN(MAX(0,-J5294),MAX(0,Assumptions!$D$57-J5246)),0)</f>
        <v>0</v>
      </c>
      <c r="K5253" s="25" t="n">
        <f aca="false">IF(AND(Assumptions!$P$57=1,OR(K5197&lt;Assumptions!$K$57,J5381=1)),MIN(MAX(0,-K5294),MAX(0,Assumptions!$D$57-K5246)),0)</f>
        <v>0</v>
      </c>
    </row>
    <row r="5254" customFormat="false" ht="15" hidden="false" customHeight="false" outlineLevel="0" collapsed="false">
      <c r="A5254" s="3" t="s">
        <v>316</v>
      </c>
      <c r="G5254" s="25" t="n">
        <f aca="false">G5247*MIN(G5246-G5252+G5251,MAX(0,G5296-Assumptions!$C$12*G5231-G5241))</f>
        <v>0</v>
      </c>
      <c r="H5254" s="25" t="n">
        <f aca="false">H5247*MIN(H5246-H5252+H5251,MAX(0,H5296-Assumptions!$C$12*H5231-H5241))</f>
        <v>0</v>
      </c>
      <c r="I5254" s="25" t="n">
        <f aca="false">I5247*MIN(I5246-I5252+I5251,MAX(0,I5296-Assumptions!$C$12*I5231-I5241))</f>
        <v>276.706</v>
      </c>
      <c r="J5254" s="25" t="n">
        <f aca="false">J5247*MIN(J5246-J5252+J5251,MAX(0,J5296-Assumptions!$C$12*J5231-J5241))</f>
        <v>0</v>
      </c>
      <c r="K5254" s="25" t="n">
        <f aca="false">K5247*MIN(K5246-K5252+K5251,MAX(0,K5296-Assumptions!$C$12*K5231-K5241))</f>
        <v>0</v>
      </c>
    </row>
    <row r="5255" customFormat="false" ht="15" hidden="false" customHeight="false" outlineLevel="0" collapsed="false">
      <c r="A5255" s="3" t="s">
        <v>317</v>
      </c>
      <c r="G5255" s="25" t="n">
        <f aca="false">Assumptions!$N$57*MIN(G5246+G5253+G5251-G5252-G5254,MAX(0,G5300-G5242))</f>
        <v>0</v>
      </c>
      <c r="H5255" s="25" t="n">
        <f aca="false">Assumptions!$N$57*MIN(H5246+H5253+H5251-H5252-H5254,MAX(0,H5300-H5242))</f>
        <v>0</v>
      </c>
      <c r="I5255" s="25" t="n">
        <f aca="false">Assumptions!$N$57*MIN(I5246+I5253+I5251-I5252-I5254,MAX(0,I5300-I5242))</f>
        <v>0</v>
      </c>
      <c r="J5255" s="25" t="n">
        <f aca="false">Assumptions!$N$57*MIN(J5246+J5253+J5251-J5252-J5254,MAX(0,J5300-J5242))</f>
        <v>0</v>
      </c>
      <c r="K5255" s="25" t="n">
        <f aca="false">Assumptions!$N$57*MIN(K5246+K5253+K5251-K5252-K5254,MAX(0,K5300-K5242))</f>
        <v>0</v>
      </c>
    </row>
    <row r="5256" customFormat="false" ht="15" hidden="false" customHeight="false" outlineLevel="0" collapsed="false">
      <c r="A5256" s="3" t="s">
        <v>318</v>
      </c>
      <c r="G5256" s="25" t="n">
        <f aca="false">G5247*(1-G5231)*(G5246-G5252+G5251-G5254)</f>
        <v>0</v>
      </c>
      <c r="H5256" s="25" t="n">
        <f aca="false">H5247*(1-H5231)*(H5246-H5252+H5251-H5254)</f>
        <v>0</v>
      </c>
      <c r="I5256" s="25" t="n">
        <f aca="false">I5247*(1-I5231)*(I5246-I5252+I5251-I5254)</f>
        <v>0</v>
      </c>
      <c r="J5256" s="25" t="n">
        <f aca="false">J5247*(1-J5231)*(J5246-J5252+J5251-J5254)</f>
        <v>0</v>
      </c>
      <c r="K5256" s="25" t="n">
        <f aca="false">K5247*(1-K5231)*(K5246-K5252+K5251-K5254)</f>
        <v>0</v>
      </c>
    </row>
    <row r="5257" customFormat="false" ht="15" hidden="false" customHeight="false" outlineLevel="0" collapsed="false">
      <c r="A5257" s="2" t="s">
        <v>319</v>
      </c>
      <c r="F5257" s="28" t="n">
        <f aca="false">Assumptions!$C$57</f>
        <v>276.706</v>
      </c>
      <c r="G5257" s="16" t="n">
        <f aca="false">G5246+G5253+G5251-G5252-G5254-G5255</f>
        <v>276.706</v>
      </c>
      <c r="H5257" s="16" t="n">
        <f aca="false">H5246+H5253+H5251-H5252-H5254-H5255</f>
        <v>276.706</v>
      </c>
      <c r="I5257" s="16" t="n">
        <f aca="false">I5246+I5253+I5251-I5252-I5254-I5255</f>
        <v>0</v>
      </c>
      <c r="J5257" s="16" t="n">
        <f aca="false">J5246+J5253+J5251-J5252-J5254-J5255</f>
        <v>0</v>
      </c>
      <c r="K5257" s="16" t="n">
        <f aca="false">K5246+K5253+K5251-K5252-K5254-K5255</f>
        <v>0</v>
      </c>
    </row>
    <row r="5258" customFormat="false" ht="15" hidden="false" customHeight="false" outlineLevel="0" collapsed="false">
      <c r="A5258" s="23" t="s">
        <v>321</v>
      </c>
      <c r="B5258" s="24"/>
      <c r="C5258" s="24"/>
      <c r="D5258" s="24"/>
      <c r="E5258" s="24"/>
      <c r="F5258" s="24"/>
      <c r="G5258" s="24"/>
      <c r="H5258" s="24"/>
      <c r="I5258" s="24"/>
      <c r="J5258" s="24"/>
      <c r="K5258" s="24"/>
    </row>
    <row r="5259" customFormat="false" ht="15" hidden="false" customHeight="false" outlineLevel="0" collapsed="false">
      <c r="A5259" s="3" t="s">
        <v>309</v>
      </c>
      <c r="G5259" s="25" t="n">
        <f aca="false">F5270</f>
        <v>143.75</v>
      </c>
      <c r="H5259" s="25" t="n">
        <f aca="false">G5270</f>
        <v>143.75</v>
      </c>
      <c r="I5259" s="25" t="n">
        <f aca="false">H5270</f>
        <v>143.75</v>
      </c>
      <c r="J5259" s="25" t="n">
        <f aca="false">I5270</f>
        <v>46.8538370739201</v>
      </c>
      <c r="K5259" s="25" t="n">
        <f aca="false">J5270</f>
        <v>46.8538370739201</v>
      </c>
    </row>
    <row r="5260" customFormat="false" ht="15" hidden="false" customHeight="false" outlineLevel="0" collapsed="false">
      <c r="A5260" s="3" t="s">
        <v>310</v>
      </c>
      <c r="G5260" s="20" t="n">
        <f aca="false">IF(G5197=Assumptions!$K$58,1,0)</f>
        <v>0</v>
      </c>
      <c r="H5260" s="20" t="n">
        <f aca="false">IF(H5197=Assumptions!$K$58,1,0)</f>
        <v>0</v>
      </c>
      <c r="I5260" s="20" t="n">
        <f aca="false">IF(I5197=Assumptions!$K$58,1,0)</f>
        <v>1</v>
      </c>
      <c r="J5260" s="20" t="n">
        <f aca="false">IF(J5197=Assumptions!$K$58,1,0)</f>
        <v>0</v>
      </c>
      <c r="K5260" s="20" t="n">
        <f aca="false">IF(K5197=Assumptions!$K$58,1,0)</f>
        <v>0</v>
      </c>
    </row>
    <row r="5262" customFormat="false" ht="15" hidden="false" customHeight="false" outlineLevel="0" collapsed="false">
      <c r="A5262" s="3" t="s">
        <v>311</v>
      </c>
      <c r="G5262" s="31" t="n">
        <f aca="false">IF(Assumptions!$I$58=1,MAX(G5223,Assumptions!$G$58)+Assumptions!$F$58+$C$5224,Assumptions!$E$58)</f>
        <v>0.0425</v>
      </c>
      <c r="H5262" s="31" t="n">
        <f aca="false">IF(G5382=1,$C$5225,IF(Assumptions!$I$58=1,MAX(H5223,Assumptions!$G$58)+Assumptions!$F$58+$C$5224,Assumptions!$E$58))</f>
        <v>0.0425</v>
      </c>
      <c r="I5262" s="31" t="n">
        <f aca="false">IF(H5382=1,$C$5225,IF(Assumptions!$I$58=1,MAX(I5223,Assumptions!$G$58)+Assumptions!$F$58+$C$5224,Assumptions!$E$58))</f>
        <v>0.0425</v>
      </c>
      <c r="J5262" s="31" t="n">
        <f aca="false">IF(I5382=1,$C$5225,IF(Assumptions!$I$58=1,MAX(J5223,Assumptions!$G$58)+Assumptions!$F$58+$C$5224,Assumptions!$E$58))</f>
        <v>0.0425</v>
      </c>
      <c r="K5262" s="31" t="n">
        <f aca="false">IF(J5382=1,$C$5225,IF(Assumptions!$I$58=1,MAX(K5223,Assumptions!$G$58)+Assumptions!$F$58+$C$5224,Assumptions!$E$58))</f>
        <v>0.0425</v>
      </c>
    </row>
    <row r="5263" customFormat="false" ht="15" hidden="false" customHeight="false" outlineLevel="0" collapsed="false">
      <c r="A5263" s="3" t="s">
        <v>312</v>
      </c>
      <c r="G5263" s="25" t="n">
        <f aca="false">G5259*G5262</f>
        <v>6.109375</v>
      </c>
      <c r="H5263" s="25" t="n">
        <f aca="false">H5259*H5262</f>
        <v>6.109375</v>
      </c>
      <c r="I5263" s="25" t="n">
        <f aca="false">I5259*I5262</f>
        <v>6.109375</v>
      </c>
      <c r="J5263" s="25" t="n">
        <f aca="false">J5259*J5262</f>
        <v>1.9912880756416</v>
      </c>
      <c r="K5263" s="25" t="n">
        <f aca="false">K5259*K5262</f>
        <v>1.9912880756416</v>
      </c>
    </row>
    <row r="5264" customFormat="false" ht="15" hidden="false" customHeight="false" outlineLevel="0" collapsed="false">
      <c r="A5264" s="3" t="s">
        <v>313</v>
      </c>
      <c r="G5264" s="25" t="n">
        <f aca="false">G5259*Assumptions!$H$58</f>
        <v>0</v>
      </c>
      <c r="H5264" s="25" t="n">
        <f aca="false">H5259*Assumptions!$H$58</f>
        <v>0</v>
      </c>
      <c r="I5264" s="25" t="n">
        <f aca="false">I5259*Assumptions!$H$58</f>
        <v>0</v>
      </c>
      <c r="J5264" s="25" t="n">
        <f aca="false">J5259*Assumptions!$H$58</f>
        <v>0</v>
      </c>
      <c r="K5264" s="25" t="n">
        <f aca="false">K5259*Assumptions!$H$58</f>
        <v>0</v>
      </c>
    </row>
    <row r="5265" customFormat="false" ht="15" hidden="false" customHeight="false" outlineLevel="0" collapsed="false">
      <c r="A5265" s="3" t="s">
        <v>314</v>
      </c>
      <c r="G5265" s="25" t="n">
        <f aca="false">MIN(G5259,Assumptions!$L$58*Assumptions!$C$58)</f>
        <v>0</v>
      </c>
      <c r="H5265" s="25" t="n">
        <f aca="false">MIN(H5259,Assumptions!$L$58*Assumptions!$C$58)</f>
        <v>0</v>
      </c>
      <c r="I5265" s="25" t="n">
        <f aca="false">MIN(I5259,Assumptions!$L$58*Assumptions!$C$58)</f>
        <v>0</v>
      </c>
      <c r="J5265" s="25" t="n">
        <f aca="false">MIN(J5259,Assumptions!$L$58*Assumptions!$C$58)</f>
        <v>0</v>
      </c>
      <c r="K5265" s="25" t="n">
        <f aca="false">MIN(K5259,Assumptions!$L$58*Assumptions!$C$58)</f>
        <v>0</v>
      </c>
    </row>
    <row r="5266" customFormat="false" ht="15" hidden="false" customHeight="false" outlineLevel="0" collapsed="false">
      <c r="A5266" s="3" t="s">
        <v>315</v>
      </c>
      <c r="G5266" s="25" t="n">
        <f aca="false">IF(AND(Assumptions!$P$58=1,G5197&lt;Assumptions!$K$58),MIN(MAX(0,-G5294),MAX(0,Assumptions!$D$58-G5259)),0)</f>
        <v>0</v>
      </c>
      <c r="H5266" s="25" t="n">
        <f aca="false">IF(AND(Assumptions!$P$58=1,OR(H5197&lt;Assumptions!$K$58,G5382=1)),MIN(MAX(0,-H5294),MAX(0,Assumptions!$D$58-H5259)),0)</f>
        <v>0</v>
      </c>
      <c r="I5266" s="25" t="n">
        <f aca="false">IF(AND(Assumptions!$P$58=1,OR(I5197&lt;Assumptions!$K$58,H5382=1)),MIN(MAX(0,-I5294),MAX(0,Assumptions!$D$58-I5259)),0)</f>
        <v>0</v>
      </c>
      <c r="J5266" s="25" t="n">
        <f aca="false">IF(AND(Assumptions!$P$58=1,OR(J5197&lt;Assumptions!$K$58,I5382=1)),MIN(MAX(0,-J5294),MAX(0,Assumptions!$D$58-J5259)),0)</f>
        <v>0</v>
      </c>
      <c r="K5266" s="25" t="n">
        <f aca="false">IF(AND(Assumptions!$P$58=1,OR(K5197&lt;Assumptions!$K$58,J5382=1)),MIN(MAX(0,-K5294),MAX(0,Assumptions!$D$58-K5259)),0)</f>
        <v>0</v>
      </c>
    </row>
    <row r="5267" customFormat="false" ht="15" hidden="false" customHeight="false" outlineLevel="0" collapsed="false">
      <c r="A5267" s="3" t="s">
        <v>316</v>
      </c>
      <c r="G5267" s="25" t="n">
        <f aca="false">G5260*MIN(G5259-G5265+G5264,MAX(0,G5296-Assumptions!$C$12*G5231-G5241-G5254))</f>
        <v>0</v>
      </c>
      <c r="H5267" s="25" t="n">
        <f aca="false">H5260*MIN(H5259-H5265+H5264,MAX(0,H5296-Assumptions!$C$12*H5231-H5241-H5254))</f>
        <v>0</v>
      </c>
      <c r="I5267" s="25" t="n">
        <f aca="false">I5260*MIN(I5259-I5265+I5264,MAX(0,I5296-Assumptions!$C$12*I5231-I5241-I5254))</f>
        <v>96.8961629260799</v>
      </c>
      <c r="J5267" s="25" t="n">
        <f aca="false">J5260*MIN(J5259-J5265+J5264,MAX(0,J5296-Assumptions!$C$12*J5231-J5241-J5254))</f>
        <v>0</v>
      </c>
      <c r="K5267" s="25" t="n">
        <f aca="false">K5260*MIN(K5259-K5265+K5264,MAX(0,K5296-Assumptions!$C$12*K5231-K5241-K5254))</f>
        <v>0</v>
      </c>
    </row>
    <row r="5268" customFormat="false" ht="15" hidden="false" customHeight="false" outlineLevel="0" collapsed="false">
      <c r="A5268" s="3" t="s">
        <v>317</v>
      </c>
      <c r="G5268" s="25" t="n">
        <f aca="false">Assumptions!$N$58*MIN(G5259+G5266+G5264-G5265-G5267,MAX(0,G5300-G5242-G5255))</f>
        <v>0</v>
      </c>
      <c r="H5268" s="25" t="n">
        <f aca="false">Assumptions!$N$58*MIN(H5259+H5266+H5264-H5265-H5267,MAX(0,H5300-H5242-H5255))</f>
        <v>0</v>
      </c>
      <c r="I5268" s="25" t="n">
        <f aca="false">Assumptions!$N$58*MIN(I5259+I5266+I5264-I5265-I5267,MAX(0,I5300-I5242-I5255))</f>
        <v>0</v>
      </c>
      <c r="J5268" s="25" t="n">
        <f aca="false">Assumptions!$N$58*MIN(J5259+J5266+J5264-J5265-J5267,MAX(0,J5300-J5242-J5255))</f>
        <v>0</v>
      </c>
      <c r="K5268" s="25" t="n">
        <f aca="false">Assumptions!$N$58*MIN(K5259+K5266+K5264-K5265-K5267,MAX(0,K5300-K5242-K5255))</f>
        <v>0</v>
      </c>
    </row>
    <row r="5269" customFormat="false" ht="15" hidden="false" customHeight="false" outlineLevel="0" collapsed="false">
      <c r="A5269" s="3" t="s">
        <v>318</v>
      </c>
      <c r="G5269" s="25" t="n">
        <f aca="false">G5260*(1-G5231)*(G5259-G5265+G5264-G5267)</f>
        <v>0</v>
      </c>
      <c r="H5269" s="25" t="n">
        <f aca="false">H5260*(1-H5231)*(H5259-H5265+H5264-H5267)</f>
        <v>0</v>
      </c>
      <c r="I5269" s="25" t="n">
        <f aca="false">I5260*(1-I5231)*(I5259-I5265+I5264-I5267)</f>
        <v>46.8538370739201</v>
      </c>
      <c r="J5269" s="25" t="n">
        <f aca="false">J5260*(1-J5231)*(J5259-J5265+J5264-J5267)</f>
        <v>0</v>
      </c>
      <c r="K5269" s="25" t="n">
        <f aca="false">K5260*(1-K5231)*(K5259-K5265+K5264-K5267)</f>
        <v>0</v>
      </c>
    </row>
    <row r="5270" customFormat="false" ht="15" hidden="false" customHeight="false" outlineLevel="0" collapsed="false">
      <c r="A5270" s="2" t="s">
        <v>319</v>
      </c>
      <c r="F5270" s="28" t="n">
        <f aca="false">Assumptions!$C$58</f>
        <v>143.75</v>
      </c>
      <c r="G5270" s="16" t="n">
        <f aca="false">G5259+G5266+G5264-G5265-G5267-G5268</f>
        <v>143.75</v>
      </c>
      <c r="H5270" s="16" t="n">
        <f aca="false">H5259+H5266+H5264-H5265-H5267-H5268</f>
        <v>143.75</v>
      </c>
      <c r="I5270" s="16" t="n">
        <f aca="false">I5259+I5266+I5264-I5265-I5267-I5268</f>
        <v>46.8538370739201</v>
      </c>
      <c r="J5270" s="16" t="n">
        <f aca="false">J5259+J5266+J5264-J5265-J5267-J5268</f>
        <v>46.8538370739201</v>
      </c>
      <c r="K5270" s="16" t="n">
        <f aca="false">K5259+K5266+K5264-K5265-K5267-K5268</f>
        <v>46.8538370739201</v>
      </c>
    </row>
    <row r="5271" customFormat="false" ht="15" hidden="false" customHeight="false" outlineLevel="0" collapsed="false">
      <c r="A5271" s="23" t="s">
        <v>322</v>
      </c>
      <c r="B5271" s="24"/>
      <c r="C5271" s="24"/>
      <c r="D5271" s="24"/>
      <c r="E5271" s="24"/>
      <c r="F5271" s="24"/>
      <c r="G5271" s="24"/>
      <c r="H5271" s="24"/>
      <c r="I5271" s="24"/>
      <c r="J5271" s="24"/>
      <c r="K5271" s="24"/>
    </row>
    <row r="5272" customFormat="false" ht="15" hidden="false" customHeight="false" outlineLevel="0" collapsed="false">
      <c r="A5272" s="2" t="s">
        <v>323</v>
      </c>
      <c r="F5272" s="16" t="n">
        <f aca="false">F5244+F5257+F5270</f>
        <v>1735.554</v>
      </c>
      <c r="G5272" s="16" t="n">
        <f aca="false">G5244+G5257+G5270</f>
        <v>1735.554</v>
      </c>
      <c r="H5272" s="16" t="n">
        <f aca="false">H5244+H5257+H5270</f>
        <v>1735.554</v>
      </c>
      <c r="I5272" s="16" t="n">
        <f aca="false">I5244+I5257+I5270</f>
        <v>1361.95183707392</v>
      </c>
      <c r="J5272" s="16" t="n">
        <f aca="false">J5244+J5257+J5270</f>
        <v>1361.95183707392</v>
      </c>
      <c r="K5272" s="16" t="n">
        <f aca="false">K5244+K5257+K5270</f>
        <v>1361.95183707392</v>
      </c>
    </row>
    <row r="5273" customFormat="false" ht="15" hidden="false" customHeight="false" outlineLevel="0" collapsed="false">
      <c r="A5273" s="3" t="s">
        <v>324</v>
      </c>
      <c r="G5273" s="25" t="n">
        <f aca="false">G5234*Assumptions!$C$56+G5247*Assumptions!$C$57+G5260*Assumptions!$C$58</f>
        <v>0</v>
      </c>
      <c r="H5273" s="25" t="n">
        <f aca="false">H5234*Assumptions!$C$56+H5247*Assumptions!$C$57+H5260*Assumptions!$C$58</f>
        <v>0</v>
      </c>
      <c r="I5273" s="25" t="n">
        <f aca="false">I5234*Assumptions!$C$56+I5247*Assumptions!$C$57+I5260*Assumptions!$C$58</f>
        <v>420.456</v>
      </c>
      <c r="J5273" s="25" t="n">
        <f aca="false">J5234*Assumptions!$C$56+J5247*Assumptions!$C$57+J5260*Assumptions!$C$58</f>
        <v>0</v>
      </c>
      <c r="K5273" s="25" t="n">
        <f aca="false">K5234*Assumptions!$C$56+K5247*Assumptions!$C$57+K5260*Assumptions!$C$58</f>
        <v>0</v>
      </c>
    </row>
    <row r="5274" customFormat="false" ht="15" hidden="false" customHeight="false" outlineLevel="0" collapsed="false">
      <c r="A5274" s="23" t="s">
        <v>325</v>
      </c>
      <c r="B5274" s="24"/>
      <c r="C5274" s="24"/>
      <c r="D5274" s="24"/>
      <c r="E5274" s="24"/>
      <c r="F5274" s="24"/>
      <c r="G5274" s="24"/>
      <c r="H5274" s="24"/>
      <c r="I5274" s="24"/>
      <c r="J5274" s="24"/>
      <c r="K5274" s="24"/>
    </row>
    <row r="5275" customFormat="false" ht="15" hidden="false" customHeight="false" outlineLevel="0" collapsed="false">
      <c r="A5275" s="3" t="s">
        <v>326</v>
      </c>
      <c r="C5275" s="25" t="n">
        <f aca="false">SUMPRODUCT($G$5234:$K$5234,$G$5233:$K$5233-$G$5239:$K$5239+$G$5238:$K$5238)</f>
        <v>0</v>
      </c>
    </row>
    <row r="5276" customFormat="false" ht="15" hidden="false" customHeight="false" outlineLevel="0" collapsed="false">
      <c r="A5276" s="3" t="s">
        <v>327</v>
      </c>
      <c r="C5276" s="25" t="n">
        <f aca="false">SUMPRODUCT($G$5234:$K$5234,$G$5241:$K$5241)</f>
        <v>0</v>
      </c>
    </row>
    <row r="5277" customFormat="false" ht="15" hidden="false" customHeight="false" outlineLevel="0" collapsed="false">
      <c r="A5277" s="3" t="s">
        <v>328</v>
      </c>
      <c r="C5277" s="3" t="str">
        <f aca="false">IF(SUM($G$5234:$K$5234)=0,"n/a (beyond horizon)",IF(SUMPRODUCT($G$5234:$K$5234,$G$5231:$K$5231)&gt;0,"REFINANCING PASS","REFINANCING FAILURE"))</f>
        <v>n/a (beyond horizon)</v>
      </c>
    </row>
    <row r="5278" customFormat="false" ht="15" hidden="false" customHeight="false" outlineLevel="0" collapsed="false">
      <c r="A5278" s="3" t="s">
        <v>329</v>
      </c>
      <c r="C5278" s="3" t="str">
        <f aca="false">IF(SUM($G$5234:$K$5234)=0,"n/a",IF(C5276&gt;=C5275-0.001,"Repaid from cash",IF(SUMPRODUCT($G$5234:$K$5234,$G$5231:$K$5231)&gt;0,IF(C5276&gt;0,"Partly repaid; remainder refinanced","Refinanced"),IF(SUM($G$5243:$K$5243)&gt;0.001,IF(C5276&gt;0,"Partial repayment; PAYMENT DEFAULT","PAYMENT DEFAULT"),"Repaid from cash"))))</f>
        <v>n/a</v>
      </c>
    </row>
    <row r="5279" customFormat="false" ht="15" hidden="false" customHeight="false" outlineLevel="0" collapsed="false">
      <c r="A5279" s="3" t="s">
        <v>330</v>
      </c>
      <c r="C5279" s="25" t="n">
        <f aca="false">SUMPRODUCT($G$5247:$K$5247,$G$5246:$K$5246-$G$5252:$K$5252+$G$5251:$K$5251)</f>
        <v>276.706</v>
      </c>
    </row>
    <row r="5280" customFormat="false" ht="15" hidden="false" customHeight="false" outlineLevel="0" collapsed="false">
      <c r="A5280" s="3" t="s">
        <v>331</v>
      </c>
      <c r="C5280" s="25" t="n">
        <f aca="false">SUMPRODUCT($G$5247:$K$5247,$G$5254:$K$5254)</f>
        <v>276.706</v>
      </c>
    </row>
    <row r="5281" customFormat="false" ht="15" hidden="false" customHeight="false" outlineLevel="0" collapsed="false">
      <c r="A5281" s="3" t="s">
        <v>332</v>
      </c>
      <c r="C5281" s="3" t="str">
        <f aca="false">IF(SUM($G$5247:$K$5247)=0,"n/a (beyond horizon)",IF(SUMPRODUCT($G$5247:$K$5247,$G$5231:$K$5231)&gt;0,"REFINANCING PASS","REFINANCING FAILURE"))</f>
        <v>REFINANCING FAILURE</v>
      </c>
    </row>
    <row r="5282" customFormat="false" ht="15" hidden="false" customHeight="false" outlineLevel="0" collapsed="false">
      <c r="A5282" s="3" t="s">
        <v>333</v>
      </c>
      <c r="C5282" s="3" t="str">
        <f aca="false">IF(SUM($G$5247:$K$5247)=0,"n/a",IF(C5280&gt;=C5279-0.001,"Repaid from cash",IF(SUMPRODUCT($G$5247:$K$5247,$G$5231:$K$5231)&gt;0,IF(C5280&gt;0,"Partly repaid; remainder refinanced","Refinanced"),IF(SUM($G$5256:$K$5256)&gt;0.001,IF(C5280&gt;0,"Partial repayment; PAYMENT DEFAULT","PAYMENT DEFAULT"),"Repaid from cash"))))</f>
        <v>Repaid from cash</v>
      </c>
    </row>
    <row r="5283" customFormat="false" ht="15" hidden="false" customHeight="false" outlineLevel="0" collapsed="false">
      <c r="A5283" s="3" t="s">
        <v>334</v>
      </c>
      <c r="C5283" s="25" t="n">
        <f aca="false">SUMPRODUCT($G$5260:$K$5260,$G$5259:$K$5259-$G$5265:$K$5265+$G$5264:$K$5264)</f>
        <v>143.75</v>
      </c>
    </row>
    <row r="5284" customFormat="false" ht="15" hidden="false" customHeight="false" outlineLevel="0" collapsed="false">
      <c r="A5284" s="3" t="s">
        <v>335</v>
      </c>
      <c r="C5284" s="25" t="n">
        <f aca="false">SUMPRODUCT($G$5260:$K$5260,$G$5267:$K$5267)</f>
        <v>96.8961629260799</v>
      </c>
    </row>
    <row r="5285" customFormat="false" ht="15" hidden="false" customHeight="false" outlineLevel="0" collapsed="false">
      <c r="A5285" s="3" t="s">
        <v>336</v>
      </c>
      <c r="C5285" s="3" t="str">
        <f aca="false">IF(SUM($G$5260:$K$5260)=0,"n/a (beyond horizon)",IF(SUMPRODUCT($G$5260:$K$5260,$G$5231:$K$5231)&gt;0,"REFINANCING PASS","REFINANCING FAILURE"))</f>
        <v>REFINANCING FAILURE</v>
      </c>
    </row>
    <row r="5286" customFormat="false" ht="15" hidden="false" customHeight="false" outlineLevel="0" collapsed="false">
      <c r="A5286" s="3" t="s">
        <v>337</v>
      </c>
      <c r="C5286" s="3" t="str">
        <f aca="false">IF(SUM($G$5260:$K$5260)=0,"n/a",IF(C5284&gt;=C5283-0.001,"Repaid from cash",IF(SUMPRODUCT($G$5260:$K$5260,$G$5231:$K$5231)&gt;0,IF(C5284&gt;0,"Partly repaid; remainder refinanced","Refinanced"),IF(SUM($G$5269:$K$5269)&gt;0.001,IF(C5284&gt;0,"Partial repayment; PAYMENT DEFAULT","PAYMENT DEFAULT"),"Repaid from cash"))))</f>
        <v>Partial repayment; PAYMENT DEFAULT</v>
      </c>
    </row>
    <row r="5287" customFormat="false" ht="15" hidden="false" customHeight="false" outlineLevel="0" collapsed="false">
      <c r="A5287" s="3" t="s">
        <v>338</v>
      </c>
      <c r="C5287" s="20" t="n">
        <f aca="false">IF(C5277="REFINANCING FAILURE",1,0)+IF(C5281="REFINANCING FAILURE",1,0)+IF(C5285="REFINANCING FAILURE",1,0)</f>
        <v>2</v>
      </c>
    </row>
    <row r="5289" customFormat="false" ht="15" hidden="false" customHeight="false" outlineLevel="0" collapsed="false">
      <c r="A5289" s="23" t="s">
        <v>340</v>
      </c>
      <c r="B5289" s="24"/>
      <c r="C5289" s="24"/>
      <c r="D5289" s="24"/>
      <c r="E5289" s="24"/>
      <c r="F5289" s="24"/>
      <c r="G5289" s="24"/>
      <c r="H5289" s="24"/>
      <c r="I5289" s="24"/>
      <c r="J5289" s="24"/>
      <c r="K5289" s="24"/>
    </row>
    <row r="5290" customFormat="false" ht="15" hidden="false" customHeight="false" outlineLevel="0" collapsed="false">
      <c r="A5290" s="3" t="s">
        <v>305</v>
      </c>
      <c r="G5290" s="25" t="n">
        <f aca="false">F5302</f>
        <v>463.996</v>
      </c>
      <c r="H5290" s="25" t="n">
        <f aca="false">G5302</f>
        <v>470.30436184</v>
      </c>
      <c r="I5290" s="25" t="n">
        <f aca="false">H5302</f>
        <v>431.6426834272</v>
      </c>
      <c r="J5290" s="25" t="n">
        <f aca="false">I5302</f>
        <v>0</v>
      </c>
      <c r="K5290" s="25" t="n">
        <f aca="false">J5302</f>
        <v>-49.995560536672</v>
      </c>
    </row>
    <row r="5291" customFormat="false" ht="15" hidden="false" customHeight="false" outlineLevel="0" collapsed="false">
      <c r="A5291" s="3" t="s">
        <v>341</v>
      </c>
      <c r="G5291" s="25" t="n">
        <f aca="false">G5220</f>
        <v>6.30836183999998</v>
      </c>
      <c r="H5291" s="25" t="n">
        <f aca="false">H5220</f>
        <v>-38.6616784128</v>
      </c>
      <c r="I5291" s="25" t="n">
        <f aca="false">I5220</f>
        <v>-58.04052050112</v>
      </c>
      <c r="J5291" s="25" t="n">
        <f aca="false">J5220</f>
        <v>-49.995560536672</v>
      </c>
      <c r="K5291" s="25" t="n">
        <f aca="false">K5220</f>
        <v>-55.4004215890101</v>
      </c>
    </row>
    <row r="5292" customFormat="false" ht="15" hidden="false" customHeight="false" outlineLevel="0" collapsed="false">
      <c r="A5292" s="3" t="s">
        <v>342</v>
      </c>
      <c r="G5292" s="25" t="n">
        <f aca="false">CHOOSE($C$5190,Assumptions!$G$74,Assumptions!$G$93,Assumptions!$G$112)</f>
        <v>0</v>
      </c>
      <c r="H5292" s="25" t="n">
        <f aca="false">CHOOSE($C$5190,Assumptions!$H$74,Assumptions!$H$93,Assumptions!$H$112)</f>
        <v>0</v>
      </c>
      <c r="I5292" s="25" t="n">
        <f aca="false">CHOOSE($C$5190,Assumptions!$I$74,Assumptions!$I$93,Assumptions!$I$112)</f>
        <v>0</v>
      </c>
      <c r="J5292" s="25" t="n">
        <f aca="false">CHOOSE($C$5190,Assumptions!$J$74,Assumptions!$J$93,Assumptions!$J$112)</f>
        <v>0</v>
      </c>
      <c r="K5292" s="25" t="n">
        <f aca="false">CHOOSE($C$5190,Assumptions!$K$74,Assumptions!$K$93,Assumptions!$K$112)</f>
        <v>0</v>
      </c>
    </row>
    <row r="5293" customFormat="false" ht="15" hidden="false" customHeight="false" outlineLevel="0" collapsed="false">
      <c r="A5293" s="3" t="s">
        <v>343</v>
      </c>
      <c r="G5293" s="25" t="n">
        <f aca="false">G5239+G5252+G5265</f>
        <v>0</v>
      </c>
      <c r="H5293" s="25" t="n">
        <f aca="false">H5239+H5252+H5265</f>
        <v>0</v>
      </c>
      <c r="I5293" s="25" t="n">
        <f aca="false">I5239+I5252+I5265</f>
        <v>0</v>
      </c>
      <c r="J5293" s="25" t="n">
        <f aca="false">J5239+J5252+J5265</f>
        <v>0</v>
      </c>
      <c r="K5293" s="25" t="n">
        <f aca="false">K5239+K5252+K5265</f>
        <v>0</v>
      </c>
    </row>
    <row r="5294" customFormat="false" ht="15" hidden="false" customHeight="false" outlineLevel="0" collapsed="false">
      <c r="A5294" s="2" t="s">
        <v>344</v>
      </c>
      <c r="G5294" s="16" t="n">
        <f aca="false">G5290+G5291+G5292-G5293</f>
        <v>470.30436184</v>
      </c>
      <c r="H5294" s="16" t="n">
        <f aca="false">H5290+H5291+H5292-H5293</f>
        <v>431.6426834272</v>
      </c>
      <c r="I5294" s="16" t="n">
        <f aca="false">I5290+I5291+I5292-I5293</f>
        <v>373.60216292608</v>
      </c>
      <c r="J5294" s="16" t="n">
        <f aca="false">J5290+J5291+J5292-J5293</f>
        <v>-49.995560536672</v>
      </c>
      <c r="K5294" s="16" t="n">
        <f aca="false">K5290+K5291+K5292-K5293</f>
        <v>-105.395982125682</v>
      </c>
    </row>
    <row r="5295" customFormat="false" ht="15" hidden="false" customHeight="false" outlineLevel="0" collapsed="false">
      <c r="A5295" s="3" t="s">
        <v>345</v>
      </c>
      <c r="G5295" s="25" t="n">
        <f aca="false">G5240+G5253+G5266</f>
        <v>0</v>
      </c>
      <c r="H5295" s="25" t="n">
        <f aca="false">H5240+H5253+H5266</f>
        <v>0</v>
      </c>
      <c r="I5295" s="25" t="n">
        <f aca="false">I5240+I5253+I5266</f>
        <v>0</v>
      </c>
      <c r="J5295" s="25" t="n">
        <f aca="false">J5240+J5253+J5266</f>
        <v>0</v>
      </c>
      <c r="K5295" s="25" t="n">
        <f aca="false">K5240+K5253+K5266</f>
        <v>0</v>
      </c>
    </row>
    <row r="5296" customFormat="false" ht="15" hidden="false" customHeight="false" outlineLevel="0" collapsed="false">
      <c r="A5296" s="2" t="s">
        <v>346</v>
      </c>
      <c r="G5296" s="16" t="n">
        <f aca="false">G5294+G5295</f>
        <v>470.30436184</v>
      </c>
      <c r="H5296" s="16" t="n">
        <f aca="false">H5294+H5295</f>
        <v>431.6426834272</v>
      </c>
      <c r="I5296" s="16" t="n">
        <f aca="false">I5294+I5295</f>
        <v>373.60216292608</v>
      </c>
      <c r="J5296" s="16" t="n">
        <f aca="false">J5294+J5295</f>
        <v>-49.995560536672</v>
      </c>
      <c r="K5296" s="16" t="n">
        <f aca="false">K5294+K5295</f>
        <v>-105.395982125682</v>
      </c>
    </row>
    <row r="5297" customFormat="false" ht="15" hidden="false" customHeight="false" outlineLevel="0" collapsed="false">
      <c r="A5297" s="3" t="s">
        <v>347</v>
      </c>
      <c r="G5297" s="25" t="n">
        <f aca="false">G5241+G5254+G5267</f>
        <v>0</v>
      </c>
      <c r="H5297" s="25" t="n">
        <f aca="false">H5241+H5254+H5267</f>
        <v>0</v>
      </c>
      <c r="I5297" s="25" t="n">
        <f aca="false">I5241+I5254+I5267</f>
        <v>373.60216292608</v>
      </c>
      <c r="J5297" s="25" t="n">
        <f aca="false">J5241+J5254+J5267</f>
        <v>0</v>
      </c>
      <c r="K5297" s="25" t="n">
        <f aca="false">K5241+K5254+K5267</f>
        <v>0</v>
      </c>
    </row>
    <row r="5298" customFormat="false" ht="15" hidden="false" customHeight="false" outlineLevel="0" collapsed="false">
      <c r="A5298" s="2" t="s">
        <v>348</v>
      </c>
      <c r="G5298" s="16" t="n">
        <f aca="false">G5296-G5297</f>
        <v>470.30436184</v>
      </c>
      <c r="H5298" s="16" t="n">
        <f aca="false">H5296-H5297</f>
        <v>431.6426834272</v>
      </c>
      <c r="I5298" s="16" t="n">
        <f aca="false">I5296-I5297</f>
        <v>0</v>
      </c>
      <c r="J5298" s="16" t="n">
        <f aca="false">J5296-J5297</f>
        <v>-49.995560536672</v>
      </c>
      <c r="K5298" s="16" t="n">
        <f aca="false">K5296-K5297</f>
        <v>-105.395982125682</v>
      </c>
    </row>
    <row r="5299" customFormat="false" ht="15" hidden="false" customHeight="false" outlineLevel="0" collapsed="false">
      <c r="A5299" s="3" t="s">
        <v>349</v>
      </c>
      <c r="G5299" s="25" t="n">
        <f aca="false">MAX(0,-G5298)</f>
        <v>0</v>
      </c>
      <c r="H5299" s="25" t="n">
        <f aca="false">MAX(0,-H5298)</f>
        <v>0</v>
      </c>
      <c r="I5299" s="25" t="n">
        <f aca="false">MAX(0,-I5298)</f>
        <v>-0</v>
      </c>
      <c r="J5299" s="25" t="n">
        <f aca="false">MAX(0,-J5298)</f>
        <v>49.995560536672</v>
      </c>
      <c r="K5299" s="25" t="n">
        <f aca="false">MAX(0,-K5298)</f>
        <v>105.395982125682</v>
      </c>
    </row>
    <row r="5300" customFormat="false" ht="15" hidden="false" customHeight="false" outlineLevel="0" collapsed="false">
      <c r="A5300" s="3" t="s">
        <v>350</v>
      </c>
      <c r="G5300" s="25" t="n">
        <f aca="false">MAX(0,G5298-Assumptions!$C$12)*Assumptions!$C$13</f>
        <v>0</v>
      </c>
      <c r="H5300" s="25" t="n">
        <f aca="false">MAX(0,H5298-Assumptions!$C$12)*Assumptions!$C$13</f>
        <v>0</v>
      </c>
      <c r="I5300" s="25" t="n">
        <f aca="false">MAX(0,I5298-Assumptions!$C$12)*Assumptions!$C$13</f>
        <v>0</v>
      </c>
      <c r="J5300" s="25" t="n">
        <f aca="false">MAX(0,J5298-Assumptions!$C$12)*Assumptions!$C$13</f>
        <v>0</v>
      </c>
      <c r="K5300" s="25" t="n">
        <f aca="false">MAX(0,K5298-Assumptions!$C$12)*Assumptions!$C$13</f>
        <v>0</v>
      </c>
    </row>
    <row r="5301" customFormat="false" ht="15" hidden="false" customHeight="false" outlineLevel="0" collapsed="false">
      <c r="A5301" s="3" t="s">
        <v>351</v>
      </c>
      <c r="G5301" s="25" t="n">
        <f aca="false">G5242+G5255+G5268</f>
        <v>0</v>
      </c>
      <c r="H5301" s="25" t="n">
        <f aca="false">H5242+H5255+H5268</f>
        <v>0</v>
      </c>
      <c r="I5301" s="25" t="n">
        <f aca="false">I5242+I5255+I5268</f>
        <v>0</v>
      </c>
      <c r="J5301" s="25" t="n">
        <f aca="false">J5242+J5255+J5268</f>
        <v>0</v>
      </c>
      <c r="K5301" s="25" t="n">
        <f aca="false">K5242+K5255+K5268</f>
        <v>0</v>
      </c>
    </row>
    <row r="5302" customFormat="false" ht="15" hidden="false" customHeight="false" outlineLevel="0" collapsed="false">
      <c r="A5302" s="2" t="s">
        <v>352</v>
      </c>
      <c r="F5302" s="28" t="n">
        <f aca="false">Assumptions!$C$11</f>
        <v>463.996</v>
      </c>
      <c r="G5302" s="16" t="n">
        <f aca="false">G5298-G5301</f>
        <v>470.30436184</v>
      </c>
      <c r="H5302" s="16" t="n">
        <f aca="false">H5298-H5301</f>
        <v>431.6426834272</v>
      </c>
      <c r="I5302" s="16" t="n">
        <f aca="false">I5298-I5301</f>
        <v>0</v>
      </c>
      <c r="J5302" s="16" t="n">
        <f aca="false">J5298-J5301</f>
        <v>-49.995560536672</v>
      </c>
      <c r="K5302" s="16" t="n">
        <f aca="false">K5298-K5301</f>
        <v>-105.395982125682</v>
      </c>
    </row>
    <row r="5303" customFormat="false" ht="15" hidden="false" customHeight="false" outlineLevel="0" collapsed="false">
      <c r="A5303" s="3" t="s">
        <v>353</v>
      </c>
      <c r="G5303" s="25" t="n">
        <f aca="false">G5243+G5256+G5269</f>
        <v>0</v>
      </c>
      <c r="H5303" s="25" t="n">
        <f aca="false">H5243+H5256+H5269</f>
        <v>0</v>
      </c>
      <c r="I5303" s="25" t="n">
        <f aca="false">I5243+I5256+I5269</f>
        <v>46.8538370739201</v>
      </c>
      <c r="J5303" s="25" t="n">
        <f aca="false">J5243+J5256+J5269</f>
        <v>0</v>
      </c>
      <c r="K5303" s="25" t="n">
        <f aca="false">K5243+K5256+K5269</f>
        <v>0</v>
      </c>
    </row>
    <row r="5304" customFormat="false" ht="15" hidden="false" customHeight="false" outlineLevel="0" collapsed="false">
      <c r="A5304" s="3" t="s">
        <v>354</v>
      </c>
      <c r="G5304" s="20" t="n">
        <f aca="false">IF(OR(G5299&gt;0.001,G5303&gt;0.001),1,0)</f>
        <v>0</v>
      </c>
      <c r="H5304" s="20" t="n">
        <f aca="false">IF(OR(H5299&gt;0.001,H5303&gt;0.001),1,0)</f>
        <v>0</v>
      </c>
      <c r="I5304" s="20" t="n">
        <f aca="false">IF(OR(I5299&gt;0.001,I5303&gt;0.001),1,0)</f>
        <v>1</v>
      </c>
      <c r="J5304" s="20" t="n">
        <f aca="false">IF(OR(J5299&gt;0.001,J5303&gt;0.001),1,0)</f>
        <v>1</v>
      </c>
      <c r="K5304" s="20" t="n">
        <f aca="false">IF(OR(K5299&gt;0.001,K5303&gt;0.001),1,0)</f>
        <v>1</v>
      </c>
    </row>
    <row r="5305" customFormat="false" ht="15" hidden="false" customHeight="false" outlineLevel="0" collapsed="false">
      <c r="A5305" s="3" t="s">
        <v>355</v>
      </c>
      <c r="G5305" s="20" t="n">
        <f aca="false">IF(G5304=1,1,0)</f>
        <v>0</v>
      </c>
      <c r="H5305" s="20" t="n">
        <f aca="false">IF(AND(H5304=1,SUM($G$5304:G5304)=0),1,0)</f>
        <v>0</v>
      </c>
      <c r="I5305" s="20" t="n">
        <f aca="false">IF(AND(I5304=1,SUM($G$5304:H5304)=0),1,0)</f>
        <v>1</v>
      </c>
      <c r="J5305" s="20" t="n">
        <f aca="false">IF(AND(J5304=1,SUM($G$5304:I5304)=0),1,0)</f>
        <v>0</v>
      </c>
      <c r="K5305" s="20" t="n">
        <f aca="false">IF(AND(K5304=1,SUM($G$5304:J5304)=0),1,0)</f>
        <v>0</v>
      </c>
    </row>
    <row r="5306" customFormat="false" ht="15" hidden="false" customHeight="false" outlineLevel="0" collapsed="false">
      <c r="A5306" s="3" t="s">
        <v>356</v>
      </c>
      <c r="G5306" s="25" t="n">
        <f aca="false">(G5272-F5272)-(G5295+G5212-G5293-G5297-G5301)</f>
        <v>0</v>
      </c>
      <c r="H5306" s="25" t="n">
        <f aca="false">(H5272-G5272)-(H5295+H5212-H5293-H5297-H5301)</f>
        <v>0</v>
      </c>
      <c r="I5306" s="25" t="n">
        <f aca="false">(I5272-H5272)-(I5295+I5212-I5293-I5297-I5301)</f>
        <v>0</v>
      </c>
      <c r="J5306" s="25" t="n">
        <f aca="false">(J5272-I5272)-(J5295+J5212-J5293-J5297-J5301)</f>
        <v>0</v>
      </c>
      <c r="K5306" s="25" t="n">
        <f aca="false">(K5272-J5272)-(K5295+K5212-K5293-K5297-K5301)</f>
        <v>0</v>
      </c>
    </row>
    <row r="5308" customFormat="false" ht="15" hidden="false" customHeight="false" outlineLevel="0" collapsed="false">
      <c r="A5308" s="23" t="s">
        <v>358</v>
      </c>
      <c r="B5308" s="24"/>
      <c r="C5308" s="24"/>
      <c r="D5308" s="24"/>
      <c r="E5308" s="24"/>
      <c r="F5308" s="24"/>
      <c r="G5308" s="24"/>
      <c r="H5308" s="24"/>
      <c r="I5308" s="24"/>
      <c r="J5308" s="24"/>
      <c r="K5308" s="24"/>
    </row>
    <row r="5309" customFormat="false" ht="15" hidden="false" customHeight="false" outlineLevel="0" collapsed="false">
      <c r="A5309" s="3" t="s">
        <v>359</v>
      </c>
      <c r="G5309" s="25" t="n">
        <f aca="false">G5272</f>
        <v>1735.554</v>
      </c>
      <c r="H5309" s="25" t="n">
        <f aca="false">H5272</f>
        <v>1735.554</v>
      </c>
      <c r="I5309" s="25" t="n">
        <f aca="false">I5272</f>
        <v>1361.95183707392</v>
      </c>
      <c r="J5309" s="25" t="n">
        <f aca="false">J5272</f>
        <v>1361.95183707392</v>
      </c>
      <c r="K5309" s="25" t="n">
        <f aca="false">K5272</f>
        <v>1361.95183707392</v>
      </c>
    </row>
    <row r="5310" customFormat="false" ht="15" hidden="false" customHeight="false" outlineLevel="0" collapsed="false">
      <c r="A5310" s="3" t="s">
        <v>360</v>
      </c>
      <c r="G5310" s="25" t="n">
        <f aca="false">Assumptions!$O$56*G5244+Assumptions!$O$57*G5257+Assumptions!$O$58*G5270</f>
        <v>1315.098</v>
      </c>
      <c r="H5310" s="25" t="n">
        <f aca="false">Assumptions!$O$56*H5244+Assumptions!$O$57*H5257+Assumptions!$O$58*H5270</f>
        <v>1315.098</v>
      </c>
      <c r="I5310" s="25" t="n">
        <f aca="false">Assumptions!$O$56*I5244+Assumptions!$O$57*I5257+Assumptions!$O$58*I5270</f>
        <v>1315.098</v>
      </c>
      <c r="J5310" s="25" t="n">
        <f aca="false">Assumptions!$O$56*J5244+Assumptions!$O$57*J5257+Assumptions!$O$58*J5270</f>
        <v>1315.098</v>
      </c>
      <c r="K5310" s="25" t="n">
        <f aca="false">Assumptions!$O$56*K5244+Assumptions!$O$57*K5257+Assumptions!$O$58*K5270</f>
        <v>1315.098</v>
      </c>
    </row>
    <row r="5311" customFormat="false" ht="15" hidden="false" customHeight="false" outlineLevel="0" collapsed="false">
      <c r="A5311" s="3" t="s">
        <v>361</v>
      </c>
      <c r="G5311" s="25" t="n">
        <f aca="false">G5309-G5302</f>
        <v>1265.24963816</v>
      </c>
      <c r="H5311" s="25" t="n">
        <f aca="false">H5309-H5302</f>
        <v>1303.9113165728</v>
      </c>
      <c r="I5311" s="25" t="n">
        <f aca="false">I5309-I5302</f>
        <v>1361.95183707392</v>
      </c>
      <c r="J5311" s="25" t="n">
        <f aca="false">J5309-J5302</f>
        <v>1411.94739761059</v>
      </c>
      <c r="K5311" s="25" t="n">
        <f aca="false">K5309-K5302</f>
        <v>1467.3478191996</v>
      </c>
    </row>
    <row r="5312" customFormat="false" ht="15" hidden="false" customHeight="false" outlineLevel="0" collapsed="false">
      <c r="A5312" s="3" t="s">
        <v>362</v>
      </c>
      <c r="G5312" s="32" t="n">
        <f aca="false">IF(G5207&gt;0,G5309/G5207,0)</f>
        <v>8.16780094902574</v>
      </c>
      <c r="H5312" s="32" t="n">
        <f aca="false">IF(H5207&gt;0,H5309/H5207,0)</f>
        <v>10.747106511876</v>
      </c>
      <c r="I5312" s="32" t="n">
        <f aca="false">IF(I5207&gt;0,I5309/I5207,0)</f>
        <v>9.89130875464054</v>
      </c>
      <c r="J5312" s="32" t="n">
        <f aca="false">IF(J5207&gt;0,J5309/J5207,0)</f>
        <v>10.7514225593919</v>
      </c>
      <c r="K5312" s="32" t="n">
        <f aca="false">IF(K5207&gt;0,K5309/K5207,0)</f>
        <v>11.4376835738212</v>
      </c>
    </row>
    <row r="5313" customFormat="false" ht="15" hidden="false" customHeight="false" outlineLevel="0" collapsed="false">
      <c r="A5313" s="3" t="s">
        <v>363</v>
      </c>
      <c r="G5313" s="32" t="n">
        <f aca="false">IF(G5207&gt;0,G5311/G5207,0)</f>
        <v>5.95447171065707</v>
      </c>
      <c r="H5313" s="32" t="n">
        <f aca="false">IF(H5207&gt;0,H5311/H5207,0)</f>
        <v>8.07423669977904</v>
      </c>
      <c r="I5313" s="32" t="n">
        <f aca="false">IF(I5207&gt;0,I5311/I5207,0)</f>
        <v>9.89130875464054</v>
      </c>
      <c r="J5313" s="32" t="n">
        <f aca="false">IF(J5207&gt;0,J5311/J5207,0)</f>
        <v>11.1460939294003</v>
      </c>
      <c r="K5313" s="32" t="n">
        <f aca="false">IF(K5207&gt;0,K5311/K5207,0)</f>
        <v>12.3227999639099</v>
      </c>
    </row>
    <row r="5314" customFormat="false" ht="15" hidden="false" customHeight="false" outlineLevel="0" collapsed="false">
      <c r="A5314" s="3" t="s">
        <v>364</v>
      </c>
      <c r="G5314" s="32" t="n">
        <f aca="false">IF(G5211&gt;0,G5207/G5211,0)</f>
        <v>1.36249400931694</v>
      </c>
      <c r="H5314" s="32" t="n">
        <f aca="false">IF(H5211&gt;0,H5207/H5211,0)</f>
        <v>1.03549544708087</v>
      </c>
      <c r="I5314" s="32" t="n">
        <f aca="false">IF(I5211&gt;0,I5207/I5211,0)</f>
        <v>0.882896118037376</v>
      </c>
      <c r="J5314" s="32" t="n">
        <f aca="false">IF(J5211&gt;0,J5207/J5211,0)</f>
        <v>0.904336989484213</v>
      </c>
      <c r="K5314" s="32" t="n">
        <f aca="false">IF(K5211&gt;0,K5207/K5211,0)</f>
        <v>0.85007677011516</v>
      </c>
    </row>
    <row r="5315" customFormat="false" ht="15" hidden="false" customHeight="false" outlineLevel="0" collapsed="false">
      <c r="A5315" s="3" t="s">
        <v>365</v>
      </c>
      <c r="G5315" s="32" t="n">
        <f aca="false">IF(G5211&gt;0,G5210/G5211,0)</f>
        <v>0.757826512024295</v>
      </c>
      <c r="H5315" s="32" t="n">
        <f aca="false">IF(H5211&gt;0,H5210/H5211,0)</f>
        <v>0.503388049463347</v>
      </c>
      <c r="I5315" s="32" t="n">
        <f aca="false">IF(I5211&gt;0,I5210/I5211,0)</f>
        <v>0.403999460181603</v>
      </c>
      <c r="J5315" s="32" t="n">
        <f aca="false">IF(J5211&gt;0,J5210/J5211,0)</f>
        <v>0.413810467743399</v>
      </c>
      <c r="K5315" s="32" t="n">
        <f aca="false">IF(K5211&gt;0,K5210/K5211,0)</f>
        <v>0.388981839678795</v>
      </c>
    </row>
    <row r="5316" customFormat="false" ht="15" hidden="false" customHeight="false" outlineLevel="0" collapsed="false">
      <c r="A5316" s="3" t="s">
        <v>198</v>
      </c>
      <c r="G5316" s="21" t="n">
        <f aca="false">IF(G5309&gt;0,G5220/G5309,0)</f>
        <v>0.00363478280710366</v>
      </c>
      <c r="H5316" s="21" t="n">
        <f aca="false">IF(H5309&gt;0,H5220/H5309,0)</f>
        <v>-0.022276275133358</v>
      </c>
      <c r="I5316" s="21" t="n">
        <f aca="false">IF(I5309&gt;0,I5220/I5309,0)</f>
        <v>-0.0426156923623796</v>
      </c>
      <c r="J5316" s="21" t="n">
        <f aca="false">IF(J5309&gt;0,J5220/J5309,0)</f>
        <v>-0.0367087581041667</v>
      </c>
      <c r="K5316" s="21" t="n">
        <f aca="false">IF(K5309&gt;0,K5220/K5309,0)</f>
        <v>-0.0406772252005878</v>
      </c>
    </row>
    <row r="5317" customFormat="false" ht="15" hidden="false" customHeight="false" outlineLevel="0" collapsed="false">
      <c r="A5317" s="3" t="s">
        <v>366</v>
      </c>
      <c r="G5317" s="32" t="n">
        <f aca="false">IF(G5211+G5293&gt;0,(G5207-G5218-G5215)/(G5211+G5293),0)</f>
        <v>1.22624460838524</v>
      </c>
      <c r="H5317" s="32" t="n">
        <f aca="false">IF(H5211+H5293&gt;0,(H5207-H5218-H5215)/(H5211+H5293),0)</f>
        <v>0.915595974260982</v>
      </c>
      <c r="I5317" s="32" t="n">
        <f aca="false">IF(I5211+I5293&gt;0,(I5207-I5218-I5215)/(I5211+I5293),0)</f>
        <v>0.774986592499474</v>
      </c>
      <c r="J5317" s="32" t="n">
        <f aca="false">IF(J5211+J5293&gt;0,(J5207-J5218-J5215)/(J5211+J5293),0)</f>
        <v>0.793806912991698</v>
      </c>
      <c r="K5317" s="32" t="n">
        <f aca="false">IF(K5211+K5293&gt;0,(K5207-K5218-K5215)/(K5211+K5293),0)</f>
        <v>0.746178498212196</v>
      </c>
    </row>
    <row r="5318" customFormat="false" ht="15" hidden="false" customHeight="false" outlineLevel="0" collapsed="false">
      <c r="A5318" s="3" t="s">
        <v>367</v>
      </c>
      <c r="G5318" s="25" t="n">
        <f aca="false">MAX(0,G5302)+Assumptions!$P$56*MAX(0,Assumptions!$D$56-G5244)+Assumptions!$P$57*MAX(0,Assumptions!$D$57-G5257)+Assumptions!$P$58*MAX(0,Assumptions!$D$58-G5270)</f>
        <v>470.30436184</v>
      </c>
      <c r="H5318" s="25" t="n">
        <f aca="false">MAX(0,H5302)+Assumptions!$P$56*MAX(0,Assumptions!$D$56-H5244)+Assumptions!$P$57*MAX(0,Assumptions!$D$57-H5257)+Assumptions!$P$58*MAX(0,Assumptions!$D$58-H5270)</f>
        <v>431.6426834272</v>
      </c>
      <c r="I5318" s="25" t="n">
        <f aca="false">MAX(0,I5302)+Assumptions!$P$56*MAX(0,Assumptions!$D$56-I5244)+Assumptions!$P$57*MAX(0,Assumptions!$D$57-I5257)+Assumptions!$P$58*MAX(0,Assumptions!$D$58-I5270)</f>
        <v>0</v>
      </c>
      <c r="J5318" s="25" t="n">
        <f aca="false">MAX(0,J5302)+Assumptions!$P$56*MAX(0,Assumptions!$D$56-J5244)+Assumptions!$P$57*MAX(0,Assumptions!$D$57-J5257)+Assumptions!$P$58*MAX(0,Assumptions!$D$58-J5270)</f>
        <v>0</v>
      </c>
      <c r="K5318" s="25" t="n">
        <f aca="false">MAX(0,K5302)+Assumptions!$P$56*MAX(0,Assumptions!$D$56-K5244)+Assumptions!$P$57*MAX(0,Assumptions!$D$57-K5257)+Assumptions!$P$58*MAX(0,Assumptions!$D$58-K5270)</f>
        <v>0</v>
      </c>
    </row>
    <row r="5319" customFormat="false" ht="15" hidden="false" customHeight="false" outlineLevel="0" collapsed="false">
      <c r="A5319" s="3" t="s">
        <v>368</v>
      </c>
      <c r="G5319" s="21" t="n">
        <f aca="false">IF(G5309&gt;0,G5309/(G5309+MAX(0,G5207*CHOOSE($C$5190,Assumptions!$C$82,Assumptions!$C$101,Assumptions!$C$120)-G5311)),0)</f>
        <v>1</v>
      </c>
      <c r="H5319" s="21" t="n">
        <f aca="false">IF(H5309&gt;0,H5309/(H5309+MAX(0,H5207*CHOOSE($C$5190,Assumptions!$C$82,Assumptions!$C$101,Assumptions!$C$120)-H5311)),0)</f>
        <v>1</v>
      </c>
      <c r="I5319" s="21" t="n">
        <f aca="false">IF(I5309&gt;0,I5309/(I5309+MAX(0,I5207*CHOOSE($C$5190,Assumptions!$C$82,Assumptions!$C$101,Assumptions!$C$120)-I5311)),0)</f>
        <v>1</v>
      </c>
      <c r="J5319" s="21" t="n">
        <f aca="false">IF(J5309&gt;0,J5309/(J5309+MAX(0,J5207*CHOOSE($C$5190,Assumptions!$C$82,Assumptions!$C$101,Assumptions!$C$120)-J5311)),0)</f>
        <v>1</v>
      </c>
      <c r="K5319" s="21" t="n">
        <f aca="false">IF(K5309&gt;0,K5309/(K5309+MAX(0,K5207*CHOOSE($C$5190,Assumptions!$C$82,Assumptions!$C$101,Assumptions!$C$120)-K5311)),0)</f>
        <v>1</v>
      </c>
    </row>
    <row r="5320" customFormat="false" ht="15" hidden="false" customHeight="false" outlineLevel="0" collapsed="false">
      <c r="A5320" s="3" t="s">
        <v>369</v>
      </c>
      <c r="G5320" s="21" t="n">
        <f aca="false">IF(G5309&gt;0,MAX(0,G5302)/G5309,0)</f>
        <v>0.270982269546208</v>
      </c>
      <c r="H5320" s="21" t="n">
        <f aca="false">IF(H5309&gt;0,MAX(0,H5302)/H5309,0)</f>
        <v>0.24870599441285</v>
      </c>
      <c r="I5320" s="21" t="n">
        <f aca="false">IF(I5309&gt;0,MAX(0,I5302)/I5309,0)</f>
        <v>0</v>
      </c>
      <c r="J5320" s="21" t="n">
        <f aca="false">IF(J5309&gt;0,MAX(0,J5302)/J5309,0)</f>
        <v>0</v>
      </c>
      <c r="K5320" s="21" t="n">
        <f aca="false">IF(K5309&gt;0,MAX(0,K5302)/K5309,0)</f>
        <v>0</v>
      </c>
    </row>
    <row r="5321" customFormat="false" ht="15" hidden="false" customHeight="false" outlineLevel="0" collapsed="false">
      <c r="A5321" s="3" t="s">
        <v>370</v>
      </c>
      <c r="G5321" s="25" t="n">
        <f aca="false">Assumptions!$C$30*(1-CHOOSE($C$5190,Assumptions!$C$85,Assumptions!$C$104,Assumptions!$C$123))</f>
        <v>1595.73115</v>
      </c>
      <c r="H5321" s="25" t="n">
        <f aca="false">Assumptions!$C$30*(1-CHOOSE($C$5190,Assumptions!$C$85,Assumptions!$C$104,Assumptions!$C$123))</f>
        <v>1595.73115</v>
      </c>
      <c r="I5321" s="25" t="n">
        <f aca="false">Assumptions!$C$30*(1-CHOOSE($C$5190,Assumptions!$C$85,Assumptions!$C$104,Assumptions!$C$123))</f>
        <v>1595.73115</v>
      </c>
      <c r="J5321" s="25" t="n">
        <f aca="false">Assumptions!$C$30*(1-CHOOSE($C$5190,Assumptions!$C$85,Assumptions!$C$104,Assumptions!$C$123))</f>
        <v>1595.73115</v>
      </c>
      <c r="K5321" s="25" t="n">
        <f aca="false">Assumptions!$C$30*(1-CHOOSE($C$5190,Assumptions!$C$85,Assumptions!$C$104,Assumptions!$C$123))</f>
        <v>1595.73115</v>
      </c>
    </row>
    <row r="5322" customFormat="false" ht="15" hidden="false" customHeight="false" outlineLevel="0" collapsed="false">
      <c r="A5322" s="23" t="s">
        <v>371</v>
      </c>
      <c r="B5322" s="24"/>
      <c r="C5322" s="24"/>
      <c r="D5322" s="24"/>
      <c r="E5322" s="24"/>
      <c r="F5322" s="24"/>
      <c r="G5322" s="24"/>
      <c r="H5322" s="24"/>
      <c r="I5322" s="24"/>
      <c r="J5322" s="24"/>
      <c r="K5322" s="24"/>
    </row>
    <row r="5323" customFormat="false" ht="15" hidden="false" customHeight="false" outlineLevel="0" collapsed="false">
      <c r="A5323" s="23" t="s">
        <v>372</v>
      </c>
      <c r="B5323" s="24"/>
      <c r="C5323" s="24"/>
      <c r="D5323" s="24"/>
      <c r="E5323" s="24"/>
      <c r="F5323" s="24"/>
      <c r="G5323" s="24"/>
      <c r="H5323" s="24"/>
      <c r="I5323" s="24"/>
      <c r="J5323" s="24"/>
      <c r="K5323" s="24"/>
    </row>
    <row r="5324" customFormat="false" ht="15" hidden="false" customHeight="false" outlineLevel="0" collapsed="false">
      <c r="A5324" s="3" t="s">
        <v>373</v>
      </c>
      <c r="G5324" s="32" t="n">
        <f aca="false">IF(G5207&gt;0,G5311/G5207,99)</f>
        <v>5.95447171065707</v>
      </c>
      <c r="H5324" s="32" t="n">
        <f aca="false">IF(H5207&gt;0,H5311/H5207,99)</f>
        <v>8.07423669977904</v>
      </c>
      <c r="I5324" s="32" t="n">
        <f aca="false">IF(I5207&gt;0,I5311/I5207,99)</f>
        <v>9.89130875464054</v>
      </c>
      <c r="J5324" s="32" t="n">
        <f aca="false">IF(J5207&gt;0,J5311/J5207,99)</f>
        <v>11.1460939294003</v>
      </c>
      <c r="K5324" s="32" t="n">
        <f aca="false">IF(K5207&gt;0,K5311/K5207,99)</f>
        <v>12.3227999639099</v>
      </c>
    </row>
    <row r="5325" customFormat="false" ht="15" hidden="false" customHeight="false" outlineLevel="0" collapsed="false">
      <c r="A5325" s="3" t="s">
        <v>374</v>
      </c>
      <c r="G5325" s="33" t="n">
        <f aca="false">Assumptions!$G$65</f>
        <v>5.25</v>
      </c>
      <c r="H5325" s="33" t="n">
        <f aca="false">Assumptions!$H$65</f>
        <v>5.25</v>
      </c>
      <c r="I5325" s="33" t="n">
        <f aca="false">Assumptions!$I$65</f>
        <v>5</v>
      </c>
      <c r="J5325" s="33" t="n">
        <f aca="false">Assumptions!$J$65</f>
        <v>5</v>
      </c>
      <c r="K5325" s="33" t="n">
        <f aca="false">Assumptions!$K$65</f>
        <v>5</v>
      </c>
    </row>
    <row r="5326" customFormat="false" ht="15" hidden="false" customHeight="false" outlineLevel="0" collapsed="false">
      <c r="A5326" s="3" t="s">
        <v>375</v>
      </c>
      <c r="G5326" s="32" t="n">
        <f aca="false">G5325-G5324</f>
        <v>-0.704471710657071</v>
      </c>
      <c r="H5326" s="32" t="n">
        <f aca="false">H5325-H5324</f>
        <v>-2.82423669977904</v>
      </c>
      <c r="I5326" s="32" t="n">
        <f aca="false">I5325-I5324</f>
        <v>-4.89130875464054</v>
      </c>
      <c r="J5326" s="32" t="n">
        <f aca="false">J5325-J5324</f>
        <v>-6.14609392940029</v>
      </c>
      <c r="K5326" s="32" t="n">
        <f aca="false">K5325-K5324</f>
        <v>-7.32279996390995</v>
      </c>
    </row>
    <row r="5327" customFormat="false" ht="15" hidden="false" customHeight="false" outlineLevel="0" collapsed="false">
      <c r="A5327" s="3" t="s">
        <v>376</v>
      </c>
      <c r="G5327" s="21" t="n">
        <f aca="false">IF(G5325=0,0,G5326/ABS(G5325))</f>
        <v>-0.134185087744204</v>
      </c>
      <c r="H5327" s="21" t="n">
        <f aca="false">IF(H5325=0,0,H5326/ABS(H5325))</f>
        <v>-0.53794984757696</v>
      </c>
      <c r="I5327" s="21" t="n">
        <f aca="false">IF(I5325=0,0,I5326/ABS(I5325))</f>
        <v>-0.978261750928108</v>
      </c>
      <c r="J5327" s="21" t="n">
        <f aca="false">IF(J5325=0,0,J5326/ABS(J5325))</f>
        <v>-1.22921878588006</v>
      </c>
      <c r="K5327" s="21" t="n">
        <f aca="false">IF(K5325=0,0,K5326/ABS(K5325))</f>
        <v>-1.46455999278199</v>
      </c>
    </row>
    <row r="5328" customFormat="false" ht="15" hidden="false" customHeight="false" outlineLevel="0" collapsed="false">
      <c r="A5328" s="3" t="s">
        <v>377</v>
      </c>
      <c r="G5328" s="20" t="n">
        <f aca="false">IF(G5326&lt;0,1,0)</f>
        <v>1</v>
      </c>
      <c r="H5328" s="20" t="n">
        <f aca="false">IF(H5326&lt;0,1,0)</f>
        <v>1</v>
      </c>
      <c r="I5328" s="20" t="n">
        <f aca="false">IF(I5326&lt;0,1,0)</f>
        <v>1</v>
      </c>
      <c r="J5328" s="20" t="n">
        <f aca="false">IF(J5326&lt;0,1,0)</f>
        <v>1</v>
      </c>
      <c r="K5328" s="20" t="n">
        <f aca="false">IF(K5326&lt;0,1,0)</f>
        <v>1</v>
      </c>
    </row>
    <row r="5329" customFormat="false" ht="15" hidden="false" customHeight="false" outlineLevel="0" collapsed="false">
      <c r="A5329" s="3" t="s">
        <v>378</v>
      </c>
      <c r="C5329" s="20" t="n">
        <f aca="false">IFERROR(INDEX($G$5197:$K$5197,MATCH(1,$G$5328:$K$5328,0)),0)</f>
        <v>2027</v>
      </c>
    </row>
    <row r="5330" customFormat="false" ht="15" hidden="false" customHeight="false" outlineLevel="0" collapsed="false">
      <c r="A5330" s="3" t="s">
        <v>379</v>
      </c>
      <c r="C5330" s="21" t="n">
        <f aca="false">MIN($G$5327:$K$5327)</f>
        <v>-1.46455999278199</v>
      </c>
    </row>
    <row r="5331" customFormat="false" ht="15" hidden="false" customHeight="false" outlineLevel="0" collapsed="false">
      <c r="A5331" s="23" t="s">
        <v>380</v>
      </c>
      <c r="B5331" s="24"/>
      <c r="C5331" s="24"/>
      <c r="D5331" s="24"/>
      <c r="E5331" s="24"/>
      <c r="F5331" s="24"/>
      <c r="G5331" s="24"/>
      <c r="H5331" s="24"/>
      <c r="I5331" s="24"/>
      <c r="J5331" s="24"/>
      <c r="K5331" s="24"/>
    </row>
    <row r="5332" customFormat="false" ht="15" hidden="false" customHeight="false" outlineLevel="0" collapsed="false">
      <c r="A5332" s="3" t="s">
        <v>373</v>
      </c>
      <c r="G5332" s="32" t="n">
        <f aca="false">IF(G5211&gt;0,G5207/G5211,99)</f>
        <v>1.36249400931694</v>
      </c>
      <c r="H5332" s="32" t="n">
        <f aca="false">IF(H5211&gt;0,H5207/H5211,99)</f>
        <v>1.03549544708087</v>
      </c>
      <c r="I5332" s="32" t="n">
        <f aca="false">IF(I5211&gt;0,I5207/I5211,99)</f>
        <v>0.882896118037376</v>
      </c>
      <c r="J5332" s="32" t="n">
        <f aca="false">IF(J5211&gt;0,J5207/J5211,99)</f>
        <v>0.904336989484213</v>
      </c>
      <c r="K5332" s="32" t="n">
        <f aca="false">IF(K5211&gt;0,K5207/K5211,99)</f>
        <v>0.85007677011516</v>
      </c>
    </row>
    <row r="5333" customFormat="false" ht="15" hidden="false" customHeight="false" outlineLevel="0" collapsed="false">
      <c r="A5333" s="3" t="s">
        <v>374</v>
      </c>
      <c r="G5333" s="33" t="n">
        <f aca="false">Assumptions!$G$66</f>
        <v>1.4</v>
      </c>
      <c r="H5333" s="33" t="n">
        <f aca="false">Assumptions!$H$66</f>
        <v>1.4</v>
      </c>
      <c r="I5333" s="33" t="n">
        <f aca="false">Assumptions!$I$66</f>
        <v>1.4</v>
      </c>
      <c r="J5333" s="33" t="n">
        <f aca="false">Assumptions!$J$66</f>
        <v>1.5</v>
      </c>
      <c r="K5333" s="33" t="n">
        <f aca="false">Assumptions!$K$66</f>
        <v>1.5</v>
      </c>
    </row>
    <row r="5334" customFormat="false" ht="15" hidden="false" customHeight="false" outlineLevel="0" collapsed="false">
      <c r="A5334" s="3" t="s">
        <v>375</v>
      </c>
      <c r="G5334" s="32" t="n">
        <f aca="false">G5332-G5333</f>
        <v>-0.0375059906830622</v>
      </c>
      <c r="H5334" s="32" t="n">
        <f aca="false">H5332-H5333</f>
        <v>-0.364504552919127</v>
      </c>
      <c r="I5334" s="32" t="n">
        <f aca="false">I5332-I5333</f>
        <v>-0.517103881962624</v>
      </c>
      <c r="J5334" s="32" t="n">
        <f aca="false">J5332-J5333</f>
        <v>-0.595663010515787</v>
      </c>
      <c r="K5334" s="32" t="n">
        <f aca="false">K5332-K5333</f>
        <v>-0.64992322988484</v>
      </c>
    </row>
    <row r="5335" customFormat="false" ht="15" hidden="false" customHeight="false" outlineLevel="0" collapsed="false">
      <c r="A5335" s="3" t="s">
        <v>376</v>
      </c>
      <c r="G5335" s="21" t="n">
        <f aca="false">IF(G5333=0,0,G5334/ABS(G5333))</f>
        <v>-0.0267899933450444</v>
      </c>
      <c r="H5335" s="21" t="n">
        <f aca="false">IF(H5333=0,0,H5334/ABS(H5333))</f>
        <v>-0.260360394942234</v>
      </c>
      <c r="I5335" s="21" t="n">
        <f aca="false">IF(I5333=0,0,I5334/ABS(I5333))</f>
        <v>-0.369359915687589</v>
      </c>
      <c r="J5335" s="21" t="n">
        <f aca="false">IF(J5333=0,0,J5334/ABS(J5333))</f>
        <v>-0.397108673677191</v>
      </c>
      <c r="K5335" s="21" t="n">
        <f aca="false">IF(K5333=0,0,K5334/ABS(K5333))</f>
        <v>-0.43328215325656</v>
      </c>
    </row>
    <row r="5336" customFormat="false" ht="15" hidden="false" customHeight="false" outlineLevel="0" collapsed="false">
      <c r="A5336" s="3" t="s">
        <v>377</v>
      </c>
      <c r="G5336" s="20" t="n">
        <f aca="false">IF(G5334&lt;0,1,0)</f>
        <v>1</v>
      </c>
      <c r="H5336" s="20" t="n">
        <f aca="false">IF(H5334&lt;0,1,0)</f>
        <v>1</v>
      </c>
      <c r="I5336" s="20" t="n">
        <f aca="false">IF(I5334&lt;0,1,0)</f>
        <v>1</v>
      </c>
      <c r="J5336" s="20" t="n">
        <f aca="false">IF(J5334&lt;0,1,0)</f>
        <v>1</v>
      </c>
      <c r="K5336" s="20" t="n">
        <f aca="false">IF(K5334&lt;0,1,0)</f>
        <v>1</v>
      </c>
    </row>
    <row r="5337" customFormat="false" ht="15" hidden="false" customHeight="false" outlineLevel="0" collapsed="false">
      <c r="A5337" s="3" t="s">
        <v>378</v>
      </c>
      <c r="C5337" s="20" t="n">
        <f aca="false">IFERROR(INDEX($G$5197:$K$5197,MATCH(1,$G$5336:$K$5336,0)),0)</f>
        <v>2027</v>
      </c>
    </row>
    <row r="5338" customFormat="false" ht="15" hidden="false" customHeight="false" outlineLevel="0" collapsed="false">
      <c r="A5338" s="3" t="s">
        <v>379</v>
      </c>
      <c r="C5338" s="21" t="n">
        <f aca="false">MIN($G$5335:$K$5335)</f>
        <v>-0.43328215325656</v>
      </c>
    </row>
    <row r="5339" customFormat="false" ht="15" hidden="false" customHeight="false" outlineLevel="0" collapsed="false">
      <c r="A5339" s="23" t="s">
        <v>381</v>
      </c>
      <c r="B5339" s="24"/>
      <c r="C5339" s="24"/>
      <c r="D5339" s="24"/>
      <c r="E5339" s="24"/>
      <c r="F5339" s="24"/>
      <c r="G5339" s="24"/>
      <c r="H5339" s="24"/>
      <c r="I5339" s="24"/>
      <c r="J5339" s="24"/>
      <c r="K5339" s="24"/>
    </row>
    <row r="5340" customFormat="false" ht="15" hidden="false" customHeight="false" outlineLevel="0" collapsed="false">
      <c r="A5340" s="3" t="s">
        <v>373</v>
      </c>
      <c r="G5340" s="25" t="n">
        <f aca="false">G5318</f>
        <v>470.30436184</v>
      </c>
      <c r="H5340" s="25" t="n">
        <f aca="false">H5318</f>
        <v>431.6426834272</v>
      </c>
      <c r="I5340" s="25" t="n">
        <f aca="false">I5318</f>
        <v>0</v>
      </c>
      <c r="J5340" s="25" t="n">
        <f aca="false">J5318</f>
        <v>0</v>
      </c>
      <c r="K5340" s="25" t="n">
        <f aca="false">K5318</f>
        <v>0</v>
      </c>
    </row>
    <row r="5341" customFormat="false" ht="15" hidden="false" customHeight="false" outlineLevel="0" collapsed="false">
      <c r="A5341" s="3" t="s">
        <v>374</v>
      </c>
      <c r="G5341" s="29" t="n">
        <f aca="false">Assumptions!$G$67</f>
        <v>200</v>
      </c>
      <c r="H5341" s="29" t="n">
        <f aca="false">Assumptions!$H$67</f>
        <v>200</v>
      </c>
      <c r="I5341" s="29" t="n">
        <f aca="false">Assumptions!$I$67</f>
        <v>200</v>
      </c>
      <c r="J5341" s="29" t="n">
        <f aca="false">Assumptions!$J$67</f>
        <v>200</v>
      </c>
      <c r="K5341" s="29" t="n">
        <f aca="false">Assumptions!$K$67</f>
        <v>200</v>
      </c>
    </row>
    <row r="5342" customFormat="false" ht="15" hidden="false" customHeight="false" outlineLevel="0" collapsed="false">
      <c r="A5342" s="3" t="s">
        <v>375</v>
      </c>
      <c r="G5342" s="25" t="n">
        <f aca="false">G5340-G5341</f>
        <v>270.30436184</v>
      </c>
      <c r="H5342" s="25" t="n">
        <f aca="false">H5340-H5341</f>
        <v>231.6426834272</v>
      </c>
      <c r="I5342" s="25" t="n">
        <f aca="false">I5340-I5341</f>
        <v>-200</v>
      </c>
      <c r="J5342" s="25" t="n">
        <f aca="false">J5340-J5341</f>
        <v>-200</v>
      </c>
      <c r="K5342" s="25" t="n">
        <f aca="false">K5340-K5341</f>
        <v>-200</v>
      </c>
    </row>
    <row r="5343" customFormat="false" ht="15" hidden="false" customHeight="false" outlineLevel="0" collapsed="false">
      <c r="A5343" s="3" t="s">
        <v>376</v>
      </c>
      <c r="G5343" s="21" t="n">
        <f aca="false">IF(G5341=0,0,G5342/ABS(G5341))</f>
        <v>1.3515218092</v>
      </c>
      <c r="H5343" s="21" t="n">
        <f aca="false">IF(H5341=0,0,H5342/ABS(H5341))</f>
        <v>1.158213417136</v>
      </c>
      <c r="I5343" s="21" t="n">
        <f aca="false">IF(I5341=0,0,I5342/ABS(I5341))</f>
        <v>-1</v>
      </c>
      <c r="J5343" s="21" t="n">
        <f aca="false">IF(J5341=0,0,J5342/ABS(J5341))</f>
        <v>-1</v>
      </c>
      <c r="K5343" s="21" t="n">
        <f aca="false">IF(K5341=0,0,K5342/ABS(K5341))</f>
        <v>-1</v>
      </c>
    </row>
    <row r="5344" customFormat="false" ht="15" hidden="false" customHeight="false" outlineLevel="0" collapsed="false">
      <c r="A5344" s="3" t="s">
        <v>377</v>
      </c>
      <c r="G5344" s="20" t="n">
        <f aca="false">IF(G5342&lt;0,1,0)</f>
        <v>0</v>
      </c>
      <c r="H5344" s="20" t="n">
        <f aca="false">IF(H5342&lt;0,1,0)</f>
        <v>0</v>
      </c>
      <c r="I5344" s="20" t="n">
        <f aca="false">IF(I5342&lt;0,1,0)</f>
        <v>1</v>
      </c>
      <c r="J5344" s="20" t="n">
        <f aca="false">IF(J5342&lt;0,1,0)</f>
        <v>1</v>
      </c>
      <c r="K5344" s="20" t="n">
        <f aca="false">IF(K5342&lt;0,1,0)</f>
        <v>1</v>
      </c>
    </row>
    <row r="5345" customFormat="false" ht="15" hidden="false" customHeight="false" outlineLevel="0" collapsed="false">
      <c r="A5345" s="3" t="s">
        <v>378</v>
      </c>
      <c r="C5345" s="20" t="n">
        <f aca="false">IFERROR(INDEX($G$5197:$K$5197,MATCH(1,$G$5344:$K$5344,0)),0)</f>
        <v>2029</v>
      </c>
    </row>
    <row r="5346" customFormat="false" ht="15" hidden="false" customHeight="false" outlineLevel="0" collapsed="false">
      <c r="A5346" s="3" t="s">
        <v>379</v>
      </c>
      <c r="C5346" s="21" t="n">
        <f aca="false">MIN($G$5343:$K$5343)</f>
        <v>-1</v>
      </c>
    </row>
    <row r="5347" customFormat="false" ht="15" hidden="false" customHeight="false" outlineLevel="0" collapsed="false">
      <c r="A5347" s="3" t="s">
        <v>382</v>
      </c>
      <c r="G5347" s="20" t="n">
        <f aca="false">G5328+G5336+G5344</f>
        <v>2</v>
      </c>
      <c r="H5347" s="20" t="n">
        <f aca="false">H5328+H5336+H5344</f>
        <v>2</v>
      </c>
      <c r="I5347" s="20" t="n">
        <f aca="false">I5328+I5336+I5344</f>
        <v>3</v>
      </c>
      <c r="J5347" s="20" t="n">
        <f aca="false">J5328+J5336+J5344</f>
        <v>3</v>
      </c>
      <c r="K5347" s="20" t="n">
        <f aca="false">K5328+K5336+K5344</f>
        <v>3</v>
      </c>
    </row>
    <row r="5348" customFormat="false" ht="15" hidden="false" customHeight="false" outlineLevel="0" collapsed="false">
      <c r="A5348" s="3" t="s">
        <v>383</v>
      </c>
      <c r="C5348" s="20" t="n">
        <f aca="false">SUM($G$5347:$K$5347)</f>
        <v>13</v>
      </c>
    </row>
    <row r="5349" customFormat="false" ht="15" hidden="false" customHeight="false" outlineLevel="0" collapsed="false">
      <c r="A5349" s="3" t="s">
        <v>384</v>
      </c>
      <c r="C5349" s="21" t="n">
        <f aca="false">MIN(C5330,C5338,C5346)</f>
        <v>-1.46455999278199</v>
      </c>
    </row>
    <row r="5351" customFormat="false" ht="15" hidden="false" customHeight="false" outlineLevel="0" collapsed="false">
      <c r="A5351" s="23" t="s">
        <v>486</v>
      </c>
      <c r="B5351" s="24"/>
      <c r="C5351" s="24"/>
      <c r="D5351" s="24"/>
      <c r="E5351" s="24"/>
      <c r="F5351" s="24"/>
      <c r="G5351" s="24"/>
      <c r="H5351" s="24"/>
      <c r="I5351" s="24"/>
      <c r="J5351" s="24"/>
      <c r="K5351" s="24"/>
    </row>
    <row r="5352" customFormat="false" ht="15" hidden="false" customHeight="false" outlineLevel="0" collapsed="false">
      <c r="A5352" s="3" t="s">
        <v>487</v>
      </c>
      <c r="G5352" s="20" t="n">
        <f aca="false">IF($C$5353=1,G5305,IF(G5207=MIN($G$5207:$K$5207),1,0))</f>
        <v>0</v>
      </c>
      <c r="H5352" s="20" t="n">
        <f aca="false">IF($C$5353=1,H5305,IF(AND(H5207=MIN($G$5207:$K$5207),SUM($G$5352:G5352)=0),1,0))</f>
        <v>0</v>
      </c>
      <c r="I5352" s="20" t="n">
        <f aca="false">IF($C$5353=1,I5305,IF(AND(I5207=MIN($G$5207:$K$5207),SUM($G$5352:H5352)=0),1,0))</f>
        <v>1</v>
      </c>
      <c r="J5352" s="20" t="n">
        <f aca="false">IF($C$5353=1,J5305,IF(AND(J5207=MIN($G$5207:$K$5207),SUM($G$5352:I5352)=0),1,0))</f>
        <v>0</v>
      </c>
      <c r="K5352" s="20" t="n">
        <f aca="false">IF($C$5353=1,K5305,IF(AND(K5207=MIN($G$5207:$K$5207),SUM($G$5352:J5352)=0),1,0))</f>
        <v>0</v>
      </c>
    </row>
    <row r="5353" customFormat="false" ht="15" hidden="false" customHeight="false" outlineLevel="0" collapsed="false">
      <c r="A5353" s="3" t="s">
        <v>488</v>
      </c>
      <c r="C5353" s="20" t="n">
        <f aca="false">IF(SUM($G$5305:$K$5305)&gt;0,1,0)</f>
        <v>1</v>
      </c>
    </row>
    <row r="5354" customFormat="false" ht="15" hidden="false" customHeight="false" outlineLevel="0" collapsed="false">
      <c r="A5354" s="3" t="s">
        <v>489</v>
      </c>
      <c r="C5354" s="20" t="n">
        <f aca="false">SUMPRODUCT($G$5352:$K$5352,$G$5197:$K$5197)</f>
        <v>2029</v>
      </c>
    </row>
    <row r="5355" customFormat="false" ht="15" hidden="false" customHeight="false" outlineLevel="0" collapsed="false">
      <c r="A5355" s="3" t="s">
        <v>490</v>
      </c>
      <c r="C5355" s="25" t="n">
        <f aca="false">SUMPRODUCT($G$5352:$K$5352,$G$5207:$K$5207)</f>
        <v>137.6917727328</v>
      </c>
    </row>
    <row r="5356" customFormat="false" ht="15" hidden="false" customHeight="false" outlineLevel="0" collapsed="false">
      <c r="A5356" s="3" t="s">
        <v>491</v>
      </c>
      <c r="C5356" s="25" t="n">
        <f aca="false">MAX(0,SUMPRODUCT($G$5352:$K$5352,$G$5302:$K$5302))</f>
        <v>0</v>
      </c>
    </row>
    <row r="5357" customFormat="false" ht="15" hidden="false" customHeight="false" outlineLevel="0" collapsed="false">
      <c r="A5357" s="3" t="s">
        <v>492</v>
      </c>
      <c r="C5357" s="25" t="n">
        <f aca="false">(CHOOSE($C$5190,Assumptions!$C$84,Assumptions!$C$103,Assumptions!$C$122)+$C$5194)*C5355</f>
        <v>550.7670909312</v>
      </c>
    </row>
    <row r="5358" customFormat="false" ht="15" hidden="false" customHeight="false" outlineLevel="0" collapsed="false">
      <c r="A5358" s="3" t="s">
        <v>493</v>
      </c>
      <c r="C5358" s="25" t="n">
        <f aca="false">Assumptions!$C$30*(1-CHOOSE($C$5190,Assumptions!$C$85,Assumptions!$C$104,Assumptions!$C$123))*CHOOSE($C$5190,Assumptions!$C$86,Assumptions!$C$105,Assumptions!$C$124)</f>
        <v>478.719345</v>
      </c>
    </row>
    <row r="5359" customFormat="false" ht="15" hidden="false" customHeight="false" outlineLevel="0" collapsed="false">
      <c r="A5359" s="3" t="s">
        <v>494</v>
      </c>
      <c r="C5359" s="25" t="n">
        <f aca="false">MAX(C5357,C5358)+C5356</f>
        <v>550.7670909312</v>
      </c>
    </row>
    <row r="5360" customFormat="false" ht="15" hidden="false" customHeight="false" outlineLevel="0" collapsed="false">
      <c r="A5360" s="2" t="s">
        <v>495</v>
      </c>
      <c r="C5360" s="16" t="n">
        <f aca="false">IF(ISNUMBER(Assumptions!$C$14),Assumptions!$C$14,C5359)</f>
        <v>550.7670909312</v>
      </c>
    </row>
    <row r="5361" customFormat="false" ht="15" hidden="false" customHeight="false" outlineLevel="0" collapsed="false">
      <c r="A5361" s="3" t="s">
        <v>496</v>
      </c>
      <c r="C5361" s="25" t="n">
        <f aca="false">C5360*Assumptions!$C$15</f>
        <v>22.030683637248</v>
      </c>
    </row>
    <row r="5362" customFormat="false" ht="15" hidden="false" customHeight="false" outlineLevel="0" collapsed="false">
      <c r="A5362" s="2" t="s">
        <v>497</v>
      </c>
      <c r="C5362" s="16" t="n">
        <f aca="false">C5360-C5361</f>
        <v>528.736407293952</v>
      </c>
    </row>
    <row r="5363" customFormat="false" ht="15" hidden="false" customHeight="false" outlineLevel="0" collapsed="false">
      <c r="A5363" s="23" t="s">
        <v>498</v>
      </c>
      <c r="B5363" s="24"/>
      <c r="C5363" s="24"/>
      <c r="D5363" s="24"/>
      <c r="E5363" s="24"/>
      <c r="F5363" s="24"/>
      <c r="G5363" s="24"/>
      <c r="H5363" s="24"/>
      <c r="I5363" s="24"/>
      <c r="J5363" s="24"/>
      <c r="K5363" s="24"/>
    </row>
    <row r="5364" customFormat="false" ht="15" hidden="false" customHeight="false" outlineLevel="0" collapsed="false">
      <c r="A5364" s="3" t="s">
        <v>499</v>
      </c>
      <c r="C5364" s="25" t="n">
        <f aca="false">SUMPRODUCT($G$5352:$K$5352,$G$5244:$K$5244)*(1+SUMPRODUCT($G$5352:$K$5352,$G$5236:$K$5236)*Assumptions!$C$16/12)</f>
        <v>1349.6193225</v>
      </c>
    </row>
    <row r="5365" customFormat="false" ht="15" hidden="false" customHeight="false" outlineLevel="0" collapsed="false">
      <c r="A5365" s="3" t="s">
        <v>500</v>
      </c>
      <c r="C5365" s="25" t="n">
        <f aca="false">SUMPRODUCT($G$5352:$K$5352,$G$5257:$K$5257)*(1+SUMPRODUCT($G$5352:$K$5352,$G$5249:$K$5249)*Assumptions!$C$16/12)</f>
        <v>0</v>
      </c>
    </row>
    <row r="5366" customFormat="false" ht="15" hidden="false" customHeight="false" outlineLevel="0" collapsed="false">
      <c r="A5366" s="3" t="s">
        <v>501</v>
      </c>
      <c r="C5366" s="25" t="n">
        <f aca="false">SUMPRODUCT($G$5352:$K$5352,$G$5270:$K$5270)*(1+SUMPRODUCT($G$5352:$K$5352,$G$5262:$K$5262)*Assumptions!$C$16/12)</f>
        <v>47.3516590928305</v>
      </c>
    </row>
    <row r="5367" customFormat="false" ht="15" hidden="false" customHeight="false" outlineLevel="0" collapsed="false">
      <c r="A5367" s="23" t="s">
        <v>502</v>
      </c>
      <c r="B5367" s="24"/>
      <c r="C5367" s="24"/>
      <c r="D5367" s="24"/>
      <c r="E5367" s="24"/>
      <c r="F5367" s="24"/>
      <c r="G5367" s="24"/>
      <c r="H5367" s="24"/>
      <c r="I5367" s="24"/>
      <c r="J5367" s="24"/>
      <c r="K5367" s="24"/>
    </row>
    <row r="5368" customFormat="false" ht="15" hidden="false" customHeight="false" outlineLevel="0" collapsed="false">
      <c r="A5368" s="3" t="s">
        <v>499</v>
      </c>
      <c r="C5368" s="27" t="n">
        <f aca="false">Assumptions!$M$56</f>
        <v>1</v>
      </c>
    </row>
    <row r="5369" customFormat="false" ht="15" hidden="false" customHeight="false" outlineLevel="0" collapsed="false">
      <c r="A5369" s="3" t="s">
        <v>500</v>
      </c>
      <c r="C5369" s="27" t="n">
        <f aca="false">Assumptions!$M$57</f>
        <v>2</v>
      </c>
    </row>
    <row r="5370" customFormat="false" ht="15" hidden="false" customHeight="false" outlineLevel="0" collapsed="false">
      <c r="A5370" s="3" t="s">
        <v>501</v>
      </c>
      <c r="C5370" s="27" t="n">
        <f aca="false">Assumptions!$M$58</f>
        <v>2</v>
      </c>
    </row>
    <row r="5371" customFormat="false" ht="15" hidden="false" customHeight="false" outlineLevel="0" collapsed="false">
      <c r="A5371" s="23" t="s">
        <v>503</v>
      </c>
      <c r="B5371" s="24"/>
      <c r="C5371" s="24"/>
      <c r="D5371" s="24"/>
      <c r="E5371" s="24"/>
      <c r="F5371" s="24"/>
      <c r="G5371" s="24"/>
      <c r="H5371" s="24"/>
      <c r="I5371" s="24"/>
      <c r="J5371" s="24"/>
      <c r="K5371" s="24"/>
    </row>
    <row r="5372" customFormat="false" ht="15" hidden="false" customHeight="false" outlineLevel="0" collapsed="false">
      <c r="A5372" s="3" t="s">
        <v>499</v>
      </c>
      <c r="C5372" s="35" t="n">
        <f aca="false">Assumptions!$Q$56</f>
        <v>0</v>
      </c>
    </row>
    <row r="5373" customFormat="false" ht="15" hidden="false" customHeight="false" outlineLevel="0" collapsed="false">
      <c r="A5373" s="3" t="s">
        <v>500</v>
      </c>
      <c r="C5373" s="35" t="n">
        <f aca="false">Assumptions!$Q$57</f>
        <v>0</v>
      </c>
    </row>
    <row r="5374" customFormat="false" ht="15" hidden="false" customHeight="false" outlineLevel="0" collapsed="false">
      <c r="A5374" s="3" t="s">
        <v>501</v>
      </c>
      <c r="C5374" s="35" t="n">
        <f aca="false">Assumptions!$Q$58</f>
        <v>0</v>
      </c>
    </row>
    <row r="5375" customFormat="false" ht="15" hidden="false" customHeight="false" outlineLevel="0" collapsed="false">
      <c r="A5375" s="23" t="s">
        <v>504</v>
      </c>
      <c r="B5375" s="24"/>
      <c r="C5375" s="24"/>
      <c r="D5375" s="24"/>
      <c r="E5375" s="24"/>
      <c r="F5375" s="24"/>
      <c r="G5375" s="24"/>
      <c r="H5375" s="24"/>
      <c r="I5375" s="24"/>
      <c r="J5375" s="24"/>
      <c r="K5375" s="24"/>
    </row>
    <row r="5376" customFormat="false" ht="15" hidden="false" customHeight="false" outlineLevel="0" collapsed="false">
      <c r="A5376" s="3" t="s">
        <v>499</v>
      </c>
      <c r="C5376" s="25" t="n">
        <f aca="false">IF(C5372&gt;0,MIN(C5364,C5372*$C$5362),0)</f>
        <v>0</v>
      </c>
    </row>
    <row r="5377" customFormat="false" ht="15" hidden="false" customHeight="false" outlineLevel="0" collapsed="false">
      <c r="A5377" s="3" t="s">
        <v>500</v>
      </c>
      <c r="C5377" s="25" t="n">
        <f aca="false">IF(C5373&gt;0,MIN(C5365,C5373*$C$5362),0)</f>
        <v>0</v>
      </c>
    </row>
    <row r="5378" customFormat="false" ht="15" hidden="false" customHeight="false" outlineLevel="0" collapsed="false">
      <c r="A5378" s="3" t="s">
        <v>501</v>
      </c>
      <c r="C5378" s="25" t="n">
        <f aca="false">IF(C5374&gt;0,MIN(C5366,C5374*$C$5362),0)</f>
        <v>0</v>
      </c>
    </row>
    <row r="5379" customFormat="false" ht="15" hidden="false" customHeight="false" outlineLevel="0" collapsed="false">
      <c r="A5379" s="23" t="s">
        <v>505</v>
      </c>
      <c r="B5379" s="24"/>
      <c r="C5379" s="24"/>
      <c r="D5379" s="24"/>
      <c r="E5379" s="24"/>
      <c r="F5379" s="24"/>
      <c r="G5379" s="24"/>
      <c r="H5379" s="24"/>
      <c r="I5379" s="24"/>
      <c r="J5379" s="24"/>
      <c r="K5379" s="24"/>
    </row>
    <row r="5380" customFormat="false" ht="15" hidden="false" customHeight="false" outlineLevel="0" collapsed="false">
      <c r="A5380" s="3" t="s">
        <v>499</v>
      </c>
      <c r="C5380" s="25" t="n">
        <f aca="false">IF(C5372&gt;0,C5364-C5376,0)</f>
        <v>0</v>
      </c>
      <c r="G5380" s="20" t="n">
        <f aca="false">IF(AND(G5234=1,G5231=1),1,0)</f>
        <v>0</v>
      </c>
      <c r="H5380" s="20" t="n">
        <f aca="false">IF(G5380=1,1,IF(AND(H5234=1,H5231=1),1,0))</f>
        <v>0</v>
      </c>
      <c r="I5380" s="20" t="n">
        <f aca="false">IF(H5380=1,1,IF(AND(I5234=1,I5231=1),1,0))</f>
        <v>0</v>
      </c>
      <c r="J5380" s="20" t="n">
        <f aca="false">IF(I5380=1,1,IF(AND(J5234=1,J5231=1),1,0))</f>
        <v>0</v>
      </c>
      <c r="K5380" s="20" t="n">
        <f aca="false">IF(J5380=1,1,IF(AND(K5234=1,K5231=1),1,0))</f>
        <v>0</v>
      </c>
    </row>
    <row r="5381" customFormat="false" ht="15" hidden="false" customHeight="false" outlineLevel="0" collapsed="false">
      <c r="A5381" s="3" t="s">
        <v>500</v>
      </c>
      <c r="C5381" s="25" t="n">
        <f aca="false">IF(C5373&gt;0,C5365-C5377,0)</f>
        <v>0</v>
      </c>
      <c r="G5381" s="20" t="n">
        <f aca="false">IF(AND(G5247=1,G5231=1),1,0)</f>
        <v>0</v>
      </c>
      <c r="H5381" s="20" t="n">
        <f aca="false">IF(G5381=1,1,IF(AND(H5247=1,H5231=1),1,0))</f>
        <v>0</v>
      </c>
      <c r="I5381" s="20" t="n">
        <f aca="false">IF(H5381=1,1,IF(AND(I5247=1,I5231=1),1,0))</f>
        <v>0</v>
      </c>
      <c r="J5381" s="20" t="n">
        <f aca="false">IF(I5381=1,1,IF(AND(J5247=1,J5231=1),1,0))</f>
        <v>0</v>
      </c>
      <c r="K5381" s="20" t="n">
        <f aca="false">IF(J5381=1,1,IF(AND(K5247=1,K5231=1),1,0))</f>
        <v>0</v>
      </c>
    </row>
    <row r="5382" customFormat="false" ht="15" hidden="false" customHeight="false" outlineLevel="0" collapsed="false">
      <c r="A5382" s="3" t="s">
        <v>501</v>
      </c>
      <c r="C5382" s="25" t="n">
        <f aca="false">IF(C5374&gt;0,C5366-C5378,0)</f>
        <v>0</v>
      </c>
      <c r="G5382" s="20" t="n">
        <f aca="false">IF(AND(G5260=1,G5231=1),1,0)</f>
        <v>0</v>
      </c>
      <c r="H5382" s="20" t="n">
        <f aca="false">IF(G5382=1,1,IF(AND(H5260=1,H5231=1),1,0))</f>
        <v>0</v>
      </c>
      <c r="I5382" s="20" t="n">
        <f aca="false">IF(H5382=1,1,IF(AND(I5260=1,I5231=1),1,0))</f>
        <v>0</v>
      </c>
      <c r="J5382" s="20" t="n">
        <f aca="false">IF(I5382=1,1,IF(AND(J5260=1,J5231=1),1,0))</f>
        <v>0</v>
      </c>
      <c r="K5382" s="20" t="n">
        <f aca="false">IF(J5382=1,1,IF(AND(K5260=1,K5231=1),1,0))</f>
        <v>0</v>
      </c>
    </row>
    <row r="5383" customFormat="false" ht="15" hidden="false" customHeight="false" outlineLevel="0" collapsed="false">
      <c r="A5383" s="23" t="s">
        <v>506</v>
      </c>
      <c r="B5383" s="24"/>
      <c r="C5383" s="24"/>
      <c r="D5383" s="24"/>
      <c r="E5383" s="24"/>
      <c r="F5383" s="24"/>
      <c r="G5383" s="24"/>
      <c r="H5383" s="24"/>
      <c r="I5383" s="24"/>
      <c r="J5383" s="24"/>
      <c r="K5383" s="24"/>
    </row>
    <row r="5384" customFormat="false" ht="15" hidden="false" customHeight="false" outlineLevel="0" collapsed="false">
      <c r="A5384" s="3" t="s">
        <v>499</v>
      </c>
      <c r="C5384" s="25" t="n">
        <f aca="false">IF(C5372&gt;0,C5380,C5364)</f>
        <v>1349.6193225</v>
      </c>
    </row>
    <row r="5385" customFormat="false" ht="15" hidden="false" customHeight="false" outlineLevel="0" collapsed="false">
      <c r="A5385" s="3" t="s">
        <v>500</v>
      </c>
      <c r="C5385" s="25" t="n">
        <f aca="false">IF(C5373&gt;0,C5381,C5365)</f>
        <v>0</v>
      </c>
    </row>
    <row r="5386" customFormat="false" ht="15" hidden="false" customHeight="false" outlineLevel="0" collapsed="false">
      <c r="A5386" s="3" t="s">
        <v>501</v>
      </c>
      <c r="C5386" s="25" t="n">
        <f aca="false">IF(C5374&gt;0,C5382,C5366)</f>
        <v>47.3516590928305</v>
      </c>
    </row>
    <row r="5387" customFormat="false" ht="15" hidden="false" customHeight="false" outlineLevel="0" collapsed="false">
      <c r="A5387" s="23" t="s">
        <v>507</v>
      </c>
      <c r="B5387" s="24"/>
      <c r="C5387" s="24"/>
      <c r="D5387" s="24"/>
      <c r="E5387" s="24"/>
      <c r="F5387" s="24"/>
      <c r="G5387" s="24"/>
      <c r="H5387" s="24"/>
      <c r="I5387" s="24"/>
      <c r="J5387" s="24"/>
      <c r="K5387" s="24"/>
    </row>
    <row r="5388" customFormat="false" ht="15" hidden="false" customHeight="false" outlineLevel="0" collapsed="false">
      <c r="A5388" s="3" t="s">
        <v>499</v>
      </c>
      <c r="C5388" s="20" t="n">
        <f aca="false">IF(C5372&gt;0,Assumptions!$C$17,C5368)</f>
        <v>1</v>
      </c>
    </row>
    <row r="5389" customFormat="false" ht="15" hidden="false" customHeight="false" outlineLevel="0" collapsed="false">
      <c r="A5389" s="3" t="s">
        <v>500</v>
      </c>
      <c r="C5389" s="20" t="n">
        <f aca="false">IF(C5373&gt;0,Assumptions!$C$17,C5369)</f>
        <v>2</v>
      </c>
    </row>
    <row r="5390" customFormat="false" ht="15" hidden="false" customHeight="false" outlineLevel="0" collapsed="false">
      <c r="A5390" s="3" t="s">
        <v>501</v>
      </c>
      <c r="C5390" s="20" t="n">
        <f aca="false">IF(C5374&gt;0,Assumptions!$C$17,C5370)</f>
        <v>2</v>
      </c>
    </row>
    <row r="5391" customFormat="false" ht="15" hidden="false" customHeight="false" outlineLevel="0" collapsed="false">
      <c r="A5391" s="23" t="s">
        <v>508</v>
      </c>
      <c r="B5391" s="24"/>
      <c r="C5391" s="24"/>
      <c r="D5391" s="24"/>
      <c r="E5391" s="24"/>
      <c r="F5391" s="24"/>
      <c r="G5391" s="24"/>
      <c r="H5391" s="24"/>
      <c r="I5391" s="24"/>
      <c r="J5391" s="24"/>
      <c r="K5391" s="24"/>
    </row>
    <row r="5392" customFormat="false" ht="15" hidden="false" customHeight="false" outlineLevel="0" collapsed="false">
      <c r="A5392" s="3" t="s">
        <v>499</v>
      </c>
      <c r="C5392" s="25" t="n">
        <f aca="false">SUMPRODUCT(($C$5388:$C$5390&lt;C5388)*$C$5384:$C$5386)</f>
        <v>0</v>
      </c>
    </row>
    <row r="5393" customFormat="false" ht="15" hidden="false" customHeight="false" outlineLevel="0" collapsed="false">
      <c r="A5393" s="3" t="s">
        <v>500</v>
      </c>
      <c r="C5393" s="25" t="n">
        <f aca="false">SUMPRODUCT(($C$5388:$C$5390&lt;C5389)*$C$5384:$C$5386)</f>
        <v>1349.6193225</v>
      </c>
    </row>
    <row r="5394" customFormat="false" ht="15" hidden="false" customHeight="false" outlineLevel="0" collapsed="false">
      <c r="A5394" s="3" t="s">
        <v>501</v>
      </c>
      <c r="C5394" s="25" t="n">
        <f aca="false">SUMPRODUCT(($C$5388:$C$5390&lt;C5390)*$C$5384:$C$5386)</f>
        <v>1349.6193225</v>
      </c>
    </row>
    <row r="5395" customFormat="false" ht="15" hidden="false" customHeight="false" outlineLevel="0" collapsed="false">
      <c r="A5395" s="23" t="s">
        <v>509</v>
      </c>
      <c r="B5395" s="24"/>
      <c r="C5395" s="24"/>
      <c r="D5395" s="24"/>
      <c r="E5395" s="24"/>
      <c r="F5395" s="24"/>
      <c r="G5395" s="24"/>
      <c r="H5395" s="24"/>
      <c r="I5395" s="24"/>
      <c r="J5395" s="24"/>
      <c r="K5395" s="24"/>
    </row>
    <row r="5396" customFormat="false" ht="15" hidden="false" customHeight="false" outlineLevel="0" collapsed="false">
      <c r="A5396" s="3" t="s">
        <v>499</v>
      </c>
      <c r="C5396" s="25" t="n">
        <f aca="false">SUMPRODUCT(($C$5388:$C$5390=C5388)*$C$5384:$C$5386)</f>
        <v>1349.6193225</v>
      </c>
    </row>
    <row r="5397" customFormat="false" ht="15" hidden="false" customHeight="false" outlineLevel="0" collapsed="false">
      <c r="A5397" s="3" t="s">
        <v>500</v>
      </c>
      <c r="C5397" s="25" t="n">
        <f aca="false">SUMPRODUCT(($C$5388:$C$5390=C5389)*$C$5384:$C$5386)</f>
        <v>47.3516590928305</v>
      </c>
    </row>
    <row r="5398" customFormat="false" ht="15" hidden="false" customHeight="false" outlineLevel="0" collapsed="false">
      <c r="A5398" s="3" t="s">
        <v>501</v>
      </c>
      <c r="C5398" s="25" t="n">
        <f aca="false">SUMPRODUCT(($C$5388:$C$5390=C5390)*$C$5384:$C$5386)</f>
        <v>47.3516590928305</v>
      </c>
    </row>
    <row r="5399" customFormat="false" ht="15" hidden="false" customHeight="false" outlineLevel="0" collapsed="false">
      <c r="A5399" s="23" t="s">
        <v>510</v>
      </c>
      <c r="B5399" s="24"/>
      <c r="C5399" s="24"/>
      <c r="D5399" s="24"/>
      <c r="E5399" s="24"/>
      <c r="F5399" s="24"/>
      <c r="G5399" s="24"/>
      <c r="H5399" s="24"/>
      <c r="I5399" s="24"/>
      <c r="J5399" s="24"/>
      <c r="K5399" s="24"/>
    </row>
    <row r="5400" customFormat="false" ht="15" hidden="false" customHeight="false" outlineLevel="0" collapsed="false">
      <c r="A5400" s="3" t="s">
        <v>499</v>
      </c>
      <c r="C5400" s="25" t="n">
        <f aca="false">IF(C5396=0,0,C5384/C5396*MAX(0,MIN(C5396,$C$5362-SUM($C$5376:$C$5378)-C5392)))</f>
        <v>528.736407293952</v>
      </c>
    </row>
    <row r="5401" customFormat="false" ht="15" hidden="false" customHeight="false" outlineLevel="0" collapsed="false">
      <c r="A5401" s="3" t="s">
        <v>500</v>
      </c>
      <c r="C5401" s="25" t="n">
        <f aca="false">IF(C5397=0,0,C5385/C5397*MAX(0,MIN(C5397,$C$5362-SUM($C$5376:$C$5378)-C5393)))</f>
        <v>0</v>
      </c>
    </row>
    <row r="5402" customFormat="false" ht="15" hidden="false" customHeight="false" outlineLevel="0" collapsed="false">
      <c r="A5402" s="3" t="s">
        <v>501</v>
      </c>
      <c r="C5402" s="25" t="n">
        <f aca="false">IF(C5398=0,0,C5386/C5398*MAX(0,MIN(C5398,$C$5362-SUM($C$5376:$C$5378)-C5394)))</f>
        <v>0</v>
      </c>
    </row>
    <row r="5403" customFormat="false" ht="15" hidden="false" customHeight="false" outlineLevel="0" collapsed="false">
      <c r="A5403" s="23" t="s">
        <v>511</v>
      </c>
      <c r="B5403" s="24"/>
      <c r="C5403" s="24"/>
      <c r="D5403" s="24"/>
      <c r="E5403" s="24"/>
      <c r="F5403" s="24"/>
      <c r="G5403" s="24"/>
      <c r="H5403" s="24"/>
      <c r="I5403" s="24"/>
      <c r="J5403" s="24"/>
      <c r="K5403" s="24"/>
    </row>
    <row r="5404" customFormat="false" ht="15" hidden="false" customHeight="false" outlineLevel="0" collapsed="false">
      <c r="A5404" s="2" t="s">
        <v>499</v>
      </c>
      <c r="C5404" s="16" t="n">
        <f aca="false">C5376+C5400</f>
        <v>528.736407293952</v>
      </c>
    </row>
    <row r="5405" customFormat="false" ht="15" hidden="false" customHeight="false" outlineLevel="0" collapsed="false">
      <c r="A5405" s="2" t="s">
        <v>500</v>
      </c>
      <c r="C5405" s="16" t="n">
        <f aca="false">C5377+C5401</f>
        <v>0</v>
      </c>
    </row>
    <row r="5406" customFormat="false" ht="15" hidden="false" customHeight="false" outlineLevel="0" collapsed="false">
      <c r="A5406" s="2" t="s">
        <v>501</v>
      </c>
      <c r="C5406" s="16" t="n">
        <f aca="false">C5378+C5402</f>
        <v>0</v>
      </c>
    </row>
    <row r="5407" customFormat="false" ht="15" hidden="false" customHeight="false" outlineLevel="0" collapsed="false">
      <c r="A5407" s="23" t="s">
        <v>512</v>
      </c>
      <c r="B5407" s="24"/>
      <c r="C5407" s="24"/>
      <c r="D5407" s="24"/>
      <c r="E5407" s="24"/>
      <c r="F5407" s="24"/>
      <c r="G5407" s="24"/>
      <c r="H5407" s="24"/>
      <c r="I5407" s="24"/>
      <c r="J5407" s="24"/>
      <c r="K5407" s="24"/>
    </row>
    <row r="5408" customFormat="false" ht="15" hidden="false" customHeight="false" outlineLevel="0" collapsed="false">
      <c r="A5408" s="3" t="s">
        <v>499</v>
      </c>
      <c r="C5408" s="21" t="n">
        <f aca="false">IF(C5364=0,1,C5404/C5364)</f>
        <v>0.391767069779747</v>
      </c>
    </row>
    <row r="5409" customFormat="false" ht="15" hidden="false" customHeight="false" outlineLevel="0" collapsed="false">
      <c r="A5409" s="3" t="s">
        <v>500</v>
      </c>
      <c r="C5409" s="21" t="n">
        <f aca="false">IF(C5365=0,1,C5405/C5365)</f>
        <v>1</v>
      </c>
    </row>
    <row r="5410" customFormat="false" ht="15" hidden="false" customHeight="false" outlineLevel="0" collapsed="false">
      <c r="A5410" s="3" t="s">
        <v>501</v>
      </c>
      <c r="C5410" s="21" t="n">
        <f aca="false">IF(C5366=0,1,C5406/C5366)</f>
        <v>0</v>
      </c>
    </row>
    <row r="5411" customFormat="false" ht="15" hidden="false" customHeight="false" outlineLevel="0" collapsed="false">
      <c r="A5411" s="23" t="s">
        <v>513</v>
      </c>
      <c r="B5411" s="24"/>
      <c r="C5411" s="24"/>
      <c r="D5411" s="24"/>
      <c r="E5411" s="24"/>
      <c r="F5411" s="24"/>
      <c r="G5411" s="24"/>
      <c r="H5411" s="24"/>
      <c r="I5411" s="24"/>
      <c r="J5411" s="24"/>
      <c r="K5411" s="24"/>
    </row>
    <row r="5412" customFormat="false" ht="15" hidden="false" customHeight="false" outlineLevel="0" collapsed="false">
      <c r="A5412" s="3" t="s">
        <v>499</v>
      </c>
      <c r="C5412" s="25" t="n">
        <f aca="false">C5364-C5404</f>
        <v>820.882915206048</v>
      </c>
    </row>
    <row r="5413" customFormat="false" ht="15" hidden="false" customHeight="false" outlineLevel="0" collapsed="false">
      <c r="A5413" s="3" t="s">
        <v>500</v>
      </c>
      <c r="C5413" s="25" t="n">
        <f aca="false">C5365-C5405</f>
        <v>0</v>
      </c>
    </row>
    <row r="5414" customFormat="false" ht="15" hidden="false" customHeight="false" outlineLevel="0" collapsed="false">
      <c r="A5414" s="3" t="s">
        <v>501</v>
      </c>
      <c r="C5414" s="25" t="n">
        <f aca="false">C5366-C5406</f>
        <v>47.3516590928305</v>
      </c>
    </row>
    <row r="5415" customFormat="false" ht="15" hidden="false" customHeight="false" outlineLevel="0" collapsed="false">
      <c r="A5415" s="23" t="s">
        <v>514</v>
      </c>
      <c r="B5415" s="24"/>
      <c r="C5415" s="24"/>
      <c r="D5415" s="24"/>
      <c r="E5415" s="24"/>
      <c r="F5415" s="24"/>
      <c r="G5415" s="24"/>
      <c r="H5415" s="24"/>
      <c r="I5415" s="24"/>
      <c r="J5415" s="24"/>
      <c r="K5415" s="24"/>
    </row>
    <row r="5416" customFormat="false" ht="15" hidden="false" customHeight="false" outlineLevel="0" collapsed="false">
      <c r="A5416" s="3" t="s">
        <v>499</v>
      </c>
      <c r="C5416" s="21" t="n">
        <f aca="false">IF(C5364=0,0,C5412/C5364)</f>
        <v>0.608232930220253</v>
      </c>
    </row>
    <row r="5417" customFormat="false" ht="15" hidden="false" customHeight="false" outlineLevel="0" collapsed="false">
      <c r="A5417" s="3" t="s">
        <v>500</v>
      </c>
      <c r="C5417" s="21" t="n">
        <f aca="false">IF(C5365=0,0,C5413/C5365)</f>
        <v>0</v>
      </c>
    </row>
    <row r="5418" customFormat="false" ht="15" hidden="false" customHeight="false" outlineLevel="0" collapsed="false">
      <c r="A5418" s="3" t="s">
        <v>501</v>
      </c>
      <c r="C5418" s="21" t="n">
        <f aca="false">IF(C5366=0,0,C5414/C5366)</f>
        <v>1</v>
      </c>
    </row>
    <row r="5419" customFormat="false" ht="15" hidden="false" customHeight="false" outlineLevel="0" collapsed="false">
      <c r="A5419" s="2" t="s">
        <v>515</v>
      </c>
      <c r="C5419" s="16" t="n">
        <f aca="false">MAX(0,$C$5362-SUM($C$5376:$C$5378)-SUM($C$5384:$C$5386))</f>
        <v>0</v>
      </c>
    </row>
    <row r="5420" customFormat="false" ht="15" hidden="false" customHeight="false" outlineLevel="0" collapsed="false">
      <c r="A5420" s="3" t="s">
        <v>516</v>
      </c>
      <c r="C5420" s="25" t="n">
        <f aca="false">SUM($C$5404:$C$5406)+C5419+C5361-C5360</f>
        <v>0</v>
      </c>
    </row>
    <row r="5422" customFormat="false" ht="15" hidden="false" customHeight="false" outlineLevel="0" collapsed="false">
      <c r="A5422" s="23" t="s">
        <v>519</v>
      </c>
      <c r="B5422" s="24"/>
      <c r="C5422" s="24"/>
      <c r="D5422" s="24"/>
      <c r="E5422" s="24"/>
      <c r="F5422" s="24"/>
      <c r="G5422" s="24"/>
      <c r="H5422" s="24"/>
      <c r="I5422" s="24"/>
      <c r="J5422" s="24"/>
      <c r="K5422" s="24"/>
    </row>
    <row r="5423" customFormat="false" ht="15" hidden="false" customHeight="false" outlineLevel="0" collapsed="false">
      <c r="A5423" s="3" t="s">
        <v>520</v>
      </c>
      <c r="C5423" s="27" t="n">
        <f aca="false">Assumptions!$C$33</f>
        <v>1</v>
      </c>
    </row>
    <row r="5424" customFormat="false" ht="15" hidden="false" customHeight="false" outlineLevel="0" collapsed="false">
      <c r="A5424" s="3" t="s">
        <v>521</v>
      </c>
      <c r="C5424" s="29" t="n">
        <f aca="false">Assumptions!$C$34</f>
        <v>100</v>
      </c>
    </row>
    <row r="5425" customFormat="false" ht="15" hidden="false" customHeight="false" outlineLevel="0" collapsed="false">
      <c r="A5425" s="3" t="s">
        <v>522</v>
      </c>
      <c r="C5425" s="40" t="n">
        <f aca="false">Assumptions!$C$35</f>
        <v>95</v>
      </c>
    </row>
    <row r="5426" customFormat="false" ht="15" hidden="false" customHeight="false" outlineLevel="0" collapsed="false">
      <c r="A5426" s="3" t="s">
        <v>523</v>
      </c>
      <c r="C5426" s="25" t="n">
        <f aca="false">C5424*C5425/100*(1+Assumptions!$C$36)</f>
        <v>95</v>
      </c>
    </row>
    <row r="5427" customFormat="false" ht="15" hidden="false" customHeight="false" outlineLevel="0" collapsed="false">
      <c r="A5427" s="3" t="s">
        <v>524</v>
      </c>
      <c r="C5427" s="27" t="n">
        <f aca="false">Assumptions!$C$37</f>
        <v>3</v>
      </c>
    </row>
    <row r="5428" customFormat="false" ht="15" hidden="false" customHeight="false" outlineLevel="0" collapsed="false">
      <c r="A5428" s="3" t="s">
        <v>525</v>
      </c>
      <c r="C5428" s="20" t="n">
        <f aca="false">IF(C5353=1,SUMPRODUCT($G$5305:$K$5305,$G$5198:$K$5198),0)</f>
        <v>3</v>
      </c>
    </row>
    <row r="5429" customFormat="false" ht="15" hidden="false" customHeight="false" outlineLevel="0" collapsed="false">
      <c r="A5429" s="3" t="s">
        <v>526</v>
      </c>
      <c r="C5429" s="21" t="n">
        <f aca="false">IFERROR(C5424/CHOOSE(C5423,SUMPRODUCT($G$5352:$K$5352,$G$5244:$K$5244),SUMPRODUCT($G$5352:$K$5352,$G$5257:$K$5257),SUMPRODUCT($G$5352:$K$5352,$G$5270:$K$5270)),0)</f>
        <v>0.0760399605200525</v>
      </c>
    </row>
    <row r="5430" customFormat="false" ht="15" hidden="false" customHeight="false" outlineLevel="0" collapsed="false">
      <c r="A5430" s="3" t="s">
        <v>527</v>
      </c>
      <c r="C5430" s="25" t="n">
        <f aca="false">CHOOSE(C5423,C5404,C5405,C5406)*C5429</f>
        <v>40.2050955361465</v>
      </c>
    </row>
    <row r="5431" customFormat="false" ht="15" hidden="false" customHeight="false" outlineLevel="0" collapsed="false">
      <c r="A5431" s="3" t="s">
        <v>528</v>
      </c>
      <c r="C5431" s="21" t="n">
        <f aca="false">CHOOSE(C5423,C5408,C5409,C5410)</f>
        <v>0.391767069779747</v>
      </c>
    </row>
    <row r="5432" customFormat="false" ht="15" hidden="false" customHeight="false" outlineLevel="0" collapsed="false">
      <c r="A5432" s="3" t="s">
        <v>529</v>
      </c>
      <c r="C5432" s="20" t="n">
        <f aca="false">IF(C5353=1,C5428,C5427)</f>
        <v>3</v>
      </c>
    </row>
    <row r="5433" customFormat="false" ht="15" hidden="false" customHeight="false" outlineLevel="0" collapsed="false">
      <c r="A5433" s="3" t="s">
        <v>530</v>
      </c>
      <c r="C5433" s="34" t="n">
        <f aca="false">CHOOSE($C$5190,Assumptions!$C$83,Assumptions!$C$102,Assumptions!$C$121)</f>
        <v>80</v>
      </c>
    </row>
    <row r="5434" customFormat="false" ht="15" hidden="false" customHeight="false" outlineLevel="0" collapsed="false">
      <c r="A5434" s="3" t="s">
        <v>531</v>
      </c>
      <c r="C5434" s="25" t="n">
        <f aca="false">INDEX($G$5207:$K$5207,C5427)*CHOOSE($C$5190,Assumptions!$C$82,Assumptions!$C$101,Assumptions!$C$120)+MAX(0,INDEX($G$5302:$K$5302,C5427))</f>
        <v>550.7670909312</v>
      </c>
    </row>
    <row r="5435" customFormat="false" ht="15" hidden="false" customHeight="false" outlineLevel="0" collapsed="false">
      <c r="A5435" s="23" t="s">
        <v>532</v>
      </c>
      <c r="B5435" s="24"/>
      <c r="C5435" s="24"/>
      <c r="D5435" s="24"/>
      <c r="E5435" s="24"/>
      <c r="F5435" s="24"/>
      <c r="G5435" s="24"/>
      <c r="H5435" s="24"/>
      <c r="I5435" s="24"/>
      <c r="J5435" s="24"/>
      <c r="K5435" s="24"/>
    </row>
    <row r="5436" customFormat="false" ht="15" hidden="false" customHeight="false" outlineLevel="0" collapsed="false">
      <c r="A5436" s="3" t="s">
        <v>499</v>
      </c>
      <c r="C5436" s="25" t="n">
        <f aca="false">INDEX($G$5244:$K$5244,C5427)</f>
        <v>1315.098</v>
      </c>
    </row>
    <row r="5437" customFormat="false" ht="15" hidden="false" customHeight="false" outlineLevel="0" collapsed="false">
      <c r="A5437" s="3" t="s">
        <v>500</v>
      </c>
      <c r="C5437" s="25" t="n">
        <f aca="false">INDEX($G$5257:$K$5257,C5427)</f>
        <v>0</v>
      </c>
    </row>
    <row r="5438" customFormat="false" ht="15" hidden="false" customHeight="false" outlineLevel="0" collapsed="false">
      <c r="A5438" s="3" t="s">
        <v>501</v>
      </c>
      <c r="C5438" s="25" t="n">
        <f aca="false">INDEX($G$5270:$K$5270,C5427)</f>
        <v>46.8538370739201</v>
      </c>
    </row>
    <row r="5439" customFormat="false" ht="15" hidden="false" customHeight="false" outlineLevel="0" collapsed="false">
      <c r="A5439" s="23" t="s">
        <v>502</v>
      </c>
      <c r="B5439" s="24"/>
      <c r="C5439" s="24"/>
      <c r="D5439" s="24"/>
      <c r="E5439" s="24"/>
      <c r="F5439" s="24"/>
      <c r="G5439" s="24"/>
      <c r="H5439" s="24"/>
      <c r="I5439" s="24"/>
      <c r="J5439" s="24"/>
      <c r="K5439" s="24"/>
    </row>
    <row r="5440" customFormat="false" ht="15" hidden="false" customHeight="false" outlineLevel="0" collapsed="false">
      <c r="A5440" s="3" t="s">
        <v>499</v>
      </c>
      <c r="C5440" s="27" t="n">
        <f aca="false">Assumptions!$M$56</f>
        <v>1</v>
      </c>
    </row>
    <row r="5441" customFormat="false" ht="15" hidden="false" customHeight="false" outlineLevel="0" collapsed="false">
      <c r="A5441" s="3" t="s">
        <v>500</v>
      </c>
      <c r="C5441" s="27" t="n">
        <f aca="false">Assumptions!$M$57</f>
        <v>2</v>
      </c>
    </row>
    <row r="5442" customFormat="false" ht="15" hidden="false" customHeight="false" outlineLevel="0" collapsed="false">
      <c r="A5442" s="3" t="s">
        <v>501</v>
      </c>
      <c r="C5442" s="27" t="n">
        <f aca="false">Assumptions!$M$58</f>
        <v>2</v>
      </c>
    </row>
    <row r="5443" customFormat="false" ht="15" hidden="false" customHeight="false" outlineLevel="0" collapsed="false">
      <c r="A5443" s="23" t="s">
        <v>503</v>
      </c>
      <c r="B5443" s="24"/>
      <c r="C5443" s="24"/>
      <c r="D5443" s="24"/>
      <c r="E5443" s="24"/>
      <c r="F5443" s="24"/>
      <c r="G5443" s="24"/>
      <c r="H5443" s="24"/>
      <c r="I5443" s="24"/>
      <c r="J5443" s="24"/>
      <c r="K5443" s="24"/>
    </row>
    <row r="5444" customFormat="false" ht="15" hidden="false" customHeight="false" outlineLevel="0" collapsed="false">
      <c r="A5444" s="3" t="s">
        <v>499</v>
      </c>
      <c r="C5444" s="35" t="n">
        <f aca="false">Assumptions!$Q$56</f>
        <v>0</v>
      </c>
    </row>
    <row r="5445" customFormat="false" ht="15" hidden="false" customHeight="false" outlineLevel="0" collapsed="false">
      <c r="A5445" s="3" t="s">
        <v>500</v>
      </c>
      <c r="C5445" s="35" t="n">
        <f aca="false">Assumptions!$Q$57</f>
        <v>0</v>
      </c>
    </row>
    <row r="5446" customFormat="false" ht="15" hidden="false" customHeight="false" outlineLevel="0" collapsed="false">
      <c r="A5446" s="3" t="s">
        <v>501</v>
      </c>
      <c r="C5446" s="35" t="n">
        <f aca="false">Assumptions!$Q$58</f>
        <v>0</v>
      </c>
    </row>
    <row r="5447" customFormat="false" ht="15" hidden="false" customHeight="false" outlineLevel="0" collapsed="false">
      <c r="A5447" s="23" t="s">
        <v>504</v>
      </c>
      <c r="B5447" s="24"/>
      <c r="C5447" s="24"/>
      <c r="D5447" s="24"/>
      <c r="E5447" s="24"/>
      <c r="F5447" s="24"/>
      <c r="G5447" s="24"/>
      <c r="H5447" s="24"/>
      <c r="I5447" s="24"/>
      <c r="J5447" s="24"/>
      <c r="K5447" s="24"/>
    </row>
    <row r="5448" customFormat="false" ht="15" hidden="false" customHeight="false" outlineLevel="0" collapsed="false">
      <c r="A5448" s="3" t="s">
        <v>499</v>
      </c>
      <c r="C5448" s="25" t="n">
        <f aca="false">IF(C5444&gt;0,MIN(C5436,C5444*$C$5434),0)</f>
        <v>0</v>
      </c>
    </row>
    <row r="5449" customFormat="false" ht="15" hidden="false" customHeight="false" outlineLevel="0" collapsed="false">
      <c r="A5449" s="3" t="s">
        <v>500</v>
      </c>
      <c r="C5449" s="25" t="n">
        <f aca="false">IF(C5445&gt;0,MIN(C5437,C5445*$C$5434),0)</f>
        <v>0</v>
      </c>
    </row>
    <row r="5450" customFormat="false" ht="15" hidden="false" customHeight="false" outlineLevel="0" collapsed="false">
      <c r="A5450" s="3" t="s">
        <v>501</v>
      </c>
      <c r="C5450" s="25" t="n">
        <f aca="false">IF(C5446&gt;0,MIN(C5438,C5446*$C$5434),0)</f>
        <v>0</v>
      </c>
    </row>
    <row r="5451" customFormat="false" ht="15" hidden="false" customHeight="false" outlineLevel="0" collapsed="false">
      <c r="A5451" s="23" t="s">
        <v>505</v>
      </c>
      <c r="B5451" s="24"/>
      <c r="C5451" s="24"/>
      <c r="D5451" s="24"/>
      <c r="E5451" s="24"/>
      <c r="F5451" s="24"/>
      <c r="G5451" s="24"/>
      <c r="H5451" s="24"/>
      <c r="I5451" s="24"/>
      <c r="J5451" s="24"/>
      <c r="K5451" s="24"/>
    </row>
    <row r="5452" customFormat="false" ht="15" hidden="false" customHeight="false" outlineLevel="0" collapsed="false">
      <c r="A5452" s="3" t="s">
        <v>499</v>
      </c>
      <c r="C5452" s="25" t="n">
        <f aca="false">IF(C5444&gt;0,C5436-C5448,0)</f>
        <v>0</v>
      </c>
    </row>
    <row r="5453" customFormat="false" ht="15" hidden="false" customHeight="false" outlineLevel="0" collapsed="false">
      <c r="A5453" s="3" t="s">
        <v>500</v>
      </c>
      <c r="C5453" s="25" t="n">
        <f aca="false">IF(C5445&gt;0,C5437-C5449,0)</f>
        <v>0</v>
      </c>
    </row>
    <row r="5454" customFormat="false" ht="15" hidden="false" customHeight="false" outlineLevel="0" collapsed="false">
      <c r="A5454" s="3" t="s">
        <v>501</v>
      </c>
      <c r="C5454" s="25" t="n">
        <f aca="false">IF(C5446&gt;0,C5438-C5450,0)</f>
        <v>0</v>
      </c>
    </row>
    <row r="5455" customFormat="false" ht="15" hidden="false" customHeight="false" outlineLevel="0" collapsed="false">
      <c r="A5455" s="23" t="s">
        <v>506</v>
      </c>
      <c r="B5455" s="24"/>
      <c r="C5455" s="24"/>
      <c r="D5455" s="24"/>
      <c r="E5455" s="24"/>
      <c r="F5455" s="24"/>
      <c r="G5455" s="24"/>
      <c r="H5455" s="24"/>
      <c r="I5455" s="24"/>
      <c r="J5455" s="24"/>
      <c r="K5455" s="24"/>
    </row>
    <row r="5456" customFormat="false" ht="15" hidden="false" customHeight="false" outlineLevel="0" collapsed="false">
      <c r="A5456" s="3" t="s">
        <v>499</v>
      </c>
      <c r="C5456" s="25" t="n">
        <f aca="false">IF(C5444&gt;0,C5452,C5436)</f>
        <v>1315.098</v>
      </c>
    </row>
    <row r="5457" customFormat="false" ht="15" hidden="false" customHeight="false" outlineLevel="0" collapsed="false">
      <c r="A5457" s="3" t="s">
        <v>500</v>
      </c>
      <c r="C5457" s="25" t="n">
        <f aca="false">IF(C5445&gt;0,C5453,C5437)</f>
        <v>0</v>
      </c>
    </row>
    <row r="5458" customFormat="false" ht="15" hidden="false" customHeight="false" outlineLevel="0" collapsed="false">
      <c r="A5458" s="3" t="s">
        <v>501</v>
      </c>
      <c r="C5458" s="25" t="n">
        <f aca="false">IF(C5446&gt;0,C5454,C5438)</f>
        <v>46.8538370739201</v>
      </c>
    </row>
    <row r="5459" customFormat="false" ht="15" hidden="false" customHeight="false" outlineLevel="0" collapsed="false">
      <c r="A5459" s="23" t="s">
        <v>507</v>
      </c>
      <c r="B5459" s="24"/>
      <c r="C5459" s="24"/>
      <c r="D5459" s="24"/>
      <c r="E5459" s="24"/>
      <c r="F5459" s="24"/>
      <c r="G5459" s="24"/>
      <c r="H5459" s="24"/>
      <c r="I5459" s="24"/>
      <c r="J5459" s="24"/>
      <c r="K5459" s="24"/>
    </row>
    <row r="5460" customFormat="false" ht="15" hidden="false" customHeight="false" outlineLevel="0" collapsed="false">
      <c r="A5460" s="3" t="s">
        <v>499</v>
      </c>
      <c r="C5460" s="20" t="n">
        <f aca="false">IF(C5444&gt;0,Assumptions!$C$17,C5440)</f>
        <v>1</v>
      </c>
    </row>
    <row r="5461" customFormat="false" ht="15" hidden="false" customHeight="false" outlineLevel="0" collapsed="false">
      <c r="A5461" s="3" t="s">
        <v>500</v>
      </c>
      <c r="C5461" s="20" t="n">
        <f aca="false">IF(C5445&gt;0,Assumptions!$C$17,C5441)</f>
        <v>2</v>
      </c>
    </row>
    <row r="5462" customFormat="false" ht="15" hidden="false" customHeight="false" outlineLevel="0" collapsed="false">
      <c r="A5462" s="3" t="s">
        <v>501</v>
      </c>
      <c r="C5462" s="20" t="n">
        <f aca="false">IF(C5446&gt;0,Assumptions!$C$17,C5442)</f>
        <v>2</v>
      </c>
    </row>
    <row r="5463" customFormat="false" ht="15" hidden="false" customHeight="false" outlineLevel="0" collapsed="false">
      <c r="A5463" s="23" t="s">
        <v>508</v>
      </c>
      <c r="B5463" s="24"/>
      <c r="C5463" s="24"/>
      <c r="D5463" s="24"/>
      <c r="E5463" s="24"/>
      <c r="F5463" s="24"/>
      <c r="G5463" s="24"/>
      <c r="H5463" s="24"/>
      <c r="I5463" s="24"/>
      <c r="J5463" s="24"/>
      <c r="K5463" s="24"/>
    </row>
    <row r="5464" customFormat="false" ht="15" hidden="false" customHeight="false" outlineLevel="0" collapsed="false">
      <c r="A5464" s="3" t="s">
        <v>499</v>
      </c>
      <c r="C5464" s="25" t="n">
        <f aca="false">SUMPRODUCT(($C$5460:$C$5462&lt;C5460)*$C$5456:$C$5458)</f>
        <v>0</v>
      </c>
    </row>
    <row r="5465" customFormat="false" ht="15" hidden="false" customHeight="false" outlineLevel="0" collapsed="false">
      <c r="A5465" s="3" t="s">
        <v>500</v>
      </c>
      <c r="C5465" s="25" t="n">
        <f aca="false">SUMPRODUCT(($C$5460:$C$5462&lt;C5461)*$C$5456:$C$5458)</f>
        <v>1315.098</v>
      </c>
    </row>
    <row r="5466" customFormat="false" ht="15" hidden="false" customHeight="false" outlineLevel="0" collapsed="false">
      <c r="A5466" s="3" t="s">
        <v>501</v>
      </c>
      <c r="C5466" s="25" t="n">
        <f aca="false">SUMPRODUCT(($C$5460:$C$5462&lt;C5462)*$C$5456:$C$5458)</f>
        <v>1315.098</v>
      </c>
    </row>
    <row r="5467" customFormat="false" ht="15" hidden="false" customHeight="false" outlineLevel="0" collapsed="false">
      <c r="A5467" s="23" t="s">
        <v>509</v>
      </c>
      <c r="B5467" s="24"/>
      <c r="C5467" s="24"/>
      <c r="D5467" s="24"/>
      <c r="E5467" s="24"/>
      <c r="F5467" s="24"/>
      <c r="G5467" s="24"/>
      <c r="H5467" s="24"/>
      <c r="I5467" s="24"/>
      <c r="J5467" s="24"/>
      <c r="K5467" s="24"/>
    </row>
    <row r="5468" customFormat="false" ht="15" hidden="false" customHeight="false" outlineLevel="0" collapsed="false">
      <c r="A5468" s="3" t="s">
        <v>499</v>
      </c>
      <c r="C5468" s="25" t="n">
        <f aca="false">SUMPRODUCT(($C$5460:$C$5462=C5460)*$C$5456:$C$5458)</f>
        <v>1315.098</v>
      </c>
    </row>
    <row r="5469" customFormat="false" ht="15" hidden="false" customHeight="false" outlineLevel="0" collapsed="false">
      <c r="A5469" s="3" t="s">
        <v>500</v>
      </c>
      <c r="C5469" s="25" t="n">
        <f aca="false">SUMPRODUCT(($C$5460:$C$5462=C5461)*$C$5456:$C$5458)</f>
        <v>46.8538370739201</v>
      </c>
    </row>
    <row r="5470" customFormat="false" ht="15" hidden="false" customHeight="false" outlineLevel="0" collapsed="false">
      <c r="A5470" s="3" t="s">
        <v>501</v>
      </c>
      <c r="C5470" s="25" t="n">
        <f aca="false">SUMPRODUCT(($C$5460:$C$5462=C5462)*$C$5456:$C$5458)</f>
        <v>46.8538370739201</v>
      </c>
    </row>
    <row r="5471" customFormat="false" ht="15" hidden="false" customHeight="false" outlineLevel="0" collapsed="false">
      <c r="A5471" s="23" t="s">
        <v>510</v>
      </c>
      <c r="B5471" s="24"/>
      <c r="C5471" s="24"/>
      <c r="D5471" s="24"/>
      <c r="E5471" s="24"/>
      <c r="F5471" s="24"/>
      <c r="G5471" s="24"/>
      <c r="H5471" s="24"/>
      <c r="I5471" s="24"/>
      <c r="J5471" s="24"/>
      <c r="K5471" s="24"/>
    </row>
    <row r="5472" customFormat="false" ht="15" hidden="false" customHeight="false" outlineLevel="0" collapsed="false">
      <c r="A5472" s="3" t="s">
        <v>499</v>
      </c>
      <c r="C5472" s="25" t="n">
        <f aca="false">IF(C5468=0,0,C5456/C5468*MAX(0,MIN(C5468,$C$5434-SUM($C$5448:$C$5450)-C5464)))</f>
        <v>550.7670909312</v>
      </c>
    </row>
    <row r="5473" customFormat="false" ht="15" hidden="false" customHeight="false" outlineLevel="0" collapsed="false">
      <c r="A5473" s="3" t="s">
        <v>500</v>
      </c>
      <c r="C5473" s="25" t="n">
        <f aca="false">IF(C5469=0,0,C5457/C5469*MAX(0,MIN(C5469,$C$5434-SUM($C$5448:$C$5450)-C5465)))</f>
        <v>0</v>
      </c>
    </row>
    <row r="5474" customFormat="false" ht="15" hidden="false" customHeight="false" outlineLevel="0" collapsed="false">
      <c r="A5474" s="3" t="s">
        <v>501</v>
      </c>
      <c r="C5474" s="25" t="n">
        <f aca="false">IF(C5470=0,0,C5458/C5470*MAX(0,MIN(C5470,$C$5434-SUM($C$5448:$C$5450)-C5466)))</f>
        <v>0</v>
      </c>
    </row>
    <row r="5475" customFormat="false" ht="15" hidden="false" customHeight="false" outlineLevel="0" collapsed="false">
      <c r="A5475" s="23" t="s">
        <v>511</v>
      </c>
      <c r="B5475" s="24"/>
      <c r="C5475" s="24"/>
      <c r="D5475" s="24"/>
      <c r="E5475" s="24"/>
      <c r="F5475" s="24"/>
      <c r="G5475" s="24"/>
      <c r="H5475" s="24"/>
      <c r="I5475" s="24"/>
      <c r="J5475" s="24"/>
      <c r="K5475" s="24"/>
    </row>
    <row r="5476" customFormat="false" ht="15" hidden="false" customHeight="false" outlineLevel="0" collapsed="false">
      <c r="A5476" s="2" t="s">
        <v>499</v>
      </c>
      <c r="C5476" s="16" t="n">
        <f aca="false">C5448+C5472</f>
        <v>550.7670909312</v>
      </c>
    </row>
    <row r="5477" customFormat="false" ht="15" hidden="false" customHeight="false" outlineLevel="0" collapsed="false">
      <c r="A5477" s="2" t="s">
        <v>500</v>
      </c>
      <c r="C5477" s="16" t="n">
        <f aca="false">C5449+C5473</f>
        <v>0</v>
      </c>
    </row>
    <row r="5478" customFormat="false" ht="15" hidden="false" customHeight="false" outlineLevel="0" collapsed="false">
      <c r="A5478" s="2" t="s">
        <v>501</v>
      </c>
      <c r="C5478" s="16" t="n">
        <f aca="false">C5450+C5474</f>
        <v>0</v>
      </c>
    </row>
    <row r="5479" customFormat="false" ht="15" hidden="false" customHeight="false" outlineLevel="0" collapsed="false">
      <c r="A5479" s="23" t="s">
        <v>512</v>
      </c>
      <c r="B5479" s="24"/>
      <c r="C5479" s="24"/>
      <c r="D5479" s="24"/>
      <c r="E5479" s="24"/>
      <c r="F5479" s="24"/>
      <c r="G5479" s="24"/>
      <c r="H5479" s="24"/>
      <c r="I5479" s="24"/>
      <c r="J5479" s="24"/>
      <c r="K5479" s="24"/>
    </row>
    <row r="5480" customFormat="false" ht="15" hidden="false" customHeight="false" outlineLevel="0" collapsed="false">
      <c r="A5480" s="3" t="s">
        <v>499</v>
      </c>
      <c r="C5480" s="21" t="n">
        <f aca="false">IF(C5436=0,1,C5476/C5436)</f>
        <v>0.418803078501526</v>
      </c>
    </row>
    <row r="5481" customFormat="false" ht="15" hidden="false" customHeight="false" outlineLevel="0" collapsed="false">
      <c r="A5481" s="3" t="s">
        <v>500</v>
      </c>
      <c r="C5481" s="21" t="n">
        <f aca="false">IF(C5437=0,1,C5477/C5437)</f>
        <v>1</v>
      </c>
    </row>
    <row r="5482" customFormat="false" ht="15" hidden="false" customHeight="false" outlineLevel="0" collapsed="false">
      <c r="A5482" s="3" t="s">
        <v>501</v>
      </c>
      <c r="C5482" s="21" t="n">
        <f aca="false">IF(C5438=0,1,C5478/C5438)</f>
        <v>0</v>
      </c>
    </row>
    <row r="5483" customFormat="false" ht="15" hidden="false" customHeight="false" outlineLevel="0" collapsed="false">
      <c r="A5483" s="23" t="s">
        <v>513</v>
      </c>
      <c r="B5483" s="24"/>
      <c r="C5483" s="24"/>
      <c r="D5483" s="24"/>
      <c r="E5483" s="24"/>
      <c r="F5483" s="24"/>
      <c r="G5483" s="24"/>
      <c r="H5483" s="24"/>
      <c r="I5483" s="24"/>
      <c r="J5483" s="24"/>
      <c r="K5483" s="24"/>
    </row>
    <row r="5484" customFormat="false" ht="15" hidden="false" customHeight="false" outlineLevel="0" collapsed="false">
      <c r="A5484" s="3" t="s">
        <v>499</v>
      </c>
      <c r="C5484" s="25" t="n">
        <f aca="false">C5436-C5476</f>
        <v>764.3309090688</v>
      </c>
    </row>
    <row r="5485" customFormat="false" ht="15" hidden="false" customHeight="false" outlineLevel="0" collapsed="false">
      <c r="A5485" s="3" t="s">
        <v>500</v>
      </c>
      <c r="C5485" s="25" t="n">
        <f aca="false">C5437-C5477</f>
        <v>0</v>
      </c>
    </row>
    <row r="5486" customFormat="false" ht="15" hidden="false" customHeight="false" outlineLevel="0" collapsed="false">
      <c r="A5486" s="3" t="s">
        <v>501</v>
      </c>
      <c r="C5486" s="25" t="n">
        <f aca="false">C5438-C5478</f>
        <v>46.8538370739201</v>
      </c>
    </row>
    <row r="5487" customFormat="false" ht="15" hidden="false" customHeight="false" outlineLevel="0" collapsed="false">
      <c r="A5487" s="23" t="s">
        <v>514</v>
      </c>
      <c r="B5487" s="24"/>
      <c r="C5487" s="24"/>
      <c r="D5487" s="24"/>
      <c r="E5487" s="24"/>
      <c r="F5487" s="24"/>
      <c r="G5487" s="24"/>
      <c r="H5487" s="24"/>
      <c r="I5487" s="24"/>
      <c r="J5487" s="24"/>
      <c r="K5487" s="24"/>
    </row>
    <row r="5488" customFormat="false" ht="15" hidden="false" customHeight="false" outlineLevel="0" collapsed="false">
      <c r="A5488" s="3" t="s">
        <v>499</v>
      </c>
      <c r="C5488" s="21" t="n">
        <f aca="false">IF(C5436=0,0,C5484/C5436)</f>
        <v>0.581196921498474</v>
      </c>
    </row>
    <row r="5489" customFormat="false" ht="15" hidden="false" customHeight="false" outlineLevel="0" collapsed="false">
      <c r="A5489" s="3" t="s">
        <v>500</v>
      </c>
      <c r="C5489" s="21" t="n">
        <f aca="false">IF(C5437=0,0,C5485/C5437)</f>
        <v>0</v>
      </c>
    </row>
    <row r="5490" customFormat="false" ht="15" hidden="false" customHeight="false" outlineLevel="0" collapsed="false">
      <c r="A5490" s="3" t="s">
        <v>501</v>
      </c>
      <c r="C5490" s="21" t="n">
        <f aca="false">IF(C5438=0,0,C5486/C5438)</f>
        <v>1</v>
      </c>
    </row>
    <row r="5491" customFormat="false" ht="15" hidden="false" customHeight="false" outlineLevel="0" collapsed="false">
      <c r="A5491" s="2" t="s">
        <v>515</v>
      </c>
      <c r="C5491" s="16" t="n">
        <f aca="false">MAX(0,$C$5434-SUM($C$5448:$C$5450)-SUM($C$5456:$C$5458))</f>
        <v>0</v>
      </c>
    </row>
    <row r="5492" customFormat="false" ht="15" hidden="false" customHeight="false" outlineLevel="0" collapsed="false">
      <c r="A5492" s="3" t="s">
        <v>533</v>
      </c>
      <c r="C5492" s="34" t="n">
        <f aca="false">MIN(C5433,100*CHOOSE(C5423,C5480,C5481,C5482))</f>
        <v>41.8803078501526</v>
      </c>
    </row>
    <row r="5493" customFormat="false" ht="15" hidden="false" customHeight="false" outlineLevel="0" collapsed="false">
      <c r="A5493" s="3" t="s">
        <v>534</v>
      </c>
      <c r="C5493" s="20" t="n">
        <f aca="false">IF(C5353=1,C5428+Assumptions!$C$39,C5427)</f>
        <v>4</v>
      </c>
    </row>
    <row r="5494" customFormat="false" ht="15" hidden="false" customHeight="false" outlineLevel="0" collapsed="false">
      <c r="A5494" s="23" t="s">
        <v>535</v>
      </c>
      <c r="B5494" s="24"/>
      <c r="C5494" s="24"/>
      <c r="D5494" s="24"/>
      <c r="E5494" s="24"/>
      <c r="F5494" s="24"/>
      <c r="G5494" s="24"/>
      <c r="H5494" s="24"/>
      <c r="I5494" s="24"/>
      <c r="J5494" s="24"/>
      <c r="K5494" s="24"/>
    </row>
    <row r="5495" customFormat="false" ht="15" hidden="false" customHeight="false" outlineLevel="0" collapsed="false">
      <c r="A5495" s="3" t="s">
        <v>536</v>
      </c>
      <c r="C5495" s="20" t="n">
        <f aca="false">COLUMN()-COLUMN($C$1)</f>
        <v>0</v>
      </c>
      <c r="D5495" s="20" t="n">
        <f aca="false">COLUMN()-COLUMN($C$1)</f>
        <v>1</v>
      </c>
      <c r="E5495" s="20" t="n">
        <f aca="false">COLUMN()-COLUMN($C$1)</f>
        <v>2</v>
      </c>
      <c r="F5495" s="20" t="n">
        <f aca="false">COLUMN()-COLUMN($C$1)</f>
        <v>3</v>
      </c>
      <c r="G5495" s="20" t="n">
        <f aca="false">COLUMN()-COLUMN($C$1)</f>
        <v>4</v>
      </c>
      <c r="H5495" s="20" t="n">
        <f aca="false">COLUMN()-COLUMN($C$1)</f>
        <v>5</v>
      </c>
      <c r="I5495" s="20" t="n">
        <f aca="false">COLUMN()-COLUMN($C$1)</f>
        <v>6</v>
      </c>
    </row>
    <row r="5496" customFormat="false" ht="15" hidden="false" customHeight="false" outlineLevel="0" collapsed="false">
      <c r="A5496" s="3" t="s">
        <v>537</v>
      </c>
      <c r="D5496" s="31" t="n">
        <f aca="false">CHOOSE($C$5423,G5236,G5249,G5262)</f>
        <v>0.105</v>
      </c>
      <c r="E5496" s="31" t="n">
        <f aca="false">CHOOSE($C$5423,H5236,H5249,H5262)</f>
        <v>0.105</v>
      </c>
      <c r="F5496" s="31" t="n">
        <f aca="false">CHOOSE($C$5423,I5236,I5249,I5262)</f>
        <v>0.105</v>
      </c>
      <c r="G5496" s="31" t="n">
        <f aca="false">CHOOSE($C$5423,J5236,J5249,J5262)</f>
        <v>0.105</v>
      </c>
      <c r="H5496" s="31" t="n">
        <f aca="false">CHOOSE($C$5423,K5236,K5249,K5262)</f>
        <v>0.105</v>
      </c>
    </row>
    <row r="5497" customFormat="false" ht="15" hidden="false" customHeight="false" outlineLevel="0" collapsed="false">
      <c r="A5497" s="3" t="s">
        <v>538</v>
      </c>
      <c r="D5497" s="25" t="n">
        <f aca="false">IF(D5495&lt;=$C$5432,$C$5424*D5496,0)</f>
        <v>10.5</v>
      </c>
      <c r="E5497" s="25" t="n">
        <f aca="false">IF(E5495&lt;=$C$5432,$C$5424*E5496,0)</f>
        <v>10.5</v>
      </c>
      <c r="F5497" s="25" t="n">
        <f aca="false">IF(F5495&lt;=$C$5432,$C$5424*F5496,0)</f>
        <v>10.5</v>
      </c>
      <c r="G5497" s="25" t="n">
        <f aca="false">IF(G5495&lt;=$C$5432,$C$5424*G5496,0)</f>
        <v>0</v>
      </c>
      <c r="H5497" s="25" t="n">
        <f aca="false">IF(H5495&lt;=$C$5432,$C$5424*H5496,0)</f>
        <v>0</v>
      </c>
    </row>
    <row r="5498" customFormat="false" ht="15" hidden="false" customHeight="false" outlineLevel="0" collapsed="false">
      <c r="A5498" s="3" t="s">
        <v>539</v>
      </c>
      <c r="D5498" s="25" t="n">
        <f aca="false">IF(AND($C$5353=0,D5495=$C$5427),$C$5424*$C$5492/100,0)+IF(AND($C$5353=1,D5495=$C$5493),$C$5430,0)</f>
        <v>0</v>
      </c>
      <c r="E5498" s="25" t="n">
        <f aca="false">IF(AND($C$5353=0,E5495=$C$5427),$C$5424*$C$5492/100,0)+IF(AND($C$5353=1,E5495=$C$5493),$C$5430,0)</f>
        <v>0</v>
      </c>
      <c r="F5498" s="25" t="n">
        <f aca="false">IF(AND($C$5353=0,F5495=$C$5427),$C$5424*$C$5492/100,0)+IF(AND($C$5353=1,F5495=$C$5493),$C$5430,0)</f>
        <v>0</v>
      </c>
      <c r="G5498" s="25" t="n">
        <f aca="false">IF(AND($C$5353=0,G5495=$C$5427),$C$5424*$C$5492/100,0)+IF(AND($C$5353=1,G5495=$C$5493),$C$5430,0)</f>
        <v>40.2050955361465</v>
      </c>
      <c r="H5498" s="25" t="n">
        <f aca="false">IF(AND($C$5353=0,H5495=$C$5427),$C$5424*$C$5492/100,0)+IF(AND($C$5353=1,H5495=$C$5493),$C$5430,0)</f>
        <v>0</v>
      </c>
      <c r="I5498" s="25" t="n">
        <f aca="false">IF(AND($C$5353=0,I5495=$C$5427),$C$5424*$C$5492/100,0)+IF(AND($C$5353=1,I5495=$C$5493),$C$5430,0)</f>
        <v>0</v>
      </c>
    </row>
    <row r="5499" customFormat="false" ht="15" hidden="false" customHeight="false" outlineLevel="0" collapsed="false">
      <c r="A5499" s="2" t="s">
        <v>540</v>
      </c>
      <c r="C5499" s="16" t="n">
        <f aca="false">-$C$5426</f>
        <v>-95</v>
      </c>
      <c r="D5499" s="16" t="n">
        <f aca="false">D5497+D5498</f>
        <v>10.5</v>
      </c>
      <c r="E5499" s="16" t="n">
        <f aca="false">E5497+E5498</f>
        <v>10.5</v>
      </c>
      <c r="F5499" s="16" t="n">
        <f aca="false">F5497+F5498</f>
        <v>10.5</v>
      </c>
      <c r="G5499" s="16" t="n">
        <f aca="false">G5497+G5498</f>
        <v>40.2050955361465</v>
      </c>
      <c r="H5499" s="16" t="n">
        <f aca="false">H5497+H5498</f>
        <v>0</v>
      </c>
      <c r="I5499" s="16" t="n">
        <f aca="false">I5497+I5498</f>
        <v>0</v>
      </c>
    </row>
    <row r="5500" customFormat="false" ht="15" hidden="false" customHeight="false" outlineLevel="0" collapsed="false">
      <c r="A5500" s="3" t="s">
        <v>541</v>
      </c>
      <c r="C5500" s="25" t="n">
        <f aca="false">SUM($C$5497:$I$5497)</f>
        <v>31.5</v>
      </c>
    </row>
    <row r="5501" customFormat="false" ht="15" hidden="false" customHeight="false" outlineLevel="0" collapsed="false">
      <c r="A5501" s="3" t="s">
        <v>542</v>
      </c>
      <c r="C5501" s="25" t="n">
        <f aca="false">SUM($C$5498:$I$5498)</f>
        <v>40.2050955361465</v>
      </c>
    </row>
    <row r="5502" customFormat="false" ht="15" hidden="false" customHeight="false" outlineLevel="0" collapsed="false">
      <c r="A5502" s="3" t="s">
        <v>543</v>
      </c>
      <c r="C5502" s="25" t="n">
        <f aca="false">C5500+C5501</f>
        <v>71.7050955361465</v>
      </c>
    </row>
    <row r="5503" customFormat="false" ht="15" hidden="false" customHeight="false" outlineLevel="0" collapsed="false">
      <c r="A5503" s="3" t="s">
        <v>544</v>
      </c>
      <c r="C5503" s="25" t="n">
        <f aca="false">C5501-C5424*C5425/100</f>
        <v>-54.7949044638535</v>
      </c>
    </row>
    <row r="5504" customFormat="false" ht="15" hidden="false" customHeight="false" outlineLevel="0" collapsed="false">
      <c r="A5504" s="3" t="s">
        <v>545</v>
      </c>
      <c r="C5504" s="25" t="n">
        <f aca="false">C5502-C5426</f>
        <v>-23.2949044638535</v>
      </c>
    </row>
    <row r="5505" customFormat="false" ht="15" hidden="false" customHeight="false" outlineLevel="0" collapsed="false">
      <c r="A5505" s="2" t="s">
        <v>427</v>
      </c>
      <c r="C5505" s="44" t="n">
        <f aca="false">C5502/C5426</f>
        <v>0.754790479327858</v>
      </c>
    </row>
    <row r="5506" customFormat="false" ht="15" hidden="false" customHeight="false" outlineLevel="0" collapsed="false">
      <c r="A5506" s="2" t="s">
        <v>426</v>
      </c>
      <c r="C5506" s="42" t="n">
        <f aca="false">IF(C5502&lt;=0,-1,IFERROR(IRR($C$5499:$I$5499,MAX(-0.9,C5505^(1/C5493)-1)),IRR($C$5499:$I$5499,0.1)))</f>
        <v>-0.0847564855019026</v>
      </c>
    </row>
    <row r="5507" customFormat="false" ht="15" hidden="false" customHeight="false" outlineLevel="0" collapsed="false">
      <c r="A5507" s="3" t="s">
        <v>546</v>
      </c>
      <c r="C5507" s="32" t="n">
        <f aca="false">MAX($G$5313:$K$5313)</f>
        <v>12.3227999639099</v>
      </c>
    </row>
    <row r="5508" customFormat="false" ht="15" hidden="false" customHeight="false" outlineLevel="0" collapsed="false">
      <c r="A5508" s="3" t="s">
        <v>547</v>
      </c>
      <c r="C5508" s="32" t="n">
        <f aca="false">MIN($G$5314:$K$5314)</f>
        <v>0.85007677011516</v>
      </c>
    </row>
    <row r="5509" customFormat="false" ht="15" hidden="false" customHeight="false" outlineLevel="0" collapsed="false">
      <c r="A5509" s="3" t="s">
        <v>548</v>
      </c>
      <c r="C5509" s="25" t="n">
        <f aca="false">SUM($G$5220:$K$5220)</f>
        <v>-195.789819199602</v>
      </c>
    </row>
    <row r="5513" customFormat="false" ht="15" hidden="false" customHeight="false" outlineLevel="0" collapsed="false">
      <c r="A5513" s="9" t="s">
        <v>1031</v>
      </c>
      <c r="B5513" s="10"/>
      <c r="C5513" s="10"/>
      <c r="D5513" s="10"/>
      <c r="E5513" s="10"/>
      <c r="F5513" s="10"/>
      <c r="G5513" s="10"/>
      <c r="H5513" s="10"/>
      <c r="I5513" s="10"/>
      <c r="J5513" s="10"/>
      <c r="K5513" s="10"/>
    </row>
    <row r="5514" customFormat="false" ht="15" hidden="false" customHeight="false" outlineLevel="0" collapsed="false">
      <c r="A5514" s="3" t="s">
        <v>1010</v>
      </c>
      <c r="C5514" s="11" t="n">
        <v>3</v>
      </c>
    </row>
    <row r="5515" customFormat="false" ht="15" hidden="false" customHeight="false" outlineLevel="0" collapsed="false">
      <c r="A5515" s="3" t="s">
        <v>1011</v>
      </c>
      <c r="C5515" s="18" t="n">
        <v>0</v>
      </c>
    </row>
    <row r="5516" customFormat="false" ht="15" hidden="false" customHeight="false" outlineLevel="0" collapsed="false">
      <c r="A5516" s="3" t="s">
        <v>1012</v>
      </c>
      <c r="C5516" s="30" t="n">
        <f aca="false">Sensitivities!$A$34</f>
        <v>0.04</v>
      </c>
    </row>
    <row r="5517" customFormat="false" ht="15" hidden="false" customHeight="false" outlineLevel="0" collapsed="false">
      <c r="A5517" s="3" t="s">
        <v>1013</v>
      </c>
      <c r="C5517" s="18" t="n">
        <v>0</v>
      </c>
    </row>
    <row r="5518" customFormat="false" ht="15" hidden="false" customHeight="false" outlineLevel="0" collapsed="false">
      <c r="A5518" s="3" t="s">
        <v>1014</v>
      </c>
      <c r="C5518" s="15" t="n">
        <v>0</v>
      </c>
    </row>
    <row r="5520" customFormat="false" ht="15" hidden="false" customHeight="false" outlineLevel="0" collapsed="false">
      <c r="A5520" s="23" t="s">
        <v>281</v>
      </c>
      <c r="B5520" s="24"/>
      <c r="C5520" s="24"/>
      <c r="D5520" s="24"/>
      <c r="E5520" s="24"/>
      <c r="F5520" s="24"/>
      <c r="G5520" s="24"/>
      <c r="H5520" s="24"/>
      <c r="I5520" s="24"/>
      <c r="J5520" s="24"/>
      <c r="K5520" s="24"/>
    </row>
    <row r="5521" customFormat="false" ht="15" hidden="false" customHeight="false" outlineLevel="0" collapsed="false">
      <c r="A5521" s="3" t="s">
        <v>282</v>
      </c>
      <c r="F5521" s="27" t="n">
        <f aca="false">Assumptions!$C$6</f>
        <v>2026</v>
      </c>
      <c r="G5521" s="20" t="n">
        <f aca="false">F5521+1</f>
        <v>2027</v>
      </c>
      <c r="H5521" s="20" t="n">
        <f aca="false">G5521+1</f>
        <v>2028</v>
      </c>
      <c r="I5521" s="20" t="n">
        <f aca="false">H5521+1</f>
        <v>2029</v>
      </c>
      <c r="J5521" s="20" t="n">
        <f aca="false">I5521+1</f>
        <v>2030</v>
      </c>
      <c r="K5521" s="20" t="n">
        <f aca="false">J5521+1</f>
        <v>2031</v>
      </c>
    </row>
    <row r="5522" customFormat="false" ht="15" hidden="false" customHeight="false" outlineLevel="0" collapsed="false">
      <c r="A5522" s="3" t="s">
        <v>283</v>
      </c>
      <c r="G5522" s="20" t="n">
        <f aca="false">G5521-Assumptions!$C$6</f>
        <v>1</v>
      </c>
      <c r="H5522" s="20" t="n">
        <f aca="false">H5521-Assumptions!$C$6</f>
        <v>2</v>
      </c>
      <c r="I5522" s="20" t="n">
        <f aca="false">I5521-Assumptions!$C$6</f>
        <v>3</v>
      </c>
      <c r="J5522" s="20" t="n">
        <f aca="false">J5521-Assumptions!$C$6</f>
        <v>4</v>
      </c>
      <c r="K5522" s="20" t="n">
        <f aca="false">K5521-Assumptions!$C$6</f>
        <v>5</v>
      </c>
    </row>
    <row r="5523" customFormat="false" ht="15" hidden="false" customHeight="false" outlineLevel="0" collapsed="false">
      <c r="A5523" s="3" t="s">
        <v>165</v>
      </c>
      <c r="G5523" s="21" t="n">
        <f aca="false">CHOOSE($C$5514,Assumptions!$G$71,Assumptions!$G$90,Assumptions!$G$109)+$C$5515</f>
        <v>-0.14</v>
      </c>
      <c r="H5523" s="21" t="n">
        <f aca="false">CHOOSE($C$5514,Assumptions!$H$71,Assumptions!$H$90,Assumptions!$H$109)+$C$5515</f>
        <v>-0.12</v>
      </c>
      <c r="I5523" s="21" t="n">
        <f aca="false">CHOOSE($C$5514,Assumptions!$I$71,Assumptions!$I$90,Assumptions!$I$109)+$C$5515</f>
        <v>-0.1</v>
      </c>
      <c r="J5523" s="21" t="n">
        <f aca="false">CHOOSE($C$5514,Assumptions!$J$71,Assumptions!$J$90,Assumptions!$J$109)+$C$5515</f>
        <v>-0.08</v>
      </c>
      <c r="K5523" s="21" t="n">
        <f aca="false">CHOOSE($C$5514,Assumptions!$K$71,Assumptions!$K$90,Assumptions!$K$109)+$C$5515</f>
        <v>-0.06</v>
      </c>
    </row>
    <row r="5524" customFormat="false" ht="15" hidden="false" customHeight="false" outlineLevel="0" collapsed="false">
      <c r="A5524" s="3" t="s">
        <v>166</v>
      </c>
      <c r="G5524" s="21" t="n">
        <f aca="false">CHOOSE($C$5514,Assumptions!$G$72,Assumptions!$G$91,Assumptions!$G$110)</f>
        <v>0.433246670103635</v>
      </c>
      <c r="H5524" s="21" t="n">
        <f aca="false">CHOOSE($C$5514,Assumptions!$H$72,Assumptions!$H$91,Assumptions!$H$110)</f>
        <v>0.418246670103635</v>
      </c>
      <c r="I5524" s="21" t="n">
        <f aca="false">CHOOSE($C$5514,Assumptions!$I$72,Assumptions!$I$91,Assumptions!$I$110)</f>
        <v>0.413246670103635</v>
      </c>
      <c r="J5524" s="21" t="n">
        <f aca="false">CHOOSE($C$5514,Assumptions!$J$72,Assumptions!$J$91,Assumptions!$J$110)</f>
        <v>0.413246670103635</v>
      </c>
      <c r="K5524" s="21" t="n">
        <f aca="false">CHOOSE($C$5514,Assumptions!$K$72,Assumptions!$K$91,Assumptions!$K$110)</f>
        <v>0.413246670103635</v>
      </c>
    </row>
    <row r="5525" customFormat="false" ht="15" hidden="false" customHeight="false" outlineLevel="0" collapsed="false">
      <c r="A5525" s="3" t="s">
        <v>167</v>
      </c>
      <c r="G5525" s="21" t="n">
        <f aca="false">CHOOSE($C$5514,Assumptions!$G$73,Assumptions!$G$92,Assumptions!$G$111)+$C$5516</f>
        <v>0.13</v>
      </c>
      <c r="H5525" s="21" t="n">
        <f aca="false">CHOOSE($C$5514,Assumptions!$H$73,Assumptions!$H$92,Assumptions!$H$111)+$C$5516</f>
        <v>0.115</v>
      </c>
      <c r="I5525" s="21" t="n">
        <f aca="false">CHOOSE($C$5514,Assumptions!$I$73,Assumptions!$I$92,Assumptions!$I$111)+$C$5516</f>
        <v>0.11</v>
      </c>
      <c r="J5525" s="21" t="n">
        <f aca="false">CHOOSE($C$5514,Assumptions!$J$73,Assumptions!$J$92,Assumptions!$J$111)+$C$5516</f>
        <v>0.11</v>
      </c>
      <c r="K5525" s="21" t="n">
        <f aca="false">CHOOSE($C$5514,Assumptions!$K$73,Assumptions!$K$92,Assumptions!$K$111)+$C$5516</f>
        <v>0.11</v>
      </c>
    </row>
    <row r="5526" customFormat="false" ht="15" hidden="false" customHeight="false" outlineLevel="0" collapsed="false">
      <c r="A5526" s="23" t="s">
        <v>284</v>
      </c>
      <c r="B5526" s="24"/>
      <c r="C5526" s="24"/>
      <c r="D5526" s="24"/>
      <c r="E5526" s="24"/>
      <c r="F5526" s="24"/>
      <c r="G5526" s="24"/>
      <c r="H5526" s="24"/>
      <c r="I5526" s="24"/>
      <c r="J5526" s="24"/>
      <c r="K5526" s="24"/>
    </row>
    <row r="5527" customFormat="false" ht="15" hidden="false" customHeight="false" outlineLevel="0" collapsed="false">
      <c r="A5527" s="2" t="s">
        <v>256</v>
      </c>
      <c r="F5527" s="28" t="n">
        <f aca="false">'Historical Financials'!G23</f>
        <v>2246.166</v>
      </c>
      <c r="G5527" s="16" t="n">
        <f aca="false">F5527*(1+G5523)</f>
        <v>1931.70276</v>
      </c>
      <c r="H5527" s="16" t="n">
        <f aca="false">G5527*(1+H5523)</f>
        <v>1699.8984288</v>
      </c>
      <c r="I5527" s="16" t="n">
        <f aca="false">H5527*(1+I5523)</f>
        <v>1529.90858592</v>
      </c>
      <c r="J5527" s="16" t="n">
        <f aca="false">I5527*(1+J5523)</f>
        <v>1407.5158990464</v>
      </c>
      <c r="K5527" s="16" t="n">
        <f aca="false">J5527*(1+K5523)</f>
        <v>1323.06494510362</v>
      </c>
    </row>
    <row r="5528" customFormat="false" ht="15" hidden="false" customHeight="false" outlineLevel="0" collapsed="false">
      <c r="A5528" s="3" t="s">
        <v>257</v>
      </c>
      <c r="G5528" s="25" t="n">
        <f aca="false">G5527*(1-G5524)</f>
        <v>1094.7989716</v>
      </c>
      <c r="H5528" s="25" t="n">
        <f aca="false">H5527*(1-H5524)</f>
        <v>988.92157144</v>
      </c>
      <c r="I5528" s="25" t="n">
        <f aca="false">I5527*(1-I5524)</f>
        <v>897.6789572256</v>
      </c>
      <c r="J5528" s="25" t="n">
        <f aca="false">J5527*(1-J5524)</f>
        <v>825.864640647552</v>
      </c>
      <c r="K5528" s="25" t="n">
        <f aca="false">K5527*(1-K5524)</f>
        <v>776.312762208699</v>
      </c>
    </row>
    <row r="5529" customFormat="false" ht="15" hidden="false" customHeight="false" outlineLevel="0" collapsed="false">
      <c r="A5529" s="2" t="s">
        <v>258</v>
      </c>
      <c r="G5529" s="16" t="n">
        <f aca="false">G5527-G5528</f>
        <v>836.9037884</v>
      </c>
      <c r="H5529" s="16" t="n">
        <f aca="false">H5527-H5528</f>
        <v>710.97685736</v>
      </c>
      <c r="I5529" s="16" t="n">
        <f aca="false">I5527-I5528</f>
        <v>632.2296286944</v>
      </c>
      <c r="J5529" s="16" t="n">
        <f aca="false">J5527-J5528</f>
        <v>581.651258398848</v>
      </c>
      <c r="K5529" s="16" t="n">
        <f aca="false">K5527-K5528</f>
        <v>546.752182894917</v>
      </c>
    </row>
    <row r="5530" customFormat="false" ht="15" hidden="false" customHeight="false" outlineLevel="0" collapsed="false">
      <c r="A5530" s="3" t="s">
        <v>285</v>
      </c>
      <c r="G5530" s="25" t="n">
        <f aca="false">G5529-G5531</f>
        <v>585.7824296</v>
      </c>
      <c r="H5530" s="25" t="n">
        <f aca="false">H5529-H5531</f>
        <v>515.488538048</v>
      </c>
      <c r="I5530" s="25" t="n">
        <f aca="false">I5529-I5531</f>
        <v>463.9396842432</v>
      </c>
      <c r="J5530" s="25" t="n">
        <f aca="false">J5529-J5531</f>
        <v>426.824509503744</v>
      </c>
      <c r="K5530" s="25" t="n">
        <f aca="false">K5529-K5531</f>
        <v>401.215038933519</v>
      </c>
    </row>
    <row r="5531" customFormat="false" ht="15" hidden="false" customHeight="false" outlineLevel="0" collapsed="false">
      <c r="A5531" s="2" t="s">
        <v>286</v>
      </c>
      <c r="G5531" s="16" t="n">
        <f aca="false">G5527*G5525</f>
        <v>251.1213588</v>
      </c>
      <c r="H5531" s="16" t="n">
        <f aca="false">H5527*H5525</f>
        <v>195.488319312</v>
      </c>
      <c r="I5531" s="16" t="n">
        <f aca="false">I5527*I5525</f>
        <v>168.2899444512</v>
      </c>
      <c r="J5531" s="16" t="n">
        <f aca="false">J5527*J5525</f>
        <v>154.826748895104</v>
      </c>
      <c r="K5531" s="16" t="n">
        <f aca="false">K5527*K5525</f>
        <v>145.537143961398</v>
      </c>
    </row>
    <row r="5532" customFormat="false" ht="15" hidden="false" customHeight="false" outlineLevel="0" collapsed="false">
      <c r="A5532" s="3" t="s">
        <v>287</v>
      </c>
      <c r="G5532" s="25" t="n">
        <f aca="false">G5527*'Historical Financials'!G28/'Historical Financials'!G23</f>
        <v>73.35456</v>
      </c>
      <c r="H5532" s="25" t="n">
        <f aca="false">H5527*'Historical Financials'!G28/'Historical Financials'!G23</f>
        <v>64.5520128</v>
      </c>
      <c r="I5532" s="25" t="n">
        <f aca="false">I5527*'Historical Financials'!G28/'Historical Financials'!G23</f>
        <v>58.09681152</v>
      </c>
      <c r="J5532" s="25" t="n">
        <f aca="false">J5527*'Historical Financials'!G28/'Historical Financials'!G23</f>
        <v>53.4490665984</v>
      </c>
      <c r="K5532" s="25" t="n">
        <f aca="false">K5527*'Historical Financials'!G28/'Historical Financials'!G23</f>
        <v>50.242122602496</v>
      </c>
    </row>
    <row r="5533" customFormat="false" ht="15" hidden="false" customHeight="false" outlineLevel="0" collapsed="false">
      <c r="A5533" s="3" t="s">
        <v>288</v>
      </c>
      <c r="G5533" s="25" t="n">
        <f aca="false">G5527*'Historical Financials'!G29/'Historical Financials'!G23</f>
        <v>20.94616</v>
      </c>
      <c r="H5533" s="25" t="n">
        <f aca="false">H5527*'Historical Financials'!G29/'Historical Financials'!G23</f>
        <v>18.4326208</v>
      </c>
      <c r="I5533" s="25" t="n">
        <f aca="false">I5527*'Historical Financials'!G29/'Historical Financials'!G23</f>
        <v>16.58935872</v>
      </c>
      <c r="J5533" s="25" t="n">
        <f aca="false">J5527*'Historical Financials'!G29/'Historical Financials'!G23</f>
        <v>15.2622100224</v>
      </c>
      <c r="K5533" s="25" t="n">
        <f aca="false">K5527*'Historical Financials'!G29/'Historical Financials'!G23</f>
        <v>14.346477421056</v>
      </c>
    </row>
    <row r="5534" customFormat="false" ht="15" hidden="false" customHeight="false" outlineLevel="0" collapsed="false">
      <c r="A5534" s="2" t="s">
        <v>289</v>
      </c>
      <c r="G5534" s="16" t="n">
        <f aca="false">G5531-G5532-G5533</f>
        <v>156.8206388</v>
      </c>
      <c r="H5534" s="16" t="n">
        <f aca="false">H5531-H5532-H5533</f>
        <v>112.503685712</v>
      </c>
      <c r="I5534" s="16" t="n">
        <f aca="false">I5531-I5532-I5533</f>
        <v>93.6037742112</v>
      </c>
      <c r="J5534" s="16" t="n">
        <f aca="false">J5531-J5532-J5533</f>
        <v>86.115472274304</v>
      </c>
      <c r="K5534" s="16" t="n">
        <f aca="false">K5531-K5532-K5533</f>
        <v>80.9485439378458</v>
      </c>
    </row>
    <row r="5535" customFormat="false" ht="15" hidden="false" customHeight="false" outlineLevel="0" collapsed="false">
      <c r="A5535" s="3" t="s">
        <v>290</v>
      </c>
      <c r="G5535" s="25" t="n">
        <f aca="false">G5561+G5574+G5587</f>
        <v>155.95467</v>
      </c>
      <c r="H5535" s="25" t="n">
        <f aca="false">H5561+H5574+H5587</f>
        <v>155.95467</v>
      </c>
      <c r="I5535" s="25" t="n">
        <f aca="false">I5561+I5574+I5587</f>
        <v>155.95467</v>
      </c>
      <c r="J5535" s="25" t="n">
        <f aca="false">J5561+J5574+J5587</f>
        <v>138.08529</v>
      </c>
      <c r="K5535" s="25" t="n">
        <f aca="false">K5561+K5574+K5587</f>
        <v>138.08529</v>
      </c>
    </row>
    <row r="5536" customFormat="false" ht="15" hidden="false" customHeight="false" outlineLevel="0" collapsed="false">
      <c r="A5536" s="3" t="s">
        <v>291</v>
      </c>
      <c r="G5536" s="25" t="n">
        <f aca="false">G5562+G5575+G5588</f>
        <v>0</v>
      </c>
      <c r="H5536" s="25" t="n">
        <f aca="false">H5562+H5575+H5588</f>
        <v>0</v>
      </c>
      <c r="I5536" s="25" t="n">
        <f aca="false">I5562+I5575+I5588</f>
        <v>0</v>
      </c>
      <c r="J5536" s="25" t="n">
        <f aca="false">J5562+J5575+J5588</f>
        <v>0</v>
      </c>
      <c r="K5536" s="25" t="n">
        <f aca="false">K5562+K5575+K5588</f>
        <v>0</v>
      </c>
    </row>
    <row r="5537" customFormat="false" ht="15" hidden="false" customHeight="false" outlineLevel="0" collapsed="false">
      <c r="A5537" s="3" t="s">
        <v>239</v>
      </c>
      <c r="G5537" s="25" t="n">
        <f aca="false">G5535+G5536</f>
        <v>155.95467</v>
      </c>
      <c r="H5537" s="25" t="n">
        <f aca="false">H5535+H5536</f>
        <v>155.95467</v>
      </c>
      <c r="I5537" s="25" t="n">
        <f aca="false">I5535+I5536</f>
        <v>155.95467</v>
      </c>
      <c r="J5537" s="25" t="n">
        <f aca="false">J5535+J5536</f>
        <v>138.08529</v>
      </c>
      <c r="K5537" s="25" t="n">
        <f aca="false">K5535+K5536</f>
        <v>138.08529</v>
      </c>
    </row>
    <row r="5538" customFormat="false" ht="15" hidden="false" customHeight="false" outlineLevel="0" collapsed="false">
      <c r="A5538" s="2" t="s">
        <v>264</v>
      </c>
      <c r="G5538" s="16" t="n">
        <f aca="false">G5534-G5537</f>
        <v>0.86596879999999</v>
      </c>
      <c r="H5538" s="16" t="n">
        <f aca="false">H5534-H5537</f>
        <v>-43.450984288</v>
      </c>
      <c r="I5538" s="16" t="n">
        <f aca="false">I5534-I5537</f>
        <v>-62.3508957888</v>
      </c>
      <c r="J5538" s="16" t="n">
        <f aca="false">J5534-J5537</f>
        <v>-51.969817725696</v>
      </c>
      <c r="K5538" s="16" t="n">
        <f aca="false">K5534-K5537</f>
        <v>-57.1367460621542</v>
      </c>
    </row>
    <row r="5539" customFormat="false" ht="15" hidden="false" customHeight="false" outlineLevel="0" collapsed="false">
      <c r="A5539" s="3" t="s">
        <v>292</v>
      </c>
      <c r="G5539" s="25" t="n">
        <f aca="false">MAX(0,G5538)*Assumptions!$C$9</f>
        <v>0.216492199999998</v>
      </c>
      <c r="H5539" s="25" t="n">
        <f aca="false">MAX(0,H5538)*Assumptions!$C$9</f>
        <v>0</v>
      </c>
      <c r="I5539" s="25" t="n">
        <f aca="false">MAX(0,I5538)*Assumptions!$C$9</f>
        <v>0</v>
      </c>
      <c r="J5539" s="25" t="n">
        <f aca="false">MAX(0,J5538)*Assumptions!$C$9</f>
        <v>0</v>
      </c>
      <c r="K5539" s="25" t="n">
        <f aca="false">MAX(0,K5538)*Assumptions!$C$9</f>
        <v>0</v>
      </c>
    </row>
    <row r="5540" customFormat="false" ht="15" hidden="false" customHeight="false" outlineLevel="0" collapsed="false">
      <c r="A5540" s="2" t="s">
        <v>293</v>
      </c>
      <c r="G5540" s="16" t="n">
        <f aca="false">G5538-G5539</f>
        <v>0.649476599999993</v>
      </c>
      <c r="H5540" s="16" t="n">
        <f aca="false">H5538-H5539</f>
        <v>-43.450984288</v>
      </c>
      <c r="I5540" s="16" t="n">
        <f aca="false">I5538-I5539</f>
        <v>-62.3508957888</v>
      </c>
      <c r="J5540" s="16" t="n">
        <f aca="false">J5538-J5539</f>
        <v>-51.969817725696</v>
      </c>
      <c r="K5540" s="16" t="n">
        <f aca="false">K5538-K5539</f>
        <v>-57.1367460621542</v>
      </c>
    </row>
    <row r="5541" customFormat="false" ht="15" hidden="false" customHeight="false" outlineLevel="0" collapsed="false">
      <c r="A5541" s="23" t="s">
        <v>294</v>
      </c>
      <c r="B5541" s="24"/>
      <c r="C5541" s="24"/>
      <c r="D5541" s="24"/>
      <c r="E5541" s="24"/>
      <c r="F5541" s="24"/>
      <c r="G5541" s="24"/>
      <c r="H5541" s="24"/>
      <c r="I5541" s="24"/>
      <c r="J5541" s="24"/>
      <c r="K5541" s="24"/>
    </row>
    <row r="5542" customFormat="false" ht="15" hidden="false" customHeight="false" outlineLevel="0" collapsed="false">
      <c r="A5542" s="3" t="s">
        <v>169</v>
      </c>
      <c r="G5542" s="25" t="n">
        <f aca="false">G5527*CHOOSE($C$5514,Assumptions!$C$75,Assumptions!$C$94,Assumptions!$C$113)</f>
        <v>21.24873036</v>
      </c>
      <c r="H5542" s="25" t="n">
        <f aca="false">H5527*CHOOSE($C$5514,Assumptions!$C$75,Assumptions!$C$94,Assumptions!$C$113)</f>
        <v>18.6988827168</v>
      </c>
      <c r="I5542" s="25" t="n">
        <f aca="false">I5527*CHOOSE($C$5514,Assumptions!$C$75,Assumptions!$C$94,Assumptions!$C$113)</f>
        <v>16.82899444512</v>
      </c>
      <c r="J5542" s="25" t="n">
        <f aca="false">J5527*CHOOSE($C$5514,Assumptions!$C$75,Assumptions!$C$94,Assumptions!$C$113)</f>
        <v>15.4826748895104</v>
      </c>
      <c r="K5542" s="25" t="n">
        <f aca="false">K5527*CHOOSE($C$5514,Assumptions!$C$75,Assumptions!$C$94,Assumptions!$C$113)</f>
        <v>14.5537143961398</v>
      </c>
    </row>
    <row r="5543" customFormat="false" ht="15" hidden="false" customHeight="false" outlineLevel="0" collapsed="false">
      <c r="A5543" s="3" t="s">
        <v>295</v>
      </c>
      <c r="G5543" s="25" t="n">
        <f aca="false">CHOOSE($C$5514,Assumptions!$C$76,Assumptions!$C$95,Assumptions!$C$114)*(G5527-F5527)+CHOOSE($C$5514,Assumptions!$C$77,Assumptions!$C$96,Assumptions!$C$115)*G5527</f>
        <v>28.9755414</v>
      </c>
      <c r="H5543" s="25" t="n">
        <f aca="false">CHOOSE($C$5514,Assumptions!$C$76,Assumptions!$C$95,Assumptions!$C$114)*(H5527-G5527)+CHOOSE($C$5514,Assumptions!$C$77,Assumptions!$C$96,Assumptions!$C$115)*H5527</f>
        <v>25.498476432</v>
      </c>
      <c r="I5543" s="25" t="n">
        <f aca="false">CHOOSE($C$5514,Assumptions!$C$76,Assumptions!$C$95,Assumptions!$C$114)*(I5527-H5527)+CHOOSE($C$5514,Assumptions!$C$77,Assumptions!$C$96,Assumptions!$C$115)*I5527</f>
        <v>22.9486287888</v>
      </c>
      <c r="J5543" s="25" t="n">
        <f aca="false">CHOOSE($C$5514,Assumptions!$C$76,Assumptions!$C$95,Assumptions!$C$114)*(J5527-I5527)+CHOOSE($C$5514,Assumptions!$C$77,Assumptions!$C$96,Assumptions!$C$115)*J5527</f>
        <v>21.112738485696</v>
      </c>
      <c r="K5543" s="25" t="n">
        <f aca="false">CHOOSE($C$5514,Assumptions!$C$76,Assumptions!$C$95,Assumptions!$C$114)*(K5527-J5527)+CHOOSE($C$5514,Assumptions!$C$77,Assumptions!$C$96,Assumptions!$C$115)*K5527</f>
        <v>19.8459741765542</v>
      </c>
    </row>
    <row r="5544" customFormat="false" ht="15" hidden="false" customHeight="false" outlineLevel="0" collapsed="false">
      <c r="A5544" s="2" t="s">
        <v>296</v>
      </c>
      <c r="G5544" s="16" t="n">
        <f aca="false">G5540+G5532+G5533+G5536-G5542-G5543</f>
        <v>44.72592484</v>
      </c>
      <c r="H5544" s="16" t="n">
        <f aca="false">H5540+H5532+H5533+H5536-H5542-H5543</f>
        <v>-4.66370983680002</v>
      </c>
      <c r="I5544" s="16" t="n">
        <f aca="false">I5540+I5532+I5533+I5536-I5542-I5543</f>
        <v>-27.44234878272</v>
      </c>
      <c r="J5544" s="16" t="n">
        <f aca="false">J5540+J5532+J5533+J5536-J5542-J5543</f>
        <v>-19.8539544801024</v>
      </c>
      <c r="K5544" s="16" t="n">
        <f aca="false">K5540+K5532+K5533+K5536-K5542-K5543</f>
        <v>-26.9478346112962</v>
      </c>
    </row>
    <row r="5546" customFormat="false" ht="15" hidden="false" customHeight="false" outlineLevel="0" collapsed="false">
      <c r="A5546" s="23" t="s">
        <v>298</v>
      </c>
      <c r="B5546" s="24"/>
      <c r="C5546" s="24"/>
      <c r="D5546" s="24"/>
      <c r="E5546" s="24"/>
      <c r="F5546" s="24"/>
      <c r="G5546" s="24"/>
      <c r="H5546" s="24"/>
      <c r="I5546" s="24"/>
      <c r="J5546" s="24"/>
      <c r="K5546" s="24"/>
    </row>
    <row r="5547" customFormat="false" ht="15" hidden="false" customHeight="false" outlineLevel="0" collapsed="false">
      <c r="A5547" s="3" t="s">
        <v>299</v>
      </c>
      <c r="G5547" s="30" t="n">
        <f aca="false">Assumptions!$G$52</f>
        <v>0.039</v>
      </c>
      <c r="H5547" s="30" t="n">
        <f aca="false">Assumptions!$H$52</f>
        <v>0.0375</v>
      </c>
      <c r="I5547" s="30" t="n">
        <f aca="false">Assumptions!$I$52</f>
        <v>0.035</v>
      </c>
      <c r="J5547" s="30" t="n">
        <f aca="false">Assumptions!$J$52</f>
        <v>0.035</v>
      </c>
      <c r="K5547" s="30" t="n">
        <f aca="false">Assumptions!$K$52</f>
        <v>0.035</v>
      </c>
    </row>
    <row r="5548" customFormat="false" ht="15" hidden="false" customHeight="false" outlineLevel="0" collapsed="false">
      <c r="A5548" s="3" t="s">
        <v>300</v>
      </c>
      <c r="C5548" s="31" t="n">
        <f aca="false">CHOOSE($C$5514,Assumptions!$C$78,Assumptions!$C$97,Assumptions!$C$116)+$C$5517</f>
        <v>0.03</v>
      </c>
    </row>
    <row r="5549" customFormat="false" ht="15" hidden="false" customHeight="false" outlineLevel="0" collapsed="false">
      <c r="A5549" s="3" t="s">
        <v>301</v>
      </c>
      <c r="C5549" s="31" t="n">
        <f aca="false">CHOOSE($C$5514,Assumptions!$C$79,Assumptions!$C$98,Assumptions!$C$117)</f>
        <v>0.15</v>
      </c>
    </row>
    <row r="5550" customFormat="false" ht="15" hidden="false" customHeight="false" outlineLevel="0" collapsed="false">
      <c r="A5550" s="3" t="s">
        <v>302</v>
      </c>
      <c r="C5550" s="32" t="n">
        <f aca="false">CHOOSE($C$5514,Assumptions!$C$80,Assumptions!$C$99,Assumptions!$C$118)</f>
        <v>5</v>
      </c>
    </row>
    <row r="5551" customFormat="false" ht="15" hidden="false" customHeight="false" outlineLevel="0" collapsed="false">
      <c r="A5551" s="3" t="s">
        <v>303</v>
      </c>
      <c r="C5551" s="32" t="n">
        <f aca="false">CHOOSE($C$5514,Assumptions!$C$81,Assumptions!$C$100,Assumptions!$C$119)</f>
        <v>1.75</v>
      </c>
    </row>
    <row r="5552" customFormat="false" ht="15" hidden="false" customHeight="false" outlineLevel="0" collapsed="false">
      <c r="A5552" s="3" t="s">
        <v>304</v>
      </c>
      <c r="G5552" s="25" t="n">
        <f aca="false">G5557+G5570+G5583</f>
        <v>1735.554</v>
      </c>
      <c r="H5552" s="25" t="n">
        <f aca="false">H5557+H5570+H5583</f>
        <v>1735.554</v>
      </c>
      <c r="I5552" s="25" t="n">
        <f aca="false">I5557+I5570+I5583</f>
        <v>1735.554</v>
      </c>
      <c r="J5552" s="25" t="n">
        <f aca="false">J5557+J5570+J5583</f>
        <v>1315.098</v>
      </c>
      <c r="K5552" s="25" t="n">
        <f aca="false">K5557+K5570+K5583</f>
        <v>1315.098</v>
      </c>
    </row>
    <row r="5553" customFormat="false" ht="15" hidden="false" customHeight="false" outlineLevel="0" collapsed="false">
      <c r="A5553" s="3" t="s">
        <v>305</v>
      </c>
      <c r="G5553" s="25" t="n">
        <f aca="false">F5626</f>
        <v>463.996</v>
      </c>
      <c r="H5553" s="25" t="n">
        <f aca="false">G5626</f>
        <v>508.72192484</v>
      </c>
      <c r="I5553" s="25" t="n">
        <f aca="false">H5626</f>
        <v>504.0582150032</v>
      </c>
      <c r="J5553" s="25" t="n">
        <f aca="false">I5626</f>
        <v>56.1598662204799</v>
      </c>
      <c r="K5553" s="25" t="n">
        <f aca="false">J5626</f>
        <v>36.3059117403775</v>
      </c>
    </row>
    <row r="5554" customFormat="false" ht="15" hidden="false" customHeight="false" outlineLevel="0" collapsed="false">
      <c r="A5554" s="3" t="s">
        <v>306</v>
      </c>
      <c r="G5554" s="25" t="n">
        <f aca="false">G5557*IF(G5558=1,$C$5549,IF(Assumptions!$I$56=1,MAX(G5547,Assumptions!$G$56)+Assumptions!$F$56+$C$5548,Assumptions!$E$56))+G5570*IF(G5571=1,$C$5549,IF(Assumptions!$I$57=1,MAX(G5547,Assumptions!$G$57)+Assumptions!$F$57+$C$5548,Assumptions!$E$57))+G5583*IF(G5584=1,$C$5549,IF(Assumptions!$I$58=1,MAX(G5547,Assumptions!$G$58)+Assumptions!$F$58+$C$5548,Assumptions!$E$58))</f>
        <v>155.95467</v>
      </c>
      <c r="H5554" s="25" t="n">
        <f aca="false">H5557*IF(OR(H5558=1,G5704=1),$C$5549,IF(Assumptions!$I$56=1,MAX(H5547,Assumptions!$G$56)+Assumptions!$F$56+$C$5548,Assumptions!$E$56))+H5570*IF(OR(H5571=1,G5705=1),$C$5549,IF(Assumptions!$I$57=1,MAX(H5547,Assumptions!$G$57)+Assumptions!$F$57+$C$5548,Assumptions!$E$57))+H5583*IF(OR(H5584=1,G5706=1),$C$5549,IF(Assumptions!$I$58=1,MAX(H5547,Assumptions!$G$58)+Assumptions!$F$58+$C$5548,Assumptions!$E$58))</f>
        <v>155.95467</v>
      </c>
      <c r="I5554" s="25" t="n">
        <f aca="false">I5557*IF(OR(I5558=1,H5704=1),$C$5549,IF(Assumptions!$I$56=1,MAX(I5547,Assumptions!$G$56)+Assumptions!$F$56+$C$5548,Assumptions!$E$56))+I5570*IF(OR(I5571=1,H5705=1),$C$5549,IF(Assumptions!$I$57=1,MAX(I5547,Assumptions!$G$57)+Assumptions!$F$57+$C$5548,Assumptions!$E$57))+I5583*IF(OR(I5584=1,H5706=1),$C$5549,IF(Assumptions!$I$58=1,MAX(I5547,Assumptions!$G$58)+Assumptions!$F$58+$C$5548,Assumptions!$E$58))</f>
        <v>201.15369</v>
      </c>
      <c r="J5554" s="25" t="n">
        <f aca="false">J5557*IF(OR(J5558=1,I5704=1),$C$5549,IF(Assumptions!$I$56=1,MAX(J5547,Assumptions!$G$56)+Assumptions!$F$56+$C$5548,Assumptions!$E$56))+J5570*IF(OR(J5571=1,I5705=1),$C$5549,IF(Assumptions!$I$57=1,MAX(J5547,Assumptions!$G$57)+Assumptions!$F$57+$C$5548,Assumptions!$E$57))+J5583*IF(OR(J5584=1,I5706=1),$C$5549,IF(Assumptions!$I$58=1,MAX(J5547,Assumptions!$G$58)+Assumptions!$F$58+$C$5548,Assumptions!$E$58))</f>
        <v>138.08529</v>
      </c>
      <c r="K5554" s="25" t="n">
        <f aca="false">K5557*IF(OR(K5558=1,J5704=1),$C$5549,IF(Assumptions!$I$56=1,MAX(K5547,Assumptions!$G$56)+Assumptions!$F$56+$C$5548,Assumptions!$E$56))+K5570*IF(OR(K5571=1,J5705=1),$C$5549,IF(Assumptions!$I$57=1,MAX(K5547,Assumptions!$G$57)+Assumptions!$F$57+$C$5548,Assumptions!$E$57))+K5583*IF(OR(K5584=1,J5706=1),$C$5549,IF(Assumptions!$I$58=1,MAX(K5547,Assumptions!$G$58)+Assumptions!$F$58+$C$5548,Assumptions!$E$58))</f>
        <v>138.08529</v>
      </c>
    </row>
    <row r="5555" customFormat="false" ht="15" hidden="false" customHeight="false" outlineLevel="0" collapsed="false">
      <c r="A5555" s="3" t="s">
        <v>307</v>
      </c>
      <c r="G5555" s="20" t="n">
        <f aca="false">IF(G5531&lt;=0,0,IF(AND((G5552-G5553)/G5531&lt;=$C$5550,G5531/G5554&gt;=$C$5551),1,0))</f>
        <v>0</v>
      </c>
      <c r="H5555" s="20" t="n">
        <f aca="false">IF(H5531&lt;=0,0,IF(AND((H5552-H5553)/H5531&lt;=$C$5550,H5531/H5554&gt;=$C$5551),1,0))</f>
        <v>0</v>
      </c>
      <c r="I5555" s="20" t="n">
        <f aca="false">IF(I5531&lt;=0,0,IF(AND((I5552-I5553)/I5531&lt;=$C$5550,I5531/I5554&gt;=$C$5551),1,0))</f>
        <v>0</v>
      </c>
      <c r="J5555" s="20" t="n">
        <f aca="false">IF(J5531&lt;=0,0,IF(AND((J5552-J5553)/J5531&lt;=$C$5550,J5531/J5554&gt;=$C$5551),1,0))</f>
        <v>0</v>
      </c>
      <c r="K5555" s="20" t="n">
        <f aca="false">IF(K5531&lt;=0,0,IF(AND((K5552-K5553)/K5531&lt;=$C$5550,K5531/K5554&gt;=$C$5551),1,0))</f>
        <v>0</v>
      </c>
    </row>
    <row r="5556" customFormat="false" ht="15" hidden="false" customHeight="false" outlineLevel="0" collapsed="false">
      <c r="A5556" s="23" t="s">
        <v>308</v>
      </c>
      <c r="B5556" s="24"/>
      <c r="C5556" s="24"/>
      <c r="D5556" s="24"/>
      <c r="E5556" s="24"/>
      <c r="F5556" s="24"/>
      <c r="G5556" s="24"/>
      <c r="H5556" s="24"/>
      <c r="I5556" s="24"/>
      <c r="J5556" s="24"/>
      <c r="K5556" s="24"/>
    </row>
    <row r="5557" customFormat="false" ht="15" hidden="false" customHeight="false" outlineLevel="0" collapsed="false">
      <c r="A5557" s="3" t="s">
        <v>309</v>
      </c>
      <c r="G5557" s="25" t="n">
        <f aca="false">F5568</f>
        <v>1315.098</v>
      </c>
      <c r="H5557" s="25" t="n">
        <f aca="false">G5568</f>
        <v>1315.098</v>
      </c>
      <c r="I5557" s="25" t="n">
        <f aca="false">H5568</f>
        <v>1315.098</v>
      </c>
      <c r="J5557" s="25" t="n">
        <f aca="false">I5568</f>
        <v>1315.098</v>
      </c>
      <c r="K5557" s="25" t="n">
        <f aca="false">J5568</f>
        <v>1315.098</v>
      </c>
    </row>
    <row r="5558" customFormat="false" ht="15" hidden="false" customHeight="false" outlineLevel="0" collapsed="false">
      <c r="A5558" s="3" t="s">
        <v>310</v>
      </c>
      <c r="G5558" s="20" t="n">
        <f aca="false">IF(G5521=Assumptions!$K$56,1,0)</f>
        <v>0</v>
      </c>
      <c r="H5558" s="20" t="n">
        <f aca="false">IF(H5521=Assumptions!$K$56,1,0)</f>
        <v>0</v>
      </c>
      <c r="I5558" s="20" t="n">
        <f aca="false">IF(I5521=Assumptions!$K$56,1,0)</f>
        <v>0</v>
      </c>
      <c r="J5558" s="20" t="n">
        <f aca="false">IF(J5521=Assumptions!$K$56,1,0)</f>
        <v>0</v>
      </c>
      <c r="K5558" s="20" t="n">
        <f aca="false">IF(K5521=Assumptions!$K$56,1,0)</f>
        <v>0</v>
      </c>
    </row>
    <row r="5560" customFormat="false" ht="15" hidden="false" customHeight="false" outlineLevel="0" collapsed="false">
      <c r="A5560" s="3" t="s">
        <v>311</v>
      </c>
      <c r="G5560" s="31" t="n">
        <f aca="false">IF(Assumptions!$I$56=1,MAX(G5547,Assumptions!$G$56)+Assumptions!$F$56+$C$5548,Assumptions!$E$56)</f>
        <v>0.105</v>
      </c>
      <c r="H5560" s="31" t="n">
        <f aca="false">IF(G5704=1,$C$5549,IF(Assumptions!$I$56=1,MAX(H5547,Assumptions!$G$56)+Assumptions!$F$56+$C$5548,Assumptions!$E$56))</f>
        <v>0.105</v>
      </c>
      <c r="I5560" s="31" t="n">
        <f aca="false">IF(H5704=1,$C$5549,IF(Assumptions!$I$56=1,MAX(I5547,Assumptions!$G$56)+Assumptions!$F$56+$C$5548,Assumptions!$E$56))</f>
        <v>0.105</v>
      </c>
      <c r="J5560" s="31" t="n">
        <f aca="false">IF(I5704=1,$C$5549,IF(Assumptions!$I$56=1,MAX(J5547,Assumptions!$G$56)+Assumptions!$F$56+$C$5548,Assumptions!$E$56))</f>
        <v>0.105</v>
      </c>
      <c r="K5560" s="31" t="n">
        <f aca="false">IF(J5704=1,$C$5549,IF(Assumptions!$I$56=1,MAX(K5547,Assumptions!$G$56)+Assumptions!$F$56+$C$5548,Assumptions!$E$56))</f>
        <v>0.105</v>
      </c>
    </row>
    <row r="5561" customFormat="false" ht="15" hidden="false" customHeight="false" outlineLevel="0" collapsed="false">
      <c r="A5561" s="3" t="s">
        <v>312</v>
      </c>
      <c r="G5561" s="25" t="n">
        <f aca="false">G5557*G5560</f>
        <v>138.08529</v>
      </c>
      <c r="H5561" s="25" t="n">
        <f aca="false">H5557*H5560</f>
        <v>138.08529</v>
      </c>
      <c r="I5561" s="25" t="n">
        <f aca="false">I5557*I5560</f>
        <v>138.08529</v>
      </c>
      <c r="J5561" s="25" t="n">
        <f aca="false">J5557*J5560</f>
        <v>138.08529</v>
      </c>
      <c r="K5561" s="25" t="n">
        <f aca="false">K5557*K5560</f>
        <v>138.08529</v>
      </c>
    </row>
    <row r="5562" customFormat="false" ht="15" hidden="false" customHeight="false" outlineLevel="0" collapsed="false">
      <c r="A5562" s="3" t="s">
        <v>313</v>
      </c>
      <c r="G5562" s="25" t="n">
        <f aca="false">G5557*Assumptions!$H$56</f>
        <v>0</v>
      </c>
      <c r="H5562" s="25" t="n">
        <f aca="false">H5557*Assumptions!$H$56</f>
        <v>0</v>
      </c>
      <c r="I5562" s="25" t="n">
        <f aca="false">I5557*Assumptions!$H$56</f>
        <v>0</v>
      </c>
      <c r="J5562" s="25" t="n">
        <f aca="false">J5557*Assumptions!$H$56</f>
        <v>0</v>
      </c>
      <c r="K5562" s="25" t="n">
        <f aca="false">K5557*Assumptions!$H$56</f>
        <v>0</v>
      </c>
    </row>
    <row r="5563" customFormat="false" ht="15" hidden="false" customHeight="false" outlineLevel="0" collapsed="false">
      <c r="A5563" s="3" t="s">
        <v>314</v>
      </c>
      <c r="G5563" s="25" t="n">
        <f aca="false">MIN(G5557,Assumptions!$L$56*Assumptions!$C$56)</f>
        <v>0</v>
      </c>
      <c r="H5563" s="25" t="n">
        <f aca="false">MIN(H5557,Assumptions!$L$56*Assumptions!$C$56)</f>
        <v>0</v>
      </c>
      <c r="I5563" s="25" t="n">
        <f aca="false">MIN(I5557,Assumptions!$L$56*Assumptions!$C$56)</f>
        <v>0</v>
      </c>
      <c r="J5563" s="25" t="n">
        <f aca="false">MIN(J5557,Assumptions!$L$56*Assumptions!$C$56)</f>
        <v>0</v>
      </c>
      <c r="K5563" s="25" t="n">
        <f aca="false">MIN(K5557,Assumptions!$L$56*Assumptions!$C$56)</f>
        <v>0</v>
      </c>
    </row>
    <row r="5564" customFormat="false" ht="15" hidden="false" customHeight="false" outlineLevel="0" collapsed="false">
      <c r="A5564" s="3" t="s">
        <v>315</v>
      </c>
      <c r="G5564" s="25" t="n">
        <f aca="false">IF(AND(Assumptions!$P$56=1,G5521&lt;Assumptions!$K$56),MIN(MAX(0,-G5618),MAX(0,Assumptions!$D$56-G5557)),0)</f>
        <v>0</v>
      </c>
      <c r="H5564" s="25" t="n">
        <f aca="false">IF(AND(Assumptions!$P$56=1,OR(H5521&lt;Assumptions!$K$56,G5704=1)),MIN(MAX(0,-H5618),MAX(0,Assumptions!$D$56-H5557)),0)</f>
        <v>0</v>
      </c>
      <c r="I5564" s="25" t="n">
        <f aca="false">IF(AND(Assumptions!$P$56=1,OR(I5521&lt;Assumptions!$K$56,H5704=1)),MIN(MAX(0,-I5618),MAX(0,Assumptions!$D$56-I5557)),0)</f>
        <v>0</v>
      </c>
      <c r="J5564" s="25" t="n">
        <f aca="false">IF(AND(Assumptions!$P$56=1,OR(J5521&lt;Assumptions!$K$56,I5704=1)),MIN(MAX(0,-J5618),MAX(0,Assumptions!$D$56-J5557)),0)</f>
        <v>0</v>
      </c>
      <c r="K5564" s="25" t="n">
        <f aca="false">IF(AND(Assumptions!$P$56=1,OR(K5521&lt;Assumptions!$K$56,J5704=1)),MIN(MAX(0,-K5618),MAX(0,Assumptions!$D$56-K5557)),0)</f>
        <v>0</v>
      </c>
    </row>
    <row r="5565" customFormat="false" ht="15" hidden="false" customHeight="false" outlineLevel="0" collapsed="false">
      <c r="A5565" s="3" t="s">
        <v>316</v>
      </c>
      <c r="G5565" s="25" t="n">
        <f aca="false">G5558*MIN(G5557-G5563+G5562,MAX(0,G5620-Assumptions!$C$12*G5555))</f>
        <v>0</v>
      </c>
      <c r="H5565" s="25" t="n">
        <f aca="false">H5558*MIN(H5557-H5563+H5562,MAX(0,H5620-Assumptions!$C$12*H5555))</f>
        <v>0</v>
      </c>
      <c r="I5565" s="25" t="n">
        <f aca="false">I5558*MIN(I5557-I5563+I5562,MAX(0,I5620-Assumptions!$C$12*I5555))</f>
        <v>0</v>
      </c>
      <c r="J5565" s="25" t="n">
        <f aca="false">J5558*MIN(J5557-J5563+J5562,MAX(0,J5620-Assumptions!$C$12*J5555))</f>
        <v>0</v>
      </c>
      <c r="K5565" s="25" t="n">
        <f aca="false">K5558*MIN(K5557-K5563+K5562,MAX(0,K5620-Assumptions!$C$12*K5555))</f>
        <v>0</v>
      </c>
    </row>
    <row r="5566" customFormat="false" ht="15" hidden="false" customHeight="false" outlineLevel="0" collapsed="false">
      <c r="A5566" s="3" t="s">
        <v>317</v>
      </c>
      <c r="G5566" s="25" t="n">
        <f aca="false">Assumptions!$N$56*MIN(G5557+G5564+G5562-G5563-G5565,MAX(0,G5624))</f>
        <v>0</v>
      </c>
      <c r="H5566" s="25" t="n">
        <f aca="false">Assumptions!$N$56*MIN(H5557+H5564+H5562-H5563-H5565,MAX(0,H5624))</f>
        <v>0</v>
      </c>
      <c r="I5566" s="25" t="n">
        <f aca="false">Assumptions!$N$56*MIN(I5557+I5564+I5562-I5563-I5565,MAX(0,I5624))</f>
        <v>0</v>
      </c>
      <c r="J5566" s="25" t="n">
        <f aca="false">Assumptions!$N$56*MIN(J5557+J5564+J5562-J5563-J5565,MAX(0,J5624))</f>
        <v>0</v>
      </c>
      <c r="K5566" s="25" t="n">
        <f aca="false">Assumptions!$N$56*MIN(K5557+K5564+K5562-K5563-K5565,MAX(0,K5624))</f>
        <v>0</v>
      </c>
    </row>
    <row r="5567" customFormat="false" ht="15" hidden="false" customHeight="false" outlineLevel="0" collapsed="false">
      <c r="A5567" s="3" t="s">
        <v>318</v>
      </c>
      <c r="G5567" s="25" t="n">
        <f aca="false">G5558*(1-G5555)*(G5557-G5563+G5562-G5565)</f>
        <v>0</v>
      </c>
      <c r="H5567" s="25" t="n">
        <f aca="false">H5558*(1-H5555)*(H5557-H5563+H5562-H5565)</f>
        <v>0</v>
      </c>
      <c r="I5567" s="25" t="n">
        <f aca="false">I5558*(1-I5555)*(I5557-I5563+I5562-I5565)</f>
        <v>0</v>
      </c>
      <c r="J5567" s="25" t="n">
        <f aca="false">J5558*(1-J5555)*(J5557-J5563+J5562-J5565)</f>
        <v>0</v>
      </c>
      <c r="K5567" s="25" t="n">
        <f aca="false">K5558*(1-K5555)*(K5557-K5563+K5562-K5565)</f>
        <v>0</v>
      </c>
    </row>
    <row r="5568" customFormat="false" ht="15" hidden="false" customHeight="false" outlineLevel="0" collapsed="false">
      <c r="A5568" s="2" t="s">
        <v>319</v>
      </c>
      <c r="F5568" s="28" t="n">
        <f aca="false">Assumptions!$C$56</f>
        <v>1315.098</v>
      </c>
      <c r="G5568" s="16" t="n">
        <f aca="false">G5557+G5564+G5562-G5563-G5565-G5566</f>
        <v>1315.098</v>
      </c>
      <c r="H5568" s="16" t="n">
        <f aca="false">H5557+H5564+H5562-H5563-H5565-H5566</f>
        <v>1315.098</v>
      </c>
      <c r="I5568" s="16" t="n">
        <f aca="false">I5557+I5564+I5562-I5563-I5565-I5566</f>
        <v>1315.098</v>
      </c>
      <c r="J5568" s="16" t="n">
        <f aca="false">J5557+J5564+J5562-J5563-J5565-J5566</f>
        <v>1315.098</v>
      </c>
      <c r="K5568" s="16" t="n">
        <f aca="false">K5557+K5564+K5562-K5563-K5565-K5566</f>
        <v>1315.098</v>
      </c>
    </row>
    <row r="5569" customFormat="false" ht="15" hidden="false" customHeight="false" outlineLevel="0" collapsed="false">
      <c r="A5569" s="23" t="s">
        <v>320</v>
      </c>
      <c r="B5569" s="24"/>
      <c r="C5569" s="24"/>
      <c r="D5569" s="24"/>
      <c r="E5569" s="24"/>
      <c r="F5569" s="24"/>
      <c r="G5569" s="24"/>
      <c r="H5569" s="24"/>
      <c r="I5569" s="24"/>
      <c r="J5569" s="24"/>
      <c r="K5569" s="24"/>
    </row>
    <row r="5570" customFormat="false" ht="15" hidden="false" customHeight="false" outlineLevel="0" collapsed="false">
      <c r="A5570" s="3" t="s">
        <v>309</v>
      </c>
      <c r="G5570" s="25" t="n">
        <f aca="false">F5581</f>
        <v>276.706</v>
      </c>
      <c r="H5570" s="25" t="n">
        <f aca="false">G5581</f>
        <v>276.706</v>
      </c>
      <c r="I5570" s="25" t="n">
        <f aca="false">H5581</f>
        <v>276.706</v>
      </c>
      <c r="J5570" s="25" t="n">
        <f aca="false">I5581</f>
        <v>0</v>
      </c>
      <c r="K5570" s="25" t="n">
        <f aca="false">J5581</f>
        <v>0</v>
      </c>
    </row>
    <row r="5571" customFormat="false" ht="15" hidden="false" customHeight="false" outlineLevel="0" collapsed="false">
      <c r="A5571" s="3" t="s">
        <v>310</v>
      </c>
      <c r="G5571" s="20" t="n">
        <f aca="false">IF(G5521=Assumptions!$K$57,1,0)</f>
        <v>0</v>
      </c>
      <c r="H5571" s="20" t="n">
        <f aca="false">IF(H5521=Assumptions!$K$57,1,0)</f>
        <v>0</v>
      </c>
      <c r="I5571" s="20" t="n">
        <f aca="false">IF(I5521=Assumptions!$K$57,1,0)</f>
        <v>1</v>
      </c>
      <c r="J5571" s="20" t="n">
        <f aca="false">IF(J5521=Assumptions!$K$57,1,0)</f>
        <v>0</v>
      </c>
      <c r="K5571" s="20" t="n">
        <f aca="false">IF(K5521=Assumptions!$K$57,1,0)</f>
        <v>0</v>
      </c>
    </row>
    <row r="5573" customFormat="false" ht="15" hidden="false" customHeight="false" outlineLevel="0" collapsed="false">
      <c r="A5573" s="3" t="s">
        <v>311</v>
      </c>
      <c r="G5573" s="31" t="n">
        <f aca="false">IF(Assumptions!$I$57=1,MAX(G5547,Assumptions!$G$57)+Assumptions!$F$57+$C$5548,Assumptions!$E$57)</f>
        <v>0.0425</v>
      </c>
      <c r="H5573" s="31" t="n">
        <f aca="false">IF(G5705=1,$C$5549,IF(Assumptions!$I$57=1,MAX(H5547,Assumptions!$G$57)+Assumptions!$F$57+$C$5548,Assumptions!$E$57))</f>
        <v>0.0425</v>
      </c>
      <c r="I5573" s="31" t="n">
        <f aca="false">IF(H5705=1,$C$5549,IF(Assumptions!$I$57=1,MAX(I5547,Assumptions!$G$57)+Assumptions!$F$57+$C$5548,Assumptions!$E$57))</f>
        <v>0.0425</v>
      </c>
      <c r="J5573" s="31" t="n">
        <f aca="false">IF(I5705=1,$C$5549,IF(Assumptions!$I$57=1,MAX(J5547,Assumptions!$G$57)+Assumptions!$F$57+$C$5548,Assumptions!$E$57))</f>
        <v>0.0425</v>
      </c>
      <c r="K5573" s="31" t="n">
        <f aca="false">IF(J5705=1,$C$5549,IF(Assumptions!$I$57=1,MAX(K5547,Assumptions!$G$57)+Assumptions!$F$57+$C$5548,Assumptions!$E$57))</f>
        <v>0.0425</v>
      </c>
    </row>
    <row r="5574" customFormat="false" ht="15" hidden="false" customHeight="false" outlineLevel="0" collapsed="false">
      <c r="A5574" s="3" t="s">
        <v>312</v>
      </c>
      <c r="G5574" s="25" t="n">
        <f aca="false">G5570*G5573</f>
        <v>11.760005</v>
      </c>
      <c r="H5574" s="25" t="n">
        <f aca="false">H5570*H5573</f>
        <v>11.760005</v>
      </c>
      <c r="I5574" s="25" t="n">
        <f aca="false">I5570*I5573</f>
        <v>11.760005</v>
      </c>
      <c r="J5574" s="25" t="n">
        <f aca="false">J5570*J5573</f>
        <v>0</v>
      </c>
      <c r="K5574" s="25" t="n">
        <f aca="false">K5570*K5573</f>
        <v>0</v>
      </c>
    </row>
    <row r="5575" customFormat="false" ht="15" hidden="false" customHeight="false" outlineLevel="0" collapsed="false">
      <c r="A5575" s="3" t="s">
        <v>313</v>
      </c>
      <c r="G5575" s="25" t="n">
        <f aca="false">G5570*Assumptions!$H$57</f>
        <v>0</v>
      </c>
      <c r="H5575" s="25" t="n">
        <f aca="false">H5570*Assumptions!$H$57</f>
        <v>0</v>
      </c>
      <c r="I5575" s="25" t="n">
        <f aca="false">I5570*Assumptions!$H$57</f>
        <v>0</v>
      </c>
      <c r="J5575" s="25" t="n">
        <f aca="false">J5570*Assumptions!$H$57</f>
        <v>0</v>
      </c>
      <c r="K5575" s="25" t="n">
        <f aca="false">K5570*Assumptions!$H$57</f>
        <v>0</v>
      </c>
    </row>
    <row r="5576" customFormat="false" ht="15" hidden="false" customHeight="false" outlineLevel="0" collapsed="false">
      <c r="A5576" s="3" t="s">
        <v>314</v>
      </c>
      <c r="G5576" s="25" t="n">
        <f aca="false">MIN(G5570,Assumptions!$L$57*Assumptions!$C$57)</f>
        <v>0</v>
      </c>
      <c r="H5576" s="25" t="n">
        <f aca="false">MIN(H5570,Assumptions!$L$57*Assumptions!$C$57)</f>
        <v>0</v>
      </c>
      <c r="I5576" s="25" t="n">
        <f aca="false">MIN(I5570,Assumptions!$L$57*Assumptions!$C$57)</f>
        <v>0</v>
      </c>
      <c r="J5576" s="25" t="n">
        <f aca="false">MIN(J5570,Assumptions!$L$57*Assumptions!$C$57)</f>
        <v>0</v>
      </c>
      <c r="K5576" s="25" t="n">
        <f aca="false">MIN(K5570,Assumptions!$L$57*Assumptions!$C$57)</f>
        <v>0</v>
      </c>
    </row>
    <row r="5577" customFormat="false" ht="15" hidden="false" customHeight="false" outlineLevel="0" collapsed="false">
      <c r="A5577" s="3" t="s">
        <v>315</v>
      </c>
      <c r="G5577" s="25" t="n">
        <f aca="false">IF(AND(Assumptions!$P$57=1,G5521&lt;Assumptions!$K$57),MIN(MAX(0,-G5618),MAX(0,Assumptions!$D$57-G5570)),0)</f>
        <v>0</v>
      </c>
      <c r="H5577" s="25" t="n">
        <f aca="false">IF(AND(Assumptions!$P$57=1,OR(H5521&lt;Assumptions!$K$57,G5705=1)),MIN(MAX(0,-H5618),MAX(0,Assumptions!$D$57-H5570)),0)</f>
        <v>0</v>
      </c>
      <c r="I5577" s="25" t="n">
        <f aca="false">IF(AND(Assumptions!$P$57=1,OR(I5521&lt;Assumptions!$K$57,H5705=1)),MIN(MAX(0,-I5618),MAX(0,Assumptions!$D$57-I5570)),0)</f>
        <v>0</v>
      </c>
      <c r="J5577" s="25" t="n">
        <f aca="false">IF(AND(Assumptions!$P$57=1,OR(J5521&lt;Assumptions!$K$57,I5705=1)),MIN(MAX(0,-J5618),MAX(0,Assumptions!$D$57-J5570)),0)</f>
        <v>0</v>
      </c>
      <c r="K5577" s="25" t="n">
        <f aca="false">IF(AND(Assumptions!$P$57=1,OR(K5521&lt;Assumptions!$K$57,J5705=1)),MIN(MAX(0,-K5618),MAX(0,Assumptions!$D$57-K5570)),0)</f>
        <v>0</v>
      </c>
    </row>
    <row r="5578" customFormat="false" ht="15" hidden="false" customHeight="false" outlineLevel="0" collapsed="false">
      <c r="A5578" s="3" t="s">
        <v>316</v>
      </c>
      <c r="G5578" s="25" t="n">
        <f aca="false">G5571*MIN(G5570-G5576+G5575,MAX(0,G5620-Assumptions!$C$12*G5555-G5565))</f>
        <v>0</v>
      </c>
      <c r="H5578" s="25" t="n">
        <f aca="false">H5571*MIN(H5570-H5576+H5575,MAX(0,H5620-Assumptions!$C$12*H5555-H5565))</f>
        <v>0</v>
      </c>
      <c r="I5578" s="25" t="n">
        <f aca="false">I5571*MIN(I5570-I5576+I5575,MAX(0,I5620-Assumptions!$C$12*I5555-I5565))</f>
        <v>276.706</v>
      </c>
      <c r="J5578" s="25" t="n">
        <f aca="false">J5571*MIN(J5570-J5576+J5575,MAX(0,J5620-Assumptions!$C$12*J5555-J5565))</f>
        <v>0</v>
      </c>
      <c r="K5578" s="25" t="n">
        <f aca="false">K5571*MIN(K5570-K5576+K5575,MAX(0,K5620-Assumptions!$C$12*K5555-K5565))</f>
        <v>0</v>
      </c>
    </row>
    <row r="5579" customFormat="false" ht="15" hidden="false" customHeight="false" outlineLevel="0" collapsed="false">
      <c r="A5579" s="3" t="s">
        <v>317</v>
      </c>
      <c r="G5579" s="25" t="n">
        <f aca="false">Assumptions!$N$57*MIN(G5570+G5577+G5575-G5576-G5578,MAX(0,G5624-G5566))</f>
        <v>0</v>
      </c>
      <c r="H5579" s="25" t="n">
        <f aca="false">Assumptions!$N$57*MIN(H5570+H5577+H5575-H5576-H5578,MAX(0,H5624-H5566))</f>
        <v>0</v>
      </c>
      <c r="I5579" s="25" t="n">
        <f aca="false">Assumptions!$N$57*MIN(I5570+I5577+I5575-I5576-I5578,MAX(0,I5624-I5566))</f>
        <v>0</v>
      </c>
      <c r="J5579" s="25" t="n">
        <f aca="false">Assumptions!$N$57*MIN(J5570+J5577+J5575-J5576-J5578,MAX(0,J5624-J5566))</f>
        <v>0</v>
      </c>
      <c r="K5579" s="25" t="n">
        <f aca="false">Assumptions!$N$57*MIN(K5570+K5577+K5575-K5576-K5578,MAX(0,K5624-K5566))</f>
        <v>0</v>
      </c>
    </row>
    <row r="5580" customFormat="false" ht="15" hidden="false" customHeight="false" outlineLevel="0" collapsed="false">
      <c r="A5580" s="3" t="s">
        <v>318</v>
      </c>
      <c r="G5580" s="25" t="n">
        <f aca="false">G5571*(1-G5555)*(G5570-G5576+G5575-G5578)</f>
        <v>0</v>
      </c>
      <c r="H5580" s="25" t="n">
        <f aca="false">H5571*(1-H5555)*(H5570-H5576+H5575-H5578)</f>
        <v>0</v>
      </c>
      <c r="I5580" s="25" t="n">
        <f aca="false">I5571*(1-I5555)*(I5570-I5576+I5575-I5578)</f>
        <v>0</v>
      </c>
      <c r="J5580" s="25" t="n">
        <f aca="false">J5571*(1-J5555)*(J5570-J5576+J5575-J5578)</f>
        <v>0</v>
      </c>
      <c r="K5580" s="25" t="n">
        <f aca="false">K5571*(1-K5555)*(K5570-K5576+K5575-K5578)</f>
        <v>0</v>
      </c>
    </row>
    <row r="5581" customFormat="false" ht="15" hidden="false" customHeight="false" outlineLevel="0" collapsed="false">
      <c r="A5581" s="2" t="s">
        <v>319</v>
      </c>
      <c r="F5581" s="28" t="n">
        <f aca="false">Assumptions!$C$57</f>
        <v>276.706</v>
      </c>
      <c r="G5581" s="16" t="n">
        <f aca="false">G5570+G5577+G5575-G5576-G5578-G5579</f>
        <v>276.706</v>
      </c>
      <c r="H5581" s="16" t="n">
        <f aca="false">H5570+H5577+H5575-H5576-H5578-H5579</f>
        <v>276.706</v>
      </c>
      <c r="I5581" s="16" t="n">
        <f aca="false">I5570+I5577+I5575-I5576-I5578-I5579</f>
        <v>0</v>
      </c>
      <c r="J5581" s="16" t="n">
        <f aca="false">J5570+J5577+J5575-J5576-J5578-J5579</f>
        <v>0</v>
      </c>
      <c r="K5581" s="16" t="n">
        <f aca="false">K5570+K5577+K5575-K5576-K5578-K5579</f>
        <v>0</v>
      </c>
    </row>
    <row r="5582" customFormat="false" ht="15" hidden="false" customHeight="false" outlineLevel="0" collapsed="false">
      <c r="A5582" s="23" t="s">
        <v>321</v>
      </c>
      <c r="B5582" s="24"/>
      <c r="C5582" s="24"/>
      <c r="D5582" s="24"/>
      <c r="E5582" s="24"/>
      <c r="F5582" s="24"/>
      <c r="G5582" s="24"/>
      <c r="H5582" s="24"/>
      <c r="I5582" s="24"/>
      <c r="J5582" s="24"/>
      <c r="K5582" s="24"/>
    </row>
    <row r="5583" customFormat="false" ht="15" hidden="false" customHeight="false" outlineLevel="0" collapsed="false">
      <c r="A5583" s="3" t="s">
        <v>309</v>
      </c>
      <c r="G5583" s="25" t="n">
        <f aca="false">F5594</f>
        <v>143.75</v>
      </c>
      <c r="H5583" s="25" t="n">
        <f aca="false">G5594</f>
        <v>143.75</v>
      </c>
      <c r="I5583" s="25" t="n">
        <f aca="false">H5594</f>
        <v>143.75</v>
      </c>
      <c r="J5583" s="25" t="n">
        <f aca="false">I5594</f>
        <v>0</v>
      </c>
      <c r="K5583" s="25" t="n">
        <f aca="false">J5594</f>
        <v>0</v>
      </c>
    </row>
    <row r="5584" customFormat="false" ht="15" hidden="false" customHeight="false" outlineLevel="0" collapsed="false">
      <c r="A5584" s="3" t="s">
        <v>310</v>
      </c>
      <c r="G5584" s="20" t="n">
        <f aca="false">IF(G5521=Assumptions!$K$58,1,0)</f>
        <v>0</v>
      </c>
      <c r="H5584" s="20" t="n">
        <f aca="false">IF(H5521=Assumptions!$K$58,1,0)</f>
        <v>0</v>
      </c>
      <c r="I5584" s="20" t="n">
        <f aca="false">IF(I5521=Assumptions!$K$58,1,0)</f>
        <v>1</v>
      </c>
      <c r="J5584" s="20" t="n">
        <f aca="false">IF(J5521=Assumptions!$K$58,1,0)</f>
        <v>0</v>
      </c>
      <c r="K5584" s="20" t="n">
        <f aca="false">IF(K5521=Assumptions!$K$58,1,0)</f>
        <v>0</v>
      </c>
    </row>
    <row r="5586" customFormat="false" ht="15" hidden="false" customHeight="false" outlineLevel="0" collapsed="false">
      <c r="A5586" s="3" t="s">
        <v>311</v>
      </c>
      <c r="G5586" s="31" t="n">
        <f aca="false">IF(Assumptions!$I$58=1,MAX(G5547,Assumptions!$G$58)+Assumptions!$F$58+$C$5548,Assumptions!$E$58)</f>
        <v>0.0425</v>
      </c>
      <c r="H5586" s="31" t="n">
        <f aca="false">IF(G5706=1,$C$5549,IF(Assumptions!$I$58=1,MAX(H5547,Assumptions!$G$58)+Assumptions!$F$58+$C$5548,Assumptions!$E$58))</f>
        <v>0.0425</v>
      </c>
      <c r="I5586" s="31" t="n">
        <f aca="false">IF(H5706=1,$C$5549,IF(Assumptions!$I$58=1,MAX(I5547,Assumptions!$G$58)+Assumptions!$F$58+$C$5548,Assumptions!$E$58))</f>
        <v>0.0425</v>
      </c>
      <c r="J5586" s="31" t="n">
        <f aca="false">IF(I5706=1,$C$5549,IF(Assumptions!$I$58=1,MAX(J5547,Assumptions!$G$58)+Assumptions!$F$58+$C$5548,Assumptions!$E$58))</f>
        <v>0.0425</v>
      </c>
      <c r="K5586" s="31" t="n">
        <f aca="false">IF(J5706=1,$C$5549,IF(Assumptions!$I$58=1,MAX(K5547,Assumptions!$G$58)+Assumptions!$F$58+$C$5548,Assumptions!$E$58))</f>
        <v>0.0425</v>
      </c>
    </row>
    <row r="5587" customFormat="false" ht="15" hidden="false" customHeight="false" outlineLevel="0" collapsed="false">
      <c r="A5587" s="3" t="s">
        <v>312</v>
      </c>
      <c r="G5587" s="25" t="n">
        <f aca="false">G5583*G5586</f>
        <v>6.109375</v>
      </c>
      <c r="H5587" s="25" t="n">
        <f aca="false">H5583*H5586</f>
        <v>6.109375</v>
      </c>
      <c r="I5587" s="25" t="n">
        <f aca="false">I5583*I5586</f>
        <v>6.109375</v>
      </c>
      <c r="J5587" s="25" t="n">
        <f aca="false">J5583*J5586</f>
        <v>0</v>
      </c>
      <c r="K5587" s="25" t="n">
        <f aca="false">K5583*K5586</f>
        <v>0</v>
      </c>
    </row>
    <row r="5588" customFormat="false" ht="15" hidden="false" customHeight="false" outlineLevel="0" collapsed="false">
      <c r="A5588" s="3" t="s">
        <v>313</v>
      </c>
      <c r="G5588" s="25" t="n">
        <f aca="false">G5583*Assumptions!$H$58</f>
        <v>0</v>
      </c>
      <c r="H5588" s="25" t="n">
        <f aca="false">H5583*Assumptions!$H$58</f>
        <v>0</v>
      </c>
      <c r="I5588" s="25" t="n">
        <f aca="false">I5583*Assumptions!$H$58</f>
        <v>0</v>
      </c>
      <c r="J5588" s="25" t="n">
        <f aca="false">J5583*Assumptions!$H$58</f>
        <v>0</v>
      </c>
      <c r="K5588" s="25" t="n">
        <f aca="false">K5583*Assumptions!$H$58</f>
        <v>0</v>
      </c>
    </row>
    <row r="5589" customFormat="false" ht="15" hidden="false" customHeight="false" outlineLevel="0" collapsed="false">
      <c r="A5589" s="3" t="s">
        <v>314</v>
      </c>
      <c r="G5589" s="25" t="n">
        <f aca="false">MIN(G5583,Assumptions!$L$58*Assumptions!$C$58)</f>
        <v>0</v>
      </c>
      <c r="H5589" s="25" t="n">
        <f aca="false">MIN(H5583,Assumptions!$L$58*Assumptions!$C$58)</f>
        <v>0</v>
      </c>
      <c r="I5589" s="25" t="n">
        <f aca="false">MIN(I5583,Assumptions!$L$58*Assumptions!$C$58)</f>
        <v>0</v>
      </c>
      <c r="J5589" s="25" t="n">
        <f aca="false">MIN(J5583,Assumptions!$L$58*Assumptions!$C$58)</f>
        <v>0</v>
      </c>
      <c r="K5589" s="25" t="n">
        <f aca="false">MIN(K5583,Assumptions!$L$58*Assumptions!$C$58)</f>
        <v>0</v>
      </c>
    </row>
    <row r="5590" customFormat="false" ht="15" hidden="false" customHeight="false" outlineLevel="0" collapsed="false">
      <c r="A5590" s="3" t="s">
        <v>315</v>
      </c>
      <c r="G5590" s="25" t="n">
        <f aca="false">IF(AND(Assumptions!$P$58=1,G5521&lt;Assumptions!$K$58),MIN(MAX(0,-G5618),MAX(0,Assumptions!$D$58-G5583)),0)</f>
        <v>0</v>
      </c>
      <c r="H5590" s="25" t="n">
        <f aca="false">IF(AND(Assumptions!$P$58=1,OR(H5521&lt;Assumptions!$K$58,G5706=1)),MIN(MAX(0,-H5618),MAX(0,Assumptions!$D$58-H5583)),0)</f>
        <v>0</v>
      </c>
      <c r="I5590" s="25" t="n">
        <f aca="false">IF(AND(Assumptions!$P$58=1,OR(I5521&lt;Assumptions!$K$58,H5706=1)),MIN(MAX(0,-I5618),MAX(0,Assumptions!$D$58-I5583)),0)</f>
        <v>0</v>
      </c>
      <c r="J5590" s="25" t="n">
        <f aca="false">IF(AND(Assumptions!$P$58=1,OR(J5521&lt;Assumptions!$K$58,I5706=1)),MIN(MAX(0,-J5618),MAX(0,Assumptions!$D$58-J5583)),0)</f>
        <v>0</v>
      </c>
      <c r="K5590" s="25" t="n">
        <f aca="false">IF(AND(Assumptions!$P$58=1,OR(K5521&lt;Assumptions!$K$58,J5706=1)),MIN(MAX(0,-K5618),MAX(0,Assumptions!$D$58-K5583)),0)</f>
        <v>0</v>
      </c>
    </row>
    <row r="5591" customFormat="false" ht="15" hidden="false" customHeight="false" outlineLevel="0" collapsed="false">
      <c r="A5591" s="3" t="s">
        <v>316</v>
      </c>
      <c r="G5591" s="25" t="n">
        <f aca="false">G5584*MIN(G5583-G5589+G5588,MAX(0,G5620-Assumptions!$C$12*G5555-G5565-G5578))</f>
        <v>0</v>
      </c>
      <c r="H5591" s="25" t="n">
        <f aca="false">H5584*MIN(H5583-H5589+H5588,MAX(0,H5620-Assumptions!$C$12*H5555-H5565-H5578))</f>
        <v>0</v>
      </c>
      <c r="I5591" s="25" t="n">
        <f aca="false">I5584*MIN(I5583-I5589+I5588,MAX(0,I5620-Assumptions!$C$12*I5555-I5565-I5578))</f>
        <v>143.75</v>
      </c>
      <c r="J5591" s="25" t="n">
        <f aca="false">J5584*MIN(J5583-J5589+J5588,MAX(0,J5620-Assumptions!$C$12*J5555-J5565-J5578))</f>
        <v>0</v>
      </c>
      <c r="K5591" s="25" t="n">
        <f aca="false">K5584*MIN(K5583-K5589+K5588,MAX(0,K5620-Assumptions!$C$12*K5555-K5565-K5578))</f>
        <v>0</v>
      </c>
    </row>
    <row r="5592" customFormat="false" ht="15" hidden="false" customHeight="false" outlineLevel="0" collapsed="false">
      <c r="A5592" s="3" t="s">
        <v>317</v>
      </c>
      <c r="G5592" s="25" t="n">
        <f aca="false">Assumptions!$N$58*MIN(G5583+G5590+G5588-G5589-G5591,MAX(0,G5624-G5566-G5579))</f>
        <v>0</v>
      </c>
      <c r="H5592" s="25" t="n">
        <f aca="false">Assumptions!$N$58*MIN(H5583+H5590+H5588-H5589-H5591,MAX(0,H5624-H5566-H5579))</f>
        <v>0</v>
      </c>
      <c r="I5592" s="25" t="n">
        <f aca="false">Assumptions!$N$58*MIN(I5583+I5590+I5588-I5589-I5591,MAX(0,I5624-I5566-I5579))</f>
        <v>0</v>
      </c>
      <c r="J5592" s="25" t="n">
        <f aca="false">Assumptions!$N$58*MIN(J5583+J5590+J5588-J5589-J5591,MAX(0,J5624-J5566-J5579))</f>
        <v>0</v>
      </c>
      <c r="K5592" s="25" t="n">
        <f aca="false">Assumptions!$N$58*MIN(K5583+K5590+K5588-K5589-K5591,MAX(0,K5624-K5566-K5579))</f>
        <v>0</v>
      </c>
    </row>
    <row r="5593" customFormat="false" ht="15" hidden="false" customHeight="false" outlineLevel="0" collapsed="false">
      <c r="A5593" s="3" t="s">
        <v>318</v>
      </c>
      <c r="G5593" s="25" t="n">
        <f aca="false">G5584*(1-G5555)*(G5583-G5589+G5588-G5591)</f>
        <v>0</v>
      </c>
      <c r="H5593" s="25" t="n">
        <f aca="false">H5584*(1-H5555)*(H5583-H5589+H5588-H5591)</f>
        <v>0</v>
      </c>
      <c r="I5593" s="25" t="n">
        <f aca="false">I5584*(1-I5555)*(I5583-I5589+I5588-I5591)</f>
        <v>0</v>
      </c>
      <c r="J5593" s="25" t="n">
        <f aca="false">J5584*(1-J5555)*(J5583-J5589+J5588-J5591)</f>
        <v>0</v>
      </c>
      <c r="K5593" s="25" t="n">
        <f aca="false">K5584*(1-K5555)*(K5583-K5589+K5588-K5591)</f>
        <v>0</v>
      </c>
    </row>
    <row r="5594" customFormat="false" ht="15" hidden="false" customHeight="false" outlineLevel="0" collapsed="false">
      <c r="A5594" s="2" t="s">
        <v>319</v>
      </c>
      <c r="F5594" s="28" t="n">
        <f aca="false">Assumptions!$C$58</f>
        <v>143.75</v>
      </c>
      <c r="G5594" s="16" t="n">
        <f aca="false">G5583+G5590+G5588-G5589-G5591-G5592</f>
        <v>143.75</v>
      </c>
      <c r="H5594" s="16" t="n">
        <f aca="false">H5583+H5590+H5588-H5589-H5591-H5592</f>
        <v>143.75</v>
      </c>
      <c r="I5594" s="16" t="n">
        <f aca="false">I5583+I5590+I5588-I5589-I5591-I5592</f>
        <v>0</v>
      </c>
      <c r="J5594" s="16" t="n">
        <f aca="false">J5583+J5590+J5588-J5589-J5591-J5592</f>
        <v>0</v>
      </c>
      <c r="K5594" s="16" t="n">
        <f aca="false">K5583+K5590+K5588-K5589-K5591-K5592</f>
        <v>0</v>
      </c>
    </row>
    <row r="5595" customFormat="false" ht="15" hidden="false" customHeight="false" outlineLevel="0" collapsed="false">
      <c r="A5595" s="23" t="s">
        <v>322</v>
      </c>
      <c r="B5595" s="24"/>
      <c r="C5595" s="24"/>
      <c r="D5595" s="24"/>
      <c r="E5595" s="24"/>
      <c r="F5595" s="24"/>
      <c r="G5595" s="24"/>
      <c r="H5595" s="24"/>
      <c r="I5595" s="24"/>
      <c r="J5595" s="24"/>
      <c r="K5595" s="24"/>
    </row>
    <row r="5596" customFormat="false" ht="15" hidden="false" customHeight="false" outlineLevel="0" collapsed="false">
      <c r="A5596" s="2" t="s">
        <v>323</v>
      </c>
      <c r="F5596" s="16" t="n">
        <f aca="false">F5568+F5581+F5594</f>
        <v>1735.554</v>
      </c>
      <c r="G5596" s="16" t="n">
        <f aca="false">G5568+G5581+G5594</f>
        <v>1735.554</v>
      </c>
      <c r="H5596" s="16" t="n">
        <f aca="false">H5568+H5581+H5594</f>
        <v>1735.554</v>
      </c>
      <c r="I5596" s="16" t="n">
        <f aca="false">I5568+I5581+I5594</f>
        <v>1315.098</v>
      </c>
      <c r="J5596" s="16" t="n">
        <f aca="false">J5568+J5581+J5594</f>
        <v>1315.098</v>
      </c>
      <c r="K5596" s="16" t="n">
        <f aca="false">K5568+K5581+K5594</f>
        <v>1315.098</v>
      </c>
    </row>
    <row r="5597" customFormat="false" ht="15" hidden="false" customHeight="false" outlineLevel="0" collapsed="false">
      <c r="A5597" s="3" t="s">
        <v>324</v>
      </c>
      <c r="G5597" s="25" t="n">
        <f aca="false">G5558*Assumptions!$C$56+G5571*Assumptions!$C$57+G5584*Assumptions!$C$58</f>
        <v>0</v>
      </c>
      <c r="H5597" s="25" t="n">
        <f aca="false">H5558*Assumptions!$C$56+H5571*Assumptions!$C$57+H5584*Assumptions!$C$58</f>
        <v>0</v>
      </c>
      <c r="I5597" s="25" t="n">
        <f aca="false">I5558*Assumptions!$C$56+I5571*Assumptions!$C$57+I5584*Assumptions!$C$58</f>
        <v>420.456</v>
      </c>
      <c r="J5597" s="25" t="n">
        <f aca="false">J5558*Assumptions!$C$56+J5571*Assumptions!$C$57+J5584*Assumptions!$C$58</f>
        <v>0</v>
      </c>
      <c r="K5597" s="25" t="n">
        <f aca="false">K5558*Assumptions!$C$56+K5571*Assumptions!$C$57+K5584*Assumptions!$C$58</f>
        <v>0</v>
      </c>
    </row>
    <row r="5598" customFormat="false" ht="15" hidden="false" customHeight="false" outlineLevel="0" collapsed="false">
      <c r="A5598" s="23" t="s">
        <v>325</v>
      </c>
      <c r="B5598" s="24"/>
      <c r="C5598" s="24"/>
      <c r="D5598" s="24"/>
      <c r="E5598" s="24"/>
      <c r="F5598" s="24"/>
      <c r="G5598" s="24"/>
      <c r="H5598" s="24"/>
      <c r="I5598" s="24"/>
      <c r="J5598" s="24"/>
      <c r="K5598" s="24"/>
    </row>
    <row r="5599" customFormat="false" ht="15" hidden="false" customHeight="false" outlineLevel="0" collapsed="false">
      <c r="A5599" s="3" t="s">
        <v>326</v>
      </c>
      <c r="C5599" s="25" t="n">
        <f aca="false">SUMPRODUCT($G$5558:$K$5558,$G$5557:$K$5557-$G$5563:$K$5563+$G$5562:$K$5562)</f>
        <v>0</v>
      </c>
    </row>
    <row r="5600" customFormat="false" ht="15" hidden="false" customHeight="false" outlineLevel="0" collapsed="false">
      <c r="A5600" s="3" t="s">
        <v>327</v>
      </c>
      <c r="C5600" s="25" t="n">
        <f aca="false">SUMPRODUCT($G$5558:$K$5558,$G$5565:$K$5565)</f>
        <v>0</v>
      </c>
    </row>
    <row r="5601" customFormat="false" ht="15" hidden="false" customHeight="false" outlineLevel="0" collapsed="false">
      <c r="A5601" s="3" t="s">
        <v>328</v>
      </c>
      <c r="C5601" s="3" t="str">
        <f aca="false">IF(SUM($G$5558:$K$5558)=0,"n/a (beyond horizon)",IF(SUMPRODUCT($G$5558:$K$5558,$G$5555:$K$5555)&gt;0,"REFINANCING PASS","REFINANCING FAILURE"))</f>
        <v>n/a (beyond horizon)</v>
      </c>
    </row>
    <row r="5602" customFormat="false" ht="15" hidden="false" customHeight="false" outlineLevel="0" collapsed="false">
      <c r="A5602" s="3" t="s">
        <v>329</v>
      </c>
      <c r="C5602" s="3" t="str">
        <f aca="false">IF(SUM($G$5558:$K$5558)=0,"n/a",IF(C5600&gt;=C5599-0.001,"Repaid from cash",IF(SUMPRODUCT($G$5558:$K$5558,$G$5555:$K$5555)&gt;0,IF(C5600&gt;0,"Partly repaid; remainder refinanced","Refinanced"),IF(SUM($G$5567:$K$5567)&gt;0.001,IF(C5600&gt;0,"Partial repayment; PAYMENT DEFAULT","PAYMENT DEFAULT"),"Repaid from cash"))))</f>
        <v>n/a</v>
      </c>
    </row>
    <row r="5603" customFormat="false" ht="15" hidden="false" customHeight="false" outlineLevel="0" collapsed="false">
      <c r="A5603" s="3" t="s">
        <v>330</v>
      </c>
      <c r="C5603" s="25" t="n">
        <f aca="false">SUMPRODUCT($G$5571:$K$5571,$G$5570:$K$5570-$G$5576:$K$5576+$G$5575:$K$5575)</f>
        <v>276.706</v>
      </c>
    </row>
    <row r="5604" customFormat="false" ht="15" hidden="false" customHeight="false" outlineLevel="0" collapsed="false">
      <c r="A5604" s="3" t="s">
        <v>331</v>
      </c>
      <c r="C5604" s="25" t="n">
        <f aca="false">SUMPRODUCT($G$5571:$K$5571,$G$5578:$K$5578)</f>
        <v>276.706</v>
      </c>
    </row>
    <row r="5605" customFormat="false" ht="15" hidden="false" customHeight="false" outlineLevel="0" collapsed="false">
      <c r="A5605" s="3" t="s">
        <v>332</v>
      </c>
      <c r="C5605" s="3" t="str">
        <f aca="false">IF(SUM($G$5571:$K$5571)=0,"n/a (beyond horizon)",IF(SUMPRODUCT($G$5571:$K$5571,$G$5555:$K$5555)&gt;0,"REFINANCING PASS","REFINANCING FAILURE"))</f>
        <v>REFINANCING FAILURE</v>
      </c>
    </row>
    <row r="5606" customFormat="false" ht="15" hidden="false" customHeight="false" outlineLevel="0" collapsed="false">
      <c r="A5606" s="3" t="s">
        <v>333</v>
      </c>
      <c r="C5606" s="3" t="str">
        <f aca="false">IF(SUM($G$5571:$K$5571)=0,"n/a",IF(C5604&gt;=C5603-0.001,"Repaid from cash",IF(SUMPRODUCT($G$5571:$K$5571,$G$5555:$K$5555)&gt;0,IF(C5604&gt;0,"Partly repaid; remainder refinanced","Refinanced"),IF(SUM($G$5580:$K$5580)&gt;0.001,IF(C5604&gt;0,"Partial repayment; PAYMENT DEFAULT","PAYMENT DEFAULT"),"Repaid from cash"))))</f>
        <v>Repaid from cash</v>
      </c>
    </row>
    <row r="5607" customFormat="false" ht="15" hidden="false" customHeight="false" outlineLevel="0" collapsed="false">
      <c r="A5607" s="3" t="s">
        <v>334</v>
      </c>
      <c r="C5607" s="25" t="n">
        <f aca="false">SUMPRODUCT($G$5584:$K$5584,$G$5583:$K$5583-$G$5589:$K$5589+$G$5588:$K$5588)</f>
        <v>143.75</v>
      </c>
    </row>
    <row r="5608" customFormat="false" ht="15" hidden="false" customHeight="false" outlineLevel="0" collapsed="false">
      <c r="A5608" s="3" t="s">
        <v>335</v>
      </c>
      <c r="C5608" s="25" t="n">
        <f aca="false">SUMPRODUCT($G$5584:$K$5584,$G$5591:$K$5591)</f>
        <v>143.75</v>
      </c>
    </row>
    <row r="5609" customFormat="false" ht="15" hidden="false" customHeight="false" outlineLevel="0" collapsed="false">
      <c r="A5609" s="3" t="s">
        <v>336</v>
      </c>
      <c r="C5609" s="3" t="str">
        <f aca="false">IF(SUM($G$5584:$K$5584)=0,"n/a (beyond horizon)",IF(SUMPRODUCT($G$5584:$K$5584,$G$5555:$K$5555)&gt;0,"REFINANCING PASS","REFINANCING FAILURE"))</f>
        <v>REFINANCING FAILURE</v>
      </c>
    </row>
    <row r="5610" customFormat="false" ht="15" hidden="false" customHeight="false" outlineLevel="0" collapsed="false">
      <c r="A5610" s="3" t="s">
        <v>337</v>
      </c>
      <c r="C5610" s="3" t="str">
        <f aca="false">IF(SUM($G$5584:$K$5584)=0,"n/a",IF(C5608&gt;=C5607-0.001,"Repaid from cash",IF(SUMPRODUCT($G$5584:$K$5584,$G$5555:$K$5555)&gt;0,IF(C5608&gt;0,"Partly repaid; remainder refinanced","Refinanced"),IF(SUM($G$5593:$K$5593)&gt;0.001,IF(C5608&gt;0,"Partial repayment; PAYMENT DEFAULT","PAYMENT DEFAULT"),"Repaid from cash"))))</f>
        <v>Repaid from cash</v>
      </c>
    </row>
    <row r="5611" customFormat="false" ht="15" hidden="false" customHeight="false" outlineLevel="0" collapsed="false">
      <c r="A5611" s="3" t="s">
        <v>338</v>
      </c>
      <c r="C5611" s="20" t="n">
        <f aca="false">IF(C5601="REFINANCING FAILURE",1,0)+IF(C5605="REFINANCING FAILURE",1,0)+IF(C5609="REFINANCING FAILURE",1,0)</f>
        <v>2</v>
      </c>
    </row>
    <row r="5613" customFormat="false" ht="15" hidden="false" customHeight="false" outlineLevel="0" collapsed="false">
      <c r="A5613" s="23" t="s">
        <v>340</v>
      </c>
      <c r="B5613" s="24"/>
      <c r="C5613" s="24"/>
      <c r="D5613" s="24"/>
      <c r="E5613" s="24"/>
      <c r="F5613" s="24"/>
      <c r="G5613" s="24"/>
      <c r="H5613" s="24"/>
      <c r="I5613" s="24"/>
      <c r="J5613" s="24"/>
      <c r="K5613" s="24"/>
    </row>
    <row r="5614" customFormat="false" ht="15" hidden="false" customHeight="false" outlineLevel="0" collapsed="false">
      <c r="A5614" s="3" t="s">
        <v>305</v>
      </c>
      <c r="G5614" s="25" t="n">
        <f aca="false">F5626</f>
        <v>463.996</v>
      </c>
      <c r="H5614" s="25" t="n">
        <f aca="false">G5626</f>
        <v>508.72192484</v>
      </c>
      <c r="I5614" s="25" t="n">
        <f aca="false">H5626</f>
        <v>504.0582150032</v>
      </c>
      <c r="J5614" s="25" t="n">
        <f aca="false">I5626</f>
        <v>56.1598662204799</v>
      </c>
      <c r="K5614" s="25" t="n">
        <f aca="false">J5626</f>
        <v>36.3059117403775</v>
      </c>
    </row>
    <row r="5615" customFormat="false" ht="15" hidden="false" customHeight="false" outlineLevel="0" collapsed="false">
      <c r="A5615" s="3" t="s">
        <v>341</v>
      </c>
      <c r="G5615" s="25" t="n">
        <f aca="false">G5544</f>
        <v>44.72592484</v>
      </c>
      <c r="H5615" s="25" t="n">
        <f aca="false">H5544</f>
        <v>-4.66370983680002</v>
      </c>
      <c r="I5615" s="25" t="n">
        <f aca="false">I5544</f>
        <v>-27.44234878272</v>
      </c>
      <c r="J5615" s="25" t="n">
        <f aca="false">J5544</f>
        <v>-19.8539544801024</v>
      </c>
      <c r="K5615" s="25" t="n">
        <f aca="false">K5544</f>
        <v>-26.9478346112962</v>
      </c>
    </row>
    <row r="5616" customFormat="false" ht="15" hidden="false" customHeight="false" outlineLevel="0" collapsed="false">
      <c r="A5616" s="3" t="s">
        <v>342</v>
      </c>
      <c r="G5616" s="25" t="n">
        <f aca="false">CHOOSE($C$5514,Assumptions!$G$74,Assumptions!$G$93,Assumptions!$G$112)</f>
        <v>0</v>
      </c>
      <c r="H5616" s="25" t="n">
        <f aca="false">CHOOSE($C$5514,Assumptions!$H$74,Assumptions!$H$93,Assumptions!$H$112)</f>
        <v>0</v>
      </c>
      <c r="I5616" s="25" t="n">
        <f aca="false">CHOOSE($C$5514,Assumptions!$I$74,Assumptions!$I$93,Assumptions!$I$112)</f>
        <v>0</v>
      </c>
      <c r="J5616" s="25" t="n">
        <f aca="false">CHOOSE($C$5514,Assumptions!$J$74,Assumptions!$J$93,Assumptions!$J$112)</f>
        <v>0</v>
      </c>
      <c r="K5616" s="25" t="n">
        <f aca="false">CHOOSE($C$5514,Assumptions!$K$74,Assumptions!$K$93,Assumptions!$K$112)</f>
        <v>0</v>
      </c>
    </row>
    <row r="5617" customFormat="false" ht="15" hidden="false" customHeight="false" outlineLevel="0" collapsed="false">
      <c r="A5617" s="3" t="s">
        <v>343</v>
      </c>
      <c r="G5617" s="25" t="n">
        <f aca="false">G5563+G5576+G5589</f>
        <v>0</v>
      </c>
      <c r="H5617" s="25" t="n">
        <f aca="false">H5563+H5576+H5589</f>
        <v>0</v>
      </c>
      <c r="I5617" s="25" t="n">
        <f aca="false">I5563+I5576+I5589</f>
        <v>0</v>
      </c>
      <c r="J5617" s="25" t="n">
        <f aca="false">J5563+J5576+J5589</f>
        <v>0</v>
      </c>
      <c r="K5617" s="25" t="n">
        <f aca="false">K5563+K5576+K5589</f>
        <v>0</v>
      </c>
    </row>
    <row r="5618" customFormat="false" ht="15" hidden="false" customHeight="false" outlineLevel="0" collapsed="false">
      <c r="A5618" s="2" t="s">
        <v>344</v>
      </c>
      <c r="G5618" s="16" t="n">
        <f aca="false">G5614+G5615+G5616-G5617</f>
        <v>508.72192484</v>
      </c>
      <c r="H5618" s="16" t="n">
        <f aca="false">H5614+H5615+H5616-H5617</f>
        <v>504.0582150032</v>
      </c>
      <c r="I5618" s="16" t="n">
        <f aca="false">I5614+I5615+I5616-I5617</f>
        <v>476.61586622048</v>
      </c>
      <c r="J5618" s="16" t="n">
        <f aca="false">J5614+J5615+J5616-J5617</f>
        <v>36.3059117403775</v>
      </c>
      <c r="K5618" s="16" t="n">
        <f aca="false">K5614+K5615+K5616-K5617</f>
        <v>9.35807712908127</v>
      </c>
    </row>
    <row r="5619" customFormat="false" ht="15" hidden="false" customHeight="false" outlineLevel="0" collapsed="false">
      <c r="A5619" s="3" t="s">
        <v>345</v>
      </c>
      <c r="G5619" s="25" t="n">
        <f aca="false">G5564+G5577+G5590</f>
        <v>0</v>
      </c>
      <c r="H5619" s="25" t="n">
        <f aca="false">H5564+H5577+H5590</f>
        <v>0</v>
      </c>
      <c r="I5619" s="25" t="n">
        <f aca="false">I5564+I5577+I5590</f>
        <v>0</v>
      </c>
      <c r="J5619" s="25" t="n">
        <f aca="false">J5564+J5577+J5590</f>
        <v>0</v>
      </c>
      <c r="K5619" s="25" t="n">
        <f aca="false">K5564+K5577+K5590</f>
        <v>0</v>
      </c>
    </row>
    <row r="5620" customFormat="false" ht="15" hidden="false" customHeight="false" outlineLevel="0" collapsed="false">
      <c r="A5620" s="2" t="s">
        <v>346</v>
      </c>
      <c r="G5620" s="16" t="n">
        <f aca="false">G5618+G5619</f>
        <v>508.72192484</v>
      </c>
      <c r="H5620" s="16" t="n">
        <f aca="false">H5618+H5619</f>
        <v>504.0582150032</v>
      </c>
      <c r="I5620" s="16" t="n">
        <f aca="false">I5618+I5619</f>
        <v>476.61586622048</v>
      </c>
      <c r="J5620" s="16" t="n">
        <f aca="false">J5618+J5619</f>
        <v>36.3059117403775</v>
      </c>
      <c r="K5620" s="16" t="n">
        <f aca="false">K5618+K5619</f>
        <v>9.35807712908127</v>
      </c>
    </row>
    <row r="5621" customFormat="false" ht="15" hidden="false" customHeight="false" outlineLevel="0" collapsed="false">
      <c r="A5621" s="3" t="s">
        <v>347</v>
      </c>
      <c r="G5621" s="25" t="n">
        <f aca="false">G5565+G5578+G5591</f>
        <v>0</v>
      </c>
      <c r="H5621" s="25" t="n">
        <f aca="false">H5565+H5578+H5591</f>
        <v>0</v>
      </c>
      <c r="I5621" s="25" t="n">
        <f aca="false">I5565+I5578+I5591</f>
        <v>420.456</v>
      </c>
      <c r="J5621" s="25" t="n">
        <f aca="false">J5565+J5578+J5591</f>
        <v>0</v>
      </c>
      <c r="K5621" s="25" t="n">
        <f aca="false">K5565+K5578+K5591</f>
        <v>0</v>
      </c>
    </row>
    <row r="5622" customFormat="false" ht="15" hidden="false" customHeight="false" outlineLevel="0" collapsed="false">
      <c r="A5622" s="2" t="s">
        <v>348</v>
      </c>
      <c r="G5622" s="16" t="n">
        <f aca="false">G5620-G5621</f>
        <v>508.72192484</v>
      </c>
      <c r="H5622" s="16" t="n">
        <f aca="false">H5620-H5621</f>
        <v>504.0582150032</v>
      </c>
      <c r="I5622" s="16" t="n">
        <f aca="false">I5620-I5621</f>
        <v>56.1598662204799</v>
      </c>
      <c r="J5622" s="16" t="n">
        <f aca="false">J5620-J5621</f>
        <v>36.3059117403775</v>
      </c>
      <c r="K5622" s="16" t="n">
        <f aca="false">K5620-K5621</f>
        <v>9.35807712908127</v>
      </c>
    </row>
    <row r="5623" customFormat="false" ht="15" hidden="false" customHeight="false" outlineLevel="0" collapsed="false">
      <c r="A5623" s="3" t="s">
        <v>349</v>
      </c>
      <c r="G5623" s="25" t="n">
        <f aca="false">MAX(0,-G5622)</f>
        <v>0</v>
      </c>
      <c r="H5623" s="25" t="n">
        <f aca="false">MAX(0,-H5622)</f>
        <v>0</v>
      </c>
      <c r="I5623" s="25" t="n">
        <f aca="false">MAX(0,-I5622)</f>
        <v>0</v>
      </c>
      <c r="J5623" s="25" t="n">
        <f aca="false">MAX(0,-J5622)</f>
        <v>0</v>
      </c>
      <c r="K5623" s="25" t="n">
        <f aca="false">MAX(0,-K5622)</f>
        <v>0</v>
      </c>
    </row>
    <row r="5624" customFormat="false" ht="15" hidden="false" customHeight="false" outlineLevel="0" collapsed="false">
      <c r="A5624" s="3" t="s">
        <v>350</v>
      </c>
      <c r="G5624" s="25" t="n">
        <f aca="false">MAX(0,G5622-Assumptions!$C$12)*Assumptions!$C$13</f>
        <v>0</v>
      </c>
      <c r="H5624" s="25" t="n">
        <f aca="false">MAX(0,H5622-Assumptions!$C$12)*Assumptions!$C$13</f>
        <v>0</v>
      </c>
      <c r="I5624" s="25" t="n">
        <f aca="false">MAX(0,I5622-Assumptions!$C$12)*Assumptions!$C$13</f>
        <v>0</v>
      </c>
      <c r="J5624" s="25" t="n">
        <f aca="false">MAX(0,J5622-Assumptions!$C$12)*Assumptions!$C$13</f>
        <v>0</v>
      </c>
      <c r="K5624" s="25" t="n">
        <f aca="false">MAX(0,K5622-Assumptions!$C$12)*Assumptions!$C$13</f>
        <v>0</v>
      </c>
    </row>
    <row r="5625" customFormat="false" ht="15" hidden="false" customHeight="false" outlineLevel="0" collapsed="false">
      <c r="A5625" s="3" t="s">
        <v>351</v>
      </c>
      <c r="G5625" s="25" t="n">
        <f aca="false">G5566+G5579+G5592</f>
        <v>0</v>
      </c>
      <c r="H5625" s="25" t="n">
        <f aca="false">H5566+H5579+H5592</f>
        <v>0</v>
      </c>
      <c r="I5625" s="25" t="n">
        <f aca="false">I5566+I5579+I5592</f>
        <v>0</v>
      </c>
      <c r="J5625" s="25" t="n">
        <f aca="false">J5566+J5579+J5592</f>
        <v>0</v>
      </c>
      <c r="K5625" s="25" t="n">
        <f aca="false">K5566+K5579+K5592</f>
        <v>0</v>
      </c>
    </row>
    <row r="5626" customFormat="false" ht="15" hidden="false" customHeight="false" outlineLevel="0" collapsed="false">
      <c r="A5626" s="2" t="s">
        <v>352</v>
      </c>
      <c r="F5626" s="28" t="n">
        <f aca="false">Assumptions!$C$11</f>
        <v>463.996</v>
      </c>
      <c r="G5626" s="16" t="n">
        <f aca="false">G5622-G5625</f>
        <v>508.72192484</v>
      </c>
      <c r="H5626" s="16" t="n">
        <f aca="false">H5622-H5625</f>
        <v>504.0582150032</v>
      </c>
      <c r="I5626" s="16" t="n">
        <f aca="false">I5622-I5625</f>
        <v>56.1598662204799</v>
      </c>
      <c r="J5626" s="16" t="n">
        <f aca="false">J5622-J5625</f>
        <v>36.3059117403775</v>
      </c>
      <c r="K5626" s="16" t="n">
        <f aca="false">K5622-K5625</f>
        <v>9.35807712908127</v>
      </c>
    </row>
    <row r="5627" customFormat="false" ht="15" hidden="false" customHeight="false" outlineLevel="0" collapsed="false">
      <c r="A5627" s="3" t="s">
        <v>353</v>
      </c>
      <c r="G5627" s="25" t="n">
        <f aca="false">G5567+G5580+G5593</f>
        <v>0</v>
      </c>
      <c r="H5627" s="25" t="n">
        <f aca="false">H5567+H5580+H5593</f>
        <v>0</v>
      </c>
      <c r="I5627" s="25" t="n">
        <f aca="false">I5567+I5580+I5593</f>
        <v>0</v>
      </c>
      <c r="J5627" s="25" t="n">
        <f aca="false">J5567+J5580+J5593</f>
        <v>0</v>
      </c>
      <c r="K5627" s="25" t="n">
        <f aca="false">K5567+K5580+K5593</f>
        <v>0</v>
      </c>
    </row>
    <row r="5628" customFormat="false" ht="15" hidden="false" customHeight="false" outlineLevel="0" collapsed="false">
      <c r="A5628" s="3" t="s">
        <v>354</v>
      </c>
      <c r="G5628" s="20" t="n">
        <f aca="false">IF(OR(G5623&gt;0.001,G5627&gt;0.001),1,0)</f>
        <v>0</v>
      </c>
      <c r="H5628" s="20" t="n">
        <f aca="false">IF(OR(H5623&gt;0.001,H5627&gt;0.001),1,0)</f>
        <v>0</v>
      </c>
      <c r="I5628" s="20" t="n">
        <f aca="false">IF(OR(I5623&gt;0.001,I5627&gt;0.001),1,0)</f>
        <v>0</v>
      </c>
      <c r="J5628" s="20" t="n">
        <f aca="false">IF(OR(J5623&gt;0.001,J5627&gt;0.001),1,0)</f>
        <v>0</v>
      </c>
      <c r="K5628" s="20" t="n">
        <f aca="false">IF(OR(K5623&gt;0.001,K5627&gt;0.001),1,0)</f>
        <v>0</v>
      </c>
    </row>
    <row r="5629" customFormat="false" ht="15" hidden="false" customHeight="false" outlineLevel="0" collapsed="false">
      <c r="A5629" s="3" t="s">
        <v>355</v>
      </c>
      <c r="G5629" s="20" t="n">
        <f aca="false">IF(G5628=1,1,0)</f>
        <v>0</v>
      </c>
      <c r="H5629" s="20" t="n">
        <f aca="false">IF(AND(H5628=1,SUM($G$5628:G5628)=0),1,0)</f>
        <v>0</v>
      </c>
      <c r="I5629" s="20" t="n">
        <f aca="false">IF(AND(I5628=1,SUM($G$5628:H5628)=0),1,0)</f>
        <v>0</v>
      </c>
      <c r="J5629" s="20" t="n">
        <f aca="false">IF(AND(J5628=1,SUM($G$5628:I5628)=0),1,0)</f>
        <v>0</v>
      </c>
      <c r="K5629" s="20" t="n">
        <f aca="false">IF(AND(K5628=1,SUM($G$5628:J5628)=0),1,0)</f>
        <v>0</v>
      </c>
    </row>
    <row r="5630" customFormat="false" ht="15" hidden="false" customHeight="false" outlineLevel="0" collapsed="false">
      <c r="A5630" s="3" t="s">
        <v>356</v>
      </c>
      <c r="G5630" s="25" t="n">
        <f aca="false">(G5596-F5596)-(G5619+G5536-G5617-G5621-G5625)</f>
        <v>0</v>
      </c>
      <c r="H5630" s="25" t="n">
        <f aca="false">(H5596-G5596)-(H5619+H5536-H5617-H5621-H5625)</f>
        <v>0</v>
      </c>
      <c r="I5630" s="25" t="n">
        <f aca="false">(I5596-H5596)-(I5619+I5536-I5617-I5621-I5625)</f>
        <v>0</v>
      </c>
      <c r="J5630" s="25" t="n">
        <f aca="false">(J5596-I5596)-(J5619+J5536-J5617-J5621-J5625)</f>
        <v>0</v>
      </c>
      <c r="K5630" s="25" t="n">
        <f aca="false">(K5596-J5596)-(K5619+K5536-K5617-K5621-K5625)</f>
        <v>0</v>
      </c>
    </row>
    <row r="5632" customFormat="false" ht="15" hidden="false" customHeight="false" outlineLevel="0" collapsed="false">
      <c r="A5632" s="23" t="s">
        <v>358</v>
      </c>
      <c r="B5632" s="24"/>
      <c r="C5632" s="24"/>
      <c r="D5632" s="24"/>
      <c r="E5632" s="24"/>
      <c r="F5632" s="24"/>
      <c r="G5632" s="24"/>
      <c r="H5632" s="24"/>
      <c r="I5632" s="24"/>
      <c r="J5632" s="24"/>
      <c r="K5632" s="24"/>
    </row>
    <row r="5633" customFormat="false" ht="15" hidden="false" customHeight="false" outlineLevel="0" collapsed="false">
      <c r="A5633" s="3" t="s">
        <v>359</v>
      </c>
      <c r="G5633" s="25" t="n">
        <f aca="false">G5596</f>
        <v>1735.554</v>
      </c>
      <c r="H5633" s="25" t="n">
        <f aca="false">H5596</f>
        <v>1735.554</v>
      </c>
      <c r="I5633" s="25" t="n">
        <f aca="false">I5596</f>
        <v>1315.098</v>
      </c>
      <c r="J5633" s="25" t="n">
        <f aca="false">J5596</f>
        <v>1315.098</v>
      </c>
      <c r="K5633" s="25" t="n">
        <f aca="false">K5596</f>
        <v>1315.098</v>
      </c>
    </row>
    <row r="5634" customFormat="false" ht="15" hidden="false" customHeight="false" outlineLevel="0" collapsed="false">
      <c r="A5634" s="3" t="s">
        <v>360</v>
      </c>
      <c r="G5634" s="25" t="n">
        <f aca="false">Assumptions!$O$56*G5568+Assumptions!$O$57*G5581+Assumptions!$O$58*G5594</f>
        <v>1315.098</v>
      </c>
      <c r="H5634" s="25" t="n">
        <f aca="false">Assumptions!$O$56*H5568+Assumptions!$O$57*H5581+Assumptions!$O$58*H5594</f>
        <v>1315.098</v>
      </c>
      <c r="I5634" s="25" t="n">
        <f aca="false">Assumptions!$O$56*I5568+Assumptions!$O$57*I5581+Assumptions!$O$58*I5594</f>
        <v>1315.098</v>
      </c>
      <c r="J5634" s="25" t="n">
        <f aca="false">Assumptions!$O$56*J5568+Assumptions!$O$57*J5581+Assumptions!$O$58*J5594</f>
        <v>1315.098</v>
      </c>
      <c r="K5634" s="25" t="n">
        <f aca="false">Assumptions!$O$56*K5568+Assumptions!$O$57*K5581+Assumptions!$O$58*K5594</f>
        <v>1315.098</v>
      </c>
    </row>
    <row r="5635" customFormat="false" ht="15" hidden="false" customHeight="false" outlineLevel="0" collapsed="false">
      <c r="A5635" s="3" t="s">
        <v>361</v>
      </c>
      <c r="G5635" s="25" t="n">
        <f aca="false">G5633-G5626</f>
        <v>1226.83207516</v>
      </c>
      <c r="H5635" s="25" t="n">
        <f aca="false">H5633-H5626</f>
        <v>1231.4957849968</v>
      </c>
      <c r="I5635" s="25" t="n">
        <f aca="false">I5633-I5626</f>
        <v>1258.93813377952</v>
      </c>
      <c r="J5635" s="25" t="n">
        <f aca="false">J5633-J5626</f>
        <v>1278.79208825962</v>
      </c>
      <c r="K5635" s="25" t="n">
        <f aca="false">K5633-K5626</f>
        <v>1305.73992287092</v>
      </c>
    </row>
    <row r="5636" customFormat="false" ht="15" hidden="false" customHeight="false" outlineLevel="0" collapsed="false">
      <c r="A5636" s="3" t="s">
        <v>362</v>
      </c>
      <c r="G5636" s="32" t="n">
        <f aca="false">IF(G5531&gt;0,G5633/G5531,0)</f>
        <v>6.91121618763716</v>
      </c>
      <c r="H5636" s="32" t="n">
        <f aca="false">IF(H5531&gt;0,H5633/H5531,0)</f>
        <v>8.87804450981059</v>
      </c>
      <c r="I5636" s="32" t="n">
        <f aca="false">IF(I5531&gt;0,I5633/I5531,0)</f>
        <v>7.81447759275568</v>
      </c>
      <c r="J5636" s="32" t="n">
        <f aca="false">IF(J5531&gt;0,J5633/J5531,0)</f>
        <v>8.49399738343008</v>
      </c>
      <c r="K5636" s="32" t="n">
        <f aca="false">IF(K5531&gt;0,K5633/K5531,0)</f>
        <v>9.03616742918094</v>
      </c>
    </row>
    <row r="5637" customFormat="false" ht="15" hidden="false" customHeight="false" outlineLevel="0" collapsed="false">
      <c r="A5637" s="3" t="s">
        <v>363</v>
      </c>
      <c r="G5637" s="32" t="n">
        <f aca="false">IF(G5531&gt;0,G5635/G5531,0)</f>
        <v>4.8854150878384</v>
      </c>
      <c r="H5637" s="32" t="n">
        <f aca="false">IF(H5531&gt;0,H5635/H5531,0)</f>
        <v>6.29958756272966</v>
      </c>
      <c r="I5637" s="32" t="n">
        <f aca="false">IF(I5531&gt;0,I5635/I5531,0)</f>
        <v>7.48076860970491</v>
      </c>
      <c r="J5637" s="32" t="n">
        <f aca="false">IF(J5531&gt;0,J5635/J5531,0)</f>
        <v>8.25950358956392</v>
      </c>
      <c r="K5637" s="32" t="n">
        <f aca="false">IF(K5531&gt;0,K5635/K5531,0)</f>
        <v>8.97186716277223</v>
      </c>
    </row>
    <row r="5638" customFormat="false" ht="15" hidden="false" customHeight="false" outlineLevel="0" collapsed="false">
      <c r="A5638" s="3" t="s">
        <v>364</v>
      </c>
      <c r="G5638" s="32" t="n">
        <f aca="false">IF(G5535&gt;0,G5531/G5535,0)</f>
        <v>1.61022019282911</v>
      </c>
      <c r="H5638" s="32" t="n">
        <f aca="false">IF(H5535&gt;0,H5531/H5535,0)</f>
        <v>1.25349448857158</v>
      </c>
      <c r="I5638" s="32" t="n">
        <f aca="false">IF(I5535&gt;0,I5531/I5535,0)</f>
        <v>1.07909525537902</v>
      </c>
      <c r="J5638" s="32" t="n">
        <f aca="false">IF(J5535&gt;0,J5531/J5535,0)</f>
        <v>1.12123998794589</v>
      </c>
      <c r="K5638" s="32" t="n">
        <f aca="false">IF(K5535&gt;0,K5531/K5535,0)</f>
        <v>1.05396558866913</v>
      </c>
    </row>
    <row r="5639" customFormat="false" ht="15" hidden="false" customHeight="false" outlineLevel="0" collapsed="false">
      <c r="A5639" s="3" t="s">
        <v>365</v>
      </c>
      <c r="G5639" s="32" t="n">
        <f aca="false">IF(G5535&gt;0,G5534/G5535,0)</f>
        <v>1.00555269553647</v>
      </c>
      <c r="H5639" s="32" t="n">
        <f aca="false">IF(H5535&gt;0,H5534/H5535,0)</f>
        <v>0.721387090954057</v>
      </c>
      <c r="I5639" s="32" t="n">
        <f aca="false">IF(I5535&gt;0,I5534/I5535,0)</f>
        <v>0.600198597523242</v>
      </c>
      <c r="J5639" s="32" t="n">
        <f aca="false">IF(J5535&gt;0,J5534/J5535,0)</f>
        <v>0.623639724943215</v>
      </c>
      <c r="K5639" s="32" t="n">
        <f aca="false">IF(K5535&gt;0,K5534/K5535,0)</f>
        <v>0.586221341446622</v>
      </c>
    </row>
    <row r="5640" customFormat="false" ht="15" hidden="false" customHeight="false" outlineLevel="0" collapsed="false">
      <c r="A5640" s="3" t="s">
        <v>198</v>
      </c>
      <c r="G5640" s="21" t="n">
        <f aca="false">IF(G5633&gt;0,G5544/G5633,0)</f>
        <v>0.0257704023268651</v>
      </c>
      <c r="H5640" s="21" t="n">
        <f aca="false">IF(H5633&gt;0,H5544/H5633,0)</f>
        <v>-0.00268715916462411</v>
      </c>
      <c r="I5640" s="21" t="n">
        <f aca="false">IF(I5633&gt;0,I5544/I5633,0)</f>
        <v>-0.0208671511801554</v>
      </c>
      <c r="J5640" s="21" t="n">
        <f aca="false">IF(J5633&gt;0,J5544/J5633,0)</f>
        <v>-0.015096939148339</v>
      </c>
      <c r="K5640" s="21" t="n">
        <f aca="false">IF(K5633&gt;0,K5544/K5633,0)</f>
        <v>-0.0204911227994387</v>
      </c>
    </row>
    <row r="5641" customFormat="false" ht="15" hidden="false" customHeight="false" outlineLevel="0" collapsed="false">
      <c r="A5641" s="3" t="s">
        <v>366</v>
      </c>
      <c r="G5641" s="32" t="n">
        <f aca="false">IF(G5535+G5617&gt;0,(G5531-G5542-G5539)/(G5535+G5617),0)</f>
        <v>1.4725826180133</v>
      </c>
      <c r="H5641" s="32" t="n">
        <f aca="false">IF(H5535+H5617&gt;0,(H5531-H5542-H5539)/(H5535+H5617),0)</f>
        <v>1.13359501575169</v>
      </c>
      <c r="I5641" s="32" t="n">
        <f aca="false">IF(I5535+I5617&gt;0,(I5531-I5542-I5539)/(I5535+I5617),0)</f>
        <v>0.971185729841114</v>
      </c>
      <c r="J5641" s="32" t="n">
        <f aca="false">IF(J5535+J5617&gt;0,(J5531-J5542-J5539)/(J5535+J5617),0)</f>
        <v>1.0091159891513</v>
      </c>
      <c r="K5641" s="32" t="n">
        <f aca="false">IF(K5535+K5617&gt;0,(K5531-K5542-K5539)/(K5535+K5617),0)</f>
        <v>0.948569029802219</v>
      </c>
    </row>
    <row r="5642" customFormat="false" ht="15" hidden="false" customHeight="false" outlineLevel="0" collapsed="false">
      <c r="A5642" s="3" t="s">
        <v>367</v>
      </c>
      <c r="G5642" s="25" t="n">
        <f aca="false">MAX(0,G5626)+Assumptions!$P$56*MAX(0,Assumptions!$D$56-G5568)+Assumptions!$P$57*MAX(0,Assumptions!$D$57-G5581)+Assumptions!$P$58*MAX(0,Assumptions!$D$58-G5594)</f>
        <v>508.72192484</v>
      </c>
      <c r="H5642" s="25" t="n">
        <f aca="false">MAX(0,H5626)+Assumptions!$P$56*MAX(0,Assumptions!$D$56-H5568)+Assumptions!$P$57*MAX(0,Assumptions!$D$57-H5581)+Assumptions!$P$58*MAX(0,Assumptions!$D$58-H5594)</f>
        <v>504.0582150032</v>
      </c>
      <c r="I5642" s="25" t="n">
        <f aca="false">MAX(0,I5626)+Assumptions!$P$56*MAX(0,Assumptions!$D$56-I5568)+Assumptions!$P$57*MAX(0,Assumptions!$D$57-I5581)+Assumptions!$P$58*MAX(0,Assumptions!$D$58-I5594)</f>
        <v>56.1598662204799</v>
      </c>
      <c r="J5642" s="25" t="n">
        <f aca="false">MAX(0,J5626)+Assumptions!$P$56*MAX(0,Assumptions!$D$56-J5568)+Assumptions!$P$57*MAX(0,Assumptions!$D$57-J5581)+Assumptions!$P$58*MAX(0,Assumptions!$D$58-J5594)</f>
        <v>36.3059117403775</v>
      </c>
      <c r="K5642" s="25" t="n">
        <f aca="false">MAX(0,K5626)+Assumptions!$P$56*MAX(0,Assumptions!$D$56-K5568)+Assumptions!$P$57*MAX(0,Assumptions!$D$57-K5581)+Assumptions!$P$58*MAX(0,Assumptions!$D$58-K5594)</f>
        <v>9.35807712908127</v>
      </c>
    </row>
    <row r="5643" customFormat="false" ht="15" hidden="false" customHeight="false" outlineLevel="0" collapsed="false">
      <c r="A5643" s="3" t="s">
        <v>368</v>
      </c>
      <c r="G5643" s="21" t="n">
        <f aca="false">IF(G5633&gt;0,G5633/(G5633+MAX(0,G5531*CHOOSE($C$5514,Assumptions!$C$82,Assumptions!$C$101,Assumptions!$C$120)-G5635)),0)</f>
        <v>1</v>
      </c>
      <c r="H5643" s="21" t="n">
        <f aca="false">IF(H5633&gt;0,H5633/(H5633+MAX(0,H5531*CHOOSE($C$5514,Assumptions!$C$82,Assumptions!$C$101,Assumptions!$C$120)-H5635)),0)</f>
        <v>1</v>
      </c>
      <c r="I5643" s="21" t="n">
        <f aca="false">IF(I5633&gt;0,I5633/(I5633+MAX(0,I5531*CHOOSE($C$5514,Assumptions!$C$82,Assumptions!$C$101,Assumptions!$C$120)-I5635)),0)</f>
        <v>1</v>
      </c>
      <c r="J5643" s="21" t="n">
        <f aca="false">IF(J5633&gt;0,J5633/(J5633+MAX(0,J5531*CHOOSE($C$5514,Assumptions!$C$82,Assumptions!$C$101,Assumptions!$C$120)-J5635)),0)</f>
        <v>1</v>
      </c>
      <c r="K5643" s="21" t="n">
        <f aca="false">IF(K5633&gt;0,K5633/(K5633+MAX(0,K5531*CHOOSE($C$5514,Assumptions!$C$82,Assumptions!$C$101,Assumptions!$C$120)-K5635)),0)</f>
        <v>1</v>
      </c>
    </row>
    <row r="5644" customFormat="false" ht="15" hidden="false" customHeight="false" outlineLevel="0" collapsed="false">
      <c r="A5644" s="3" t="s">
        <v>369</v>
      </c>
      <c r="G5644" s="21" t="n">
        <f aca="false">IF(G5633&gt;0,MAX(0,G5626)/G5633,0)</f>
        <v>0.29311788906597</v>
      </c>
      <c r="H5644" s="21" t="n">
        <f aca="false">IF(H5633&gt;0,MAX(0,H5626)/H5633,0)</f>
        <v>0.290430729901346</v>
      </c>
      <c r="I5644" s="21" t="n">
        <f aca="false">IF(I5633&gt;0,MAX(0,I5626)/I5633,0)</f>
        <v>0.0427039401021672</v>
      </c>
      <c r="J5644" s="21" t="n">
        <f aca="false">IF(J5633&gt;0,MAX(0,J5626)/J5633,0)</f>
        <v>0.0276070009538282</v>
      </c>
      <c r="K5644" s="21" t="n">
        <f aca="false">IF(K5633&gt;0,MAX(0,K5626)/K5633,0)</f>
        <v>0.00711587815438946</v>
      </c>
    </row>
    <row r="5645" customFormat="false" ht="15" hidden="false" customHeight="false" outlineLevel="0" collapsed="false">
      <c r="A5645" s="3" t="s">
        <v>370</v>
      </c>
      <c r="G5645" s="25" t="n">
        <f aca="false">Assumptions!$C$30*(1-CHOOSE($C$5514,Assumptions!$C$85,Assumptions!$C$104,Assumptions!$C$123))</f>
        <v>1595.73115</v>
      </c>
      <c r="H5645" s="25" t="n">
        <f aca="false">Assumptions!$C$30*(1-CHOOSE($C$5514,Assumptions!$C$85,Assumptions!$C$104,Assumptions!$C$123))</f>
        <v>1595.73115</v>
      </c>
      <c r="I5645" s="25" t="n">
        <f aca="false">Assumptions!$C$30*(1-CHOOSE($C$5514,Assumptions!$C$85,Assumptions!$C$104,Assumptions!$C$123))</f>
        <v>1595.73115</v>
      </c>
      <c r="J5645" s="25" t="n">
        <f aca="false">Assumptions!$C$30*(1-CHOOSE($C$5514,Assumptions!$C$85,Assumptions!$C$104,Assumptions!$C$123))</f>
        <v>1595.73115</v>
      </c>
      <c r="K5645" s="25" t="n">
        <f aca="false">Assumptions!$C$30*(1-CHOOSE($C$5514,Assumptions!$C$85,Assumptions!$C$104,Assumptions!$C$123))</f>
        <v>1595.73115</v>
      </c>
    </row>
    <row r="5646" customFormat="false" ht="15" hidden="false" customHeight="false" outlineLevel="0" collapsed="false">
      <c r="A5646" s="23" t="s">
        <v>371</v>
      </c>
      <c r="B5646" s="24"/>
      <c r="C5646" s="24"/>
      <c r="D5646" s="24"/>
      <c r="E5646" s="24"/>
      <c r="F5646" s="24"/>
      <c r="G5646" s="24"/>
      <c r="H5646" s="24"/>
      <c r="I5646" s="24"/>
      <c r="J5646" s="24"/>
      <c r="K5646" s="24"/>
    </row>
    <row r="5647" customFormat="false" ht="15" hidden="false" customHeight="false" outlineLevel="0" collapsed="false">
      <c r="A5647" s="23" t="s">
        <v>372</v>
      </c>
      <c r="B5647" s="24"/>
      <c r="C5647" s="24"/>
      <c r="D5647" s="24"/>
      <c r="E5647" s="24"/>
      <c r="F5647" s="24"/>
      <c r="G5647" s="24"/>
      <c r="H5647" s="24"/>
      <c r="I5647" s="24"/>
      <c r="J5647" s="24"/>
      <c r="K5647" s="24"/>
    </row>
    <row r="5648" customFormat="false" ht="15" hidden="false" customHeight="false" outlineLevel="0" collapsed="false">
      <c r="A5648" s="3" t="s">
        <v>373</v>
      </c>
      <c r="G5648" s="32" t="n">
        <f aca="false">IF(G5531&gt;0,G5635/G5531,99)</f>
        <v>4.8854150878384</v>
      </c>
      <c r="H5648" s="32" t="n">
        <f aca="false">IF(H5531&gt;0,H5635/H5531,99)</f>
        <v>6.29958756272966</v>
      </c>
      <c r="I5648" s="32" t="n">
        <f aca="false">IF(I5531&gt;0,I5635/I5531,99)</f>
        <v>7.48076860970491</v>
      </c>
      <c r="J5648" s="32" t="n">
        <f aca="false">IF(J5531&gt;0,J5635/J5531,99)</f>
        <v>8.25950358956392</v>
      </c>
      <c r="K5648" s="32" t="n">
        <f aca="false">IF(K5531&gt;0,K5635/K5531,99)</f>
        <v>8.97186716277223</v>
      </c>
    </row>
    <row r="5649" customFormat="false" ht="15" hidden="false" customHeight="false" outlineLevel="0" collapsed="false">
      <c r="A5649" s="3" t="s">
        <v>374</v>
      </c>
      <c r="G5649" s="33" t="n">
        <f aca="false">Assumptions!$G$65</f>
        <v>5.25</v>
      </c>
      <c r="H5649" s="33" t="n">
        <f aca="false">Assumptions!$H$65</f>
        <v>5.25</v>
      </c>
      <c r="I5649" s="33" t="n">
        <f aca="false">Assumptions!$I$65</f>
        <v>5</v>
      </c>
      <c r="J5649" s="33" t="n">
        <f aca="false">Assumptions!$J$65</f>
        <v>5</v>
      </c>
      <c r="K5649" s="33" t="n">
        <f aca="false">Assumptions!$K$65</f>
        <v>5</v>
      </c>
    </row>
    <row r="5650" customFormat="false" ht="15" hidden="false" customHeight="false" outlineLevel="0" collapsed="false">
      <c r="A5650" s="3" t="s">
        <v>375</v>
      </c>
      <c r="G5650" s="32" t="n">
        <f aca="false">G5649-G5648</f>
        <v>0.3645849121616</v>
      </c>
      <c r="H5650" s="32" t="n">
        <f aca="false">H5649-H5648</f>
        <v>-1.04958756272966</v>
      </c>
      <c r="I5650" s="32" t="n">
        <f aca="false">I5649-I5648</f>
        <v>-2.48076860970491</v>
      </c>
      <c r="J5650" s="32" t="n">
        <f aca="false">J5649-J5648</f>
        <v>-3.25950358956391</v>
      </c>
      <c r="K5650" s="32" t="n">
        <f aca="false">K5649-K5648</f>
        <v>-3.97186716277223</v>
      </c>
    </row>
    <row r="5651" customFormat="false" ht="15" hidden="false" customHeight="false" outlineLevel="0" collapsed="false">
      <c r="A5651" s="3" t="s">
        <v>376</v>
      </c>
      <c r="G5651" s="21" t="n">
        <f aca="false">IF(G5649=0,0,G5650/ABS(G5649))</f>
        <v>0.0694447451736382</v>
      </c>
      <c r="H5651" s="21" t="n">
        <f aca="false">IF(H5649=0,0,H5650/ABS(H5649))</f>
        <v>-0.199921440519936</v>
      </c>
      <c r="I5651" s="21" t="n">
        <f aca="false">IF(I5649=0,0,I5650/ABS(I5649))</f>
        <v>-0.496153721940982</v>
      </c>
      <c r="J5651" s="21" t="n">
        <f aca="false">IF(J5649=0,0,J5650/ABS(J5649))</f>
        <v>-0.651900717912783</v>
      </c>
      <c r="K5651" s="21" t="n">
        <f aca="false">IF(K5649=0,0,K5650/ABS(K5649))</f>
        <v>-0.794373432554445</v>
      </c>
    </row>
    <row r="5652" customFormat="false" ht="15" hidden="false" customHeight="false" outlineLevel="0" collapsed="false">
      <c r="A5652" s="3" t="s">
        <v>377</v>
      </c>
      <c r="G5652" s="20" t="n">
        <f aca="false">IF(G5650&lt;0,1,0)</f>
        <v>0</v>
      </c>
      <c r="H5652" s="20" t="n">
        <f aca="false">IF(H5650&lt;0,1,0)</f>
        <v>1</v>
      </c>
      <c r="I5652" s="20" t="n">
        <f aca="false">IF(I5650&lt;0,1,0)</f>
        <v>1</v>
      </c>
      <c r="J5652" s="20" t="n">
        <f aca="false">IF(J5650&lt;0,1,0)</f>
        <v>1</v>
      </c>
      <c r="K5652" s="20" t="n">
        <f aca="false">IF(K5650&lt;0,1,0)</f>
        <v>1</v>
      </c>
    </row>
    <row r="5653" customFormat="false" ht="15" hidden="false" customHeight="false" outlineLevel="0" collapsed="false">
      <c r="A5653" s="3" t="s">
        <v>378</v>
      </c>
      <c r="C5653" s="20" t="n">
        <f aca="false">IFERROR(INDEX($G$5521:$K$5521,MATCH(1,$G$5652:$K$5652,0)),0)</f>
        <v>2028</v>
      </c>
    </row>
    <row r="5654" customFormat="false" ht="15" hidden="false" customHeight="false" outlineLevel="0" collapsed="false">
      <c r="A5654" s="3" t="s">
        <v>379</v>
      </c>
      <c r="C5654" s="21" t="n">
        <f aca="false">MIN($G$5651:$K$5651)</f>
        <v>-0.794373432554445</v>
      </c>
    </row>
    <row r="5655" customFormat="false" ht="15" hidden="false" customHeight="false" outlineLevel="0" collapsed="false">
      <c r="A5655" s="23" t="s">
        <v>380</v>
      </c>
      <c r="B5655" s="24"/>
      <c r="C5655" s="24"/>
      <c r="D5655" s="24"/>
      <c r="E5655" s="24"/>
      <c r="F5655" s="24"/>
      <c r="G5655" s="24"/>
      <c r="H5655" s="24"/>
      <c r="I5655" s="24"/>
      <c r="J5655" s="24"/>
      <c r="K5655" s="24"/>
    </row>
    <row r="5656" customFormat="false" ht="15" hidden="false" customHeight="false" outlineLevel="0" collapsed="false">
      <c r="A5656" s="3" t="s">
        <v>373</v>
      </c>
      <c r="G5656" s="32" t="n">
        <f aca="false">IF(G5535&gt;0,G5531/G5535,99)</f>
        <v>1.61022019282911</v>
      </c>
      <c r="H5656" s="32" t="n">
        <f aca="false">IF(H5535&gt;0,H5531/H5535,99)</f>
        <v>1.25349448857158</v>
      </c>
      <c r="I5656" s="32" t="n">
        <f aca="false">IF(I5535&gt;0,I5531/I5535,99)</f>
        <v>1.07909525537902</v>
      </c>
      <c r="J5656" s="32" t="n">
        <f aca="false">IF(J5535&gt;0,J5531/J5535,99)</f>
        <v>1.12123998794589</v>
      </c>
      <c r="K5656" s="32" t="n">
        <f aca="false">IF(K5535&gt;0,K5531/K5535,99)</f>
        <v>1.05396558866913</v>
      </c>
    </row>
    <row r="5657" customFormat="false" ht="15" hidden="false" customHeight="false" outlineLevel="0" collapsed="false">
      <c r="A5657" s="3" t="s">
        <v>374</v>
      </c>
      <c r="G5657" s="33" t="n">
        <f aca="false">Assumptions!$G$66</f>
        <v>1.4</v>
      </c>
      <c r="H5657" s="33" t="n">
        <f aca="false">Assumptions!$H$66</f>
        <v>1.4</v>
      </c>
      <c r="I5657" s="33" t="n">
        <f aca="false">Assumptions!$I$66</f>
        <v>1.4</v>
      </c>
      <c r="J5657" s="33" t="n">
        <f aca="false">Assumptions!$J$66</f>
        <v>1.5</v>
      </c>
      <c r="K5657" s="33" t="n">
        <f aca="false">Assumptions!$K$66</f>
        <v>1.5</v>
      </c>
    </row>
    <row r="5658" customFormat="false" ht="15" hidden="false" customHeight="false" outlineLevel="0" collapsed="false">
      <c r="A5658" s="3" t="s">
        <v>375</v>
      </c>
      <c r="G5658" s="32" t="n">
        <f aca="false">G5656-G5657</f>
        <v>0.210220192829109</v>
      </c>
      <c r="H5658" s="32" t="n">
        <f aca="false">H5656-H5657</f>
        <v>-0.146505511428417</v>
      </c>
      <c r="I5658" s="32" t="n">
        <f aca="false">I5656-I5657</f>
        <v>-0.320904744620985</v>
      </c>
      <c r="J5658" s="32" t="n">
        <f aca="false">J5656-J5657</f>
        <v>-0.378760012054115</v>
      </c>
      <c r="K5658" s="32" t="n">
        <f aca="false">K5656-K5657</f>
        <v>-0.446034411330868</v>
      </c>
    </row>
    <row r="5659" customFormat="false" ht="15" hidden="false" customHeight="false" outlineLevel="0" collapsed="false">
      <c r="A5659" s="3" t="s">
        <v>376</v>
      </c>
      <c r="G5659" s="21" t="n">
        <f aca="false">IF(G5657=0,0,G5658/ABS(G5657))</f>
        <v>0.15015728059222</v>
      </c>
      <c r="H5659" s="21" t="n">
        <f aca="false">IF(H5657=0,0,H5658/ABS(H5657))</f>
        <v>-0.104646793877441</v>
      </c>
      <c r="I5659" s="21" t="n">
        <f aca="false">IF(I5657=0,0,I5658/ABS(I5657))</f>
        <v>-0.229217674729275</v>
      </c>
      <c r="J5659" s="21" t="n">
        <f aca="false">IF(J5657=0,0,J5658/ABS(J5657))</f>
        <v>-0.252506674702743</v>
      </c>
      <c r="K5659" s="21" t="n">
        <f aca="false">IF(K5657=0,0,K5658/ABS(K5657))</f>
        <v>-0.297356274220579</v>
      </c>
    </row>
    <row r="5660" customFormat="false" ht="15" hidden="false" customHeight="false" outlineLevel="0" collapsed="false">
      <c r="A5660" s="3" t="s">
        <v>377</v>
      </c>
      <c r="G5660" s="20" t="n">
        <f aca="false">IF(G5658&lt;0,1,0)</f>
        <v>0</v>
      </c>
      <c r="H5660" s="20" t="n">
        <f aca="false">IF(H5658&lt;0,1,0)</f>
        <v>1</v>
      </c>
      <c r="I5660" s="20" t="n">
        <f aca="false">IF(I5658&lt;0,1,0)</f>
        <v>1</v>
      </c>
      <c r="J5660" s="20" t="n">
        <f aca="false">IF(J5658&lt;0,1,0)</f>
        <v>1</v>
      </c>
      <c r="K5660" s="20" t="n">
        <f aca="false">IF(K5658&lt;0,1,0)</f>
        <v>1</v>
      </c>
    </row>
    <row r="5661" customFormat="false" ht="15" hidden="false" customHeight="false" outlineLevel="0" collapsed="false">
      <c r="A5661" s="3" t="s">
        <v>378</v>
      </c>
      <c r="C5661" s="20" t="n">
        <f aca="false">IFERROR(INDEX($G$5521:$K$5521,MATCH(1,$G$5660:$K$5660,0)),0)</f>
        <v>2028</v>
      </c>
    </row>
    <row r="5662" customFormat="false" ht="15" hidden="false" customHeight="false" outlineLevel="0" collapsed="false">
      <c r="A5662" s="3" t="s">
        <v>379</v>
      </c>
      <c r="C5662" s="21" t="n">
        <f aca="false">MIN($G$5659:$K$5659)</f>
        <v>-0.297356274220579</v>
      </c>
    </row>
    <row r="5663" customFormat="false" ht="15" hidden="false" customHeight="false" outlineLevel="0" collapsed="false">
      <c r="A5663" s="23" t="s">
        <v>381</v>
      </c>
      <c r="B5663" s="24"/>
      <c r="C5663" s="24"/>
      <c r="D5663" s="24"/>
      <c r="E5663" s="24"/>
      <c r="F5663" s="24"/>
      <c r="G5663" s="24"/>
      <c r="H5663" s="24"/>
      <c r="I5663" s="24"/>
      <c r="J5663" s="24"/>
      <c r="K5663" s="24"/>
    </row>
    <row r="5664" customFormat="false" ht="15" hidden="false" customHeight="false" outlineLevel="0" collapsed="false">
      <c r="A5664" s="3" t="s">
        <v>373</v>
      </c>
      <c r="G5664" s="25" t="n">
        <f aca="false">G5642</f>
        <v>508.72192484</v>
      </c>
      <c r="H5664" s="25" t="n">
        <f aca="false">H5642</f>
        <v>504.0582150032</v>
      </c>
      <c r="I5664" s="25" t="n">
        <f aca="false">I5642</f>
        <v>56.1598662204799</v>
      </c>
      <c r="J5664" s="25" t="n">
        <f aca="false">J5642</f>
        <v>36.3059117403775</v>
      </c>
      <c r="K5664" s="25" t="n">
        <f aca="false">K5642</f>
        <v>9.35807712908127</v>
      </c>
    </row>
    <row r="5665" customFormat="false" ht="15" hidden="false" customHeight="false" outlineLevel="0" collapsed="false">
      <c r="A5665" s="3" t="s">
        <v>374</v>
      </c>
      <c r="G5665" s="29" t="n">
        <f aca="false">Assumptions!$G$67</f>
        <v>200</v>
      </c>
      <c r="H5665" s="29" t="n">
        <f aca="false">Assumptions!$H$67</f>
        <v>200</v>
      </c>
      <c r="I5665" s="29" t="n">
        <f aca="false">Assumptions!$I$67</f>
        <v>200</v>
      </c>
      <c r="J5665" s="29" t="n">
        <f aca="false">Assumptions!$J$67</f>
        <v>200</v>
      </c>
      <c r="K5665" s="29" t="n">
        <f aca="false">Assumptions!$K$67</f>
        <v>200</v>
      </c>
    </row>
    <row r="5666" customFormat="false" ht="15" hidden="false" customHeight="false" outlineLevel="0" collapsed="false">
      <c r="A5666" s="3" t="s">
        <v>375</v>
      </c>
      <c r="G5666" s="25" t="n">
        <f aca="false">G5664-G5665</f>
        <v>308.72192484</v>
      </c>
      <c r="H5666" s="25" t="n">
        <f aca="false">H5664-H5665</f>
        <v>304.0582150032</v>
      </c>
      <c r="I5666" s="25" t="n">
        <f aca="false">I5664-I5665</f>
        <v>-143.84013377952</v>
      </c>
      <c r="J5666" s="25" t="n">
        <f aca="false">J5664-J5665</f>
        <v>-163.694088259623</v>
      </c>
      <c r="K5666" s="25" t="n">
        <f aca="false">K5664-K5665</f>
        <v>-190.641922870919</v>
      </c>
    </row>
    <row r="5667" customFormat="false" ht="15" hidden="false" customHeight="false" outlineLevel="0" collapsed="false">
      <c r="A5667" s="3" t="s">
        <v>376</v>
      </c>
      <c r="G5667" s="21" t="n">
        <f aca="false">IF(G5665=0,0,G5666/ABS(G5665))</f>
        <v>1.5436096242</v>
      </c>
      <c r="H5667" s="21" t="n">
        <f aca="false">IF(H5665=0,0,H5666/ABS(H5665))</f>
        <v>1.520291075016</v>
      </c>
      <c r="I5667" s="21" t="n">
        <f aca="false">IF(I5665=0,0,I5666/ABS(I5665))</f>
        <v>-0.719200668897601</v>
      </c>
      <c r="J5667" s="21" t="n">
        <f aca="false">IF(J5665=0,0,J5666/ABS(J5665))</f>
        <v>-0.818470441298113</v>
      </c>
      <c r="K5667" s="21" t="n">
        <f aca="false">IF(K5665=0,0,K5666/ABS(K5665))</f>
        <v>-0.953209614354594</v>
      </c>
    </row>
    <row r="5668" customFormat="false" ht="15" hidden="false" customHeight="false" outlineLevel="0" collapsed="false">
      <c r="A5668" s="3" t="s">
        <v>377</v>
      </c>
      <c r="G5668" s="20" t="n">
        <f aca="false">IF(G5666&lt;0,1,0)</f>
        <v>0</v>
      </c>
      <c r="H5668" s="20" t="n">
        <f aca="false">IF(H5666&lt;0,1,0)</f>
        <v>0</v>
      </c>
      <c r="I5668" s="20" t="n">
        <f aca="false">IF(I5666&lt;0,1,0)</f>
        <v>1</v>
      </c>
      <c r="J5668" s="20" t="n">
        <f aca="false">IF(J5666&lt;0,1,0)</f>
        <v>1</v>
      </c>
      <c r="K5668" s="20" t="n">
        <f aca="false">IF(K5666&lt;0,1,0)</f>
        <v>1</v>
      </c>
    </row>
    <row r="5669" customFormat="false" ht="15" hidden="false" customHeight="false" outlineLevel="0" collapsed="false">
      <c r="A5669" s="3" t="s">
        <v>378</v>
      </c>
      <c r="C5669" s="20" t="n">
        <f aca="false">IFERROR(INDEX($G$5521:$K$5521,MATCH(1,$G$5668:$K$5668,0)),0)</f>
        <v>2029</v>
      </c>
    </row>
    <row r="5670" customFormat="false" ht="15" hidden="false" customHeight="false" outlineLevel="0" collapsed="false">
      <c r="A5670" s="3" t="s">
        <v>379</v>
      </c>
      <c r="C5670" s="21" t="n">
        <f aca="false">MIN($G$5667:$K$5667)</f>
        <v>-0.953209614354594</v>
      </c>
    </row>
    <row r="5671" customFormat="false" ht="15" hidden="false" customHeight="false" outlineLevel="0" collapsed="false">
      <c r="A5671" s="3" t="s">
        <v>382</v>
      </c>
      <c r="G5671" s="20" t="n">
        <f aca="false">G5652+G5660+G5668</f>
        <v>0</v>
      </c>
      <c r="H5671" s="20" t="n">
        <f aca="false">H5652+H5660+H5668</f>
        <v>2</v>
      </c>
      <c r="I5671" s="20" t="n">
        <f aca="false">I5652+I5660+I5668</f>
        <v>3</v>
      </c>
      <c r="J5671" s="20" t="n">
        <f aca="false">J5652+J5660+J5668</f>
        <v>3</v>
      </c>
      <c r="K5671" s="20" t="n">
        <f aca="false">K5652+K5660+K5668</f>
        <v>3</v>
      </c>
    </row>
    <row r="5672" customFormat="false" ht="15" hidden="false" customHeight="false" outlineLevel="0" collapsed="false">
      <c r="A5672" s="3" t="s">
        <v>383</v>
      </c>
      <c r="C5672" s="20" t="n">
        <f aca="false">SUM($G$5671:$K$5671)</f>
        <v>11</v>
      </c>
    </row>
    <row r="5673" customFormat="false" ht="15" hidden="false" customHeight="false" outlineLevel="0" collapsed="false">
      <c r="A5673" s="3" t="s">
        <v>384</v>
      </c>
      <c r="C5673" s="21" t="n">
        <f aca="false">MIN(C5654,C5662,C5670)</f>
        <v>-0.953209614354594</v>
      </c>
    </row>
    <row r="5675" customFormat="false" ht="15" hidden="false" customHeight="false" outlineLevel="0" collapsed="false">
      <c r="A5675" s="23" t="s">
        <v>486</v>
      </c>
      <c r="B5675" s="24"/>
      <c r="C5675" s="24"/>
      <c r="D5675" s="24"/>
      <c r="E5675" s="24"/>
      <c r="F5675" s="24"/>
      <c r="G5675" s="24"/>
      <c r="H5675" s="24"/>
      <c r="I5675" s="24"/>
      <c r="J5675" s="24"/>
      <c r="K5675" s="24"/>
    </row>
    <row r="5676" customFormat="false" ht="15" hidden="false" customHeight="false" outlineLevel="0" collapsed="false">
      <c r="A5676" s="3" t="s">
        <v>487</v>
      </c>
      <c r="G5676" s="20" t="n">
        <f aca="false">IF($C$5677=1,G5629,IF(G5531=MIN($G$5531:$K$5531),1,0))</f>
        <v>0</v>
      </c>
      <c r="H5676" s="20" t="n">
        <f aca="false">IF($C$5677=1,H5629,IF(AND(H5531=MIN($G$5531:$K$5531),SUM($G$5676:G5676)=0),1,0))</f>
        <v>0</v>
      </c>
      <c r="I5676" s="20" t="n">
        <f aca="false">IF($C$5677=1,I5629,IF(AND(I5531=MIN($G$5531:$K$5531),SUM($G$5676:H5676)=0),1,0))</f>
        <v>0</v>
      </c>
      <c r="J5676" s="20" t="n">
        <f aca="false">IF($C$5677=1,J5629,IF(AND(J5531=MIN($G$5531:$K$5531),SUM($G$5676:I5676)=0),1,0))</f>
        <v>0</v>
      </c>
      <c r="K5676" s="20" t="n">
        <f aca="false">IF($C$5677=1,K5629,IF(AND(K5531=MIN($G$5531:$K$5531),SUM($G$5676:J5676)=0),1,0))</f>
        <v>1</v>
      </c>
    </row>
    <row r="5677" customFormat="false" ht="15" hidden="false" customHeight="false" outlineLevel="0" collapsed="false">
      <c r="A5677" s="3" t="s">
        <v>488</v>
      </c>
      <c r="C5677" s="20" t="n">
        <f aca="false">IF(SUM($G$5629:$K$5629)&gt;0,1,0)</f>
        <v>0</v>
      </c>
    </row>
    <row r="5678" customFormat="false" ht="15" hidden="false" customHeight="false" outlineLevel="0" collapsed="false">
      <c r="A5678" s="3" t="s">
        <v>489</v>
      </c>
      <c r="C5678" s="20" t="n">
        <f aca="false">SUMPRODUCT($G$5676:$K$5676,$G$5521:$K$5521)</f>
        <v>2031</v>
      </c>
    </row>
    <row r="5679" customFormat="false" ht="15" hidden="false" customHeight="false" outlineLevel="0" collapsed="false">
      <c r="A5679" s="3" t="s">
        <v>490</v>
      </c>
      <c r="C5679" s="25" t="n">
        <f aca="false">SUMPRODUCT($G$5676:$K$5676,$G$5531:$K$5531)</f>
        <v>145.537143961398</v>
      </c>
    </row>
    <row r="5680" customFormat="false" ht="15" hidden="false" customHeight="false" outlineLevel="0" collapsed="false">
      <c r="A5680" s="3" t="s">
        <v>491</v>
      </c>
      <c r="C5680" s="25" t="n">
        <f aca="false">MAX(0,SUMPRODUCT($G$5676:$K$5676,$G$5626:$K$5626))</f>
        <v>9.35807712908127</v>
      </c>
    </row>
    <row r="5681" customFormat="false" ht="15" hidden="false" customHeight="false" outlineLevel="0" collapsed="false">
      <c r="A5681" s="3" t="s">
        <v>492</v>
      </c>
      <c r="C5681" s="25" t="n">
        <f aca="false">(CHOOSE($C$5514,Assumptions!$C$84,Assumptions!$C$103,Assumptions!$C$122)+$C$5518)*C5679</f>
        <v>582.148575845591</v>
      </c>
    </row>
    <row r="5682" customFormat="false" ht="15" hidden="false" customHeight="false" outlineLevel="0" collapsed="false">
      <c r="A5682" s="3" t="s">
        <v>493</v>
      </c>
      <c r="C5682" s="25" t="n">
        <f aca="false">Assumptions!$C$30*(1-CHOOSE($C$5514,Assumptions!$C$85,Assumptions!$C$104,Assumptions!$C$123))*CHOOSE($C$5514,Assumptions!$C$86,Assumptions!$C$105,Assumptions!$C$124)</f>
        <v>478.719345</v>
      </c>
    </row>
    <row r="5683" customFormat="false" ht="15" hidden="false" customHeight="false" outlineLevel="0" collapsed="false">
      <c r="A5683" s="3" t="s">
        <v>494</v>
      </c>
      <c r="C5683" s="25" t="n">
        <f aca="false">MAX(C5681,C5682)+C5680</f>
        <v>591.506652974672</v>
      </c>
    </row>
    <row r="5684" customFormat="false" ht="15" hidden="false" customHeight="false" outlineLevel="0" collapsed="false">
      <c r="A5684" s="2" t="s">
        <v>495</v>
      </c>
      <c r="C5684" s="16" t="n">
        <f aca="false">IF(ISNUMBER(Assumptions!$C$14),Assumptions!$C$14,C5683)</f>
        <v>591.506652974672</v>
      </c>
    </row>
    <row r="5685" customFormat="false" ht="15" hidden="false" customHeight="false" outlineLevel="0" collapsed="false">
      <c r="A5685" s="3" t="s">
        <v>496</v>
      </c>
      <c r="C5685" s="25" t="n">
        <f aca="false">C5684*Assumptions!$C$15</f>
        <v>23.6602661189869</v>
      </c>
    </row>
    <row r="5686" customFormat="false" ht="15" hidden="false" customHeight="false" outlineLevel="0" collapsed="false">
      <c r="A5686" s="2" t="s">
        <v>497</v>
      </c>
      <c r="C5686" s="16" t="n">
        <f aca="false">C5684-C5685</f>
        <v>567.846386855685</v>
      </c>
    </row>
    <row r="5687" customFormat="false" ht="15" hidden="false" customHeight="false" outlineLevel="0" collapsed="false">
      <c r="A5687" s="23" t="s">
        <v>498</v>
      </c>
      <c r="B5687" s="24"/>
      <c r="C5687" s="24"/>
      <c r="D5687" s="24"/>
      <c r="E5687" s="24"/>
      <c r="F5687" s="24"/>
      <c r="G5687" s="24"/>
      <c r="H5687" s="24"/>
      <c r="I5687" s="24"/>
      <c r="J5687" s="24"/>
      <c r="K5687" s="24"/>
    </row>
    <row r="5688" customFormat="false" ht="15" hidden="false" customHeight="false" outlineLevel="0" collapsed="false">
      <c r="A5688" s="3" t="s">
        <v>499</v>
      </c>
      <c r="C5688" s="25" t="n">
        <f aca="false">SUMPRODUCT($G$5676:$K$5676,$G$5568:$K$5568)*(1+SUMPRODUCT($G$5676:$K$5676,$G$5560:$K$5560)*Assumptions!$C$16/12)</f>
        <v>1349.6193225</v>
      </c>
    </row>
    <row r="5689" customFormat="false" ht="15" hidden="false" customHeight="false" outlineLevel="0" collapsed="false">
      <c r="A5689" s="3" t="s">
        <v>500</v>
      </c>
      <c r="C5689" s="25" t="n">
        <f aca="false">SUMPRODUCT($G$5676:$K$5676,$G$5581:$K$5581)*(1+SUMPRODUCT($G$5676:$K$5676,$G$5573:$K$5573)*Assumptions!$C$16/12)</f>
        <v>0</v>
      </c>
    </row>
    <row r="5690" customFormat="false" ht="15" hidden="false" customHeight="false" outlineLevel="0" collapsed="false">
      <c r="A5690" s="3" t="s">
        <v>501</v>
      </c>
      <c r="C5690" s="25" t="n">
        <f aca="false">SUMPRODUCT($G$5676:$K$5676,$G$5594:$K$5594)*(1+SUMPRODUCT($G$5676:$K$5676,$G$5586:$K$5586)*Assumptions!$C$16/12)</f>
        <v>0</v>
      </c>
    </row>
    <row r="5691" customFormat="false" ht="15" hidden="false" customHeight="false" outlineLevel="0" collapsed="false">
      <c r="A5691" s="23" t="s">
        <v>502</v>
      </c>
      <c r="B5691" s="24"/>
      <c r="C5691" s="24"/>
      <c r="D5691" s="24"/>
      <c r="E5691" s="24"/>
      <c r="F5691" s="24"/>
      <c r="G5691" s="24"/>
      <c r="H5691" s="24"/>
      <c r="I5691" s="24"/>
      <c r="J5691" s="24"/>
      <c r="K5691" s="24"/>
    </row>
    <row r="5692" customFormat="false" ht="15" hidden="false" customHeight="false" outlineLevel="0" collapsed="false">
      <c r="A5692" s="3" t="s">
        <v>499</v>
      </c>
      <c r="C5692" s="27" t="n">
        <f aca="false">Assumptions!$M$56</f>
        <v>1</v>
      </c>
    </row>
    <row r="5693" customFormat="false" ht="15" hidden="false" customHeight="false" outlineLevel="0" collapsed="false">
      <c r="A5693" s="3" t="s">
        <v>500</v>
      </c>
      <c r="C5693" s="27" t="n">
        <f aca="false">Assumptions!$M$57</f>
        <v>2</v>
      </c>
    </row>
    <row r="5694" customFormat="false" ht="15" hidden="false" customHeight="false" outlineLevel="0" collapsed="false">
      <c r="A5694" s="3" t="s">
        <v>501</v>
      </c>
      <c r="C5694" s="27" t="n">
        <f aca="false">Assumptions!$M$58</f>
        <v>2</v>
      </c>
    </row>
    <row r="5695" customFormat="false" ht="15" hidden="false" customHeight="false" outlineLevel="0" collapsed="false">
      <c r="A5695" s="23" t="s">
        <v>503</v>
      </c>
      <c r="B5695" s="24"/>
      <c r="C5695" s="24"/>
      <c r="D5695" s="24"/>
      <c r="E5695" s="24"/>
      <c r="F5695" s="24"/>
      <c r="G5695" s="24"/>
      <c r="H5695" s="24"/>
      <c r="I5695" s="24"/>
      <c r="J5695" s="24"/>
      <c r="K5695" s="24"/>
    </row>
    <row r="5696" customFormat="false" ht="15" hidden="false" customHeight="false" outlineLevel="0" collapsed="false">
      <c r="A5696" s="3" t="s">
        <v>499</v>
      </c>
      <c r="C5696" s="35" t="n">
        <f aca="false">Assumptions!$Q$56</f>
        <v>0</v>
      </c>
    </row>
    <row r="5697" customFormat="false" ht="15" hidden="false" customHeight="false" outlineLevel="0" collapsed="false">
      <c r="A5697" s="3" t="s">
        <v>500</v>
      </c>
      <c r="C5697" s="35" t="n">
        <f aca="false">Assumptions!$Q$57</f>
        <v>0</v>
      </c>
    </row>
    <row r="5698" customFormat="false" ht="15" hidden="false" customHeight="false" outlineLevel="0" collapsed="false">
      <c r="A5698" s="3" t="s">
        <v>501</v>
      </c>
      <c r="C5698" s="35" t="n">
        <f aca="false">Assumptions!$Q$58</f>
        <v>0</v>
      </c>
    </row>
    <row r="5699" customFormat="false" ht="15" hidden="false" customHeight="false" outlineLevel="0" collapsed="false">
      <c r="A5699" s="23" t="s">
        <v>504</v>
      </c>
      <c r="B5699" s="24"/>
      <c r="C5699" s="24"/>
      <c r="D5699" s="24"/>
      <c r="E5699" s="24"/>
      <c r="F5699" s="24"/>
      <c r="G5699" s="24"/>
      <c r="H5699" s="24"/>
      <c r="I5699" s="24"/>
      <c r="J5699" s="24"/>
      <c r="K5699" s="24"/>
    </row>
    <row r="5700" customFormat="false" ht="15" hidden="false" customHeight="false" outlineLevel="0" collapsed="false">
      <c r="A5700" s="3" t="s">
        <v>499</v>
      </c>
      <c r="C5700" s="25" t="n">
        <f aca="false">IF(C5696&gt;0,MIN(C5688,C5696*$C$5686),0)</f>
        <v>0</v>
      </c>
    </row>
    <row r="5701" customFormat="false" ht="15" hidden="false" customHeight="false" outlineLevel="0" collapsed="false">
      <c r="A5701" s="3" t="s">
        <v>500</v>
      </c>
      <c r="C5701" s="25" t="n">
        <f aca="false">IF(C5697&gt;0,MIN(C5689,C5697*$C$5686),0)</f>
        <v>0</v>
      </c>
    </row>
    <row r="5702" customFormat="false" ht="15" hidden="false" customHeight="false" outlineLevel="0" collapsed="false">
      <c r="A5702" s="3" t="s">
        <v>501</v>
      </c>
      <c r="C5702" s="25" t="n">
        <f aca="false">IF(C5698&gt;0,MIN(C5690,C5698*$C$5686),0)</f>
        <v>0</v>
      </c>
    </row>
    <row r="5703" customFormat="false" ht="15" hidden="false" customHeight="false" outlineLevel="0" collapsed="false">
      <c r="A5703" s="23" t="s">
        <v>505</v>
      </c>
      <c r="B5703" s="24"/>
      <c r="C5703" s="24"/>
      <c r="D5703" s="24"/>
      <c r="E5703" s="24"/>
      <c r="F5703" s="24"/>
      <c r="G5703" s="24"/>
      <c r="H5703" s="24"/>
      <c r="I5703" s="24"/>
      <c r="J5703" s="24"/>
      <c r="K5703" s="24"/>
    </row>
    <row r="5704" customFormat="false" ht="15" hidden="false" customHeight="false" outlineLevel="0" collapsed="false">
      <c r="A5704" s="3" t="s">
        <v>499</v>
      </c>
      <c r="C5704" s="25" t="n">
        <f aca="false">IF(C5696&gt;0,C5688-C5700,0)</f>
        <v>0</v>
      </c>
      <c r="G5704" s="20" t="n">
        <f aca="false">IF(AND(G5558=1,G5555=1),1,0)</f>
        <v>0</v>
      </c>
      <c r="H5704" s="20" t="n">
        <f aca="false">IF(G5704=1,1,IF(AND(H5558=1,H5555=1),1,0))</f>
        <v>0</v>
      </c>
      <c r="I5704" s="20" t="n">
        <f aca="false">IF(H5704=1,1,IF(AND(I5558=1,I5555=1),1,0))</f>
        <v>0</v>
      </c>
      <c r="J5704" s="20" t="n">
        <f aca="false">IF(I5704=1,1,IF(AND(J5558=1,J5555=1),1,0))</f>
        <v>0</v>
      </c>
      <c r="K5704" s="20" t="n">
        <f aca="false">IF(J5704=1,1,IF(AND(K5558=1,K5555=1),1,0))</f>
        <v>0</v>
      </c>
    </row>
    <row r="5705" customFormat="false" ht="15" hidden="false" customHeight="false" outlineLevel="0" collapsed="false">
      <c r="A5705" s="3" t="s">
        <v>500</v>
      </c>
      <c r="C5705" s="25" t="n">
        <f aca="false">IF(C5697&gt;0,C5689-C5701,0)</f>
        <v>0</v>
      </c>
      <c r="G5705" s="20" t="n">
        <f aca="false">IF(AND(G5571=1,G5555=1),1,0)</f>
        <v>0</v>
      </c>
      <c r="H5705" s="20" t="n">
        <f aca="false">IF(G5705=1,1,IF(AND(H5571=1,H5555=1),1,0))</f>
        <v>0</v>
      </c>
      <c r="I5705" s="20" t="n">
        <f aca="false">IF(H5705=1,1,IF(AND(I5571=1,I5555=1),1,0))</f>
        <v>0</v>
      </c>
      <c r="J5705" s="20" t="n">
        <f aca="false">IF(I5705=1,1,IF(AND(J5571=1,J5555=1),1,0))</f>
        <v>0</v>
      </c>
      <c r="K5705" s="20" t="n">
        <f aca="false">IF(J5705=1,1,IF(AND(K5571=1,K5555=1),1,0))</f>
        <v>0</v>
      </c>
    </row>
    <row r="5706" customFormat="false" ht="15" hidden="false" customHeight="false" outlineLevel="0" collapsed="false">
      <c r="A5706" s="3" t="s">
        <v>501</v>
      </c>
      <c r="C5706" s="25" t="n">
        <f aca="false">IF(C5698&gt;0,C5690-C5702,0)</f>
        <v>0</v>
      </c>
      <c r="G5706" s="20" t="n">
        <f aca="false">IF(AND(G5584=1,G5555=1),1,0)</f>
        <v>0</v>
      </c>
      <c r="H5706" s="20" t="n">
        <f aca="false">IF(G5706=1,1,IF(AND(H5584=1,H5555=1),1,0))</f>
        <v>0</v>
      </c>
      <c r="I5706" s="20" t="n">
        <f aca="false">IF(H5706=1,1,IF(AND(I5584=1,I5555=1),1,0))</f>
        <v>0</v>
      </c>
      <c r="J5706" s="20" t="n">
        <f aca="false">IF(I5706=1,1,IF(AND(J5584=1,J5555=1),1,0))</f>
        <v>0</v>
      </c>
      <c r="K5706" s="20" t="n">
        <f aca="false">IF(J5706=1,1,IF(AND(K5584=1,K5555=1),1,0))</f>
        <v>0</v>
      </c>
    </row>
    <row r="5707" customFormat="false" ht="15" hidden="false" customHeight="false" outlineLevel="0" collapsed="false">
      <c r="A5707" s="23" t="s">
        <v>506</v>
      </c>
      <c r="B5707" s="24"/>
      <c r="C5707" s="24"/>
      <c r="D5707" s="24"/>
      <c r="E5707" s="24"/>
      <c r="F5707" s="24"/>
      <c r="G5707" s="24"/>
      <c r="H5707" s="24"/>
      <c r="I5707" s="24"/>
      <c r="J5707" s="24"/>
      <c r="K5707" s="24"/>
    </row>
    <row r="5708" customFormat="false" ht="15" hidden="false" customHeight="false" outlineLevel="0" collapsed="false">
      <c r="A5708" s="3" t="s">
        <v>499</v>
      </c>
      <c r="C5708" s="25" t="n">
        <f aca="false">IF(C5696&gt;0,C5704,C5688)</f>
        <v>1349.6193225</v>
      </c>
    </row>
    <row r="5709" customFormat="false" ht="15" hidden="false" customHeight="false" outlineLevel="0" collapsed="false">
      <c r="A5709" s="3" t="s">
        <v>500</v>
      </c>
      <c r="C5709" s="25" t="n">
        <f aca="false">IF(C5697&gt;0,C5705,C5689)</f>
        <v>0</v>
      </c>
    </row>
    <row r="5710" customFormat="false" ht="15" hidden="false" customHeight="false" outlineLevel="0" collapsed="false">
      <c r="A5710" s="3" t="s">
        <v>501</v>
      </c>
      <c r="C5710" s="25" t="n">
        <f aca="false">IF(C5698&gt;0,C5706,C5690)</f>
        <v>0</v>
      </c>
    </row>
    <row r="5711" customFormat="false" ht="15" hidden="false" customHeight="false" outlineLevel="0" collapsed="false">
      <c r="A5711" s="23" t="s">
        <v>507</v>
      </c>
      <c r="B5711" s="24"/>
      <c r="C5711" s="24"/>
      <c r="D5711" s="24"/>
      <c r="E5711" s="24"/>
      <c r="F5711" s="24"/>
      <c r="G5711" s="24"/>
      <c r="H5711" s="24"/>
      <c r="I5711" s="24"/>
      <c r="J5711" s="24"/>
      <c r="K5711" s="24"/>
    </row>
    <row r="5712" customFormat="false" ht="15" hidden="false" customHeight="false" outlineLevel="0" collapsed="false">
      <c r="A5712" s="3" t="s">
        <v>499</v>
      </c>
      <c r="C5712" s="20" t="n">
        <f aca="false">IF(C5696&gt;0,Assumptions!$C$17,C5692)</f>
        <v>1</v>
      </c>
    </row>
    <row r="5713" customFormat="false" ht="15" hidden="false" customHeight="false" outlineLevel="0" collapsed="false">
      <c r="A5713" s="3" t="s">
        <v>500</v>
      </c>
      <c r="C5713" s="20" t="n">
        <f aca="false">IF(C5697&gt;0,Assumptions!$C$17,C5693)</f>
        <v>2</v>
      </c>
    </row>
    <row r="5714" customFormat="false" ht="15" hidden="false" customHeight="false" outlineLevel="0" collapsed="false">
      <c r="A5714" s="3" t="s">
        <v>501</v>
      </c>
      <c r="C5714" s="20" t="n">
        <f aca="false">IF(C5698&gt;0,Assumptions!$C$17,C5694)</f>
        <v>2</v>
      </c>
    </row>
    <row r="5715" customFormat="false" ht="15" hidden="false" customHeight="false" outlineLevel="0" collapsed="false">
      <c r="A5715" s="23" t="s">
        <v>508</v>
      </c>
      <c r="B5715" s="24"/>
      <c r="C5715" s="24"/>
      <c r="D5715" s="24"/>
      <c r="E5715" s="24"/>
      <c r="F5715" s="24"/>
      <c r="G5715" s="24"/>
      <c r="H5715" s="24"/>
      <c r="I5715" s="24"/>
      <c r="J5715" s="24"/>
      <c r="K5715" s="24"/>
    </row>
    <row r="5716" customFormat="false" ht="15" hidden="false" customHeight="false" outlineLevel="0" collapsed="false">
      <c r="A5716" s="3" t="s">
        <v>499</v>
      </c>
      <c r="C5716" s="25" t="n">
        <f aca="false">SUMPRODUCT(($C$5712:$C$5714&lt;C5712)*$C$5708:$C$5710)</f>
        <v>0</v>
      </c>
    </row>
    <row r="5717" customFormat="false" ht="15" hidden="false" customHeight="false" outlineLevel="0" collapsed="false">
      <c r="A5717" s="3" t="s">
        <v>500</v>
      </c>
      <c r="C5717" s="25" t="n">
        <f aca="false">SUMPRODUCT(($C$5712:$C$5714&lt;C5713)*$C$5708:$C$5710)</f>
        <v>1349.6193225</v>
      </c>
    </row>
    <row r="5718" customFormat="false" ht="15" hidden="false" customHeight="false" outlineLevel="0" collapsed="false">
      <c r="A5718" s="3" t="s">
        <v>501</v>
      </c>
      <c r="C5718" s="25" t="n">
        <f aca="false">SUMPRODUCT(($C$5712:$C$5714&lt;C5714)*$C$5708:$C$5710)</f>
        <v>1349.6193225</v>
      </c>
    </row>
    <row r="5719" customFormat="false" ht="15" hidden="false" customHeight="false" outlineLevel="0" collapsed="false">
      <c r="A5719" s="23" t="s">
        <v>509</v>
      </c>
      <c r="B5719" s="24"/>
      <c r="C5719" s="24"/>
      <c r="D5719" s="24"/>
      <c r="E5719" s="24"/>
      <c r="F5719" s="24"/>
      <c r="G5719" s="24"/>
      <c r="H5719" s="24"/>
      <c r="I5719" s="24"/>
      <c r="J5719" s="24"/>
      <c r="K5719" s="24"/>
    </row>
    <row r="5720" customFormat="false" ht="15" hidden="false" customHeight="false" outlineLevel="0" collapsed="false">
      <c r="A5720" s="3" t="s">
        <v>499</v>
      </c>
      <c r="C5720" s="25" t="n">
        <f aca="false">SUMPRODUCT(($C$5712:$C$5714=C5712)*$C$5708:$C$5710)</f>
        <v>1349.6193225</v>
      </c>
    </row>
    <row r="5721" customFormat="false" ht="15" hidden="false" customHeight="false" outlineLevel="0" collapsed="false">
      <c r="A5721" s="3" t="s">
        <v>500</v>
      </c>
      <c r="C5721" s="25" t="n">
        <f aca="false">SUMPRODUCT(($C$5712:$C$5714=C5713)*$C$5708:$C$5710)</f>
        <v>0</v>
      </c>
    </row>
    <row r="5722" customFormat="false" ht="15" hidden="false" customHeight="false" outlineLevel="0" collapsed="false">
      <c r="A5722" s="3" t="s">
        <v>501</v>
      </c>
      <c r="C5722" s="25" t="n">
        <f aca="false">SUMPRODUCT(($C$5712:$C$5714=C5714)*$C$5708:$C$5710)</f>
        <v>0</v>
      </c>
    </row>
    <row r="5723" customFormat="false" ht="15" hidden="false" customHeight="false" outlineLevel="0" collapsed="false">
      <c r="A5723" s="23" t="s">
        <v>510</v>
      </c>
      <c r="B5723" s="24"/>
      <c r="C5723" s="24"/>
      <c r="D5723" s="24"/>
      <c r="E5723" s="24"/>
      <c r="F5723" s="24"/>
      <c r="G5723" s="24"/>
      <c r="H5723" s="24"/>
      <c r="I5723" s="24"/>
      <c r="J5723" s="24"/>
      <c r="K5723" s="24"/>
    </row>
    <row r="5724" customFormat="false" ht="15" hidden="false" customHeight="false" outlineLevel="0" collapsed="false">
      <c r="A5724" s="3" t="s">
        <v>499</v>
      </c>
      <c r="C5724" s="25" t="n">
        <f aca="false">IF(C5720=0,0,C5708/C5720*MAX(0,MIN(C5720,$C$5686-SUM($C$5700:$C$5702)-C5716)))</f>
        <v>567.846386855685</v>
      </c>
    </row>
    <row r="5725" customFormat="false" ht="15" hidden="false" customHeight="false" outlineLevel="0" collapsed="false">
      <c r="A5725" s="3" t="s">
        <v>500</v>
      </c>
      <c r="C5725" s="25" t="n">
        <f aca="false">IF(C5721=0,0,C5709/C5721*MAX(0,MIN(C5721,$C$5686-SUM($C$5700:$C$5702)-C5717)))</f>
        <v>0</v>
      </c>
    </row>
    <row r="5726" customFormat="false" ht="15" hidden="false" customHeight="false" outlineLevel="0" collapsed="false">
      <c r="A5726" s="3" t="s">
        <v>501</v>
      </c>
      <c r="C5726" s="25" t="n">
        <f aca="false">IF(C5722=0,0,C5710/C5722*MAX(0,MIN(C5722,$C$5686-SUM($C$5700:$C$5702)-C5718)))</f>
        <v>0</v>
      </c>
    </row>
    <row r="5727" customFormat="false" ht="15" hidden="false" customHeight="false" outlineLevel="0" collapsed="false">
      <c r="A5727" s="23" t="s">
        <v>511</v>
      </c>
      <c r="B5727" s="24"/>
      <c r="C5727" s="24"/>
      <c r="D5727" s="24"/>
      <c r="E5727" s="24"/>
      <c r="F5727" s="24"/>
      <c r="G5727" s="24"/>
      <c r="H5727" s="24"/>
      <c r="I5727" s="24"/>
      <c r="J5727" s="24"/>
      <c r="K5727" s="24"/>
    </row>
    <row r="5728" customFormat="false" ht="15" hidden="false" customHeight="false" outlineLevel="0" collapsed="false">
      <c r="A5728" s="2" t="s">
        <v>499</v>
      </c>
      <c r="C5728" s="16" t="n">
        <f aca="false">C5700+C5724</f>
        <v>567.846386855685</v>
      </c>
    </row>
    <row r="5729" customFormat="false" ht="15" hidden="false" customHeight="false" outlineLevel="0" collapsed="false">
      <c r="A5729" s="2" t="s">
        <v>500</v>
      </c>
      <c r="C5729" s="16" t="n">
        <f aca="false">C5701+C5725</f>
        <v>0</v>
      </c>
    </row>
    <row r="5730" customFormat="false" ht="15" hidden="false" customHeight="false" outlineLevel="0" collapsed="false">
      <c r="A5730" s="2" t="s">
        <v>501</v>
      </c>
      <c r="C5730" s="16" t="n">
        <f aca="false">C5702+C5726</f>
        <v>0</v>
      </c>
    </row>
    <row r="5731" customFormat="false" ht="15" hidden="false" customHeight="false" outlineLevel="0" collapsed="false">
      <c r="A5731" s="23" t="s">
        <v>512</v>
      </c>
      <c r="B5731" s="24"/>
      <c r="C5731" s="24"/>
      <c r="D5731" s="24"/>
      <c r="E5731" s="24"/>
      <c r="F5731" s="24"/>
      <c r="G5731" s="24"/>
      <c r="H5731" s="24"/>
      <c r="I5731" s="24"/>
      <c r="J5731" s="24"/>
      <c r="K5731" s="24"/>
    </row>
    <row r="5732" customFormat="false" ht="15" hidden="false" customHeight="false" outlineLevel="0" collapsed="false">
      <c r="A5732" s="3" t="s">
        <v>499</v>
      </c>
      <c r="C5732" s="21" t="n">
        <f aca="false">IF(C5688=0,1,C5728/C5688)</f>
        <v>0.420745596472212</v>
      </c>
    </row>
    <row r="5733" customFormat="false" ht="15" hidden="false" customHeight="false" outlineLevel="0" collapsed="false">
      <c r="A5733" s="3" t="s">
        <v>500</v>
      </c>
      <c r="C5733" s="21" t="n">
        <f aca="false">IF(C5689=0,1,C5729/C5689)</f>
        <v>1</v>
      </c>
    </row>
    <row r="5734" customFormat="false" ht="15" hidden="false" customHeight="false" outlineLevel="0" collapsed="false">
      <c r="A5734" s="3" t="s">
        <v>501</v>
      </c>
      <c r="C5734" s="21" t="n">
        <f aca="false">IF(C5690=0,1,C5730/C5690)</f>
        <v>1</v>
      </c>
    </row>
    <row r="5735" customFormat="false" ht="15" hidden="false" customHeight="false" outlineLevel="0" collapsed="false">
      <c r="A5735" s="23" t="s">
        <v>513</v>
      </c>
      <c r="B5735" s="24"/>
      <c r="C5735" s="24"/>
      <c r="D5735" s="24"/>
      <c r="E5735" s="24"/>
      <c r="F5735" s="24"/>
      <c r="G5735" s="24"/>
      <c r="H5735" s="24"/>
      <c r="I5735" s="24"/>
      <c r="J5735" s="24"/>
      <c r="K5735" s="24"/>
    </row>
    <row r="5736" customFormat="false" ht="15" hidden="false" customHeight="false" outlineLevel="0" collapsed="false">
      <c r="A5736" s="3" t="s">
        <v>499</v>
      </c>
      <c r="C5736" s="25" t="n">
        <f aca="false">C5688-C5728</f>
        <v>781.772935644315</v>
      </c>
    </row>
    <row r="5737" customFormat="false" ht="15" hidden="false" customHeight="false" outlineLevel="0" collapsed="false">
      <c r="A5737" s="3" t="s">
        <v>500</v>
      </c>
      <c r="C5737" s="25" t="n">
        <f aca="false">C5689-C5729</f>
        <v>0</v>
      </c>
    </row>
    <row r="5738" customFormat="false" ht="15" hidden="false" customHeight="false" outlineLevel="0" collapsed="false">
      <c r="A5738" s="3" t="s">
        <v>501</v>
      </c>
      <c r="C5738" s="25" t="n">
        <f aca="false">C5690-C5730</f>
        <v>0</v>
      </c>
    </row>
    <row r="5739" customFormat="false" ht="15" hidden="false" customHeight="false" outlineLevel="0" collapsed="false">
      <c r="A5739" s="23" t="s">
        <v>514</v>
      </c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</row>
    <row r="5740" customFormat="false" ht="15" hidden="false" customHeight="false" outlineLevel="0" collapsed="false">
      <c r="A5740" s="3" t="s">
        <v>499</v>
      </c>
      <c r="C5740" s="21" t="n">
        <f aca="false">IF(C5688=0,0,C5736/C5688)</f>
        <v>0.579254403527788</v>
      </c>
    </row>
    <row r="5741" customFormat="false" ht="15" hidden="false" customHeight="false" outlineLevel="0" collapsed="false">
      <c r="A5741" s="3" t="s">
        <v>500</v>
      </c>
      <c r="C5741" s="21" t="n">
        <f aca="false">IF(C5689=0,0,C5737/C5689)</f>
        <v>0</v>
      </c>
    </row>
    <row r="5742" customFormat="false" ht="15" hidden="false" customHeight="false" outlineLevel="0" collapsed="false">
      <c r="A5742" s="3" t="s">
        <v>501</v>
      </c>
      <c r="C5742" s="21" t="n">
        <f aca="false">IF(C5690=0,0,C5738/C5690)</f>
        <v>0</v>
      </c>
    </row>
    <row r="5743" customFormat="false" ht="15" hidden="false" customHeight="false" outlineLevel="0" collapsed="false">
      <c r="A5743" s="2" t="s">
        <v>515</v>
      </c>
      <c r="C5743" s="16" t="n">
        <f aca="false">MAX(0,$C$5686-SUM($C$5700:$C$5702)-SUM($C$5708:$C$5710))</f>
        <v>0</v>
      </c>
    </row>
    <row r="5744" customFormat="false" ht="15" hidden="false" customHeight="false" outlineLevel="0" collapsed="false">
      <c r="A5744" s="3" t="s">
        <v>516</v>
      </c>
      <c r="C5744" s="25" t="n">
        <f aca="false">SUM($C$5728:$C$5730)+C5743+C5685-C5684</f>
        <v>0</v>
      </c>
    </row>
    <row r="5746" customFormat="false" ht="15" hidden="false" customHeight="false" outlineLevel="0" collapsed="false">
      <c r="A5746" s="23" t="s">
        <v>519</v>
      </c>
      <c r="B5746" s="24"/>
      <c r="C5746" s="24"/>
      <c r="D5746" s="24"/>
      <c r="E5746" s="24"/>
      <c r="F5746" s="24"/>
      <c r="G5746" s="24"/>
      <c r="H5746" s="24"/>
      <c r="I5746" s="24"/>
      <c r="J5746" s="24"/>
      <c r="K5746" s="24"/>
    </row>
    <row r="5747" customFormat="false" ht="15" hidden="false" customHeight="false" outlineLevel="0" collapsed="false">
      <c r="A5747" s="3" t="s">
        <v>520</v>
      </c>
      <c r="C5747" s="27" t="n">
        <f aca="false">Assumptions!$C$33</f>
        <v>1</v>
      </c>
    </row>
    <row r="5748" customFormat="false" ht="15" hidden="false" customHeight="false" outlineLevel="0" collapsed="false">
      <c r="A5748" s="3" t="s">
        <v>521</v>
      </c>
      <c r="C5748" s="29" t="n">
        <f aca="false">Assumptions!$C$34</f>
        <v>100</v>
      </c>
    </row>
    <row r="5749" customFormat="false" ht="15" hidden="false" customHeight="false" outlineLevel="0" collapsed="false">
      <c r="A5749" s="3" t="s">
        <v>522</v>
      </c>
      <c r="C5749" s="40" t="n">
        <f aca="false">Assumptions!$C$35</f>
        <v>95</v>
      </c>
    </row>
    <row r="5750" customFormat="false" ht="15" hidden="false" customHeight="false" outlineLevel="0" collapsed="false">
      <c r="A5750" s="3" t="s">
        <v>523</v>
      </c>
      <c r="C5750" s="25" t="n">
        <f aca="false">C5748*C5749/100*(1+Assumptions!$C$36)</f>
        <v>95</v>
      </c>
    </row>
    <row r="5751" customFormat="false" ht="15" hidden="false" customHeight="false" outlineLevel="0" collapsed="false">
      <c r="A5751" s="3" t="s">
        <v>524</v>
      </c>
      <c r="C5751" s="27" t="n">
        <f aca="false">Assumptions!$C$37</f>
        <v>3</v>
      </c>
    </row>
    <row r="5752" customFormat="false" ht="15" hidden="false" customHeight="false" outlineLevel="0" collapsed="false">
      <c r="A5752" s="3" t="s">
        <v>525</v>
      </c>
      <c r="C5752" s="20" t="n">
        <f aca="false">IF(C5677=1,SUMPRODUCT($G$5629:$K$5629,$G$5522:$K$5522),0)</f>
        <v>0</v>
      </c>
    </row>
    <row r="5753" customFormat="false" ht="15" hidden="false" customHeight="false" outlineLevel="0" collapsed="false">
      <c r="A5753" s="3" t="s">
        <v>526</v>
      </c>
      <c r="C5753" s="21" t="n">
        <f aca="false">IFERROR(C5748/CHOOSE(C5747,SUMPRODUCT($G$5676:$K$5676,$G$5568:$K$5568),SUMPRODUCT($G$5676:$K$5676,$G$5581:$K$5581),SUMPRODUCT($G$5676:$K$5676,$G$5594:$K$5594)),0)</f>
        <v>0.0760399605200525</v>
      </c>
    </row>
    <row r="5754" customFormat="false" ht="15" hidden="false" customHeight="false" outlineLevel="0" collapsed="false">
      <c r="A5754" s="3" t="s">
        <v>527</v>
      </c>
      <c r="C5754" s="25" t="n">
        <f aca="false">CHOOSE(C5747,C5728,C5729,C5730)*C5753</f>
        <v>43.1790168379608</v>
      </c>
    </row>
    <row r="5755" customFormat="false" ht="15" hidden="false" customHeight="false" outlineLevel="0" collapsed="false">
      <c r="A5755" s="3" t="s">
        <v>528</v>
      </c>
      <c r="C5755" s="21" t="n">
        <f aca="false">CHOOSE(C5747,C5732,C5733,C5734)</f>
        <v>0.420745596472212</v>
      </c>
    </row>
    <row r="5756" customFormat="false" ht="15" hidden="false" customHeight="false" outlineLevel="0" collapsed="false">
      <c r="A5756" s="3" t="s">
        <v>529</v>
      </c>
      <c r="C5756" s="20" t="n">
        <f aca="false">IF(C5677=1,C5752,C5751)</f>
        <v>3</v>
      </c>
    </row>
    <row r="5757" customFormat="false" ht="15" hidden="false" customHeight="false" outlineLevel="0" collapsed="false">
      <c r="A5757" s="3" t="s">
        <v>530</v>
      </c>
      <c r="C5757" s="34" t="n">
        <f aca="false">CHOOSE($C$5514,Assumptions!$C$83,Assumptions!$C$102,Assumptions!$C$121)</f>
        <v>80</v>
      </c>
    </row>
    <row r="5758" customFormat="false" ht="15" hidden="false" customHeight="false" outlineLevel="0" collapsed="false">
      <c r="A5758" s="3" t="s">
        <v>531</v>
      </c>
      <c r="C5758" s="25" t="n">
        <f aca="false">INDEX($G$5531:$K$5531,C5751)*CHOOSE($C$5514,Assumptions!$C$82,Assumptions!$C$101,Assumptions!$C$120)+MAX(0,INDEX($G$5626:$K$5626,C5751))</f>
        <v>729.31964402528</v>
      </c>
    </row>
    <row r="5759" customFormat="false" ht="15" hidden="false" customHeight="false" outlineLevel="0" collapsed="false">
      <c r="A5759" s="23" t="s">
        <v>532</v>
      </c>
      <c r="B5759" s="24"/>
      <c r="C5759" s="24"/>
      <c r="D5759" s="24"/>
      <c r="E5759" s="24"/>
      <c r="F5759" s="24"/>
      <c r="G5759" s="24"/>
      <c r="H5759" s="24"/>
      <c r="I5759" s="24"/>
      <c r="J5759" s="24"/>
      <c r="K5759" s="24"/>
    </row>
    <row r="5760" customFormat="false" ht="15" hidden="false" customHeight="false" outlineLevel="0" collapsed="false">
      <c r="A5760" s="3" t="s">
        <v>499</v>
      </c>
      <c r="C5760" s="25" t="n">
        <f aca="false">INDEX($G$5568:$K$5568,C5751)</f>
        <v>1315.098</v>
      </c>
    </row>
    <row r="5761" customFormat="false" ht="15" hidden="false" customHeight="false" outlineLevel="0" collapsed="false">
      <c r="A5761" s="3" t="s">
        <v>500</v>
      </c>
      <c r="C5761" s="25" t="n">
        <f aca="false">INDEX($G$5581:$K$5581,C5751)</f>
        <v>0</v>
      </c>
    </row>
    <row r="5762" customFormat="false" ht="15" hidden="false" customHeight="false" outlineLevel="0" collapsed="false">
      <c r="A5762" s="3" t="s">
        <v>501</v>
      </c>
      <c r="C5762" s="25" t="n">
        <f aca="false">INDEX($G$5594:$K$5594,C5751)</f>
        <v>0</v>
      </c>
    </row>
    <row r="5763" customFormat="false" ht="15" hidden="false" customHeight="false" outlineLevel="0" collapsed="false">
      <c r="A5763" s="23" t="s">
        <v>502</v>
      </c>
      <c r="B5763" s="24"/>
      <c r="C5763" s="24"/>
      <c r="D5763" s="24"/>
      <c r="E5763" s="24"/>
      <c r="F5763" s="24"/>
      <c r="G5763" s="24"/>
      <c r="H5763" s="24"/>
      <c r="I5763" s="24"/>
      <c r="J5763" s="24"/>
      <c r="K5763" s="24"/>
    </row>
    <row r="5764" customFormat="false" ht="15" hidden="false" customHeight="false" outlineLevel="0" collapsed="false">
      <c r="A5764" s="3" t="s">
        <v>499</v>
      </c>
      <c r="C5764" s="27" t="n">
        <f aca="false">Assumptions!$M$56</f>
        <v>1</v>
      </c>
    </row>
    <row r="5765" customFormat="false" ht="15" hidden="false" customHeight="false" outlineLevel="0" collapsed="false">
      <c r="A5765" s="3" t="s">
        <v>500</v>
      </c>
      <c r="C5765" s="27" t="n">
        <f aca="false">Assumptions!$M$57</f>
        <v>2</v>
      </c>
    </row>
    <row r="5766" customFormat="false" ht="15" hidden="false" customHeight="false" outlineLevel="0" collapsed="false">
      <c r="A5766" s="3" t="s">
        <v>501</v>
      </c>
      <c r="C5766" s="27" t="n">
        <f aca="false">Assumptions!$M$58</f>
        <v>2</v>
      </c>
    </row>
    <row r="5767" customFormat="false" ht="15" hidden="false" customHeight="false" outlineLevel="0" collapsed="false">
      <c r="A5767" s="23" t="s">
        <v>503</v>
      </c>
      <c r="B5767" s="24"/>
      <c r="C5767" s="24"/>
      <c r="D5767" s="24"/>
      <c r="E5767" s="24"/>
      <c r="F5767" s="24"/>
      <c r="G5767" s="24"/>
      <c r="H5767" s="24"/>
      <c r="I5767" s="24"/>
      <c r="J5767" s="24"/>
      <c r="K5767" s="24"/>
    </row>
    <row r="5768" customFormat="false" ht="15" hidden="false" customHeight="false" outlineLevel="0" collapsed="false">
      <c r="A5768" s="3" t="s">
        <v>499</v>
      </c>
      <c r="C5768" s="35" t="n">
        <f aca="false">Assumptions!$Q$56</f>
        <v>0</v>
      </c>
    </row>
    <row r="5769" customFormat="false" ht="15" hidden="false" customHeight="false" outlineLevel="0" collapsed="false">
      <c r="A5769" s="3" t="s">
        <v>500</v>
      </c>
      <c r="C5769" s="35" t="n">
        <f aca="false">Assumptions!$Q$57</f>
        <v>0</v>
      </c>
    </row>
    <row r="5770" customFormat="false" ht="15" hidden="false" customHeight="false" outlineLevel="0" collapsed="false">
      <c r="A5770" s="3" t="s">
        <v>501</v>
      </c>
      <c r="C5770" s="35" t="n">
        <f aca="false">Assumptions!$Q$58</f>
        <v>0</v>
      </c>
    </row>
    <row r="5771" customFormat="false" ht="15" hidden="false" customHeight="false" outlineLevel="0" collapsed="false">
      <c r="A5771" s="23" t="s">
        <v>504</v>
      </c>
      <c r="B5771" s="24"/>
      <c r="C5771" s="24"/>
      <c r="D5771" s="24"/>
      <c r="E5771" s="24"/>
      <c r="F5771" s="24"/>
      <c r="G5771" s="24"/>
      <c r="H5771" s="24"/>
      <c r="I5771" s="24"/>
      <c r="J5771" s="24"/>
      <c r="K5771" s="24"/>
    </row>
    <row r="5772" customFormat="false" ht="15" hidden="false" customHeight="false" outlineLevel="0" collapsed="false">
      <c r="A5772" s="3" t="s">
        <v>499</v>
      </c>
      <c r="C5772" s="25" t="n">
        <f aca="false">IF(C5768&gt;0,MIN(C5760,C5768*$C$5758),0)</f>
        <v>0</v>
      </c>
    </row>
    <row r="5773" customFormat="false" ht="15" hidden="false" customHeight="false" outlineLevel="0" collapsed="false">
      <c r="A5773" s="3" t="s">
        <v>500</v>
      </c>
      <c r="C5773" s="25" t="n">
        <f aca="false">IF(C5769&gt;0,MIN(C5761,C5769*$C$5758),0)</f>
        <v>0</v>
      </c>
    </row>
    <row r="5774" customFormat="false" ht="15" hidden="false" customHeight="false" outlineLevel="0" collapsed="false">
      <c r="A5774" s="3" t="s">
        <v>501</v>
      </c>
      <c r="C5774" s="25" t="n">
        <f aca="false">IF(C5770&gt;0,MIN(C5762,C5770*$C$5758),0)</f>
        <v>0</v>
      </c>
    </row>
    <row r="5775" customFormat="false" ht="15" hidden="false" customHeight="false" outlineLevel="0" collapsed="false">
      <c r="A5775" s="23" t="s">
        <v>505</v>
      </c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</row>
    <row r="5776" customFormat="false" ht="15" hidden="false" customHeight="false" outlineLevel="0" collapsed="false">
      <c r="A5776" s="3" t="s">
        <v>499</v>
      </c>
      <c r="C5776" s="25" t="n">
        <f aca="false">IF(C5768&gt;0,C5760-C5772,0)</f>
        <v>0</v>
      </c>
    </row>
    <row r="5777" customFormat="false" ht="15" hidden="false" customHeight="false" outlineLevel="0" collapsed="false">
      <c r="A5777" s="3" t="s">
        <v>500</v>
      </c>
      <c r="C5777" s="25" t="n">
        <f aca="false">IF(C5769&gt;0,C5761-C5773,0)</f>
        <v>0</v>
      </c>
    </row>
    <row r="5778" customFormat="false" ht="15" hidden="false" customHeight="false" outlineLevel="0" collapsed="false">
      <c r="A5778" s="3" t="s">
        <v>501</v>
      </c>
      <c r="C5778" s="25" t="n">
        <f aca="false">IF(C5770&gt;0,C5762-C5774,0)</f>
        <v>0</v>
      </c>
    </row>
    <row r="5779" customFormat="false" ht="15" hidden="false" customHeight="false" outlineLevel="0" collapsed="false">
      <c r="A5779" s="23" t="s">
        <v>506</v>
      </c>
      <c r="B5779" s="24"/>
      <c r="C5779" s="24"/>
      <c r="D5779" s="24"/>
      <c r="E5779" s="24"/>
      <c r="F5779" s="24"/>
      <c r="G5779" s="24"/>
      <c r="H5779" s="24"/>
      <c r="I5779" s="24"/>
      <c r="J5779" s="24"/>
      <c r="K5779" s="24"/>
    </row>
    <row r="5780" customFormat="false" ht="15" hidden="false" customHeight="false" outlineLevel="0" collapsed="false">
      <c r="A5780" s="3" t="s">
        <v>499</v>
      </c>
      <c r="C5780" s="25" t="n">
        <f aca="false">IF(C5768&gt;0,C5776,C5760)</f>
        <v>1315.098</v>
      </c>
    </row>
    <row r="5781" customFormat="false" ht="15" hidden="false" customHeight="false" outlineLevel="0" collapsed="false">
      <c r="A5781" s="3" t="s">
        <v>500</v>
      </c>
      <c r="C5781" s="25" t="n">
        <f aca="false">IF(C5769&gt;0,C5777,C5761)</f>
        <v>0</v>
      </c>
    </row>
    <row r="5782" customFormat="false" ht="15" hidden="false" customHeight="false" outlineLevel="0" collapsed="false">
      <c r="A5782" s="3" t="s">
        <v>501</v>
      </c>
      <c r="C5782" s="25" t="n">
        <f aca="false">IF(C5770&gt;0,C5778,C5762)</f>
        <v>0</v>
      </c>
    </row>
    <row r="5783" customFormat="false" ht="15" hidden="false" customHeight="false" outlineLevel="0" collapsed="false">
      <c r="A5783" s="23" t="s">
        <v>507</v>
      </c>
      <c r="B5783" s="24"/>
      <c r="C5783" s="24"/>
      <c r="D5783" s="24"/>
      <c r="E5783" s="24"/>
      <c r="F5783" s="24"/>
      <c r="G5783" s="24"/>
      <c r="H5783" s="24"/>
      <c r="I5783" s="24"/>
      <c r="J5783" s="24"/>
      <c r="K5783" s="24"/>
    </row>
    <row r="5784" customFormat="false" ht="15" hidden="false" customHeight="false" outlineLevel="0" collapsed="false">
      <c r="A5784" s="3" t="s">
        <v>499</v>
      </c>
      <c r="C5784" s="20" t="n">
        <f aca="false">IF(C5768&gt;0,Assumptions!$C$17,C5764)</f>
        <v>1</v>
      </c>
    </row>
    <row r="5785" customFormat="false" ht="15" hidden="false" customHeight="false" outlineLevel="0" collapsed="false">
      <c r="A5785" s="3" t="s">
        <v>500</v>
      </c>
      <c r="C5785" s="20" t="n">
        <f aca="false">IF(C5769&gt;0,Assumptions!$C$17,C5765)</f>
        <v>2</v>
      </c>
    </row>
    <row r="5786" customFormat="false" ht="15" hidden="false" customHeight="false" outlineLevel="0" collapsed="false">
      <c r="A5786" s="3" t="s">
        <v>501</v>
      </c>
      <c r="C5786" s="20" t="n">
        <f aca="false">IF(C5770&gt;0,Assumptions!$C$17,C5766)</f>
        <v>2</v>
      </c>
    </row>
    <row r="5787" customFormat="false" ht="15" hidden="false" customHeight="false" outlineLevel="0" collapsed="false">
      <c r="A5787" s="23" t="s">
        <v>508</v>
      </c>
      <c r="B5787" s="24"/>
      <c r="C5787" s="24"/>
      <c r="D5787" s="24"/>
      <c r="E5787" s="24"/>
      <c r="F5787" s="24"/>
      <c r="G5787" s="24"/>
      <c r="H5787" s="24"/>
      <c r="I5787" s="24"/>
      <c r="J5787" s="24"/>
      <c r="K5787" s="24"/>
    </row>
    <row r="5788" customFormat="false" ht="15" hidden="false" customHeight="false" outlineLevel="0" collapsed="false">
      <c r="A5788" s="3" t="s">
        <v>499</v>
      </c>
      <c r="C5788" s="25" t="n">
        <f aca="false">SUMPRODUCT(($C$5784:$C$5786&lt;C5784)*$C$5780:$C$5782)</f>
        <v>0</v>
      </c>
    </row>
    <row r="5789" customFormat="false" ht="15" hidden="false" customHeight="false" outlineLevel="0" collapsed="false">
      <c r="A5789" s="3" t="s">
        <v>500</v>
      </c>
      <c r="C5789" s="25" t="n">
        <f aca="false">SUMPRODUCT(($C$5784:$C$5786&lt;C5785)*$C$5780:$C$5782)</f>
        <v>1315.098</v>
      </c>
    </row>
    <row r="5790" customFormat="false" ht="15" hidden="false" customHeight="false" outlineLevel="0" collapsed="false">
      <c r="A5790" s="3" t="s">
        <v>501</v>
      </c>
      <c r="C5790" s="25" t="n">
        <f aca="false">SUMPRODUCT(($C$5784:$C$5786&lt;C5786)*$C$5780:$C$5782)</f>
        <v>1315.098</v>
      </c>
    </row>
    <row r="5791" customFormat="false" ht="15" hidden="false" customHeight="false" outlineLevel="0" collapsed="false">
      <c r="A5791" s="23" t="s">
        <v>509</v>
      </c>
      <c r="B5791" s="24"/>
      <c r="C5791" s="24"/>
      <c r="D5791" s="24"/>
      <c r="E5791" s="24"/>
      <c r="F5791" s="24"/>
      <c r="G5791" s="24"/>
      <c r="H5791" s="24"/>
      <c r="I5791" s="24"/>
      <c r="J5791" s="24"/>
      <c r="K5791" s="24"/>
    </row>
    <row r="5792" customFormat="false" ht="15" hidden="false" customHeight="false" outlineLevel="0" collapsed="false">
      <c r="A5792" s="3" t="s">
        <v>499</v>
      </c>
      <c r="C5792" s="25" t="n">
        <f aca="false">SUMPRODUCT(($C$5784:$C$5786=C5784)*$C$5780:$C$5782)</f>
        <v>1315.098</v>
      </c>
    </row>
    <row r="5793" customFormat="false" ht="15" hidden="false" customHeight="false" outlineLevel="0" collapsed="false">
      <c r="A5793" s="3" t="s">
        <v>500</v>
      </c>
      <c r="C5793" s="25" t="n">
        <f aca="false">SUMPRODUCT(($C$5784:$C$5786=C5785)*$C$5780:$C$5782)</f>
        <v>0</v>
      </c>
    </row>
    <row r="5794" customFormat="false" ht="15" hidden="false" customHeight="false" outlineLevel="0" collapsed="false">
      <c r="A5794" s="3" t="s">
        <v>501</v>
      </c>
      <c r="C5794" s="25" t="n">
        <f aca="false">SUMPRODUCT(($C$5784:$C$5786=C5786)*$C$5780:$C$5782)</f>
        <v>0</v>
      </c>
    </row>
    <row r="5795" customFormat="false" ht="15" hidden="false" customHeight="false" outlineLevel="0" collapsed="false">
      <c r="A5795" s="23" t="s">
        <v>510</v>
      </c>
      <c r="B5795" s="24"/>
      <c r="C5795" s="24"/>
      <c r="D5795" s="24"/>
      <c r="E5795" s="24"/>
      <c r="F5795" s="24"/>
      <c r="G5795" s="24"/>
      <c r="H5795" s="24"/>
      <c r="I5795" s="24"/>
      <c r="J5795" s="24"/>
      <c r="K5795" s="24"/>
    </row>
    <row r="5796" customFormat="false" ht="15" hidden="false" customHeight="false" outlineLevel="0" collapsed="false">
      <c r="A5796" s="3" t="s">
        <v>499</v>
      </c>
      <c r="C5796" s="25" t="n">
        <f aca="false">IF(C5792=0,0,C5780/C5792*MAX(0,MIN(C5792,$C$5758-SUM($C$5772:$C$5774)-C5788)))</f>
        <v>729.31964402528</v>
      </c>
    </row>
    <row r="5797" customFormat="false" ht="15" hidden="false" customHeight="false" outlineLevel="0" collapsed="false">
      <c r="A5797" s="3" t="s">
        <v>500</v>
      </c>
      <c r="C5797" s="25" t="n">
        <f aca="false">IF(C5793=0,0,C5781/C5793*MAX(0,MIN(C5793,$C$5758-SUM($C$5772:$C$5774)-C5789)))</f>
        <v>0</v>
      </c>
    </row>
    <row r="5798" customFormat="false" ht="15" hidden="false" customHeight="false" outlineLevel="0" collapsed="false">
      <c r="A5798" s="3" t="s">
        <v>501</v>
      </c>
      <c r="C5798" s="25" t="n">
        <f aca="false">IF(C5794=0,0,C5782/C5794*MAX(0,MIN(C5794,$C$5758-SUM($C$5772:$C$5774)-C5790)))</f>
        <v>0</v>
      </c>
    </row>
    <row r="5799" customFormat="false" ht="15" hidden="false" customHeight="false" outlineLevel="0" collapsed="false">
      <c r="A5799" s="23" t="s">
        <v>511</v>
      </c>
      <c r="B5799" s="24"/>
      <c r="C5799" s="24"/>
      <c r="D5799" s="24"/>
      <c r="E5799" s="24"/>
      <c r="F5799" s="24"/>
      <c r="G5799" s="24"/>
      <c r="H5799" s="24"/>
      <c r="I5799" s="24"/>
      <c r="J5799" s="24"/>
      <c r="K5799" s="24"/>
    </row>
    <row r="5800" customFormat="false" ht="15" hidden="false" customHeight="false" outlineLevel="0" collapsed="false">
      <c r="A5800" s="2" t="s">
        <v>499</v>
      </c>
      <c r="C5800" s="16" t="n">
        <f aca="false">C5772+C5796</f>
        <v>729.31964402528</v>
      </c>
    </row>
    <row r="5801" customFormat="false" ht="15" hidden="false" customHeight="false" outlineLevel="0" collapsed="false">
      <c r="A5801" s="2" t="s">
        <v>500</v>
      </c>
      <c r="C5801" s="16" t="n">
        <f aca="false">C5773+C5797</f>
        <v>0</v>
      </c>
    </row>
    <row r="5802" customFormat="false" ht="15" hidden="false" customHeight="false" outlineLevel="0" collapsed="false">
      <c r="A5802" s="2" t="s">
        <v>501</v>
      </c>
      <c r="C5802" s="16" t="n">
        <f aca="false">C5774+C5798</f>
        <v>0</v>
      </c>
    </row>
    <row r="5803" customFormat="false" ht="15" hidden="false" customHeight="false" outlineLevel="0" collapsed="false">
      <c r="A5803" s="23" t="s">
        <v>512</v>
      </c>
      <c r="B5803" s="24"/>
      <c r="C5803" s="24"/>
      <c r="D5803" s="24"/>
      <c r="E5803" s="24"/>
      <c r="F5803" s="24"/>
      <c r="G5803" s="24"/>
      <c r="H5803" s="24"/>
      <c r="I5803" s="24"/>
      <c r="J5803" s="24"/>
      <c r="K5803" s="24"/>
    </row>
    <row r="5804" customFormat="false" ht="15" hidden="false" customHeight="false" outlineLevel="0" collapsed="false">
      <c r="A5804" s="3" t="s">
        <v>499</v>
      </c>
      <c r="C5804" s="21" t="n">
        <f aca="false">IF(C5760=0,1,C5800/C5760)</f>
        <v>0.55457436938181</v>
      </c>
    </row>
    <row r="5805" customFormat="false" ht="15" hidden="false" customHeight="false" outlineLevel="0" collapsed="false">
      <c r="A5805" s="3" t="s">
        <v>500</v>
      </c>
      <c r="C5805" s="21" t="n">
        <f aca="false">IF(C5761=0,1,C5801/C5761)</f>
        <v>1</v>
      </c>
    </row>
    <row r="5806" customFormat="false" ht="15" hidden="false" customHeight="false" outlineLevel="0" collapsed="false">
      <c r="A5806" s="3" t="s">
        <v>501</v>
      </c>
      <c r="C5806" s="21" t="n">
        <f aca="false">IF(C5762=0,1,C5802/C5762)</f>
        <v>1</v>
      </c>
    </row>
    <row r="5807" customFormat="false" ht="15" hidden="false" customHeight="false" outlineLevel="0" collapsed="false">
      <c r="A5807" s="23" t="s">
        <v>513</v>
      </c>
      <c r="B5807" s="24"/>
      <c r="C5807" s="24"/>
      <c r="D5807" s="24"/>
      <c r="E5807" s="24"/>
      <c r="F5807" s="24"/>
      <c r="G5807" s="24"/>
      <c r="H5807" s="24"/>
      <c r="I5807" s="24"/>
      <c r="J5807" s="24"/>
      <c r="K5807" s="24"/>
    </row>
    <row r="5808" customFormat="false" ht="15" hidden="false" customHeight="false" outlineLevel="0" collapsed="false">
      <c r="A5808" s="3" t="s">
        <v>499</v>
      </c>
      <c r="C5808" s="25" t="n">
        <f aca="false">C5760-C5800</f>
        <v>585.77835597472</v>
      </c>
    </row>
    <row r="5809" customFormat="false" ht="15" hidden="false" customHeight="false" outlineLevel="0" collapsed="false">
      <c r="A5809" s="3" t="s">
        <v>500</v>
      </c>
      <c r="C5809" s="25" t="n">
        <f aca="false">C5761-C5801</f>
        <v>0</v>
      </c>
    </row>
    <row r="5810" customFormat="false" ht="15" hidden="false" customHeight="false" outlineLevel="0" collapsed="false">
      <c r="A5810" s="3" t="s">
        <v>501</v>
      </c>
      <c r="C5810" s="25" t="n">
        <f aca="false">C5762-C5802</f>
        <v>0</v>
      </c>
    </row>
    <row r="5811" customFormat="false" ht="15" hidden="false" customHeight="false" outlineLevel="0" collapsed="false">
      <c r="A5811" s="23" t="s">
        <v>514</v>
      </c>
      <c r="B5811" s="24"/>
      <c r="C5811" s="24"/>
      <c r="D5811" s="24"/>
      <c r="E5811" s="24"/>
      <c r="F5811" s="24"/>
      <c r="G5811" s="24"/>
      <c r="H5811" s="24"/>
      <c r="I5811" s="24"/>
      <c r="J5811" s="24"/>
      <c r="K5811" s="24"/>
    </row>
    <row r="5812" customFormat="false" ht="15" hidden="false" customHeight="false" outlineLevel="0" collapsed="false">
      <c r="A5812" s="3" t="s">
        <v>499</v>
      </c>
      <c r="C5812" s="21" t="n">
        <f aca="false">IF(C5760=0,0,C5808/C5760)</f>
        <v>0.44542563061819</v>
      </c>
    </row>
    <row r="5813" customFormat="false" ht="15" hidden="false" customHeight="false" outlineLevel="0" collapsed="false">
      <c r="A5813" s="3" t="s">
        <v>500</v>
      </c>
      <c r="C5813" s="21" t="n">
        <f aca="false">IF(C5761=0,0,C5809/C5761)</f>
        <v>0</v>
      </c>
    </row>
    <row r="5814" customFormat="false" ht="15" hidden="false" customHeight="false" outlineLevel="0" collapsed="false">
      <c r="A5814" s="3" t="s">
        <v>501</v>
      </c>
      <c r="C5814" s="21" t="n">
        <f aca="false">IF(C5762=0,0,C5810/C5762)</f>
        <v>0</v>
      </c>
    </row>
    <row r="5815" customFormat="false" ht="15" hidden="false" customHeight="false" outlineLevel="0" collapsed="false">
      <c r="A5815" s="2" t="s">
        <v>515</v>
      </c>
      <c r="C5815" s="16" t="n">
        <f aca="false">MAX(0,$C$5758-SUM($C$5772:$C$5774)-SUM($C$5780:$C$5782))</f>
        <v>0</v>
      </c>
    </row>
    <row r="5816" customFormat="false" ht="15" hidden="false" customHeight="false" outlineLevel="0" collapsed="false">
      <c r="A5816" s="3" t="s">
        <v>533</v>
      </c>
      <c r="C5816" s="34" t="n">
        <f aca="false">MIN(C5757,100*CHOOSE(C5747,C5804,C5805,C5806))</f>
        <v>55.457436938181</v>
      </c>
    </row>
    <row r="5817" customFormat="false" ht="15" hidden="false" customHeight="false" outlineLevel="0" collapsed="false">
      <c r="A5817" s="3" t="s">
        <v>534</v>
      </c>
      <c r="C5817" s="20" t="n">
        <f aca="false">IF(C5677=1,C5752+Assumptions!$C$39,C5751)</f>
        <v>3</v>
      </c>
    </row>
    <row r="5818" customFormat="false" ht="15" hidden="false" customHeight="false" outlineLevel="0" collapsed="false">
      <c r="A5818" s="23" t="s">
        <v>535</v>
      </c>
      <c r="B5818" s="24"/>
      <c r="C5818" s="24"/>
      <c r="D5818" s="24"/>
      <c r="E5818" s="24"/>
      <c r="F5818" s="24"/>
      <c r="G5818" s="24"/>
      <c r="H5818" s="24"/>
      <c r="I5818" s="24"/>
      <c r="J5818" s="24"/>
      <c r="K5818" s="24"/>
    </row>
    <row r="5819" customFormat="false" ht="15" hidden="false" customHeight="false" outlineLevel="0" collapsed="false">
      <c r="A5819" s="3" t="s">
        <v>536</v>
      </c>
      <c r="C5819" s="20" t="n">
        <f aca="false">COLUMN()-COLUMN($C$1)</f>
        <v>0</v>
      </c>
      <c r="D5819" s="20" t="n">
        <f aca="false">COLUMN()-COLUMN($C$1)</f>
        <v>1</v>
      </c>
      <c r="E5819" s="20" t="n">
        <f aca="false">COLUMN()-COLUMN($C$1)</f>
        <v>2</v>
      </c>
      <c r="F5819" s="20" t="n">
        <f aca="false">COLUMN()-COLUMN($C$1)</f>
        <v>3</v>
      </c>
      <c r="G5819" s="20" t="n">
        <f aca="false">COLUMN()-COLUMN($C$1)</f>
        <v>4</v>
      </c>
      <c r="H5819" s="20" t="n">
        <f aca="false">COLUMN()-COLUMN($C$1)</f>
        <v>5</v>
      </c>
      <c r="I5819" s="20" t="n">
        <f aca="false">COLUMN()-COLUMN($C$1)</f>
        <v>6</v>
      </c>
    </row>
    <row r="5820" customFormat="false" ht="15" hidden="false" customHeight="false" outlineLevel="0" collapsed="false">
      <c r="A5820" s="3" t="s">
        <v>537</v>
      </c>
      <c r="D5820" s="31" t="n">
        <f aca="false">CHOOSE($C$5747,G5560,G5573,G5586)</f>
        <v>0.105</v>
      </c>
      <c r="E5820" s="31" t="n">
        <f aca="false">CHOOSE($C$5747,H5560,H5573,H5586)</f>
        <v>0.105</v>
      </c>
      <c r="F5820" s="31" t="n">
        <f aca="false">CHOOSE($C$5747,I5560,I5573,I5586)</f>
        <v>0.105</v>
      </c>
      <c r="G5820" s="31" t="n">
        <f aca="false">CHOOSE($C$5747,J5560,J5573,J5586)</f>
        <v>0.105</v>
      </c>
      <c r="H5820" s="31" t="n">
        <f aca="false">CHOOSE($C$5747,K5560,K5573,K5586)</f>
        <v>0.105</v>
      </c>
    </row>
    <row r="5821" customFormat="false" ht="15" hidden="false" customHeight="false" outlineLevel="0" collapsed="false">
      <c r="A5821" s="3" t="s">
        <v>538</v>
      </c>
      <c r="D5821" s="25" t="n">
        <f aca="false">IF(D5819&lt;=$C$5756,$C$5748*D5820,0)</f>
        <v>10.5</v>
      </c>
      <c r="E5821" s="25" t="n">
        <f aca="false">IF(E5819&lt;=$C$5756,$C$5748*E5820,0)</f>
        <v>10.5</v>
      </c>
      <c r="F5821" s="25" t="n">
        <f aca="false">IF(F5819&lt;=$C$5756,$C$5748*F5820,0)</f>
        <v>10.5</v>
      </c>
      <c r="G5821" s="25" t="n">
        <f aca="false">IF(G5819&lt;=$C$5756,$C$5748*G5820,0)</f>
        <v>0</v>
      </c>
      <c r="H5821" s="25" t="n">
        <f aca="false">IF(H5819&lt;=$C$5756,$C$5748*H5820,0)</f>
        <v>0</v>
      </c>
    </row>
    <row r="5822" customFormat="false" ht="15" hidden="false" customHeight="false" outlineLevel="0" collapsed="false">
      <c r="A5822" s="3" t="s">
        <v>539</v>
      </c>
      <c r="D5822" s="25" t="n">
        <f aca="false">IF(AND($C$5677=0,D5819=$C$5751),$C$5748*$C$5816/100,0)+IF(AND($C$5677=1,D5819=$C$5817),$C$5754,0)</f>
        <v>0</v>
      </c>
      <c r="E5822" s="25" t="n">
        <f aca="false">IF(AND($C$5677=0,E5819=$C$5751),$C$5748*$C$5816/100,0)+IF(AND($C$5677=1,E5819=$C$5817),$C$5754,0)</f>
        <v>0</v>
      </c>
      <c r="F5822" s="25" t="n">
        <f aca="false">IF(AND($C$5677=0,F5819=$C$5751),$C$5748*$C$5816/100,0)+IF(AND($C$5677=1,F5819=$C$5817),$C$5754,0)</f>
        <v>55.457436938181</v>
      </c>
      <c r="G5822" s="25" t="n">
        <f aca="false">IF(AND($C$5677=0,G5819=$C$5751),$C$5748*$C$5816/100,0)+IF(AND($C$5677=1,G5819=$C$5817),$C$5754,0)</f>
        <v>0</v>
      </c>
      <c r="H5822" s="25" t="n">
        <f aca="false">IF(AND($C$5677=0,H5819=$C$5751),$C$5748*$C$5816/100,0)+IF(AND($C$5677=1,H5819=$C$5817),$C$5754,0)</f>
        <v>0</v>
      </c>
      <c r="I5822" s="25" t="n">
        <f aca="false">IF(AND($C$5677=0,I5819=$C$5751),$C$5748*$C$5816/100,0)+IF(AND($C$5677=1,I5819=$C$5817),$C$5754,0)</f>
        <v>0</v>
      </c>
    </row>
    <row r="5823" customFormat="false" ht="15" hidden="false" customHeight="false" outlineLevel="0" collapsed="false">
      <c r="A5823" s="2" t="s">
        <v>540</v>
      </c>
      <c r="C5823" s="16" t="n">
        <f aca="false">-$C$5750</f>
        <v>-95</v>
      </c>
      <c r="D5823" s="16" t="n">
        <f aca="false">D5821+D5822</f>
        <v>10.5</v>
      </c>
      <c r="E5823" s="16" t="n">
        <f aca="false">E5821+E5822</f>
        <v>10.5</v>
      </c>
      <c r="F5823" s="16" t="n">
        <f aca="false">F5821+F5822</f>
        <v>65.957436938181</v>
      </c>
      <c r="G5823" s="16" t="n">
        <f aca="false">G5821+G5822</f>
        <v>0</v>
      </c>
      <c r="H5823" s="16" t="n">
        <f aca="false">H5821+H5822</f>
        <v>0</v>
      </c>
      <c r="I5823" s="16" t="n">
        <f aca="false">I5821+I5822</f>
        <v>0</v>
      </c>
    </row>
    <row r="5824" customFormat="false" ht="15" hidden="false" customHeight="false" outlineLevel="0" collapsed="false">
      <c r="A5824" s="3" t="s">
        <v>541</v>
      </c>
      <c r="C5824" s="25" t="n">
        <f aca="false">SUM($C$5821:$I$5821)</f>
        <v>31.5</v>
      </c>
    </row>
    <row r="5825" customFormat="false" ht="15" hidden="false" customHeight="false" outlineLevel="0" collapsed="false">
      <c r="A5825" s="3" t="s">
        <v>542</v>
      </c>
      <c r="C5825" s="25" t="n">
        <f aca="false">SUM($C$5822:$I$5822)</f>
        <v>55.457436938181</v>
      </c>
    </row>
    <row r="5826" customFormat="false" ht="15" hidden="false" customHeight="false" outlineLevel="0" collapsed="false">
      <c r="A5826" s="3" t="s">
        <v>543</v>
      </c>
      <c r="C5826" s="25" t="n">
        <f aca="false">C5824+C5825</f>
        <v>86.957436938181</v>
      </c>
    </row>
    <row r="5827" customFormat="false" ht="15" hidden="false" customHeight="false" outlineLevel="0" collapsed="false">
      <c r="A5827" s="3" t="s">
        <v>544</v>
      </c>
      <c r="C5827" s="25" t="n">
        <f aca="false">C5825-C5748*C5749/100</f>
        <v>-39.542563061819</v>
      </c>
    </row>
    <row r="5828" customFormat="false" ht="15" hidden="false" customHeight="false" outlineLevel="0" collapsed="false">
      <c r="A5828" s="3" t="s">
        <v>545</v>
      </c>
      <c r="C5828" s="25" t="n">
        <f aca="false">C5826-C5750</f>
        <v>-8.04256306181898</v>
      </c>
    </row>
    <row r="5829" customFormat="false" ht="15" hidden="false" customHeight="false" outlineLevel="0" collapsed="false">
      <c r="A5829" s="2" t="s">
        <v>427</v>
      </c>
      <c r="C5829" s="44" t="n">
        <f aca="false">C5826/C5750</f>
        <v>0.915341441454537</v>
      </c>
    </row>
    <row r="5830" customFormat="false" ht="15" hidden="false" customHeight="false" outlineLevel="0" collapsed="false">
      <c r="A5830" s="2" t="s">
        <v>426</v>
      </c>
      <c r="C5830" s="42" t="n">
        <f aca="false">IF(C5826&lt;=0,-1,IFERROR(IRR($C$5823:$I$5823,MAX(-0.9,C5829^(1/C5817)-1)),IRR($C$5823:$I$5823,0.1)))</f>
        <v>-0.032883675698974</v>
      </c>
    </row>
    <row r="5831" customFormat="false" ht="15" hidden="false" customHeight="false" outlineLevel="0" collapsed="false">
      <c r="A5831" s="3" t="s">
        <v>546</v>
      </c>
      <c r="C5831" s="32" t="n">
        <f aca="false">MAX($G$5637:$K$5637)</f>
        <v>8.97186716277223</v>
      </c>
    </row>
    <row r="5832" customFormat="false" ht="15" hidden="false" customHeight="false" outlineLevel="0" collapsed="false">
      <c r="A5832" s="3" t="s">
        <v>547</v>
      </c>
      <c r="C5832" s="32" t="n">
        <f aca="false">MIN($G$5638:$K$5638)</f>
        <v>1.05396558866913</v>
      </c>
    </row>
    <row r="5833" customFormat="false" ht="15" hidden="false" customHeight="false" outlineLevel="0" collapsed="false">
      <c r="A5833" s="3" t="s">
        <v>548</v>
      </c>
      <c r="C5833" s="25" t="n">
        <f aca="false">SUM($G$5544:$K$5544)</f>
        <v>-34.1819228709186</v>
      </c>
    </row>
    <row r="5837" customFormat="false" ht="15" hidden="false" customHeight="false" outlineLevel="0" collapsed="false">
      <c r="A5837" s="9" t="s">
        <v>1032</v>
      </c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</row>
    <row r="5838" customFormat="false" ht="15" hidden="false" customHeight="false" outlineLevel="0" collapsed="false">
      <c r="A5838" s="3" t="s">
        <v>1010</v>
      </c>
      <c r="C5838" s="11" t="n">
        <v>1</v>
      </c>
    </row>
    <row r="5839" customFormat="false" ht="15" hidden="false" customHeight="false" outlineLevel="0" collapsed="false">
      <c r="A5839" s="3" t="s">
        <v>1011</v>
      </c>
      <c r="C5839" s="30" t="n">
        <f aca="false">Sensitivities!$A$40</f>
        <v>-0.1</v>
      </c>
    </row>
    <row r="5840" customFormat="false" ht="15" hidden="false" customHeight="false" outlineLevel="0" collapsed="false">
      <c r="A5840" s="3" t="s">
        <v>1012</v>
      </c>
      <c r="C5840" s="18" t="n">
        <v>0</v>
      </c>
    </row>
    <row r="5841" customFormat="false" ht="15" hidden="false" customHeight="false" outlineLevel="0" collapsed="false">
      <c r="A5841" s="3" t="s">
        <v>1013</v>
      </c>
      <c r="C5841" s="18" t="n">
        <v>0</v>
      </c>
    </row>
    <row r="5842" customFormat="false" ht="15" hidden="false" customHeight="false" outlineLevel="0" collapsed="false">
      <c r="A5842" s="3" t="s">
        <v>1014</v>
      </c>
      <c r="C5842" s="15" t="n">
        <v>0</v>
      </c>
    </row>
    <row r="5844" customFormat="false" ht="15" hidden="false" customHeight="false" outlineLevel="0" collapsed="false">
      <c r="A5844" s="23" t="s">
        <v>281</v>
      </c>
      <c r="B5844" s="24"/>
      <c r="C5844" s="24"/>
      <c r="D5844" s="24"/>
      <c r="E5844" s="24"/>
      <c r="F5844" s="24"/>
      <c r="G5844" s="24"/>
      <c r="H5844" s="24"/>
      <c r="I5844" s="24"/>
      <c r="J5844" s="24"/>
      <c r="K5844" s="24"/>
    </row>
    <row r="5845" customFormat="false" ht="15" hidden="false" customHeight="false" outlineLevel="0" collapsed="false">
      <c r="A5845" s="3" t="s">
        <v>282</v>
      </c>
      <c r="F5845" s="27" t="n">
        <f aca="false">Assumptions!$C$6</f>
        <v>2026</v>
      </c>
      <c r="G5845" s="20" t="n">
        <f aca="false">F5845+1</f>
        <v>2027</v>
      </c>
      <c r="H5845" s="20" t="n">
        <f aca="false">G5845+1</f>
        <v>2028</v>
      </c>
      <c r="I5845" s="20" t="n">
        <f aca="false">H5845+1</f>
        <v>2029</v>
      </c>
      <c r="J5845" s="20" t="n">
        <f aca="false">I5845+1</f>
        <v>2030</v>
      </c>
      <c r="K5845" s="20" t="n">
        <f aca="false">J5845+1</f>
        <v>2031</v>
      </c>
    </row>
    <row r="5846" customFormat="false" ht="15" hidden="false" customHeight="false" outlineLevel="0" collapsed="false">
      <c r="A5846" s="3" t="s">
        <v>283</v>
      </c>
      <c r="G5846" s="20" t="n">
        <f aca="false">G5845-Assumptions!$C$6</f>
        <v>1</v>
      </c>
      <c r="H5846" s="20" t="n">
        <f aca="false">H5845-Assumptions!$C$6</f>
        <v>2</v>
      </c>
      <c r="I5846" s="20" t="n">
        <f aca="false">I5845-Assumptions!$C$6</f>
        <v>3</v>
      </c>
      <c r="J5846" s="20" t="n">
        <f aca="false">J5845-Assumptions!$C$6</f>
        <v>4</v>
      </c>
      <c r="K5846" s="20" t="n">
        <f aca="false">K5845-Assumptions!$C$6</f>
        <v>5</v>
      </c>
    </row>
    <row r="5847" customFormat="false" ht="15" hidden="false" customHeight="false" outlineLevel="0" collapsed="false">
      <c r="A5847" s="3" t="s">
        <v>165</v>
      </c>
      <c r="G5847" s="21" t="n">
        <f aca="false">CHOOSE($C$5838,Assumptions!$G$71,Assumptions!$G$90,Assumptions!$G$109)+$C$5839</f>
        <v>-0.145</v>
      </c>
      <c r="H5847" s="21" t="n">
        <f aca="false">CHOOSE($C$5838,Assumptions!$H$71,Assumptions!$H$90,Assumptions!$H$109)+$C$5839</f>
        <v>-0.14</v>
      </c>
      <c r="I5847" s="21" t="n">
        <f aca="false">CHOOSE($C$5838,Assumptions!$I$71,Assumptions!$I$90,Assumptions!$I$109)+$C$5839</f>
        <v>-0.135</v>
      </c>
      <c r="J5847" s="21" t="n">
        <f aca="false">CHOOSE($C$5838,Assumptions!$J$71,Assumptions!$J$90,Assumptions!$J$109)+$C$5839</f>
        <v>-0.13</v>
      </c>
      <c r="K5847" s="21" t="n">
        <f aca="false">CHOOSE($C$5838,Assumptions!$K$71,Assumptions!$K$90,Assumptions!$K$109)+$C$5839</f>
        <v>-0.13</v>
      </c>
    </row>
    <row r="5848" customFormat="false" ht="15" hidden="false" customHeight="false" outlineLevel="0" collapsed="false">
      <c r="A5848" s="3" t="s">
        <v>166</v>
      </c>
      <c r="G5848" s="21" t="n">
        <f aca="false">CHOOSE($C$5838,Assumptions!$G$72,Assumptions!$G$91,Assumptions!$G$110)</f>
        <v>0.483246670103635</v>
      </c>
      <c r="H5848" s="21" t="n">
        <f aca="false">CHOOSE($C$5838,Assumptions!$H$72,Assumptions!$H$91,Assumptions!$H$110)</f>
        <v>0.483246670103635</v>
      </c>
      <c r="I5848" s="21" t="n">
        <f aca="false">CHOOSE($C$5838,Assumptions!$I$72,Assumptions!$I$91,Assumptions!$I$110)</f>
        <v>0.481246670103635</v>
      </c>
      <c r="J5848" s="21" t="n">
        <f aca="false">CHOOSE($C$5838,Assumptions!$J$72,Assumptions!$J$91,Assumptions!$J$110)</f>
        <v>0.479246670103635</v>
      </c>
      <c r="K5848" s="21" t="n">
        <f aca="false">CHOOSE($C$5838,Assumptions!$K$72,Assumptions!$K$91,Assumptions!$K$110)</f>
        <v>0.477246670103635</v>
      </c>
    </row>
    <row r="5849" customFormat="false" ht="15" hidden="false" customHeight="false" outlineLevel="0" collapsed="false">
      <c r="A5849" s="3" t="s">
        <v>167</v>
      </c>
      <c r="G5849" s="21" t="n">
        <f aca="false">CHOOSE($C$5838,Assumptions!$G$73,Assumptions!$G$92,Assumptions!$G$111)+$C$5840</f>
        <v>0.14</v>
      </c>
      <c r="H5849" s="21" t="n">
        <f aca="false">CHOOSE($C$5838,Assumptions!$H$73,Assumptions!$H$92,Assumptions!$H$111)+$C$5840</f>
        <v>0.14</v>
      </c>
      <c r="I5849" s="21" t="n">
        <f aca="false">CHOOSE($C$5838,Assumptions!$I$73,Assumptions!$I$92,Assumptions!$I$111)+$C$5840</f>
        <v>0.138</v>
      </c>
      <c r="J5849" s="21" t="n">
        <f aca="false">CHOOSE($C$5838,Assumptions!$J$73,Assumptions!$J$92,Assumptions!$J$111)+$C$5840</f>
        <v>0.136</v>
      </c>
      <c r="K5849" s="21" t="n">
        <f aca="false">CHOOSE($C$5838,Assumptions!$K$73,Assumptions!$K$92,Assumptions!$K$111)+$C$5840</f>
        <v>0.134</v>
      </c>
    </row>
    <row r="5850" customFormat="false" ht="15" hidden="false" customHeight="false" outlineLevel="0" collapsed="false">
      <c r="A5850" s="23" t="s">
        <v>284</v>
      </c>
      <c r="B5850" s="24"/>
      <c r="C5850" s="24"/>
      <c r="D5850" s="24"/>
      <c r="E5850" s="24"/>
      <c r="F5850" s="24"/>
      <c r="G5850" s="24"/>
      <c r="H5850" s="24"/>
      <c r="I5850" s="24"/>
      <c r="J5850" s="24"/>
      <c r="K5850" s="24"/>
    </row>
    <row r="5851" customFormat="false" ht="15" hidden="false" customHeight="false" outlineLevel="0" collapsed="false">
      <c r="A5851" s="2" t="s">
        <v>256</v>
      </c>
      <c r="F5851" s="28" t="n">
        <f aca="false">'Historical Financials'!G23</f>
        <v>2246.166</v>
      </c>
      <c r="G5851" s="16" t="n">
        <f aca="false">F5851*(1+G5847)</f>
        <v>1920.47193</v>
      </c>
      <c r="H5851" s="16" t="n">
        <f aca="false">G5851*(1+H5847)</f>
        <v>1651.6058598</v>
      </c>
      <c r="I5851" s="16" t="n">
        <f aca="false">H5851*(1+I5847)</f>
        <v>1428.639068727</v>
      </c>
      <c r="J5851" s="16" t="n">
        <f aca="false">I5851*(1+J5847)</f>
        <v>1242.91598979249</v>
      </c>
      <c r="K5851" s="16" t="n">
        <f aca="false">J5851*(1+K5847)</f>
        <v>1081.33691111947</v>
      </c>
    </row>
    <row r="5852" customFormat="false" ht="15" hidden="false" customHeight="false" outlineLevel="0" collapsed="false">
      <c r="A5852" s="3" t="s">
        <v>257</v>
      </c>
      <c r="G5852" s="25" t="n">
        <f aca="false">G5851*(1-G5848)</f>
        <v>992.4102648</v>
      </c>
      <c r="H5852" s="25" t="n">
        <f aca="false">H5851*(1-H5848)</f>
        <v>853.472827728</v>
      </c>
      <c r="I5852" s="25" t="n">
        <f aca="false">I5851*(1-I5848)</f>
        <v>741.111274122174</v>
      </c>
      <c r="J5852" s="25" t="n">
        <f aca="false">J5851*(1-J5848)</f>
        <v>647.252640465876</v>
      </c>
      <c r="K5852" s="25" t="n">
        <f aca="false">K5851*(1-K5848)</f>
        <v>565.272471027551</v>
      </c>
    </row>
    <row r="5853" customFormat="false" ht="15" hidden="false" customHeight="false" outlineLevel="0" collapsed="false">
      <c r="A5853" s="2" t="s">
        <v>258</v>
      </c>
      <c r="G5853" s="16" t="n">
        <f aca="false">G5851-G5852</f>
        <v>928.0616652</v>
      </c>
      <c r="H5853" s="16" t="n">
        <f aca="false">H5851-H5852</f>
        <v>798.133032072</v>
      </c>
      <c r="I5853" s="16" t="n">
        <f aca="false">I5851-I5852</f>
        <v>687.527794604826</v>
      </c>
      <c r="J5853" s="16" t="n">
        <f aca="false">J5851-J5852</f>
        <v>595.663349326614</v>
      </c>
      <c r="K5853" s="16" t="n">
        <f aca="false">K5851-K5852</f>
        <v>516.064440091915</v>
      </c>
    </row>
    <row r="5854" customFormat="false" ht="15" hidden="false" customHeight="false" outlineLevel="0" collapsed="false">
      <c r="A5854" s="3" t="s">
        <v>285</v>
      </c>
      <c r="G5854" s="25" t="n">
        <f aca="false">G5853-G5855</f>
        <v>659.195595</v>
      </c>
      <c r="H5854" s="25" t="n">
        <f aca="false">H5853-H5855</f>
        <v>566.9082117</v>
      </c>
      <c r="I5854" s="25" t="n">
        <f aca="false">I5853-I5855</f>
        <v>490.3756031205</v>
      </c>
      <c r="J5854" s="25" t="n">
        <f aca="false">J5853-J5855</f>
        <v>426.626774714835</v>
      </c>
      <c r="K5854" s="25" t="n">
        <f aca="false">K5853-K5855</f>
        <v>371.165294001906</v>
      </c>
    </row>
    <row r="5855" customFormat="false" ht="15" hidden="false" customHeight="false" outlineLevel="0" collapsed="false">
      <c r="A5855" s="2" t="s">
        <v>286</v>
      </c>
      <c r="G5855" s="16" t="n">
        <f aca="false">G5851*G5849</f>
        <v>268.8660702</v>
      </c>
      <c r="H5855" s="16" t="n">
        <f aca="false">H5851*H5849</f>
        <v>231.224820372</v>
      </c>
      <c r="I5855" s="16" t="n">
        <f aca="false">I5851*I5849</f>
        <v>197.152191484326</v>
      </c>
      <c r="J5855" s="16" t="n">
        <f aca="false">J5851*J5849</f>
        <v>169.036574611779</v>
      </c>
      <c r="K5855" s="16" t="n">
        <f aca="false">K5851*K5849</f>
        <v>144.899146090008</v>
      </c>
    </row>
    <row r="5856" customFormat="false" ht="15" hidden="false" customHeight="false" outlineLevel="0" collapsed="false">
      <c r="A5856" s="3" t="s">
        <v>287</v>
      </c>
      <c r="G5856" s="25" t="n">
        <f aca="false">G5851*'Historical Financials'!G28/'Historical Financials'!G23</f>
        <v>72.92808</v>
      </c>
      <c r="H5856" s="25" t="n">
        <f aca="false">H5851*'Historical Financials'!G28/'Historical Financials'!G23</f>
        <v>62.7181488</v>
      </c>
      <c r="I5856" s="25" t="n">
        <f aca="false">I5851*'Historical Financials'!G28/'Historical Financials'!G23</f>
        <v>54.251198712</v>
      </c>
      <c r="J5856" s="25" t="n">
        <f aca="false">J5851*'Historical Financials'!G28/'Historical Financials'!G23</f>
        <v>47.19854287944</v>
      </c>
      <c r="K5856" s="25" t="n">
        <f aca="false">K5851*'Historical Financials'!G28/'Historical Financials'!G23</f>
        <v>41.0627323051128</v>
      </c>
    </row>
    <row r="5857" customFormat="false" ht="15" hidden="false" customHeight="false" outlineLevel="0" collapsed="false">
      <c r="A5857" s="3" t="s">
        <v>288</v>
      </c>
      <c r="G5857" s="25" t="n">
        <f aca="false">G5851*'Historical Financials'!G29/'Historical Financials'!G23</f>
        <v>20.82438</v>
      </c>
      <c r="H5857" s="25" t="n">
        <f aca="false">H5851*'Historical Financials'!G29/'Historical Financials'!G23</f>
        <v>17.9089668</v>
      </c>
      <c r="I5857" s="25" t="n">
        <f aca="false">I5851*'Historical Financials'!G29/'Historical Financials'!G23</f>
        <v>15.491256282</v>
      </c>
      <c r="J5857" s="25" t="n">
        <f aca="false">J5851*'Historical Financials'!G29/'Historical Financials'!G23</f>
        <v>13.47739296534</v>
      </c>
      <c r="K5857" s="25" t="n">
        <f aca="false">K5851*'Historical Financials'!G29/'Historical Financials'!G23</f>
        <v>11.7253318798458</v>
      </c>
    </row>
    <row r="5858" customFormat="false" ht="15" hidden="false" customHeight="false" outlineLevel="0" collapsed="false">
      <c r="A5858" s="2" t="s">
        <v>289</v>
      </c>
      <c r="G5858" s="16" t="n">
        <f aca="false">G5855-G5856-G5857</f>
        <v>175.1136102</v>
      </c>
      <c r="H5858" s="16" t="n">
        <f aca="false">H5855-H5856-H5857</f>
        <v>150.597704772</v>
      </c>
      <c r="I5858" s="16" t="n">
        <f aca="false">I5855-I5856-I5857</f>
        <v>127.409736490326</v>
      </c>
      <c r="J5858" s="16" t="n">
        <f aca="false">J5855-J5856-J5857</f>
        <v>108.360638766999</v>
      </c>
      <c r="K5858" s="16" t="n">
        <f aca="false">K5855-K5856-K5857</f>
        <v>92.1110819050499</v>
      </c>
    </row>
    <row r="5859" customFormat="false" ht="15" hidden="false" customHeight="false" outlineLevel="0" collapsed="false">
      <c r="A5859" s="3" t="s">
        <v>290</v>
      </c>
      <c r="G5859" s="25" t="n">
        <f aca="false">G5885+G5898+G5911</f>
        <v>155.95467</v>
      </c>
      <c r="H5859" s="25" t="n">
        <f aca="false">H5885+H5898+H5911</f>
        <v>155.95467</v>
      </c>
      <c r="I5859" s="25" t="n">
        <f aca="false">I5885+I5898+I5911</f>
        <v>155.95467</v>
      </c>
      <c r="J5859" s="25" t="n">
        <f aca="false">J5885+J5898+J5911</f>
        <v>138.08529</v>
      </c>
      <c r="K5859" s="25" t="n">
        <f aca="false">K5885+K5898+K5911</f>
        <v>138.08529</v>
      </c>
    </row>
    <row r="5860" customFormat="false" ht="15" hidden="false" customHeight="false" outlineLevel="0" collapsed="false">
      <c r="A5860" s="3" t="s">
        <v>291</v>
      </c>
      <c r="G5860" s="25" t="n">
        <f aca="false">G5886+G5899+G5912</f>
        <v>0</v>
      </c>
      <c r="H5860" s="25" t="n">
        <f aca="false">H5886+H5899+H5912</f>
        <v>0</v>
      </c>
      <c r="I5860" s="25" t="n">
        <f aca="false">I5886+I5899+I5912</f>
        <v>0</v>
      </c>
      <c r="J5860" s="25" t="n">
        <f aca="false">J5886+J5899+J5912</f>
        <v>0</v>
      </c>
      <c r="K5860" s="25" t="n">
        <f aca="false">K5886+K5899+K5912</f>
        <v>0</v>
      </c>
    </row>
    <row r="5861" customFormat="false" ht="15" hidden="false" customHeight="false" outlineLevel="0" collapsed="false">
      <c r="A5861" s="3" t="s">
        <v>239</v>
      </c>
      <c r="G5861" s="25" t="n">
        <f aca="false">G5859+G5860</f>
        <v>155.95467</v>
      </c>
      <c r="H5861" s="25" t="n">
        <f aca="false">H5859+H5860</f>
        <v>155.95467</v>
      </c>
      <c r="I5861" s="25" t="n">
        <f aca="false">I5859+I5860</f>
        <v>155.95467</v>
      </c>
      <c r="J5861" s="25" t="n">
        <f aca="false">J5859+J5860</f>
        <v>138.08529</v>
      </c>
      <c r="K5861" s="25" t="n">
        <f aca="false">K5859+K5860</f>
        <v>138.08529</v>
      </c>
    </row>
    <row r="5862" customFormat="false" ht="15" hidden="false" customHeight="false" outlineLevel="0" collapsed="false">
      <c r="A5862" s="2" t="s">
        <v>264</v>
      </c>
      <c r="G5862" s="16" t="n">
        <f aca="false">G5858-G5861</f>
        <v>19.1589402</v>
      </c>
      <c r="H5862" s="16" t="n">
        <f aca="false">H5858-H5861</f>
        <v>-5.35696522800001</v>
      </c>
      <c r="I5862" s="16" t="n">
        <f aca="false">I5858-I5861</f>
        <v>-28.544933509674</v>
      </c>
      <c r="J5862" s="16" t="n">
        <f aca="false">J5858-J5861</f>
        <v>-29.7246512330014</v>
      </c>
      <c r="K5862" s="16" t="n">
        <f aca="false">K5858-K5861</f>
        <v>-45.9742080949501</v>
      </c>
    </row>
    <row r="5863" customFormat="false" ht="15" hidden="false" customHeight="false" outlineLevel="0" collapsed="false">
      <c r="A5863" s="3" t="s">
        <v>292</v>
      </c>
      <c r="G5863" s="25" t="n">
        <f aca="false">MAX(0,G5862)*Assumptions!$C$9</f>
        <v>4.78973505</v>
      </c>
      <c r="H5863" s="25" t="n">
        <f aca="false">MAX(0,H5862)*Assumptions!$C$9</f>
        <v>0</v>
      </c>
      <c r="I5863" s="25" t="n">
        <f aca="false">MAX(0,I5862)*Assumptions!$C$9</f>
        <v>0</v>
      </c>
      <c r="J5863" s="25" t="n">
        <f aca="false">MAX(0,J5862)*Assumptions!$C$9</f>
        <v>0</v>
      </c>
      <c r="K5863" s="25" t="n">
        <f aca="false">MAX(0,K5862)*Assumptions!$C$9</f>
        <v>0</v>
      </c>
    </row>
    <row r="5864" customFormat="false" ht="15" hidden="false" customHeight="false" outlineLevel="0" collapsed="false">
      <c r="A5864" s="2" t="s">
        <v>293</v>
      </c>
      <c r="G5864" s="16" t="n">
        <f aca="false">G5862-G5863</f>
        <v>14.36920515</v>
      </c>
      <c r="H5864" s="16" t="n">
        <f aca="false">H5862-H5863</f>
        <v>-5.35696522800001</v>
      </c>
      <c r="I5864" s="16" t="n">
        <f aca="false">I5862-I5863</f>
        <v>-28.544933509674</v>
      </c>
      <c r="J5864" s="16" t="n">
        <f aca="false">J5862-J5863</f>
        <v>-29.7246512330014</v>
      </c>
      <c r="K5864" s="16" t="n">
        <f aca="false">K5862-K5863</f>
        <v>-45.9742080949501</v>
      </c>
    </row>
    <row r="5865" customFormat="false" ht="15" hidden="false" customHeight="false" outlineLevel="0" collapsed="false">
      <c r="A5865" s="23" t="s">
        <v>294</v>
      </c>
      <c r="B5865" s="24"/>
      <c r="C5865" s="24"/>
      <c r="D5865" s="24"/>
      <c r="E5865" s="24"/>
      <c r="F5865" s="24"/>
      <c r="G5865" s="24"/>
      <c r="H5865" s="24"/>
      <c r="I5865" s="24"/>
      <c r="J5865" s="24"/>
      <c r="K5865" s="24"/>
    </row>
    <row r="5866" customFormat="false" ht="15" hidden="false" customHeight="false" outlineLevel="0" collapsed="false">
      <c r="A5866" s="3" t="s">
        <v>169</v>
      </c>
      <c r="G5866" s="25" t="n">
        <f aca="false">G5851*CHOOSE($C$5838,Assumptions!$C$75,Assumptions!$C$94,Assumptions!$C$113)</f>
        <v>26.88660702</v>
      </c>
      <c r="H5866" s="25" t="n">
        <f aca="false">H5851*CHOOSE($C$5838,Assumptions!$C$75,Assumptions!$C$94,Assumptions!$C$113)</f>
        <v>23.1224820372</v>
      </c>
      <c r="I5866" s="25" t="n">
        <f aca="false">I5851*CHOOSE($C$5838,Assumptions!$C$75,Assumptions!$C$94,Assumptions!$C$113)</f>
        <v>20.000946962178</v>
      </c>
      <c r="J5866" s="25" t="n">
        <f aca="false">J5851*CHOOSE($C$5838,Assumptions!$C$75,Assumptions!$C$94,Assumptions!$C$113)</f>
        <v>17.4008238570949</v>
      </c>
      <c r="K5866" s="25" t="n">
        <f aca="false">K5851*CHOOSE($C$5838,Assumptions!$C$75,Assumptions!$C$94,Assumptions!$C$113)</f>
        <v>15.1387167556725</v>
      </c>
    </row>
    <row r="5867" customFormat="false" ht="15" hidden="false" customHeight="false" outlineLevel="0" collapsed="false">
      <c r="A5867" s="3" t="s">
        <v>295</v>
      </c>
      <c r="G5867" s="25" t="n">
        <f aca="false">CHOOSE($C$5838,Assumptions!$C$76,Assumptions!$C$95,Assumptions!$C$114)*(G5851-F5851)+CHOOSE($C$5838,Assumptions!$C$77,Assumptions!$C$96,Assumptions!$C$115)*G5851</f>
        <v>-19.2047193</v>
      </c>
      <c r="H5867" s="25" t="n">
        <f aca="false">CHOOSE($C$5838,Assumptions!$C$76,Assumptions!$C$95,Assumptions!$C$114)*(H5851-G5851)+CHOOSE($C$5838,Assumptions!$C$77,Assumptions!$C$96,Assumptions!$C$115)*H5851</f>
        <v>-16.516058598</v>
      </c>
      <c r="I5867" s="25" t="n">
        <f aca="false">CHOOSE($C$5838,Assumptions!$C$76,Assumptions!$C$95,Assumptions!$C$114)*(I5851-H5851)+CHOOSE($C$5838,Assumptions!$C$77,Assumptions!$C$96,Assumptions!$C$115)*I5851</f>
        <v>-14.28639068727</v>
      </c>
      <c r="J5867" s="25" t="n">
        <f aca="false">CHOOSE($C$5838,Assumptions!$C$76,Assumptions!$C$95,Assumptions!$C$114)*(J5851-I5851)+CHOOSE($C$5838,Assumptions!$C$77,Assumptions!$C$96,Assumptions!$C$115)*J5851</f>
        <v>-12.4291598979249</v>
      </c>
      <c r="K5867" s="25" t="n">
        <f aca="false">CHOOSE($C$5838,Assumptions!$C$76,Assumptions!$C$95,Assumptions!$C$114)*(K5851-J5851)+CHOOSE($C$5838,Assumptions!$C$77,Assumptions!$C$96,Assumptions!$C$115)*K5851</f>
        <v>-10.8133691111947</v>
      </c>
    </row>
    <row r="5868" customFormat="false" ht="15" hidden="false" customHeight="false" outlineLevel="0" collapsed="false">
      <c r="A5868" s="2" t="s">
        <v>296</v>
      </c>
      <c r="G5868" s="16" t="n">
        <f aca="false">G5864+G5856+G5857+G5860-G5866-G5867</f>
        <v>100.43977743</v>
      </c>
      <c r="H5868" s="16" t="n">
        <f aca="false">H5864+H5856+H5857+H5860-H5866-H5867</f>
        <v>68.6637269328</v>
      </c>
      <c r="I5868" s="16" t="n">
        <f aca="false">I5864+I5856+I5857+I5860-I5866-I5867</f>
        <v>35.482965209418</v>
      </c>
      <c r="J5868" s="16" t="n">
        <f aca="false">J5864+J5856+J5857+J5860-J5866-J5867</f>
        <v>25.9796206526087</v>
      </c>
      <c r="K5868" s="16" t="n">
        <f aca="false">K5864+K5856+K5857+K5860-K5866-K5867</f>
        <v>2.48850844553061</v>
      </c>
    </row>
    <row r="5870" customFormat="false" ht="15" hidden="false" customHeight="false" outlineLevel="0" collapsed="false">
      <c r="A5870" s="23" t="s">
        <v>298</v>
      </c>
      <c r="B5870" s="24"/>
      <c r="C5870" s="24"/>
      <c r="D5870" s="24"/>
      <c r="E5870" s="24"/>
      <c r="F5870" s="24"/>
      <c r="G5870" s="24"/>
      <c r="H5870" s="24"/>
      <c r="I5870" s="24"/>
      <c r="J5870" s="24"/>
      <c r="K5870" s="24"/>
    </row>
    <row r="5871" customFormat="false" ht="15" hidden="false" customHeight="false" outlineLevel="0" collapsed="false">
      <c r="A5871" s="3" t="s">
        <v>299</v>
      </c>
      <c r="G5871" s="30" t="n">
        <f aca="false">Assumptions!$G$52</f>
        <v>0.039</v>
      </c>
      <c r="H5871" s="30" t="n">
        <f aca="false">Assumptions!$H$52</f>
        <v>0.0375</v>
      </c>
      <c r="I5871" s="30" t="n">
        <f aca="false">Assumptions!$I$52</f>
        <v>0.035</v>
      </c>
      <c r="J5871" s="30" t="n">
        <f aca="false">Assumptions!$J$52</f>
        <v>0.035</v>
      </c>
      <c r="K5871" s="30" t="n">
        <f aca="false">Assumptions!$K$52</f>
        <v>0.035</v>
      </c>
    </row>
    <row r="5872" customFormat="false" ht="15" hidden="false" customHeight="false" outlineLevel="0" collapsed="false">
      <c r="A5872" s="3" t="s">
        <v>300</v>
      </c>
      <c r="C5872" s="31" t="n">
        <f aca="false">CHOOSE($C$5838,Assumptions!$C$78,Assumptions!$C$97,Assumptions!$C$116)+$C$5841</f>
        <v>0</v>
      </c>
    </row>
    <row r="5873" customFormat="false" ht="15" hidden="false" customHeight="false" outlineLevel="0" collapsed="false">
      <c r="A5873" s="3" t="s">
        <v>301</v>
      </c>
      <c r="C5873" s="31" t="n">
        <f aca="false">CHOOSE($C$5838,Assumptions!$C$79,Assumptions!$C$98,Assumptions!$C$117)</f>
        <v>0.11</v>
      </c>
    </row>
    <row r="5874" customFormat="false" ht="15" hidden="false" customHeight="false" outlineLevel="0" collapsed="false">
      <c r="A5874" s="3" t="s">
        <v>302</v>
      </c>
      <c r="C5874" s="32" t="n">
        <f aca="false">CHOOSE($C$5838,Assumptions!$C$80,Assumptions!$C$99,Assumptions!$C$118)</f>
        <v>6</v>
      </c>
    </row>
    <row r="5875" customFormat="false" ht="15" hidden="false" customHeight="false" outlineLevel="0" collapsed="false">
      <c r="A5875" s="3" t="s">
        <v>303</v>
      </c>
      <c r="C5875" s="32" t="n">
        <f aca="false">CHOOSE($C$5838,Assumptions!$C$81,Assumptions!$C$100,Assumptions!$C$119)</f>
        <v>1.25</v>
      </c>
    </row>
    <row r="5876" customFormat="false" ht="15" hidden="false" customHeight="false" outlineLevel="0" collapsed="false">
      <c r="A5876" s="3" t="s">
        <v>304</v>
      </c>
      <c r="G5876" s="25" t="n">
        <f aca="false">G5881+G5894+G5907</f>
        <v>1735.554</v>
      </c>
      <c r="H5876" s="25" t="n">
        <f aca="false">H5881+H5894+H5907</f>
        <v>1735.554</v>
      </c>
      <c r="I5876" s="25" t="n">
        <f aca="false">I5881+I5894+I5907</f>
        <v>1735.554</v>
      </c>
      <c r="J5876" s="25" t="n">
        <f aca="false">J5881+J5894+J5907</f>
        <v>1315.098</v>
      </c>
      <c r="K5876" s="25" t="n">
        <f aca="false">K5881+K5894+K5907</f>
        <v>1315.098</v>
      </c>
    </row>
    <row r="5877" customFormat="false" ht="15" hidden="false" customHeight="false" outlineLevel="0" collapsed="false">
      <c r="A5877" s="3" t="s">
        <v>305</v>
      </c>
      <c r="G5877" s="25" t="n">
        <f aca="false">F5950</f>
        <v>463.996</v>
      </c>
      <c r="H5877" s="25" t="n">
        <f aca="false">G5950</f>
        <v>564.43577743</v>
      </c>
      <c r="I5877" s="25" t="n">
        <f aca="false">H5950</f>
        <v>633.0995043628</v>
      </c>
      <c r="J5877" s="25" t="n">
        <f aca="false">I5950</f>
        <v>248.126469572218</v>
      </c>
      <c r="K5877" s="25" t="n">
        <f aca="false">J5950</f>
        <v>274.106090224827</v>
      </c>
    </row>
    <row r="5878" customFormat="false" ht="15" hidden="false" customHeight="false" outlineLevel="0" collapsed="false">
      <c r="A5878" s="3" t="s">
        <v>306</v>
      </c>
      <c r="G5878" s="25" t="n">
        <f aca="false">G5881*IF(G5882=1,$C$5873,IF(Assumptions!$I$56=1,MAX(G5871,Assumptions!$G$56)+Assumptions!$F$56+$C$5872,Assumptions!$E$56))+G5894*IF(G5895=1,$C$5873,IF(Assumptions!$I$57=1,MAX(G5871,Assumptions!$G$57)+Assumptions!$F$57+$C$5872,Assumptions!$E$57))+G5907*IF(G5908=1,$C$5873,IF(Assumptions!$I$58=1,MAX(G5871,Assumptions!$G$58)+Assumptions!$F$58+$C$5872,Assumptions!$E$58))</f>
        <v>155.95467</v>
      </c>
      <c r="H5878" s="25" t="n">
        <f aca="false">H5881*IF(OR(H5882=1,G6028=1),$C$5873,IF(Assumptions!$I$56=1,MAX(H5871,Assumptions!$G$56)+Assumptions!$F$56+$C$5872,Assumptions!$E$56))+H5894*IF(OR(H5895=1,G6029=1),$C$5873,IF(Assumptions!$I$57=1,MAX(H5871,Assumptions!$G$57)+Assumptions!$F$57+$C$5872,Assumptions!$E$57))+H5907*IF(OR(H5908=1,G6030=1),$C$5873,IF(Assumptions!$I$58=1,MAX(H5871,Assumptions!$G$58)+Assumptions!$F$58+$C$5872,Assumptions!$E$58))</f>
        <v>155.95467</v>
      </c>
      <c r="I5878" s="25" t="n">
        <f aca="false">I5881*IF(OR(I5882=1,H6028=1),$C$5873,IF(Assumptions!$I$56=1,MAX(I5871,Assumptions!$G$56)+Assumptions!$F$56+$C$5872,Assumptions!$E$56))+I5894*IF(OR(I5895=1,H6029=1),$C$5873,IF(Assumptions!$I$57=1,MAX(I5871,Assumptions!$G$57)+Assumptions!$F$57+$C$5872,Assumptions!$E$57))+I5907*IF(OR(I5908=1,H6030=1),$C$5873,IF(Assumptions!$I$58=1,MAX(I5871,Assumptions!$G$58)+Assumptions!$F$58+$C$5872,Assumptions!$E$58))</f>
        <v>184.33545</v>
      </c>
      <c r="J5878" s="25" t="n">
        <f aca="false">J5881*IF(OR(J5882=1,I6028=1),$C$5873,IF(Assumptions!$I$56=1,MAX(J5871,Assumptions!$G$56)+Assumptions!$F$56+$C$5872,Assumptions!$E$56))+J5894*IF(OR(J5895=1,I6029=1),$C$5873,IF(Assumptions!$I$57=1,MAX(J5871,Assumptions!$G$57)+Assumptions!$F$57+$C$5872,Assumptions!$E$57))+J5907*IF(OR(J5908=1,I6030=1),$C$5873,IF(Assumptions!$I$58=1,MAX(J5871,Assumptions!$G$58)+Assumptions!$F$58+$C$5872,Assumptions!$E$58))</f>
        <v>138.08529</v>
      </c>
      <c r="K5878" s="25" t="n">
        <f aca="false">K5881*IF(OR(K5882=1,J6028=1),$C$5873,IF(Assumptions!$I$56=1,MAX(K5871,Assumptions!$G$56)+Assumptions!$F$56+$C$5872,Assumptions!$E$56))+K5894*IF(OR(K5895=1,J6029=1),$C$5873,IF(Assumptions!$I$57=1,MAX(K5871,Assumptions!$G$57)+Assumptions!$F$57+$C$5872,Assumptions!$E$57))+K5907*IF(OR(K5908=1,J6030=1),$C$5873,IF(Assumptions!$I$58=1,MAX(K5871,Assumptions!$G$58)+Assumptions!$F$58+$C$5872,Assumptions!$E$58))</f>
        <v>138.08529</v>
      </c>
    </row>
    <row r="5879" customFormat="false" ht="15" hidden="false" customHeight="false" outlineLevel="0" collapsed="false">
      <c r="A5879" s="3" t="s">
        <v>307</v>
      </c>
      <c r="G5879" s="20" t="n">
        <f aca="false">IF(G5855&lt;=0,0,IF(AND((G5876-G5877)/G5855&lt;=$C$5874,G5855/G5878&gt;=$C$5875),1,0))</f>
        <v>1</v>
      </c>
      <c r="H5879" s="20" t="n">
        <f aca="false">IF(H5855&lt;=0,0,IF(AND((H5876-H5877)/H5855&lt;=$C$5874,H5855/H5878&gt;=$C$5875),1,0))</f>
        <v>1</v>
      </c>
      <c r="I5879" s="20" t="n">
        <f aca="false">IF(I5855&lt;=0,0,IF(AND((I5876-I5877)/I5855&lt;=$C$5874,I5855/I5878&gt;=$C$5875),1,0))</f>
        <v>0</v>
      </c>
      <c r="J5879" s="20" t="n">
        <f aca="false">IF(J5855&lt;=0,0,IF(AND((J5876-J5877)/J5855&lt;=$C$5874,J5855/J5878&gt;=$C$5875),1,0))</f>
        <v>0</v>
      </c>
      <c r="K5879" s="20" t="n">
        <f aca="false">IF(K5855&lt;=0,0,IF(AND((K5876-K5877)/K5855&lt;=$C$5874,K5855/K5878&gt;=$C$5875),1,0))</f>
        <v>0</v>
      </c>
    </row>
    <row r="5880" customFormat="false" ht="15" hidden="false" customHeight="false" outlineLevel="0" collapsed="false">
      <c r="A5880" s="23" t="s">
        <v>308</v>
      </c>
      <c r="B5880" s="24"/>
      <c r="C5880" s="24"/>
      <c r="D5880" s="24"/>
      <c r="E5880" s="24"/>
      <c r="F5880" s="24"/>
      <c r="G5880" s="24"/>
      <c r="H5880" s="24"/>
      <c r="I5880" s="24"/>
      <c r="J5880" s="24"/>
      <c r="K5880" s="24"/>
    </row>
    <row r="5881" customFormat="false" ht="15" hidden="false" customHeight="false" outlineLevel="0" collapsed="false">
      <c r="A5881" s="3" t="s">
        <v>309</v>
      </c>
      <c r="G5881" s="25" t="n">
        <f aca="false">F5892</f>
        <v>1315.098</v>
      </c>
      <c r="H5881" s="25" t="n">
        <f aca="false">G5892</f>
        <v>1315.098</v>
      </c>
      <c r="I5881" s="25" t="n">
        <f aca="false">H5892</f>
        <v>1315.098</v>
      </c>
      <c r="J5881" s="25" t="n">
        <f aca="false">I5892</f>
        <v>1315.098</v>
      </c>
      <c r="K5881" s="25" t="n">
        <f aca="false">J5892</f>
        <v>1315.098</v>
      </c>
    </row>
    <row r="5882" customFormat="false" ht="15" hidden="false" customHeight="false" outlineLevel="0" collapsed="false">
      <c r="A5882" s="3" t="s">
        <v>310</v>
      </c>
      <c r="G5882" s="20" t="n">
        <f aca="false">IF(G5845=Assumptions!$K$56,1,0)</f>
        <v>0</v>
      </c>
      <c r="H5882" s="20" t="n">
        <f aca="false">IF(H5845=Assumptions!$K$56,1,0)</f>
        <v>0</v>
      </c>
      <c r="I5882" s="20" t="n">
        <f aca="false">IF(I5845=Assumptions!$K$56,1,0)</f>
        <v>0</v>
      </c>
      <c r="J5882" s="20" t="n">
        <f aca="false">IF(J5845=Assumptions!$K$56,1,0)</f>
        <v>0</v>
      </c>
      <c r="K5882" s="20" t="n">
        <f aca="false">IF(K5845=Assumptions!$K$56,1,0)</f>
        <v>0</v>
      </c>
    </row>
    <row r="5884" customFormat="false" ht="15" hidden="false" customHeight="false" outlineLevel="0" collapsed="false">
      <c r="A5884" s="3" t="s">
        <v>311</v>
      </c>
      <c r="G5884" s="31" t="n">
        <f aca="false">IF(Assumptions!$I$56=1,MAX(G5871,Assumptions!$G$56)+Assumptions!$F$56+$C$5872,Assumptions!$E$56)</f>
        <v>0.105</v>
      </c>
      <c r="H5884" s="31" t="n">
        <f aca="false">IF(G6028=1,$C$5873,IF(Assumptions!$I$56=1,MAX(H5871,Assumptions!$G$56)+Assumptions!$F$56+$C$5872,Assumptions!$E$56))</f>
        <v>0.105</v>
      </c>
      <c r="I5884" s="31" t="n">
        <f aca="false">IF(H6028=1,$C$5873,IF(Assumptions!$I$56=1,MAX(I5871,Assumptions!$G$56)+Assumptions!$F$56+$C$5872,Assumptions!$E$56))</f>
        <v>0.105</v>
      </c>
      <c r="J5884" s="31" t="n">
        <f aca="false">IF(I6028=1,$C$5873,IF(Assumptions!$I$56=1,MAX(J5871,Assumptions!$G$56)+Assumptions!$F$56+$C$5872,Assumptions!$E$56))</f>
        <v>0.105</v>
      </c>
      <c r="K5884" s="31" t="n">
        <f aca="false">IF(J6028=1,$C$5873,IF(Assumptions!$I$56=1,MAX(K5871,Assumptions!$G$56)+Assumptions!$F$56+$C$5872,Assumptions!$E$56))</f>
        <v>0.105</v>
      </c>
    </row>
    <row r="5885" customFormat="false" ht="15" hidden="false" customHeight="false" outlineLevel="0" collapsed="false">
      <c r="A5885" s="3" t="s">
        <v>312</v>
      </c>
      <c r="G5885" s="25" t="n">
        <f aca="false">G5881*G5884</f>
        <v>138.08529</v>
      </c>
      <c r="H5885" s="25" t="n">
        <f aca="false">H5881*H5884</f>
        <v>138.08529</v>
      </c>
      <c r="I5885" s="25" t="n">
        <f aca="false">I5881*I5884</f>
        <v>138.08529</v>
      </c>
      <c r="J5885" s="25" t="n">
        <f aca="false">J5881*J5884</f>
        <v>138.08529</v>
      </c>
      <c r="K5885" s="25" t="n">
        <f aca="false">K5881*K5884</f>
        <v>138.08529</v>
      </c>
    </row>
    <row r="5886" customFormat="false" ht="15" hidden="false" customHeight="false" outlineLevel="0" collapsed="false">
      <c r="A5886" s="3" t="s">
        <v>313</v>
      </c>
      <c r="G5886" s="25" t="n">
        <f aca="false">G5881*Assumptions!$H$56</f>
        <v>0</v>
      </c>
      <c r="H5886" s="25" t="n">
        <f aca="false">H5881*Assumptions!$H$56</f>
        <v>0</v>
      </c>
      <c r="I5886" s="25" t="n">
        <f aca="false">I5881*Assumptions!$H$56</f>
        <v>0</v>
      </c>
      <c r="J5886" s="25" t="n">
        <f aca="false">J5881*Assumptions!$H$56</f>
        <v>0</v>
      </c>
      <c r="K5886" s="25" t="n">
        <f aca="false">K5881*Assumptions!$H$56</f>
        <v>0</v>
      </c>
    </row>
    <row r="5887" customFormat="false" ht="15" hidden="false" customHeight="false" outlineLevel="0" collapsed="false">
      <c r="A5887" s="3" t="s">
        <v>314</v>
      </c>
      <c r="G5887" s="25" t="n">
        <f aca="false">MIN(G5881,Assumptions!$L$56*Assumptions!$C$56)</f>
        <v>0</v>
      </c>
      <c r="H5887" s="25" t="n">
        <f aca="false">MIN(H5881,Assumptions!$L$56*Assumptions!$C$56)</f>
        <v>0</v>
      </c>
      <c r="I5887" s="25" t="n">
        <f aca="false">MIN(I5881,Assumptions!$L$56*Assumptions!$C$56)</f>
        <v>0</v>
      </c>
      <c r="J5887" s="25" t="n">
        <f aca="false">MIN(J5881,Assumptions!$L$56*Assumptions!$C$56)</f>
        <v>0</v>
      </c>
      <c r="K5887" s="25" t="n">
        <f aca="false">MIN(K5881,Assumptions!$L$56*Assumptions!$C$56)</f>
        <v>0</v>
      </c>
    </row>
    <row r="5888" customFormat="false" ht="15" hidden="false" customHeight="false" outlineLevel="0" collapsed="false">
      <c r="A5888" s="3" t="s">
        <v>315</v>
      </c>
      <c r="G5888" s="25" t="n">
        <f aca="false">IF(AND(Assumptions!$P$56=1,G5845&lt;Assumptions!$K$56),MIN(MAX(0,-G5942),MAX(0,Assumptions!$D$56-G5881)),0)</f>
        <v>0</v>
      </c>
      <c r="H5888" s="25" t="n">
        <f aca="false">IF(AND(Assumptions!$P$56=1,OR(H5845&lt;Assumptions!$K$56,G6028=1)),MIN(MAX(0,-H5942),MAX(0,Assumptions!$D$56-H5881)),0)</f>
        <v>0</v>
      </c>
      <c r="I5888" s="25" t="n">
        <f aca="false">IF(AND(Assumptions!$P$56=1,OR(I5845&lt;Assumptions!$K$56,H6028=1)),MIN(MAX(0,-I5942),MAX(0,Assumptions!$D$56-I5881)),0)</f>
        <v>0</v>
      </c>
      <c r="J5888" s="25" t="n">
        <f aca="false">IF(AND(Assumptions!$P$56=1,OR(J5845&lt;Assumptions!$K$56,I6028=1)),MIN(MAX(0,-J5942),MAX(0,Assumptions!$D$56-J5881)),0)</f>
        <v>0</v>
      </c>
      <c r="K5888" s="25" t="n">
        <f aca="false">IF(AND(Assumptions!$P$56=1,OR(K5845&lt;Assumptions!$K$56,J6028=1)),MIN(MAX(0,-K5942),MAX(0,Assumptions!$D$56-K5881)),0)</f>
        <v>0</v>
      </c>
    </row>
    <row r="5889" customFormat="false" ht="15" hidden="false" customHeight="false" outlineLevel="0" collapsed="false">
      <c r="A5889" s="3" t="s">
        <v>316</v>
      </c>
      <c r="G5889" s="25" t="n">
        <f aca="false">G5882*MIN(G5881-G5887+G5886,MAX(0,G5944-Assumptions!$C$12*G5879))</f>
        <v>0</v>
      </c>
      <c r="H5889" s="25" t="n">
        <f aca="false">H5882*MIN(H5881-H5887+H5886,MAX(0,H5944-Assumptions!$C$12*H5879))</f>
        <v>0</v>
      </c>
      <c r="I5889" s="25" t="n">
        <f aca="false">I5882*MIN(I5881-I5887+I5886,MAX(0,I5944-Assumptions!$C$12*I5879))</f>
        <v>0</v>
      </c>
      <c r="J5889" s="25" t="n">
        <f aca="false">J5882*MIN(J5881-J5887+J5886,MAX(0,J5944-Assumptions!$C$12*J5879))</f>
        <v>0</v>
      </c>
      <c r="K5889" s="25" t="n">
        <f aca="false">K5882*MIN(K5881-K5887+K5886,MAX(0,K5944-Assumptions!$C$12*K5879))</f>
        <v>0</v>
      </c>
    </row>
    <row r="5890" customFormat="false" ht="15" hidden="false" customHeight="false" outlineLevel="0" collapsed="false">
      <c r="A5890" s="3" t="s">
        <v>317</v>
      </c>
      <c r="G5890" s="25" t="n">
        <f aca="false">Assumptions!$N$56*MIN(G5881+G5888+G5886-G5887-G5889,MAX(0,G5948))</f>
        <v>0</v>
      </c>
      <c r="H5890" s="25" t="n">
        <f aca="false">Assumptions!$N$56*MIN(H5881+H5888+H5886-H5887-H5889,MAX(0,H5948))</f>
        <v>0</v>
      </c>
      <c r="I5890" s="25" t="n">
        <f aca="false">Assumptions!$N$56*MIN(I5881+I5888+I5886-I5887-I5889,MAX(0,I5948))</f>
        <v>0</v>
      </c>
      <c r="J5890" s="25" t="n">
        <f aca="false">Assumptions!$N$56*MIN(J5881+J5888+J5886-J5887-J5889,MAX(0,J5948))</f>
        <v>0</v>
      </c>
      <c r="K5890" s="25" t="n">
        <f aca="false">Assumptions!$N$56*MIN(K5881+K5888+K5886-K5887-K5889,MAX(0,K5948))</f>
        <v>0</v>
      </c>
    </row>
    <row r="5891" customFormat="false" ht="15" hidden="false" customHeight="false" outlineLevel="0" collapsed="false">
      <c r="A5891" s="3" t="s">
        <v>318</v>
      </c>
      <c r="G5891" s="25" t="n">
        <f aca="false">G5882*(1-G5879)*(G5881-G5887+G5886-G5889)</f>
        <v>0</v>
      </c>
      <c r="H5891" s="25" t="n">
        <f aca="false">H5882*(1-H5879)*(H5881-H5887+H5886-H5889)</f>
        <v>0</v>
      </c>
      <c r="I5891" s="25" t="n">
        <f aca="false">I5882*(1-I5879)*(I5881-I5887+I5886-I5889)</f>
        <v>0</v>
      </c>
      <c r="J5891" s="25" t="n">
        <f aca="false">J5882*(1-J5879)*(J5881-J5887+J5886-J5889)</f>
        <v>0</v>
      </c>
      <c r="K5891" s="25" t="n">
        <f aca="false">K5882*(1-K5879)*(K5881-K5887+K5886-K5889)</f>
        <v>0</v>
      </c>
    </row>
    <row r="5892" customFormat="false" ht="15" hidden="false" customHeight="false" outlineLevel="0" collapsed="false">
      <c r="A5892" s="2" t="s">
        <v>319</v>
      </c>
      <c r="F5892" s="28" t="n">
        <f aca="false">Assumptions!$C$56</f>
        <v>1315.098</v>
      </c>
      <c r="G5892" s="16" t="n">
        <f aca="false">G5881+G5888+G5886-G5887-G5889-G5890</f>
        <v>1315.098</v>
      </c>
      <c r="H5892" s="16" t="n">
        <f aca="false">H5881+H5888+H5886-H5887-H5889-H5890</f>
        <v>1315.098</v>
      </c>
      <c r="I5892" s="16" t="n">
        <f aca="false">I5881+I5888+I5886-I5887-I5889-I5890</f>
        <v>1315.098</v>
      </c>
      <c r="J5892" s="16" t="n">
        <f aca="false">J5881+J5888+J5886-J5887-J5889-J5890</f>
        <v>1315.098</v>
      </c>
      <c r="K5892" s="16" t="n">
        <f aca="false">K5881+K5888+K5886-K5887-K5889-K5890</f>
        <v>1315.098</v>
      </c>
    </row>
    <row r="5893" customFormat="false" ht="15" hidden="false" customHeight="false" outlineLevel="0" collapsed="false">
      <c r="A5893" s="23" t="s">
        <v>320</v>
      </c>
      <c r="B5893" s="24"/>
      <c r="C5893" s="24"/>
      <c r="D5893" s="24"/>
      <c r="E5893" s="24"/>
      <c r="F5893" s="24"/>
      <c r="G5893" s="24"/>
      <c r="H5893" s="24"/>
      <c r="I5893" s="24"/>
      <c r="J5893" s="24"/>
      <c r="K5893" s="24"/>
    </row>
    <row r="5894" customFormat="false" ht="15" hidden="false" customHeight="false" outlineLevel="0" collapsed="false">
      <c r="A5894" s="3" t="s">
        <v>309</v>
      </c>
      <c r="G5894" s="25" t="n">
        <f aca="false">F5905</f>
        <v>276.706</v>
      </c>
      <c r="H5894" s="25" t="n">
        <f aca="false">G5905</f>
        <v>276.706</v>
      </c>
      <c r="I5894" s="25" t="n">
        <f aca="false">H5905</f>
        <v>276.706</v>
      </c>
      <c r="J5894" s="25" t="n">
        <f aca="false">I5905</f>
        <v>0</v>
      </c>
      <c r="K5894" s="25" t="n">
        <f aca="false">J5905</f>
        <v>0</v>
      </c>
    </row>
    <row r="5895" customFormat="false" ht="15" hidden="false" customHeight="false" outlineLevel="0" collapsed="false">
      <c r="A5895" s="3" t="s">
        <v>310</v>
      </c>
      <c r="G5895" s="20" t="n">
        <f aca="false">IF(G5845=Assumptions!$K$57,1,0)</f>
        <v>0</v>
      </c>
      <c r="H5895" s="20" t="n">
        <f aca="false">IF(H5845=Assumptions!$K$57,1,0)</f>
        <v>0</v>
      </c>
      <c r="I5895" s="20" t="n">
        <f aca="false">IF(I5845=Assumptions!$K$57,1,0)</f>
        <v>1</v>
      </c>
      <c r="J5895" s="20" t="n">
        <f aca="false">IF(J5845=Assumptions!$K$57,1,0)</f>
        <v>0</v>
      </c>
      <c r="K5895" s="20" t="n">
        <f aca="false">IF(K5845=Assumptions!$K$57,1,0)</f>
        <v>0</v>
      </c>
    </row>
    <row r="5897" customFormat="false" ht="15" hidden="false" customHeight="false" outlineLevel="0" collapsed="false">
      <c r="A5897" s="3" t="s">
        <v>311</v>
      </c>
      <c r="G5897" s="31" t="n">
        <f aca="false">IF(Assumptions!$I$57=1,MAX(G5871,Assumptions!$G$57)+Assumptions!$F$57+$C$5872,Assumptions!$E$57)</f>
        <v>0.0425</v>
      </c>
      <c r="H5897" s="31" t="n">
        <f aca="false">IF(G6029=1,$C$5873,IF(Assumptions!$I$57=1,MAX(H5871,Assumptions!$G$57)+Assumptions!$F$57+$C$5872,Assumptions!$E$57))</f>
        <v>0.0425</v>
      </c>
      <c r="I5897" s="31" t="n">
        <f aca="false">IF(H6029=1,$C$5873,IF(Assumptions!$I$57=1,MAX(I5871,Assumptions!$G$57)+Assumptions!$F$57+$C$5872,Assumptions!$E$57))</f>
        <v>0.0425</v>
      </c>
      <c r="J5897" s="31" t="n">
        <f aca="false">IF(I6029=1,$C$5873,IF(Assumptions!$I$57=1,MAX(J5871,Assumptions!$G$57)+Assumptions!$F$57+$C$5872,Assumptions!$E$57))</f>
        <v>0.0425</v>
      </c>
      <c r="K5897" s="31" t="n">
        <f aca="false">IF(J6029=1,$C$5873,IF(Assumptions!$I$57=1,MAX(K5871,Assumptions!$G$57)+Assumptions!$F$57+$C$5872,Assumptions!$E$57))</f>
        <v>0.0425</v>
      </c>
    </row>
    <row r="5898" customFormat="false" ht="15" hidden="false" customHeight="false" outlineLevel="0" collapsed="false">
      <c r="A5898" s="3" t="s">
        <v>312</v>
      </c>
      <c r="G5898" s="25" t="n">
        <f aca="false">G5894*G5897</f>
        <v>11.760005</v>
      </c>
      <c r="H5898" s="25" t="n">
        <f aca="false">H5894*H5897</f>
        <v>11.760005</v>
      </c>
      <c r="I5898" s="25" t="n">
        <f aca="false">I5894*I5897</f>
        <v>11.760005</v>
      </c>
      <c r="J5898" s="25" t="n">
        <f aca="false">J5894*J5897</f>
        <v>0</v>
      </c>
      <c r="K5898" s="25" t="n">
        <f aca="false">K5894*K5897</f>
        <v>0</v>
      </c>
    </row>
    <row r="5899" customFormat="false" ht="15" hidden="false" customHeight="false" outlineLevel="0" collapsed="false">
      <c r="A5899" s="3" t="s">
        <v>313</v>
      </c>
      <c r="G5899" s="25" t="n">
        <f aca="false">G5894*Assumptions!$H$57</f>
        <v>0</v>
      </c>
      <c r="H5899" s="25" t="n">
        <f aca="false">H5894*Assumptions!$H$57</f>
        <v>0</v>
      </c>
      <c r="I5899" s="25" t="n">
        <f aca="false">I5894*Assumptions!$H$57</f>
        <v>0</v>
      </c>
      <c r="J5899" s="25" t="n">
        <f aca="false">J5894*Assumptions!$H$57</f>
        <v>0</v>
      </c>
      <c r="K5899" s="25" t="n">
        <f aca="false">K5894*Assumptions!$H$57</f>
        <v>0</v>
      </c>
    </row>
    <row r="5900" customFormat="false" ht="15" hidden="false" customHeight="false" outlineLevel="0" collapsed="false">
      <c r="A5900" s="3" t="s">
        <v>314</v>
      </c>
      <c r="G5900" s="25" t="n">
        <f aca="false">MIN(G5894,Assumptions!$L$57*Assumptions!$C$57)</f>
        <v>0</v>
      </c>
      <c r="H5900" s="25" t="n">
        <f aca="false">MIN(H5894,Assumptions!$L$57*Assumptions!$C$57)</f>
        <v>0</v>
      </c>
      <c r="I5900" s="25" t="n">
        <f aca="false">MIN(I5894,Assumptions!$L$57*Assumptions!$C$57)</f>
        <v>0</v>
      </c>
      <c r="J5900" s="25" t="n">
        <f aca="false">MIN(J5894,Assumptions!$L$57*Assumptions!$C$57)</f>
        <v>0</v>
      </c>
      <c r="K5900" s="25" t="n">
        <f aca="false">MIN(K5894,Assumptions!$L$57*Assumptions!$C$57)</f>
        <v>0</v>
      </c>
    </row>
    <row r="5901" customFormat="false" ht="15" hidden="false" customHeight="false" outlineLevel="0" collapsed="false">
      <c r="A5901" s="3" t="s">
        <v>315</v>
      </c>
      <c r="G5901" s="25" t="n">
        <f aca="false">IF(AND(Assumptions!$P$57=1,G5845&lt;Assumptions!$K$57),MIN(MAX(0,-G5942),MAX(0,Assumptions!$D$57-G5894)),0)</f>
        <v>0</v>
      </c>
      <c r="H5901" s="25" t="n">
        <f aca="false">IF(AND(Assumptions!$P$57=1,OR(H5845&lt;Assumptions!$K$57,G6029=1)),MIN(MAX(0,-H5942),MAX(0,Assumptions!$D$57-H5894)),0)</f>
        <v>0</v>
      </c>
      <c r="I5901" s="25" t="n">
        <f aca="false">IF(AND(Assumptions!$P$57=1,OR(I5845&lt;Assumptions!$K$57,H6029=1)),MIN(MAX(0,-I5942),MAX(0,Assumptions!$D$57-I5894)),0)</f>
        <v>0</v>
      </c>
      <c r="J5901" s="25" t="n">
        <f aca="false">IF(AND(Assumptions!$P$57=1,OR(J5845&lt;Assumptions!$K$57,I6029=1)),MIN(MAX(0,-J5942),MAX(0,Assumptions!$D$57-J5894)),0)</f>
        <v>0</v>
      </c>
      <c r="K5901" s="25" t="n">
        <f aca="false">IF(AND(Assumptions!$P$57=1,OR(K5845&lt;Assumptions!$K$57,J6029=1)),MIN(MAX(0,-K5942),MAX(0,Assumptions!$D$57-K5894)),0)</f>
        <v>0</v>
      </c>
    </row>
    <row r="5902" customFormat="false" ht="15" hidden="false" customHeight="false" outlineLevel="0" collapsed="false">
      <c r="A5902" s="3" t="s">
        <v>316</v>
      </c>
      <c r="G5902" s="25" t="n">
        <f aca="false">G5895*MIN(G5894-G5900+G5899,MAX(0,G5944-Assumptions!$C$12*G5879-G5889))</f>
        <v>0</v>
      </c>
      <c r="H5902" s="25" t="n">
        <f aca="false">H5895*MIN(H5894-H5900+H5899,MAX(0,H5944-Assumptions!$C$12*H5879-H5889))</f>
        <v>0</v>
      </c>
      <c r="I5902" s="25" t="n">
        <f aca="false">I5895*MIN(I5894-I5900+I5899,MAX(0,I5944-Assumptions!$C$12*I5879-I5889))</f>
        <v>276.706</v>
      </c>
      <c r="J5902" s="25" t="n">
        <f aca="false">J5895*MIN(J5894-J5900+J5899,MAX(0,J5944-Assumptions!$C$12*J5879-J5889))</f>
        <v>0</v>
      </c>
      <c r="K5902" s="25" t="n">
        <f aca="false">K5895*MIN(K5894-K5900+K5899,MAX(0,K5944-Assumptions!$C$12*K5879-K5889))</f>
        <v>0</v>
      </c>
    </row>
    <row r="5903" customFormat="false" ht="15" hidden="false" customHeight="false" outlineLevel="0" collapsed="false">
      <c r="A5903" s="3" t="s">
        <v>317</v>
      </c>
      <c r="G5903" s="25" t="n">
        <f aca="false">Assumptions!$N$57*MIN(G5894+G5901+G5899-G5900-G5902,MAX(0,G5948-G5890))</f>
        <v>0</v>
      </c>
      <c r="H5903" s="25" t="n">
        <f aca="false">Assumptions!$N$57*MIN(H5894+H5901+H5899-H5900-H5902,MAX(0,H5948-H5890))</f>
        <v>0</v>
      </c>
      <c r="I5903" s="25" t="n">
        <f aca="false">Assumptions!$N$57*MIN(I5894+I5901+I5899-I5900-I5902,MAX(0,I5948-I5890))</f>
        <v>0</v>
      </c>
      <c r="J5903" s="25" t="n">
        <f aca="false">Assumptions!$N$57*MIN(J5894+J5901+J5899-J5900-J5902,MAX(0,J5948-J5890))</f>
        <v>0</v>
      </c>
      <c r="K5903" s="25" t="n">
        <f aca="false">Assumptions!$N$57*MIN(K5894+K5901+K5899-K5900-K5902,MAX(0,K5948-K5890))</f>
        <v>0</v>
      </c>
    </row>
    <row r="5904" customFormat="false" ht="15" hidden="false" customHeight="false" outlineLevel="0" collapsed="false">
      <c r="A5904" s="3" t="s">
        <v>318</v>
      </c>
      <c r="G5904" s="25" t="n">
        <f aca="false">G5895*(1-G5879)*(G5894-G5900+G5899-G5902)</f>
        <v>0</v>
      </c>
      <c r="H5904" s="25" t="n">
        <f aca="false">H5895*(1-H5879)*(H5894-H5900+H5899-H5902)</f>
        <v>0</v>
      </c>
      <c r="I5904" s="25" t="n">
        <f aca="false">I5895*(1-I5879)*(I5894-I5900+I5899-I5902)</f>
        <v>0</v>
      </c>
      <c r="J5904" s="25" t="n">
        <f aca="false">J5895*(1-J5879)*(J5894-J5900+J5899-J5902)</f>
        <v>0</v>
      </c>
      <c r="K5904" s="25" t="n">
        <f aca="false">K5895*(1-K5879)*(K5894-K5900+K5899-K5902)</f>
        <v>0</v>
      </c>
    </row>
    <row r="5905" customFormat="false" ht="15" hidden="false" customHeight="false" outlineLevel="0" collapsed="false">
      <c r="A5905" s="2" t="s">
        <v>319</v>
      </c>
      <c r="F5905" s="28" t="n">
        <f aca="false">Assumptions!$C$57</f>
        <v>276.706</v>
      </c>
      <c r="G5905" s="16" t="n">
        <f aca="false">G5894+G5901+G5899-G5900-G5902-G5903</f>
        <v>276.706</v>
      </c>
      <c r="H5905" s="16" t="n">
        <f aca="false">H5894+H5901+H5899-H5900-H5902-H5903</f>
        <v>276.706</v>
      </c>
      <c r="I5905" s="16" t="n">
        <f aca="false">I5894+I5901+I5899-I5900-I5902-I5903</f>
        <v>0</v>
      </c>
      <c r="J5905" s="16" t="n">
        <f aca="false">J5894+J5901+J5899-J5900-J5902-J5903</f>
        <v>0</v>
      </c>
      <c r="K5905" s="16" t="n">
        <f aca="false">K5894+K5901+K5899-K5900-K5902-K5903</f>
        <v>0</v>
      </c>
    </row>
    <row r="5906" customFormat="false" ht="15" hidden="false" customHeight="false" outlineLevel="0" collapsed="false">
      <c r="A5906" s="23" t="s">
        <v>321</v>
      </c>
      <c r="B5906" s="24"/>
      <c r="C5906" s="24"/>
      <c r="D5906" s="24"/>
      <c r="E5906" s="24"/>
      <c r="F5906" s="24"/>
      <c r="G5906" s="24"/>
      <c r="H5906" s="24"/>
      <c r="I5906" s="24"/>
      <c r="J5906" s="24"/>
      <c r="K5906" s="24"/>
    </row>
    <row r="5907" customFormat="false" ht="15" hidden="false" customHeight="false" outlineLevel="0" collapsed="false">
      <c r="A5907" s="3" t="s">
        <v>309</v>
      </c>
      <c r="G5907" s="25" t="n">
        <f aca="false">F5918</f>
        <v>143.75</v>
      </c>
      <c r="H5907" s="25" t="n">
        <f aca="false">G5918</f>
        <v>143.75</v>
      </c>
      <c r="I5907" s="25" t="n">
        <f aca="false">H5918</f>
        <v>143.75</v>
      </c>
      <c r="J5907" s="25" t="n">
        <f aca="false">I5918</f>
        <v>0</v>
      </c>
      <c r="K5907" s="25" t="n">
        <f aca="false">J5918</f>
        <v>0</v>
      </c>
    </row>
    <row r="5908" customFormat="false" ht="15" hidden="false" customHeight="false" outlineLevel="0" collapsed="false">
      <c r="A5908" s="3" t="s">
        <v>310</v>
      </c>
      <c r="G5908" s="20" t="n">
        <f aca="false">IF(G5845=Assumptions!$K$58,1,0)</f>
        <v>0</v>
      </c>
      <c r="H5908" s="20" t="n">
        <f aca="false">IF(H5845=Assumptions!$K$58,1,0)</f>
        <v>0</v>
      </c>
      <c r="I5908" s="20" t="n">
        <f aca="false">IF(I5845=Assumptions!$K$58,1,0)</f>
        <v>1</v>
      </c>
      <c r="J5908" s="20" t="n">
        <f aca="false">IF(J5845=Assumptions!$K$58,1,0)</f>
        <v>0</v>
      </c>
      <c r="K5908" s="20" t="n">
        <f aca="false">IF(K5845=Assumptions!$K$58,1,0)</f>
        <v>0</v>
      </c>
    </row>
    <row r="5910" customFormat="false" ht="15" hidden="false" customHeight="false" outlineLevel="0" collapsed="false">
      <c r="A5910" s="3" t="s">
        <v>311</v>
      </c>
      <c r="G5910" s="31" t="n">
        <f aca="false">IF(Assumptions!$I$58=1,MAX(G5871,Assumptions!$G$58)+Assumptions!$F$58+$C$5872,Assumptions!$E$58)</f>
        <v>0.0425</v>
      </c>
      <c r="H5910" s="31" t="n">
        <f aca="false">IF(G6030=1,$C$5873,IF(Assumptions!$I$58=1,MAX(H5871,Assumptions!$G$58)+Assumptions!$F$58+$C$5872,Assumptions!$E$58))</f>
        <v>0.0425</v>
      </c>
      <c r="I5910" s="31" t="n">
        <f aca="false">IF(H6030=1,$C$5873,IF(Assumptions!$I$58=1,MAX(I5871,Assumptions!$G$58)+Assumptions!$F$58+$C$5872,Assumptions!$E$58))</f>
        <v>0.0425</v>
      </c>
      <c r="J5910" s="31" t="n">
        <f aca="false">IF(I6030=1,$C$5873,IF(Assumptions!$I$58=1,MAX(J5871,Assumptions!$G$58)+Assumptions!$F$58+$C$5872,Assumptions!$E$58))</f>
        <v>0.0425</v>
      </c>
      <c r="K5910" s="31" t="n">
        <f aca="false">IF(J6030=1,$C$5873,IF(Assumptions!$I$58=1,MAX(K5871,Assumptions!$G$58)+Assumptions!$F$58+$C$5872,Assumptions!$E$58))</f>
        <v>0.0425</v>
      </c>
    </row>
    <row r="5911" customFormat="false" ht="15" hidden="false" customHeight="false" outlineLevel="0" collapsed="false">
      <c r="A5911" s="3" t="s">
        <v>312</v>
      </c>
      <c r="G5911" s="25" t="n">
        <f aca="false">G5907*G5910</f>
        <v>6.109375</v>
      </c>
      <c r="H5911" s="25" t="n">
        <f aca="false">H5907*H5910</f>
        <v>6.109375</v>
      </c>
      <c r="I5911" s="25" t="n">
        <f aca="false">I5907*I5910</f>
        <v>6.109375</v>
      </c>
      <c r="J5911" s="25" t="n">
        <f aca="false">J5907*J5910</f>
        <v>0</v>
      </c>
      <c r="K5911" s="25" t="n">
        <f aca="false">K5907*K5910</f>
        <v>0</v>
      </c>
    </row>
    <row r="5912" customFormat="false" ht="15" hidden="false" customHeight="false" outlineLevel="0" collapsed="false">
      <c r="A5912" s="3" t="s">
        <v>313</v>
      </c>
      <c r="G5912" s="25" t="n">
        <f aca="false">G5907*Assumptions!$H$58</f>
        <v>0</v>
      </c>
      <c r="H5912" s="25" t="n">
        <f aca="false">H5907*Assumptions!$H$58</f>
        <v>0</v>
      </c>
      <c r="I5912" s="25" t="n">
        <f aca="false">I5907*Assumptions!$H$58</f>
        <v>0</v>
      </c>
      <c r="J5912" s="25" t="n">
        <f aca="false">J5907*Assumptions!$H$58</f>
        <v>0</v>
      </c>
      <c r="K5912" s="25" t="n">
        <f aca="false">K5907*Assumptions!$H$58</f>
        <v>0</v>
      </c>
    </row>
    <row r="5913" customFormat="false" ht="15" hidden="false" customHeight="false" outlineLevel="0" collapsed="false">
      <c r="A5913" s="3" t="s">
        <v>314</v>
      </c>
      <c r="G5913" s="25" t="n">
        <f aca="false">MIN(G5907,Assumptions!$L$58*Assumptions!$C$58)</f>
        <v>0</v>
      </c>
      <c r="H5913" s="25" t="n">
        <f aca="false">MIN(H5907,Assumptions!$L$58*Assumptions!$C$58)</f>
        <v>0</v>
      </c>
      <c r="I5913" s="25" t="n">
        <f aca="false">MIN(I5907,Assumptions!$L$58*Assumptions!$C$58)</f>
        <v>0</v>
      </c>
      <c r="J5913" s="25" t="n">
        <f aca="false">MIN(J5907,Assumptions!$L$58*Assumptions!$C$58)</f>
        <v>0</v>
      </c>
      <c r="K5913" s="25" t="n">
        <f aca="false">MIN(K5907,Assumptions!$L$58*Assumptions!$C$58)</f>
        <v>0</v>
      </c>
    </row>
    <row r="5914" customFormat="false" ht="15" hidden="false" customHeight="false" outlineLevel="0" collapsed="false">
      <c r="A5914" s="3" t="s">
        <v>315</v>
      </c>
      <c r="G5914" s="25" t="n">
        <f aca="false">IF(AND(Assumptions!$P$58=1,G5845&lt;Assumptions!$K$58),MIN(MAX(0,-G5942),MAX(0,Assumptions!$D$58-G5907)),0)</f>
        <v>0</v>
      </c>
      <c r="H5914" s="25" t="n">
        <f aca="false">IF(AND(Assumptions!$P$58=1,OR(H5845&lt;Assumptions!$K$58,G6030=1)),MIN(MAX(0,-H5942),MAX(0,Assumptions!$D$58-H5907)),0)</f>
        <v>0</v>
      </c>
      <c r="I5914" s="25" t="n">
        <f aca="false">IF(AND(Assumptions!$P$58=1,OR(I5845&lt;Assumptions!$K$58,H6030=1)),MIN(MAX(0,-I5942),MAX(0,Assumptions!$D$58-I5907)),0)</f>
        <v>0</v>
      </c>
      <c r="J5914" s="25" t="n">
        <f aca="false">IF(AND(Assumptions!$P$58=1,OR(J5845&lt;Assumptions!$K$58,I6030=1)),MIN(MAX(0,-J5942),MAX(0,Assumptions!$D$58-J5907)),0)</f>
        <v>0</v>
      </c>
      <c r="K5914" s="25" t="n">
        <f aca="false">IF(AND(Assumptions!$P$58=1,OR(K5845&lt;Assumptions!$K$58,J6030=1)),MIN(MAX(0,-K5942),MAX(0,Assumptions!$D$58-K5907)),0)</f>
        <v>0</v>
      </c>
    </row>
    <row r="5915" customFormat="false" ht="15" hidden="false" customHeight="false" outlineLevel="0" collapsed="false">
      <c r="A5915" s="3" t="s">
        <v>316</v>
      </c>
      <c r="G5915" s="25" t="n">
        <f aca="false">G5908*MIN(G5907-G5913+G5912,MAX(0,G5944-Assumptions!$C$12*G5879-G5889-G5902))</f>
        <v>0</v>
      </c>
      <c r="H5915" s="25" t="n">
        <f aca="false">H5908*MIN(H5907-H5913+H5912,MAX(0,H5944-Assumptions!$C$12*H5879-H5889-H5902))</f>
        <v>0</v>
      </c>
      <c r="I5915" s="25" t="n">
        <f aca="false">I5908*MIN(I5907-I5913+I5912,MAX(0,I5944-Assumptions!$C$12*I5879-I5889-I5902))</f>
        <v>143.75</v>
      </c>
      <c r="J5915" s="25" t="n">
        <f aca="false">J5908*MIN(J5907-J5913+J5912,MAX(0,J5944-Assumptions!$C$12*J5879-J5889-J5902))</f>
        <v>0</v>
      </c>
      <c r="K5915" s="25" t="n">
        <f aca="false">K5908*MIN(K5907-K5913+K5912,MAX(0,K5944-Assumptions!$C$12*K5879-K5889-K5902))</f>
        <v>0</v>
      </c>
    </row>
    <row r="5916" customFormat="false" ht="15" hidden="false" customHeight="false" outlineLevel="0" collapsed="false">
      <c r="A5916" s="3" t="s">
        <v>317</v>
      </c>
      <c r="G5916" s="25" t="n">
        <f aca="false">Assumptions!$N$58*MIN(G5907+G5914+G5912-G5913-G5915,MAX(0,G5948-G5890-G5903))</f>
        <v>0</v>
      </c>
      <c r="H5916" s="25" t="n">
        <f aca="false">Assumptions!$N$58*MIN(H5907+H5914+H5912-H5913-H5915,MAX(0,H5948-H5890-H5903))</f>
        <v>0</v>
      </c>
      <c r="I5916" s="25" t="n">
        <f aca="false">Assumptions!$N$58*MIN(I5907+I5914+I5912-I5913-I5915,MAX(0,I5948-I5890-I5903))</f>
        <v>0</v>
      </c>
      <c r="J5916" s="25" t="n">
        <f aca="false">Assumptions!$N$58*MIN(J5907+J5914+J5912-J5913-J5915,MAX(0,J5948-J5890-J5903))</f>
        <v>0</v>
      </c>
      <c r="K5916" s="25" t="n">
        <f aca="false">Assumptions!$N$58*MIN(K5907+K5914+K5912-K5913-K5915,MAX(0,K5948-K5890-K5903))</f>
        <v>0</v>
      </c>
    </row>
    <row r="5917" customFormat="false" ht="15" hidden="false" customHeight="false" outlineLevel="0" collapsed="false">
      <c r="A5917" s="3" t="s">
        <v>318</v>
      </c>
      <c r="G5917" s="25" t="n">
        <f aca="false">G5908*(1-G5879)*(G5907-G5913+G5912-G5915)</f>
        <v>0</v>
      </c>
      <c r="H5917" s="25" t="n">
        <f aca="false">H5908*(1-H5879)*(H5907-H5913+H5912-H5915)</f>
        <v>0</v>
      </c>
      <c r="I5917" s="25" t="n">
        <f aca="false">I5908*(1-I5879)*(I5907-I5913+I5912-I5915)</f>
        <v>0</v>
      </c>
      <c r="J5917" s="25" t="n">
        <f aca="false">J5908*(1-J5879)*(J5907-J5913+J5912-J5915)</f>
        <v>0</v>
      </c>
      <c r="K5917" s="25" t="n">
        <f aca="false">K5908*(1-K5879)*(K5907-K5913+K5912-K5915)</f>
        <v>0</v>
      </c>
    </row>
    <row r="5918" customFormat="false" ht="15" hidden="false" customHeight="false" outlineLevel="0" collapsed="false">
      <c r="A5918" s="2" t="s">
        <v>319</v>
      </c>
      <c r="F5918" s="28" t="n">
        <f aca="false">Assumptions!$C$58</f>
        <v>143.75</v>
      </c>
      <c r="G5918" s="16" t="n">
        <f aca="false">G5907+G5914+G5912-G5913-G5915-G5916</f>
        <v>143.75</v>
      </c>
      <c r="H5918" s="16" t="n">
        <f aca="false">H5907+H5914+H5912-H5913-H5915-H5916</f>
        <v>143.75</v>
      </c>
      <c r="I5918" s="16" t="n">
        <f aca="false">I5907+I5914+I5912-I5913-I5915-I5916</f>
        <v>0</v>
      </c>
      <c r="J5918" s="16" t="n">
        <f aca="false">J5907+J5914+J5912-J5913-J5915-J5916</f>
        <v>0</v>
      </c>
      <c r="K5918" s="16" t="n">
        <f aca="false">K5907+K5914+K5912-K5913-K5915-K5916</f>
        <v>0</v>
      </c>
    </row>
    <row r="5919" customFormat="false" ht="15" hidden="false" customHeight="false" outlineLevel="0" collapsed="false">
      <c r="A5919" s="23" t="s">
        <v>322</v>
      </c>
      <c r="B5919" s="24"/>
      <c r="C5919" s="24"/>
      <c r="D5919" s="24"/>
      <c r="E5919" s="24"/>
      <c r="F5919" s="24"/>
      <c r="G5919" s="24"/>
      <c r="H5919" s="24"/>
      <c r="I5919" s="24"/>
      <c r="J5919" s="24"/>
      <c r="K5919" s="24"/>
    </row>
    <row r="5920" customFormat="false" ht="15" hidden="false" customHeight="false" outlineLevel="0" collapsed="false">
      <c r="A5920" s="2" t="s">
        <v>323</v>
      </c>
      <c r="F5920" s="16" t="n">
        <f aca="false">F5892+F5905+F5918</f>
        <v>1735.554</v>
      </c>
      <c r="G5920" s="16" t="n">
        <f aca="false">G5892+G5905+G5918</f>
        <v>1735.554</v>
      </c>
      <c r="H5920" s="16" t="n">
        <f aca="false">H5892+H5905+H5918</f>
        <v>1735.554</v>
      </c>
      <c r="I5920" s="16" t="n">
        <f aca="false">I5892+I5905+I5918</f>
        <v>1315.098</v>
      </c>
      <c r="J5920" s="16" t="n">
        <f aca="false">J5892+J5905+J5918</f>
        <v>1315.098</v>
      </c>
      <c r="K5920" s="16" t="n">
        <f aca="false">K5892+K5905+K5918</f>
        <v>1315.098</v>
      </c>
    </row>
    <row r="5921" customFormat="false" ht="15" hidden="false" customHeight="false" outlineLevel="0" collapsed="false">
      <c r="A5921" s="3" t="s">
        <v>324</v>
      </c>
      <c r="G5921" s="25" t="n">
        <f aca="false">G5882*Assumptions!$C$56+G5895*Assumptions!$C$57+G5908*Assumptions!$C$58</f>
        <v>0</v>
      </c>
      <c r="H5921" s="25" t="n">
        <f aca="false">H5882*Assumptions!$C$56+H5895*Assumptions!$C$57+H5908*Assumptions!$C$58</f>
        <v>0</v>
      </c>
      <c r="I5921" s="25" t="n">
        <f aca="false">I5882*Assumptions!$C$56+I5895*Assumptions!$C$57+I5908*Assumptions!$C$58</f>
        <v>420.456</v>
      </c>
      <c r="J5921" s="25" t="n">
        <f aca="false">J5882*Assumptions!$C$56+J5895*Assumptions!$C$57+J5908*Assumptions!$C$58</f>
        <v>0</v>
      </c>
      <c r="K5921" s="25" t="n">
        <f aca="false">K5882*Assumptions!$C$56+K5895*Assumptions!$C$57+K5908*Assumptions!$C$58</f>
        <v>0</v>
      </c>
    </row>
    <row r="5922" customFormat="false" ht="15" hidden="false" customHeight="false" outlineLevel="0" collapsed="false">
      <c r="A5922" s="23" t="s">
        <v>325</v>
      </c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</row>
    <row r="5923" customFormat="false" ht="15" hidden="false" customHeight="false" outlineLevel="0" collapsed="false">
      <c r="A5923" s="3" t="s">
        <v>326</v>
      </c>
      <c r="C5923" s="25" t="n">
        <f aca="false">SUMPRODUCT($G$5882:$K$5882,$G$5881:$K$5881-$G$5887:$K$5887+$G$5886:$K$5886)</f>
        <v>0</v>
      </c>
    </row>
    <row r="5924" customFormat="false" ht="15" hidden="false" customHeight="false" outlineLevel="0" collapsed="false">
      <c r="A5924" s="3" t="s">
        <v>327</v>
      </c>
      <c r="C5924" s="25" t="n">
        <f aca="false">SUMPRODUCT($G$5882:$K$5882,$G$5889:$K$5889)</f>
        <v>0</v>
      </c>
    </row>
    <row r="5925" customFormat="false" ht="15" hidden="false" customHeight="false" outlineLevel="0" collapsed="false">
      <c r="A5925" s="3" t="s">
        <v>328</v>
      </c>
      <c r="C5925" s="3" t="str">
        <f aca="false">IF(SUM($G$5882:$K$5882)=0,"n/a (beyond horizon)",IF(SUMPRODUCT($G$5882:$K$5882,$G$5879:$K$5879)&gt;0,"REFINANCING PASS","REFINANCING FAILURE"))</f>
        <v>n/a (beyond horizon)</v>
      </c>
    </row>
    <row r="5926" customFormat="false" ht="15" hidden="false" customHeight="false" outlineLevel="0" collapsed="false">
      <c r="A5926" s="3" t="s">
        <v>329</v>
      </c>
      <c r="C5926" s="3" t="str">
        <f aca="false">IF(SUM($G$5882:$K$5882)=0,"n/a",IF(C5924&gt;=C5923-0.001,"Repaid from cash",IF(SUMPRODUCT($G$5882:$K$5882,$G$5879:$K$5879)&gt;0,IF(C5924&gt;0,"Partly repaid; remainder refinanced","Refinanced"),IF(SUM($G$5891:$K$5891)&gt;0.001,IF(C5924&gt;0,"Partial repayment; PAYMENT DEFAULT","PAYMENT DEFAULT"),"Repaid from cash"))))</f>
        <v>n/a</v>
      </c>
    </row>
    <row r="5927" customFormat="false" ht="15" hidden="false" customHeight="false" outlineLevel="0" collapsed="false">
      <c r="A5927" s="3" t="s">
        <v>330</v>
      </c>
      <c r="C5927" s="25" t="n">
        <f aca="false">SUMPRODUCT($G$5895:$K$5895,$G$5894:$K$5894-$G$5900:$K$5900+$G$5899:$K$5899)</f>
        <v>276.706</v>
      </c>
    </row>
    <row r="5928" customFormat="false" ht="15" hidden="false" customHeight="false" outlineLevel="0" collapsed="false">
      <c r="A5928" s="3" t="s">
        <v>331</v>
      </c>
      <c r="C5928" s="25" t="n">
        <f aca="false">SUMPRODUCT($G$5895:$K$5895,$G$5902:$K$5902)</f>
        <v>276.706</v>
      </c>
    </row>
    <row r="5929" customFormat="false" ht="15" hidden="false" customHeight="false" outlineLevel="0" collapsed="false">
      <c r="A5929" s="3" t="s">
        <v>332</v>
      </c>
      <c r="C5929" s="3" t="str">
        <f aca="false">IF(SUM($G$5895:$K$5895)=0,"n/a (beyond horizon)",IF(SUMPRODUCT($G$5895:$K$5895,$G$5879:$K$5879)&gt;0,"REFINANCING PASS","REFINANCING FAILURE"))</f>
        <v>REFINANCING FAILURE</v>
      </c>
    </row>
    <row r="5930" customFormat="false" ht="15" hidden="false" customHeight="false" outlineLevel="0" collapsed="false">
      <c r="A5930" s="3" t="s">
        <v>333</v>
      </c>
      <c r="C5930" s="3" t="str">
        <f aca="false">IF(SUM($G$5895:$K$5895)=0,"n/a",IF(C5928&gt;=C5927-0.001,"Repaid from cash",IF(SUMPRODUCT($G$5895:$K$5895,$G$5879:$K$5879)&gt;0,IF(C5928&gt;0,"Partly repaid; remainder refinanced","Refinanced"),IF(SUM($G$5904:$K$5904)&gt;0.001,IF(C5928&gt;0,"Partial repayment; PAYMENT DEFAULT","PAYMENT DEFAULT"),"Repaid from cash"))))</f>
        <v>Repaid from cash</v>
      </c>
    </row>
    <row r="5931" customFormat="false" ht="15" hidden="false" customHeight="false" outlineLevel="0" collapsed="false">
      <c r="A5931" s="3" t="s">
        <v>334</v>
      </c>
      <c r="C5931" s="25" t="n">
        <f aca="false">SUMPRODUCT($G$5908:$K$5908,$G$5907:$K$5907-$G$5913:$K$5913+$G$5912:$K$5912)</f>
        <v>143.75</v>
      </c>
    </row>
    <row r="5932" customFormat="false" ht="15" hidden="false" customHeight="false" outlineLevel="0" collapsed="false">
      <c r="A5932" s="3" t="s">
        <v>335</v>
      </c>
      <c r="C5932" s="25" t="n">
        <f aca="false">SUMPRODUCT($G$5908:$K$5908,$G$5915:$K$5915)</f>
        <v>143.75</v>
      </c>
    </row>
    <row r="5933" customFormat="false" ht="15" hidden="false" customHeight="false" outlineLevel="0" collapsed="false">
      <c r="A5933" s="3" t="s">
        <v>336</v>
      </c>
      <c r="C5933" s="3" t="str">
        <f aca="false">IF(SUM($G$5908:$K$5908)=0,"n/a (beyond horizon)",IF(SUMPRODUCT($G$5908:$K$5908,$G$5879:$K$5879)&gt;0,"REFINANCING PASS","REFINANCING FAILURE"))</f>
        <v>REFINANCING FAILURE</v>
      </c>
    </row>
    <row r="5934" customFormat="false" ht="15" hidden="false" customHeight="false" outlineLevel="0" collapsed="false">
      <c r="A5934" s="3" t="s">
        <v>337</v>
      </c>
      <c r="C5934" s="3" t="str">
        <f aca="false">IF(SUM($G$5908:$K$5908)=0,"n/a",IF(C5932&gt;=C5931-0.001,"Repaid from cash",IF(SUMPRODUCT($G$5908:$K$5908,$G$5879:$K$5879)&gt;0,IF(C5932&gt;0,"Partly repaid; remainder refinanced","Refinanced"),IF(SUM($G$5917:$K$5917)&gt;0.001,IF(C5932&gt;0,"Partial repayment; PAYMENT DEFAULT","PAYMENT DEFAULT"),"Repaid from cash"))))</f>
        <v>Repaid from cash</v>
      </c>
    </row>
    <row r="5935" customFormat="false" ht="15" hidden="false" customHeight="false" outlineLevel="0" collapsed="false">
      <c r="A5935" s="3" t="s">
        <v>338</v>
      </c>
      <c r="C5935" s="20" t="n">
        <f aca="false">IF(C5925="REFINANCING FAILURE",1,0)+IF(C5929="REFINANCING FAILURE",1,0)+IF(C5933="REFINANCING FAILURE",1,0)</f>
        <v>2</v>
      </c>
    </row>
    <row r="5937" customFormat="false" ht="15" hidden="false" customHeight="false" outlineLevel="0" collapsed="false">
      <c r="A5937" s="23" t="s">
        <v>340</v>
      </c>
      <c r="B5937" s="24"/>
      <c r="C5937" s="24"/>
      <c r="D5937" s="24"/>
      <c r="E5937" s="24"/>
      <c r="F5937" s="24"/>
      <c r="G5937" s="24"/>
      <c r="H5937" s="24"/>
      <c r="I5937" s="24"/>
      <c r="J5937" s="24"/>
      <c r="K5937" s="24"/>
    </row>
    <row r="5938" customFormat="false" ht="15" hidden="false" customHeight="false" outlineLevel="0" collapsed="false">
      <c r="A5938" s="3" t="s">
        <v>305</v>
      </c>
      <c r="G5938" s="25" t="n">
        <f aca="false">F5950</f>
        <v>463.996</v>
      </c>
      <c r="H5938" s="25" t="n">
        <f aca="false">G5950</f>
        <v>564.43577743</v>
      </c>
      <c r="I5938" s="25" t="n">
        <f aca="false">H5950</f>
        <v>633.0995043628</v>
      </c>
      <c r="J5938" s="25" t="n">
        <f aca="false">I5950</f>
        <v>248.126469572218</v>
      </c>
      <c r="K5938" s="25" t="n">
        <f aca="false">J5950</f>
        <v>274.106090224827</v>
      </c>
    </row>
    <row r="5939" customFormat="false" ht="15" hidden="false" customHeight="false" outlineLevel="0" collapsed="false">
      <c r="A5939" s="3" t="s">
        <v>341</v>
      </c>
      <c r="G5939" s="25" t="n">
        <f aca="false">G5868</f>
        <v>100.43977743</v>
      </c>
      <c r="H5939" s="25" t="n">
        <f aca="false">H5868</f>
        <v>68.6637269328</v>
      </c>
      <c r="I5939" s="25" t="n">
        <f aca="false">I5868</f>
        <v>35.482965209418</v>
      </c>
      <c r="J5939" s="25" t="n">
        <f aca="false">J5868</f>
        <v>25.9796206526087</v>
      </c>
      <c r="K5939" s="25" t="n">
        <f aca="false">K5868</f>
        <v>2.48850844553061</v>
      </c>
    </row>
    <row r="5940" customFormat="false" ht="15" hidden="false" customHeight="false" outlineLevel="0" collapsed="false">
      <c r="A5940" s="3" t="s">
        <v>342</v>
      </c>
      <c r="G5940" s="25" t="n">
        <f aca="false">CHOOSE($C$5838,Assumptions!$G$74,Assumptions!$G$93,Assumptions!$G$112)</f>
        <v>0</v>
      </c>
      <c r="H5940" s="25" t="n">
        <f aca="false">CHOOSE($C$5838,Assumptions!$H$74,Assumptions!$H$93,Assumptions!$H$112)</f>
        <v>0</v>
      </c>
      <c r="I5940" s="25" t="n">
        <f aca="false">CHOOSE($C$5838,Assumptions!$I$74,Assumptions!$I$93,Assumptions!$I$112)</f>
        <v>0</v>
      </c>
      <c r="J5940" s="25" t="n">
        <f aca="false">CHOOSE($C$5838,Assumptions!$J$74,Assumptions!$J$93,Assumptions!$J$112)</f>
        <v>0</v>
      </c>
      <c r="K5940" s="25" t="n">
        <f aca="false">CHOOSE($C$5838,Assumptions!$K$74,Assumptions!$K$93,Assumptions!$K$112)</f>
        <v>0</v>
      </c>
    </row>
    <row r="5941" customFormat="false" ht="15" hidden="false" customHeight="false" outlineLevel="0" collapsed="false">
      <c r="A5941" s="3" t="s">
        <v>343</v>
      </c>
      <c r="G5941" s="25" t="n">
        <f aca="false">G5887+G5900+G5913</f>
        <v>0</v>
      </c>
      <c r="H5941" s="25" t="n">
        <f aca="false">H5887+H5900+H5913</f>
        <v>0</v>
      </c>
      <c r="I5941" s="25" t="n">
        <f aca="false">I5887+I5900+I5913</f>
        <v>0</v>
      </c>
      <c r="J5941" s="25" t="n">
        <f aca="false">J5887+J5900+J5913</f>
        <v>0</v>
      </c>
      <c r="K5941" s="25" t="n">
        <f aca="false">K5887+K5900+K5913</f>
        <v>0</v>
      </c>
    </row>
    <row r="5942" customFormat="false" ht="15" hidden="false" customHeight="false" outlineLevel="0" collapsed="false">
      <c r="A5942" s="2" t="s">
        <v>344</v>
      </c>
      <c r="G5942" s="16" t="n">
        <f aca="false">G5938+G5939+G5940-G5941</f>
        <v>564.43577743</v>
      </c>
      <c r="H5942" s="16" t="n">
        <f aca="false">H5938+H5939+H5940-H5941</f>
        <v>633.0995043628</v>
      </c>
      <c r="I5942" s="16" t="n">
        <f aca="false">I5938+I5939+I5940-I5941</f>
        <v>668.582469572218</v>
      </c>
      <c r="J5942" s="16" t="n">
        <f aca="false">J5938+J5939+J5940-J5941</f>
        <v>274.106090224827</v>
      </c>
      <c r="K5942" s="16" t="n">
        <f aca="false">K5938+K5939+K5940-K5941</f>
        <v>276.594598670357</v>
      </c>
    </row>
    <row r="5943" customFormat="false" ht="15" hidden="false" customHeight="false" outlineLevel="0" collapsed="false">
      <c r="A5943" s="3" t="s">
        <v>345</v>
      </c>
      <c r="G5943" s="25" t="n">
        <f aca="false">G5888+G5901+G5914</f>
        <v>0</v>
      </c>
      <c r="H5943" s="25" t="n">
        <f aca="false">H5888+H5901+H5914</f>
        <v>0</v>
      </c>
      <c r="I5943" s="25" t="n">
        <f aca="false">I5888+I5901+I5914</f>
        <v>0</v>
      </c>
      <c r="J5943" s="25" t="n">
        <f aca="false">J5888+J5901+J5914</f>
        <v>0</v>
      </c>
      <c r="K5943" s="25" t="n">
        <f aca="false">K5888+K5901+K5914</f>
        <v>0</v>
      </c>
    </row>
    <row r="5944" customFormat="false" ht="15" hidden="false" customHeight="false" outlineLevel="0" collapsed="false">
      <c r="A5944" s="2" t="s">
        <v>346</v>
      </c>
      <c r="G5944" s="16" t="n">
        <f aca="false">G5942+G5943</f>
        <v>564.43577743</v>
      </c>
      <c r="H5944" s="16" t="n">
        <f aca="false">H5942+H5943</f>
        <v>633.0995043628</v>
      </c>
      <c r="I5944" s="16" t="n">
        <f aca="false">I5942+I5943</f>
        <v>668.582469572218</v>
      </c>
      <c r="J5944" s="16" t="n">
        <f aca="false">J5942+J5943</f>
        <v>274.106090224827</v>
      </c>
      <c r="K5944" s="16" t="n">
        <f aca="false">K5942+K5943</f>
        <v>276.594598670357</v>
      </c>
    </row>
    <row r="5945" customFormat="false" ht="15" hidden="false" customHeight="false" outlineLevel="0" collapsed="false">
      <c r="A5945" s="3" t="s">
        <v>347</v>
      </c>
      <c r="G5945" s="25" t="n">
        <f aca="false">G5889+G5902+G5915</f>
        <v>0</v>
      </c>
      <c r="H5945" s="25" t="n">
        <f aca="false">H5889+H5902+H5915</f>
        <v>0</v>
      </c>
      <c r="I5945" s="25" t="n">
        <f aca="false">I5889+I5902+I5915</f>
        <v>420.456</v>
      </c>
      <c r="J5945" s="25" t="n">
        <f aca="false">J5889+J5902+J5915</f>
        <v>0</v>
      </c>
      <c r="K5945" s="25" t="n">
        <f aca="false">K5889+K5902+K5915</f>
        <v>0</v>
      </c>
    </row>
    <row r="5946" customFormat="false" ht="15" hidden="false" customHeight="false" outlineLevel="0" collapsed="false">
      <c r="A5946" s="2" t="s">
        <v>348</v>
      </c>
      <c r="G5946" s="16" t="n">
        <f aca="false">G5944-G5945</f>
        <v>564.43577743</v>
      </c>
      <c r="H5946" s="16" t="n">
        <f aca="false">H5944-H5945</f>
        <v>633.0995043628</v>
      </c>
      <c r="I5946" s="16" t="n">
        <f aca="false">I5944-I5945</f>
        <v>248.126469572218</v>
      </c>
      <c r="J5946" s="16" t="n">
        <f aca="false">J5944-J5945</f>
        <v>274.106090224827</v>
      </c>
      <c r="K5946" s="16" t="n">
        <f aca="false">K5944-K5945</f>
        <v>276.594598670357</v>
      </c>
    </row>
    <row r="5947" customFormat="false" ht="15" hidden="false" customHeight="false" outlineLevel="0" collapsed="false">
      <c r="A5947" s="3" t="s">
        <v>349</v>
      </c>
      <c r="G5947" s="25" t="n">
        <f aca="false">MAX(0,-G5946)</f>
        <v>0</v>
      </c>
      <c r="H5947" s="25" t="n">
        <f aca="false">MAX(0,-H5946)</f>
        <v>0</v>
      </c>
      <c r="I5947" s="25" t="n">
        <f aca="false">MAX(0,-I5946)</f>
        <v>0</v>
      </c>
      <c r="J5947" s="25" t="n">
        <f aca="false">MAX(0,-J5946)</f>
        <v>0</v>
      </c>
      <c r="K5947" s="25" t="n">
        <f aca="false">MAX(0,-K5946)</f>
        <v>0</v>
      </c>
    </row>
    <row r="5948" customFormat="false" ht="15" hidden="false" customHeight="false" outlineLevel="0" collapsed="false">
      <c r="A5948" s="3" t="s">
        <v>350</v>
      </c>
      <c r="G5948" s="25" t="n">
        <f aca="false">MAX(0,G5946-Assumptions!$C$12)*Assumptions!$C$13</f>
        <v>0</v>
      </c>
      <c r="H5948" s="25" t="n">
        <f aca="false">MAX(0,H5946-Assumptions!$C$12)*Assumptions!$C$13</f>
        <v>0</v>
      </c>
      <c r="I5948" s="25" t="n">
        <f aca="false">MAX(0,I5946-Assumptions!$C$12)*Assumptions!$C$13</f>
        <v>0</v>
      </c>
      <c r="J5948" s="25" t="n">
        <f aca="false">MAX(0,J5946-Assumptions!$C$12)*Assumptions!$C$13</f>
        <v>0</v>
      </c>
      <c r="K5948" s="25" t="n">
        <f aca="false">MAX(0,K5946-Assumptions!$C$12)*Assumptions!$C$13</f>
        <v>0</v>
      </c>
    </row>
    <row r="5949" customFormat="false" ht="15" hidden="false" customHeight="false" outlineLevel="0" collapsed="false">
      <c r="A5949" s="3" t="s">
        <v>351</v>
      </c>
      <c r="G5949" s="25" t="n">
        <f aca="false">G5890+G5903+G5916</f>
        <v>0</v>
      </c>
      <c r="H5949" s="25" t="n">
        <f aca="false">H5890+H5903+H5916</f>
        <v>0</v>
      </c>
      <c r="I5949" s="25" t="n">
        <f aca="false">I5890+I5903+I5916</f>
        <v>0</v>
      </c>
      <c r="J5949" s="25" t="n">
        <f aca="false">J5890+J5903+J5916</f>
        <v>0</v>
      </c>
      <c r="K5949" s="25" t="n">
        <f aca="false">K5890+K5903+K5916</f>
        <v>0</v>
      </c>
    </row>
    <row r="5950" customFormat="false" ht="15" hidden="false" customHeight="false" outlineLevel="0" collapsed="false">
      <c r="A5950" s="2" t="s">
        <v>352</v>
      </c>
      <c r="F5950" s="28" t="n">
        <f aca="false">Assumptions!$C$11</f>
        <v>463.996</v>
      </c>
      <c r="G5950" s="16" t="n">
        <f aca="false">G5946-G5949</f>
        <v>564.43577743</v>
      </c>
      <c r="H5950" s="16" t="n">
        <f aca="false">H5946-H5949</f>
        <v>633.0995043628</v>
      </c>
      <c r="I5950" s="16" t="n">
        <f aca="false">I5946-I5949</f>
        <v>248.126469572218</v>
      </c>
      <c r="J5950" s="16" t="n">
        <f aca="false">J5946-J5949</f>
        <v>274.106090224827</v>
      </c>
      <c r="K5950" s="16" t="n">
        <f aca="false">K5946-K5949</f>
        <v>276.594598670357</v>
      </c>
    </row>
    <row r="5951" customFormat="false" ht="15" hidden="false" customHeight="false" outlineLevel="0" collapsed="false">
      <c r="A5951" s="3" t="s">
        <v>353</v>
      </c>
      <c r="G5951" s="25" t="n">
        <f aca="false">G5891+G5904+G5917</f>
        <v>0</v>
      </c>
      <c r="H5951" s="25" t="n">
        <f aca="false">H5891+H5904+H5917</f>
        <v>0</v>
      </c>
      <c r="I5951" s="25" t="n">
        <f aca="false">I5891+I5904+I5917</f>
        <v>0</v>
      </c>
      <c r="J5951" s="25" t="n">
        <f aca="false">J5891+J5904+J5917</f>
        <v>0</v>
      </c>
      <c r="K5951" s="25" t="n">
        <f aca="false">K5891+K5904+K5917</f>
        <v>0</v>
      </c>
    </row>
    <row r="5952" customFormat="false" ht="15" hidden="false" customHeight="false" outlineLevel="0" collapsed="false">
      <c r="A5952" s="3" t="s">
        <v>354</v>
      </c>
      <c r="G5952" s="20" t="n">
        <f aca="false">IF(OR(G5947&gt;0.001,G5951&gt;0.001),1,0)</f>
        <v>0</v>
      </c>
      <c r="H5952" s="20" t="n">
        <f aca="false">IF(OR(H5947&gt;0.001,H5951&gt;0.001),1,0)</f>
        <v>0</v>
      </c>
      <c r="I5952" s="20" t="n">
        <f aca="false">IF(OR(I5947&gt;0.001,I5951&gt;0.001),1,0)</f>
        <v>0</v>
      </c>
      <c r="J5952" s="20" t="n">
        <f aca="false">IF(OR(J5947&gt;0.001,J5951&gt;0.001),1,0)</f>
        <v>0</v>
      </c>
      <c r="K5952" s="20" t="n">
        <f aca="false">IF(OR(K5947&gt;0.001,K5951&gt;0.001),1,0)</f>
        <v>0</v>
      </c>
    </row>
    <row r="5953" customFormat="false" ht="15" hidden="false" customHeight="false" outlineLevel="0" collapsed="false">
      <c r="A5953" s="3" t="s">
        <v>355</v>
      </c>
      <c r="G5953" s="20" t="n">
        <f aca="false">IF(G5952=1,1,0)</f>
        <v>0</v>
      </c>
      <c r="H5953" s="20" t="n">
        <f aca="false">IF(AND(H5952=1,SUM($G$5952:G5952)=0),1,0)</f>
        <v>0</v>
      </c>
      <c r="I5953" s="20" t="n">
        <f aca="false">IF(AND(I5952=1,SUM($G$5952:H5952)=0),1,0)</f>
        <v>0</v>
      </c>
      <c r="J5953" s="20" t="n">
        <f aca="false">IF(AND(J5952=1,SUM($G$5952:I5952)=0),1,0)</f>
        <v>0</v>
      </c>
      <c r="K5953" s="20" t="n">
        <f aca="false">IF(AND(K5952=1,SUM($G$5952:J5952)=0),1,0)</f>
        <v>0</v>
      </c>
    </row>
    <row r="5954" customFormat="false" ht="15" hidden="false" customHeight="false" outlineLevel="0" collapsed="false">
      <c r="A5954" s="3" t="s">
        <v>356</v>
      </c>
      <c r="G5954" s="25" t="n">
        <f aca="false">(G5920-F5920)-(G5943+G5860-G5941-G5945-G5949)</f>
        <v>0</v>
      </c>
      <c r="H5954" s="25" t="n">
        <f aca="false">(H5920-G5920)-(H5943+H5860-H5941-H5945-H5949)</f>
        <v>0</v>
      </c>
      <c r="I5954" s="25" t="n">
        <f aca="false">(I5920-H5920)-(I5943+I5860-I5941-I5945-I5949)</f>
        <v>0</v>
      </c>
      <c r="J5954" s="25" t="n">
        <f aca="false">(J5920-I5920)-(J5943+J5860-J5941-J5945-J5949)</f>
        <v>0</v>
      </c>
      <c r="K5954" s="25" t="n">
        <f aca="false">(K5920-J5920)-(K5943+K5860-K5941-K5945-K5949)</f>
        <v>0</v>
      </c>
    </row>
    <row r="5956" customFormat="false" ht="15" hidden="false" customHeight="false" outlineLevel="0" collapsed="false">
      <c r="A5956" s="23" t="s">
        <v>358</v>
      </c>
      <c r="B5956" s="24"/>
      <c r="C5956" s="24"/>
      <c r="D5956" s="24"/>
      <c r="E5956" s="24"/>
      <c r="F5956" s="24"/>
      <c r="G5956" s="24"/>
      <c r="H5956" s="24"/>
      <c r="I5956" s="24"/>
      <c r="J5956" s="24"/>
      <c r="K5956" s="24"/>
    </row>
    <row r="5957" customFormat="false" ht="15" hidden="false" customHeight="false" outlineLevel="0" collapsed="false">
      <c r="A5957" s="3" t="s">
        <v>359</v>
      </c>
      <c r="G5957" s="25" t="n">
        <f aca="false">G5920</f>
        <v>1735.554</v>
      </c>
      <c r="H5957" s="25" t="n">
        <f aca="false">H5920</f>
        <v>1735.554</v>
      </c>
      <c r="I5957" s="25" t="n">
        <f aca="false">I5920</f>
        <v>1315.098</v>
      </c>
      <c r="J5957" s="25" t="n">
        <f aca="false">J5920</f>
        <v>1315.098</v>
      </c>
      <c r="K5957" s="25" t="n">
        <f aca="false">K5920</f>
        <v>1315.098</v>
      </c>
    </row>
    <row r="5958" customFormat="false" ht="15" hidden="false" customHeight="false" outlineLevel="0" collapsed="false">
      <c r="A5958" s="3" t="s">
        <v>360</v>
      </c>
      <c r="G5958" s="25" t="n">
        <f aca="false">Assumptions!$O$56*G5892+Assumptions!$O$57*G5905+Assumptions!$O$58*G5918</f>
        <v>1315.098</v>
      </c>
      <c r="H5958" s="25" t="n">
        <f aca="false">Assumptions!$O$56*H5892+Assumptions!$O$57*H5905+Assumptions!$O$58*H5918</f>
        <v>1315.098</v>
      </c>
      <c r="I5958" s="25" t="n">
        <f aca="false">Assumptions!$O$56*I5892+Assumptions!$O$57*I5905+Assumptions!$O$58*I5918</f>
        <v>1315.098</v>
      </c>
      <c r="J5958" s="25" t="n">
        <f aca="false">Assumptions!$O$56*J5892+Assumptions!$O$57*J5905+Assumptions!$O$58*J5918</f>
        <v>1315.098</v>
      </c>
      <c r="K5958" s="25" t="n">
        <f aca="false">Assumptions!$O$56*K5892+Assumptions!$O$57*K5905+Assumptions!$O$58*K5918</f>
        <v>1315.098</v>
      </c>
    </row>
    <row r="5959" customFormat="false" ht="15" hidden="false" customHeight="false" outlineLevel="0" collapsed="false">
      <c r="A5959" s="3" t="s">
        <v>361</v>
      </c>
      <c r="G5959" s="25" t="n">
        <f aca="false">G5957-G5950</f>
        <v>1171.11822257</v>
      </c>
      <c r="H5959" s="25" t="n">
        <f aca="false">H5957-H5950</f>
        <v>1102.4544956372</v>
      </c>
      <c r="I5959" s="25" t="n">
        <f aca="false">I5957-I5950</f>
        <v>1066.97153042778</v>
      </c>
      <c r="J5959" s="25" t="n">
        <f aca="false">J5957-J5950</f>
        <v>1040.99190977517</v>
      </c>
      <c r="K5959" s="25" t="n">
        <f aca="false">K5957-K5950</f>
        <v>1038.50340132964</v>
      </c>
    </row>
    <row r="5960" customFormat="false" ht="15" hidden="false" customHeight="false" outlineLevel="0" collapsed="false">
      <c r="A5960" s="3" t="s">
        <v>362</v>
      </c>
      <c r="G5960" s="32" t="n">
        <f aca="false">IF(G5855&gt;0,G5957/G5855,0)</f>
        <v>6.45508746681566</v>
      </c>
      <c r="H5960" s="32" t="n">
        <f aca="false">IF(H5855&gt;0,H5957/H5855,0)</f>
        <v>7.50591565908798</v>
      </c>
      <c r="I5960" s="32" t="n">
        <f aca="false">IF(I5855&gt;0,I5957/I5855,0)</f>
        <v>6.67047112232863</v>
      </c>
      <c r="J5960" s="32" t="n">
        <f aca="false">IF(J5855&gt;0,J5957/J5855,0)</f>
        <v>7.77996124815205</v>
      </c>
      <c r="K5960" s="32" t="n">
        <f aca="false">IF(K5855&gt;0,K5957/K5855,0)</f>
        <v>9.07595410661073</v>
      </c>
    </row>
    <row r="5961" customFormat="false" ht="15" hidden="false" customHeight="false" outlineLevel="0" collapsed="false">
      <c r="A5961" s="3" t="s">
        <v>363</v>
      </c>
      <c r="G5961" s="32" t="n">
        <f aca="false">IF(G5855&gt;0,G5959/G5855,0)</f>
        <v>4.35576799147191</v>
      </c>
      <c r="H5961" s="32" t="n">
        <f aca="false">IF(H5855&gt;0,H5959/H5855,0)</f>
        <v>4.76788994305864</v>
      </c>
      <c r="I5961" s="32" t="n">
        <f aca="false">IF(I5855&gt;0,I5959/I5855,0)</f>
        <v>5.41191818561453</v>
      </c>
      <c r="J5961" s="32" t="n">
        <f aca="false">IF(J5855&gt;0,J5959/J5855,0)</f>
        <v>6.15838265869969</v>
      </c>
      <c r="K5961" s="32" t="n">
        <f aca="false">IF(K5855&gt;0,K5959/K5855,0)</f>
        <v>7.16707744215791</v>
      </c>
    </row>
    <row r="5962" customFormat="false" ht="15" hidden="false" customHeight="false" outlineLevel="0" collapsed="false">
      <c r="A5962" s="3" t="s">
        <v>364</v>
      </c>
      <c r="G5962" s="32" t="n">
        <f aca="false">IF(G5859&gt;0,G5855/G5859,0)</f>
        <v>1.72400140502365</v>
      </c>
      <c r="H5962" s="32" t="n">
        <f aca="false">IF(H5859&gt;0,H5855/H5859,0)</f>
        <v>1.48264120832034</v>
      </c>
      <c r="I5962" s="32" t="n">
        <f aca="false">IF(I5859&gt;0,I5855/I5859,0)</f>
        <v>1.26416343597999</v>
      </c>
      <c r="J5962" s="32" t="n">
        <f aca="false">IF(J5859&gt;0,J5855/J5859,0)</f>
        <v>1.22414613904043</v>
      </c>
      <c r="K5962" s="32" t="n">
        <f aca="false">IF(K5859&gt;0,K5855/K5859,0)</f>
        <v>1.0493452712451</v>
      </c>
    </row>
    <row r="5963" customFormat="false" ht="15" hidden="false" customHeight="false" outlineLevel="0" collapsed="false">
      <c r="A5963" s="3" t="s">
        <v>365</v>
      </c>
      <c r="G5963" s="32" t="n">
        <f aca="false">IF(G5859&gt;0,G5858/G5859,0)</f>
        <v>1.1228494164362</v>
      </c>
      <c r="H5963" s="32" t="n">
        <f aca="false">IF(H5859&gt;0,H5858/H5859,0)</f>
        <v>0.965650498135131</v>
      </c>
      <c r="I5963" s="32" t="n">
        <f aca="false">IF(I5859&gt;0,I5858/I5859,0)</f>
        <v>0.816966471669787</v>
      </c>
      <c r="J5963" s="32" t="n">
        <f aca="false">IF(J5859&gt;0,J5858/J5859,0)</f>
        <v>0.784737018454309</v>
      </c>
      <c r="K5963" s="32" t="n">
        <f aca="false">IF(K5859&gt;0,K5858/K5859,0)</f>
        <v>0.667059336335173</v>
      </c>
    </row>
    <row r="5964" customFormat="false" ht="15" hidden="false" customHeight="false" outlineLevel="0" collapsed="false">
      <c r="A5964" s="3" t="s">
        <v>198</v>
      </c>
      <c r="G5964" s="21" t="n">
        <f aca="false">IF(G5957&gt;0,G5868/G5957,0)</f>
        <v>0.0578718826553366</v>
      </c>
      <c r="H5964" s="21" t="n">
        <f aca="false">IF(H5957&gt;0,H5868/H5957,0)</f>
        <v>0.0395630023224861</v>
      </c>
      <c r="I5964" s="21" t="n">
        <f aca="false">IF(I5957&gt;0,I5868/I5957,0)</f>
        <v>0.0269812327365854</v>
      </c>
      <c r="J5964" s="21" t="n">
        <f aca="false">IF(J5957&gt;0,J5868/J5957,0)</f>
        <v>0.0197548932875031</v>
      </c>
      <c r="K5964" s="21" t="n">
        <f aca="false">IF(K5957&gt;0,K5868/K5957,0)</f>
        <v>0.00189226083951964</v>
      </c>
    </row>
    <row r="5965" customFormat="false" ht="15" hidden="false" customHeight="false" outlineLevel="0" collapsed="false">
      <c r="A5965" s="3" t="s">
        <v>366</v>
      </c>
      <c r="G5965" s="32" t="n">
        <f aca="false">IF(G5859+G5941&gt;0,(G5855-G5866-G5863)/(G5859+G5941),0)</f>
        <v>1.52088891041224</v>
      </c>
      <c r="H5965" s="32" t="n">
        <f aca="false">IF(H5859+H5941&gt;0,(H5855-H5866-H5863)/(H5859+H5941),0)</f>
        <v>1.33437708748831</v>
      </c>
      <c r="I5965" s="32" t="n">
        <f aca="false">IF(I5859+I5941&gt;0,(I5855-I5866-I5863)/(I5859+I5941),0)</f>
        <v>1.13591497146028</v>
      </c>
      <c r="J5965" s="32" t="n">
        <f aca="false">IF(J5859+J5941&gt;0,(J5855-J5866-J5863)/(J5859+J5941),0)</f>
        <v>1.09813109531568</v>
      </c>
      <c r="K5965" s="32" t="n">
        <f aca="false">IF(K5859+K5941&gt;0,(K5855-K5866-K5863)/(K5859+K5941),0)</f>
        <v>0.939712183204568</v>
      </c>
    </row>
    <row r="5966" customFormat="false" ht="15" hidden="false" customHeight="false" outlineLevel="0" collapsed="false">
      <c r="A5966" s="3" t="s">
        <v>367</v>
      </c>
      <c r="G5966" s="25" t="n">
        <f aca="false">MAX(0,G5950)+Assumptions!$P$56*MAX(0,Assumptions!$D$56-G5892)+Assumptions!$P$57*MAX(0,Assumptions!$D$57-G5905)+Assumptions!$P$58*MAX(0,Assumptions!$D$58-G5918)</f>
        <v>564.43577743</v>
      </c>
      <c r="H5966" s="25" t="n">
        <f aca="false">MAX(0,H5950)+Assumptions!$P$56*MAX(0,Assumptions!$D$56-H5892)+Assumptions!$P$57*MAX(0,Assumptions!$D$57-H5905)+Assumptions!$P$58*MAX(0,Assumptions!$D$58-H5918)</f>
        <v>633.0995043628</v>
      </c>
      <c r="I5966" s="25" t="n">
        <f aca="false">MAX(0,I5950)+Assumptions!$P$56*MAX(0,Assumptions!$D$56-I5892)+Assumptions!$P$57*MAX(0,Assumptions!$D$57-I5905)+Assumptions!$P$58*MAX(0,Assumptions!$D$58-I5918)</f>
        <v>248.126469572218</v>
      </c>
      <c r="J5966" s="25" t="n">
        <f aca="false">MAX(0,J5950)+Assumptions!$P$56*MAX(0,Assumptions!$D$56-J5892)+Assumptions!$P$57*MAX(0,Assumptions!$D$57-J5905)+Assumptions!$P$58*MAX(0,Assumptions!$D$58-J5918)</f>
        <v>274.106090224827</v>
      </c>
      <c r="K5966" s="25" t="n">
        <f aca="false">MAX(0,K5950)+Assumptions!$P$56*MAX(0,Assumptions!$D$56-K5892)+Assumptions!$P$57*MAX(0,Assumptions!$D$57-K5905)+Assumptions!$P$58*MAX(0,Assumptions!$D$58-K5918)</f>
        <v>276.594598670357</v>
      </c>
    </row>
    <row r="5967" customFormat="false" ht="15" hidden="false" customHeight="false" outlineLevel="0" collapsed="false">
      <c r="A5967" s="3" t="s">
        <v>368</v>
      </c>
      <c r="G5967" s="21" t="n">
        <f aca="false">IF(G5957&gt;0,G5957/(G5957+MAX(0,G5855*CHOOSE($C$5838,Assumptions!$C$82,Assumptions!$C$101,Assumptions!$C$120)-G5959)),0)</f>
        <v>0.849429674296417</v>
      </c>
      <c r="H5967" s="21" t="n">
        <f aca="false">IF(H5957&gt;0,H5957/(H5957+MAX(0,H5855*CHOOSE($C$5838,Assumptions!$C$82,Assumptions!$C$101,Assumptions!$C$120)-H5959)),0)</f>
        <v>0.91113039917843</v>
      </c>
      <c r="I5967" s="21" t="n">
        <f aca="false">IF(I5957&gt;0,I5957/(I5957+MAX(0,I5855*CHOOSE($C$5838,Assumptions!$C$82,Assumptions!$C$101,Assumptions!$C$120)-I5959)),0)</f>
        <v>0.986967355999095</v>
      </c>
      <c r="J5967" s="21" t="n">
        <f aca="false">IF(J5957&gt;0,J5957/(J5957+MAX(0,J5855*CHOOSE($C$5838,Assumptions!$C$82,Assumptions!$C$101,Assumptions!$C$120)-J5959)),0)</f>
        <v>1</v>
      </c>
      <c r="K5967" s="21" t="n">
        <f aca="false">IF(K5957&gt;0,K5957/(K5957+MAX(0,K5855*CHOOSE($C$5838,Assumptions!$C$82,Assumptions!$C$101,Assumptions!$C$120)-K5959)),0)</f>
        <v>1</v>
      </c>
    </row>
    <row r="5968" customFormat="false" ht="15" hidden="false" customHeight="false" outlineLevel="0" collapsed="false">
      <c r="A5968" s="3" t="s">
        <v>369</v>
      </c>
      <c r="G5968" s="21" t="n">
        <f aca="false">IF(G5957&gt;0,MAX(0,G5950)/G5957,0)</f>
        <v>0.325219369394441</v>
      </c>
      <c r="H5968" s="21" t="n">
        <f aca="false">IF(H5957&gt;0,MAX(0,H5950)/H5957,0)</f>
        <v>0.364782371716927</v>
      </c>
      <c r="I5968" s="21" t="n">
        <f aca="false">IF(I5957&gt;0,MAX(0,I5950)/I5957,0)</f>
        <v>0.188675269502515</v>
      </c>
      <c r="J5968" s="21" t="n">
        <f aca="false">IF(J5957&gt;0,MAX(0,J5950)/J5957,0)</f>
        <v>0.208430162790018</v>
      </c>
      <c r="K5968" s="21" t="n">
        <f aca="false">IF(K5957&gt;0,MAX(0,K5950)/K5957,0)</f>
        <v>0.210322423629537</v>
      </c>
    </row>
    <row r="5969" customFormat="false" ht="15" hidden="false" customHeight="false" outlineLevel="0" collapsed="false">
      <c r="A5969" s="3" t="s">
        <v>370</v>
      </c>
      <c r="G5969" s="25" t="n">
        <f aca="false">Assumptions!$C$30*(1-CHOOSE($C$5838,Assumptions!$C$85,Assumptions!$C$104,Assumptions!$C$123))</f>
        <v>2454.971</v>
      </c>
      <c r="H5969" s="25" t="n">
        <f aca="false">Assumptions!$C$30*(1-CHOOSE($C$5838,Assumptions!$C$85,Assumptions!$C$104,Assumptions!$C$123))</f>
        <v>2454.971</v>
      </c>
      <c r="I5969" s="25" t="n">
        <f aca="false">Assumptions!$C$30*(1-CHOOSE($C$5838,Assumptions!$C$85,Assumptions!$C$104,Assumptions!$C$123))</f>
        <v>2454.971</v>
      </c>
      <c r="J5969" s="25" t="n">
        <f aca="false">Assumptions!$C$30*(1-CHOOSE($C$5838,Assumptions!$C$85,Assumptions!$C$104,Assumptions!$C$123))</f>
        <v>2454.971</v>
      </c>
      <c r="K5969" s="25" t="n">
        <f aca="false">Assumptions!$C$30*(1-CHOOSE($C$5838,Assumptions!$C$85,Assumptions!$C$104,Assumptions!$C$123))</f>
        <v>2454.971</v>
      </c>
    </row>
    <row r="5970" customFormat="false" ht="15" hidden="false" customHeight="false" outlineLevel="0" collapsed="false">
      <c r="A5970" s="23" t="s">
        <v>371</v>
      </c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</row>
    <row r="5971" customFormat="false" ht="15" hidden="false" customHeight="false" outlineLevel="0" collapsed="false">
      <c r="A5971" s="23" t="s">
        <v>372</v>
      </c>
      <c r="B5971" s="24"/>
      <c r="C5971" s="24"/>
      <c r="D5971" s="24"/>
      <c r="E5971" s="24"/>
      <c r="F5971" s="24"/>
      <c r="G5971" s="24"/>
      <c r="H5971" s="24"/>
      <c r="I5971" s="24"/>
      <c r="J5971" s="24"/>
      <c r="K5971" s="24"/>
    </row>
    <row r="5972" customFormat="false" ht="15" hidden="false" customHeight="false" outlineLevel="0" collapsed="false">
      <c r="A5972" s="3" t="s">
        <v>373</v>
      </c>
      <c r="G5972" s="32" t="n">
        <f aca="false">IF(G5855&gt;0,G5959/G5855,99)</f>
        <v>4.35576799147191</v>
      </c>
      <c r="H5972" s="32" t="n">
        <f aca="false">IF(H5855&gt;0,H5959/H5855,99)</f>
        <v>4.76788994305864</v>
      </c>
      <c r="I5972" s="32" t="n">
        <f aca="false">IF(I5855&gt;0,I5959/I5855,99)</f>
        <v>5.41191818561453</v>
      </c>
      <c r="J5972" s="32" t="n">
        <f aca="false">IF(J5855&gt;0,J5959/J5855,99)</f>
        <v>6.15838265869969</v>
      </c>
      <c r="K5972" s="32" t="n">
        <f aca="false">IF(K5855&gt;0,K5959/K5855,99)</f>
        <v>7.16707744215791</v>
      </c>
    </row>
    <row r="5973" customFormat="false" ht="15" hidden="false" customHeight="false" outlineLevel="0" collapsed="false">
      <c r="A5973" s="3" t="s">
        <v>374</v>
      </c>
      <c r="G5973" s="33" t="n">
        <f aca="false">Assumptions!$G$65</f>
        <v>5.25</v>
      </c>
      <c r="H5973" s="33" t="n">
        <f aca="false">Assumptions!$H$65</f>
        <v>5.25</v>
      </c>
      <c r="I5973" s="33" t="n">
        <f aca="false">Assumptions!$I$65</f>
        <v>5</v>
      </c>
      <c r="J5973" s="33" t="n">
        <f aca="false">Assumptions!$J$65</f>
        <v>5</v>
      </c>
      <c r="K5973" s="33" t="n">
        <f aca="false">Assumptions!$K$65</f>
        <v>5</v>
      </c>
    </row>
    <row r="5974" customFormat="false" ht="15" hidden="false" customHeight="false" outlineLevel="0" collapsed="false">
      <c r="A5974" s="3" t="s">
        <v>375</v>
      </c>
      <c r="G5974" s="32" t="n">
        <f aca="false">G5973-G5972</f>
        <v>0.894232008528087</v>
      </c>
      <c r="H5974" s="32" t="n">
        <f aca="false">H5973-H5972</f>
        <v>0.482110056941356</v>
      </c>
      <c r="I5974" s="32" t="n">
        <f aca="false">I5973-I5972</f>
        <v>-0.411918185614531</v>
      </c>
      <c r="J5974" s="32" t="n">
        <f aca="false">J5973-J5972</f>
        <v>-1.15838265869969</v>
      </c>
      <c r="K5974" s="32" t="n">
        <f aca="false">K5973-K5972</f>
        <v>-2.16707744215791</v>
      </c>
    </row>
    <row r="5975" customFormat="false" ht="15" hidden="false" customHeight="false" outlineLevel="0" collapsed="false">
      <c r="A5975" s="3" t="s">
        <v>376</v>
      </c>
      <c r="G5975" s="21" t="n">
        <f aca="false">IF(G5973=0,0,G5974/ABS(G5973))</f>
        <v>0.170329906386302</v>
      </c>
      <c r="H5975" s="21" t="n">
        <f aca="false">IF(H5973=0,0,H5974/ABS(H5973))</f>
        <v>0.0918304870364488</v>
      </c>
      <c r="I5975" s="21" t="n">
        <f aca="false">IF(I5973=0,0,I5974/ABS(I5973))</f>
        <v>-0.0823836371229062</v>
      </c>
      <c r="J5975" s="21" t="n">
        <f aca="false">IF(J5973=0,0,J5974/ABS(J5973))</f>
        <v>-0.231676531739937</v>
      </c>
      <c r="K5975" s="21" t="n">
        <f aca="false">IF(K5973=0,0,K5974/ABS(K5973))</f>
        <v>-0.433415488431581</v>
      </c>
    </row>
    <row r="5976" customFormat="false" ht="15" hidden="false" customHeight="false" outlineLevel="0" collapsed="false">
      <c r="A5976" s="3" t="s">
        <v>377</v>
      </c>
      <c r="G5976" s="20" t="n">
        <f aca="false">IF(G5974&lt;0,1,0)</f>
        <v>0</v>
      </c>
      <c r="H5976" s="20" t="n">
        <f aca="false">IF(H5974&lt;0,1,0)</f>
        <v>0</v>
      </c>
      <c r="I5976" s="20" t="n">
        <f aca="false">IF(I5974&lt;0,1,0)</f>
        <v>1</v>
      </c>
      <c r="J5976" s="20" t="n">
        <f aca="false">IF(J5974&lt;0,1,0)</f>
        <v>1</v>
      </c>
      <c r="K5976" s="20" t="n">
        <f aca="false">IF(K5974&lt;0,1,0)</f>
        <v>1</v>
      </c>
    </row>
    <row r="5977" customFormat="false" ht="15" hidden="false" customHeight="false" outlineLevel="0" collapsed="false">
      <c r="A5977" s="3" t="s">
        <v>378</v>
      </c>
      <c r="C5977" s="20" t="n">
        <f aca="false">IFERROR(INDEX($G$5845:$K$5845,MATCH(1,$G$5976:$K$5976,0)),0)</f>
        <v>2029</v>
      </c>
    </row>
    <row r="5978" customFormat="false" ht="15" hidden="false" customHeight="false" outlineLevel="0" collapsed="false">
      <c r="A5978" s="3" t="s">
        <v>379</v>
      </c>
      <c r="C5978" s="21" t="n">
        <f aca="false">MIN($G$5975:$K$5975)</f>
        <v>-0.433415488431581</v>
      </c>
    </row>
    <row r="5979" customFormat="false" ht="15" hidden="false" customHeight="false" outlineLevel="0" collapsed="false">
      <c r="A5979" s="23" t="s">
        <v>380</v>
      </c>
      <c r="B5979" s="24"/>
      <c r="C5979" s="24"/>
      <c r="D5979" s="24"/>
      <c r="E5979" s="24"/>
      <c r="F5979" s="24"/>
      <c r="G5979" s="24"/>
      <c r="H5979" s="24"/>
      <c r="I5979" s="24"/>
      <c r="J5979" s="24"/>
      <c r="K5979" s="24"/>
    </row>
    <row r="5980" customFormat="false" ht="15" hidden="false" customHeight="false" outlineLevel="0" collapsed="false">
      <c r="A5980" s="3" t="s">
        <v>373</v>
      </c>
      <c r="G5980" s="32" t="n">
        <f aca="false">IF(G5859&gt;0,G5855/G5859,99)</f>
        <v>1.72400140502365</v>
      </c>
      <c r="H5980" s="32" t="n">
        <f aca="false">IF(H5859&gt;0,H5855/H5859,99)</f>
        <v>1.48264120832034</v>
      </c>
      <c r="I5980" s="32" t="n">
        <f aca="false">IF(I5859&gt;0,I5855/I5859,99)</f>
        <v>1.26416343597999</v>
      </c>
      <c r="J5980" s="32" t="n">
        <f aca="false">IF(J5859&gt;0,J5855/J5859,99)</f>
        <v>1.22414613904043</v>
      </c>
      <c r="K5980" s="32" t="n">
        <f aca="false">IF(K5859&gt;0,K5855/K5859,99)</f>
        <v>1.0493452712451</v>
      </c>
    </row>
    <row r="5981" customFormat="false" ht="15" hidden="false" customHeight="false" outlineLevel="0" collapsed="false">
      <c r="A5981" s="3" t="s">
        <v>374</v>
      </c>
      <c r="G5981" s="33" t="n">
        <f aca="false">Assumptions!$G$66</f>
        <v>1.4</v>
      </c>
      <c r="H5981" s="33" t="n">
        <f aca="false">Assumptions!$H$66</f>
        <v>1.4</v>
      </c>
      <c r="I5981" s="33" t="n">
        <f aca="false">Assumptions!$I$66</f>
        <v>1.4</v>
      </c>
      <c r="J5981" s="33" t="n">
        <f aca="false">Assumptions!$J$66</f>
        <v>1.5</v>
      </c>
      <c r="K5981" s="33" t="n">
        <f aca="false">Assumptions!$K$66</f>
        <v>1.5</v>
      </c>
    </row>
    <row r="5982" customFormat="false" ht="15" hidden="false" customHeight="false" outlineLevel="0" collapsed="false">
      <c r="A5982" s="3" t="s">
        <v>375</v>
      </c>
      <c r="G5982" s="32" t="n">
        <f aca="false">G5980-G5981</f>
        <v>0.324001405023652</v>
      </c>
      <c r="H5982" s="32" t="n">
        <f aca="false">H5980-H5981</f>
        <v>0.0826412083203407</v>
      </c>
      <c r="I5982" s="32" t="n">
        <f aca="false">I5980-I5981</f>
        <v>-0.135836564020007</v>
      </c>
      <c r="J5982" s="32" t="n">
        <f aca="false">J5980-J5981</f>
        <v>-0.275853860959566</v>
      </c>
      <c r="K5982" s="32" t="n">
        <f aca="false">K5980-K5981</f>
        <v>-0.450654728754899</v>
      </c>
    </row>
    <row r="5983" customFormat="false" ht="15" hidden="false" customHeight="false" outlineLevel="0" collapsed="false">
      <c r="A5983" s="3" t="s">
        <v>376</v>
      </c>
      <c r="G5983" s="21" t="n">
        <f aca="false">IF(G5981=0,0,G5982/ABS(G5981))</f>
        <v>0.231429575016894</v>
      </c>
      <c r="H5983" s="21" t="n">
        <f aca="false">IF(H5981=0,0,H5982/ABS(H5981))</f>
        <v>0.0590294345145291</v>
      </c>
      <c r="I5983" s="21" t="n">
        <f aca="false">IF(I5981=0,0,I5982/ABS(I5981))</f>
        <v>-0.0970261171571475</v>
      </c>
      <c r="J5983" s="21" t="n">
        <f aca="false">IF(J5981=0,0,J5982/ABS(J5981))</f>
        <v>-0.183902573973044</v>
      </c>
      <c r="K5983" s="21" t="n">
        <f aca="false">IF(K5981=0,0,K5982/ABS(K5981))</f>
        <v>-0.300436485836599</v>
      </c>
    </row>
    <row r="5984" customFormat="false" ht="15" hidden="false" customHeight="false" outlineLevel="0" collapsed="false">
      <c r="A5984" s="3" t="s">
        <v>377</v>
      </c>
      <c r="G5984" s="20" t="n">
        <f aca="false">IF(G5982&lt;0,1,0)</f>
        <v>0</v>
      </c>
      <c r="H5984" s="20" t="n">
        <f aca="false">IF(H5982&lt;0,1,0)</f>
        <v>0</v>
      </c>
      <c r="I5984" s="20" t="n">
        <f aca="false">IF(I5982&lt;0,1,0)</f>
        <v>1</v>
      </c>
      <c r="J5984" s="20" t="n">
        <f aca="false">IF(J5982&lt;0,1,0)</f>
        <v>1</v>
      </c>
      <c r="K5984" s="20" t="n">
        <f aca="false">IF(K5982&lt;0,1,0)</f>
        <v>1</v>
      </c>
    </row>
    <row r="5985" customFormat="false" ht="15" hidden="false" customHeight="false" outlineLevel="0" collapsed="false">
      <c r="A5985" s="3" t="s">
        <v>378</v>
      </c>
      <c r="C5985" s="20" t="n">
        <f aca="false">IFERROR(INDEX($G$5845:$K$5845,MATCH(1,$G$5984:$K$5984,0)),0)</f>
        <v>2029</v>
      </c>
    </row>
    <row r="5986" customFormat="false" ht="15" hidden="false" customHeight="false" outlineLevel="0" collapsed="false">
      <c r="A5986" s="3" t="s">
        <v>379</v>
      </c>
      <c r="C5986" s="21" t="n">
        <f aca="false">MIN($G$5983:$K$5983)</f>
        <v>-0.300436485836599</v>
      </c>
    </row>
    <row r="5987" customFormat="false" ht="15" hidden="false" customHeight="false" outlineLevel="0" collapsed="false">
      <c r="A5987" s="23" t="s">
        <v>381</v>
      </c>
      <c r="B5987" s="24"/>
      <c r="C5987" s="24"/>
      <c r="D5987" s="24"/>
      <c r="E5987" s="24"/>
      <c r="F5987" s="24"/>
      <c r="G5987" s="24"/>
      <c r="H5987" s="24"/>
      <c r="I5987" s="24"/>
      <c r="J5987" s="24"/>
      <c r="K5987" s="24"/>
    </row>
    <row r="5988" customFormat="false" ht="15" hidden="false" customHeight="false" outlineLevel="0" collapsed="false">
      <c r="A5988" s="3" t="s">
        <v>373</v>
      </c>
      <c r="G5988" s="25" t="n">
        <f aca="false">G5966</f>
        <v>564.43577743</v>
      </c>
      <c r="H5988" s="25" t="n">
        <f aca="false">H5966</f>
        <v>633.0995043628</v>
      </c>
      <c r="I5988" s="25" t="n">
        <f aca="false">I5966</f>
        <v>248.126469572218</v>
      </c>
      <c r="J5988" s="25" t="n">
        <f aca="false">J5966</f>
        <v>274.106090224827</v>
      </c>
      <c r="K5988" s="25" t="n">
        <f aca="false">K5966</f>
        <v>276.594598670357</v>
      </c>
    </row>
    <row r="5989" customFormat="false" ht="15" hidden="false" customHeight="false" outlineLevel="0" collapsed="false">
      <c r="A5989" s="3" t="s">
        <v>374</v>
      </c>
      <c r="G5989" s="29" t="n">
        <f aca="false">Assumptions!$G$67</f>
        <v>200</v>
      </c>
      <c r="H5989" s="29" t="n">
        <f aca="false">Assumptions!$H$67</f>
        <v>200</v>
      </c>
      <c r="I5989" s="29" t="n">
        <f aca="false">Assumptions!$I$67</f>
        <v>200</v>
      </c>
      <c r="J5989" s="29" t="n">
        <f aca="false">Assumptions!$J$67</f>
        <v>200</v>
      </c>
      <c r="K5989" s="29" t="n">
        <f aca="false">Assumptions!$K$67</f>
        <v>200</v>
      </c>
    </row>
    <row r="5990" customFormat="false" ht="15" hidden="false" customHeight="false" outlineLevel="0" collapsed="false">
      <c r="A5990" s="3" t="s">
        <v>375</v>
      </c>
      <c r="G5990" s="25" t="n">
        <f aca="false">G5988-G5989</f>
        <v>364.43577743</v>
      </c>
      <c r="H5990" s="25" t="n">
        <f aca="false">H5988-H5989</f>
        <v>433.0995043628</v>
      </c>
      <c r="I5990" s="25" t="n">
        <f aca="false">I5988-I5989</f>
        <v>48.126469572218</v>
      </c>
      <c r="J5990" s="25" t="n">
        <f aca="false">J5988-J5989</f>
        <v>74.1060902248266</v>
      </c>
      <c r="K5990" s="25" t="n">
        <f aca="false">K5988-K5989</f>
        <v>76.5945986703572</v>
      </c>
    </row>
    <row r="5991" customFormat="false" ht="15" hidden="false" customHeight="false" outlineLevel="0" collapsed="false">
      <c r="A5991" s="3" t="s">
        <v>376</v>
      </c>
      <c r="G5991" s="21" t="n">
        <f aca="false">IF(G5989=0,0,G5990/ABS(G5989))</f>
        <v>1.82217888715</v>
      </c>
      <c r="H5991" s="21" t="n">
        <f aca="false">IF(H5989=0,0,H5990/ABS(H5989))</f>
        <v>2.165497521814</v>
      </c>
      <c r="I5991" s="21" t="n">
        <f aca="false">IF(I5989=0,0,I5990/ABS(I5989))</f>
        <v>0.24063234786109</v>
      </c>
      <c r="J5991" s="21" t="n">
        <f aca="false">IF(J5989=0,0,J5990/ABS(J5989))</f>
        <v>0.370530451124133</v>
      </c>
      <c r="K5991" s="21" t="n">
        <f aca="false">IF(K5989=0,0,K5990/ABS(K5989))</f>
        <v>0.382972993351786</v>
      </c>
    </row>
    <row r="5992" customFormat="false" ht="15" hidden="false" customHeight="false" outlineLevel="0" collapsed="false">
      <c r="A5992" s="3" t="s">
        <v>377</v>
      </c>
      <c r="G5992" s="20" t="n">
        <f aca="false">IF(G5990&lt;0,1,0)</f>
        <v>0</v>
      </c>
      <c r="H5992" s="20" t="n">
        <f aca="false">IF(H5990&lt;0,1,0)</f>
        <v>0</v>
      </c>
      <c r="I5992" s="20" t="n">
        <f aca="false">IF(I5990&lt;0,1,0)</f>
        <v>0</v>
      </c>
      <c r="J5992" s="20" t="n">
        <f aca="false">IF(J5990&lt;0,1,0)</f>
        <v>0</v>
      </c>
      <c r="K5992" s="20" t="n">
        <f aca="false">IF(K5990&lt;0,1,0)</f>
        <v>0</v>
      </c>
    </row>
    <row r="5993" customFormat="false" ht="15" hidden="false" customHeight="false" outlineLevel="0" collapsed="false">
      <c r="A5993" s="3" t="s">
        <v>378</v>
      </c>
      <c r="C5993" s="20" t="n">
        <f aca="false">IFERROR(INDEX($G$5845:$K$5845,MATCH(1,$G$5992:$K$5992,0)),0)</f>
        <v>0</v>
      </c>
    </row>
    <row r="5994" customFormat="false" ht="15" hidden="false" customHeight="false" outlineLevel="0" collapsed="false">
      <c r="A5994" s="3" t="s">
        <v>379</v>
      </c>
      <c r="C5994" s="21" t="n">
        <f aca="false">MIN($G$5991:$K$5991)</f>
        <v>0.24063234786109</v>
      </c>
    </row>
    <row r="5995" customFormat="false" ht="15" hidden="false" customHeight="false" outlineLevel="0" collapsed="false">
      <c r="A5995" s="3" t="s">
        <v>382</v>
      </c>
      <c r="G5995" s="20" t="n">
        <f aca="false">G5976+G5984+G5992</f>
        <v>0</v>
      </c>
      <c r="H5995" s="20" t="n">
        <f aca="false">H5976+H5984+H5992</f>
        <v>0</v>
      </c>
      <c r="I5995" s="20" t="n">
        <f aca="false">I5976+I5984+I5992</f>
        <v>2</v>
      </c>
      <c r="J5995" s="20" t="n">
        <f aca="false">J5976+J5984+J5992</f>
        <v>2</v>
      </c>
      <c r="K5995" s="20" t="n">
        <f aca="false">K5976+K5984+K5992</f>
        <v>2</v>
      </c>
    </row>
    <row r="5996" customFormat="false" ht="15" hidden="false" customHeight="false" outlineLevel="0" collapsed="false">
      <c r="A5996" s="3" t="s">
        <v>383</v>
      </c>
      <c r="C5996" s="20" t="n">
        <f aca="false">SUM($G$5995:$K$5995)</f>
        <v>6</v>
      </c>
    </row>
    <row r="5997" customFormat="false" ht="15" hidden="false" customHeight="false" outlineLevel="0" collapsed="false">
      <c r="A5997" s="3" t="s">
        <v>384</v>
      </c>
      <c r="C5997" s="21" t="n">
        <f aca="false">MIN(C5978,C5986,C5994)</f>
        <v>-0.433415488431581</v>
      </c>
    </row>
    <row r="5999" customFormat="false" ht="15" hidden="false" customHeight="false" outlineLevel="0" collapsed="false">
      <c r="A5999" s="23" t="s">
        <v>486</v>
      </c>
      <c r="B5999" s="24"/>
      <c r="C5999" s="24"/>
      <c r="D5999" s="24"/>
      <c r="E5999" s="24"/>
      <c r="F5999" s="24"/>
      <c r="G5999" s="24"/>
      <c r="H5999" s="24"/>
      <c r="I5999" s="24"/>
      <c r="J5999" s="24"/>
      <c r="K5999" s="24"/>
    </row>
    <row r="6000" customFormat="false" ht="15" hidden="false" customHeight="false" outlineLevel="0" collapsed="false">
      <c r="A6000" s="3" t="s">
        <v>487</v>
      </c>
      <c r="G6000" s="20" t="n">
        <f aca="false">IF($C$6001=1,G5953,IF(G5855=MIN($G$5855:$K$5855),1,0))</f>
        <v>0</v>
      </c>
      <c r="H6000" s="20" t="n">
        <f aca="false">IF($C$6001=1,H5953,IF(AND(H5855=MIN($G$5855:$K$5855),SUM($G$6000:G6000)=0),1,0))</f>
        <v>0</v>
      </c>
      <c r="I6000" s="20" t="n">
        <f aca="false">IF($C$6001=1,I5953,IF(AND(I5855=MIN($G$5855:$K$5855),SUM($G$6000:H6000)=0),1,0))</f>
        <v>0</v>
      </c>
      <c r="J6000" s="20" t="n">
        <f aca="false">IF($C$6001=1,J5953,IF(AND(J5855=MIN($G$5855:$K$5855),SUM($G$6000:I6000)=0),1,0))</f>
        <v>0</v>
      </c>
      <c r="K6000" s="20" t="n">
        <f aca="false">IF($C$6001=1,K5953,IF(AND(K5855=MIN($G$5855:$K$5855),SUM($G$6000:J6000)=0),1,0))</f>
        <v>1</v>
      </c>
    </row>
    <row r="6001" customFormat="false" ht="15" hidden="false" customHeight="false" outlineLevel="0" collapsed="false">
      <c r="A6001" s="3" t="s">
        <v>488</v>
      </c>
      <c r="C6001" s="20" t="n">
        <f aca="false">IF(SUM($G$5953:$K$5953)&gt;0,1,0)</f>
        <v>0</v>
      </c>
    </row>
    <row r="6002" customFormat="false" ht="15" hidden="false" customHeight="false" outlineLevel="0" collapsed="false">
      <c r="A6002" s="3" t="s">
        <v>489</v>
      </c>
      <c r="C6002" s="20" t="n">
        <f aca="false">SUMPRODUCT($G$6000:$K$6000,$G$5845:$K$5845)</f>
        <v>2031</v>
      </c>
    </row>
    <row r="6003" customFormat="false" ht="15" hidden="false" customHeight="false" outlineLevel="0" collapsed="false">
      <c r="A6003" s="3" t="s">
        <v>490</v>
      </c>
      <c r="C6003" s="25" t="n">
        <f aca="false">SUMPRODUCT($G$6000:$K$6000,$G$5855:$K$5855)</f>
        <v>144.899146090008</v>
      </c>
    </row>
    <row r="6004" customFormat="false" ht="15" hidden="false" customHeight="false" outlineLevel="0" collapsed="false">
      <c r="A6004" s="3" t="s">
        <v>491</v>
      </c>
      <c r="C6004" s="25" t="n">
        <f aca="false">MAX(0,SUMPRODUCT($G$6000:$K$6000,$G$5950:$K$5950))</f>
        <v>276.594598670357</v>
      </c>
    </row>
    <row r="6005" customFormat="false" ht="15" hidden="false" customHeight="false" outlineLevel="0" collapsed="false">
      <c r="A6005" s="3" t="s">
        <v>492</v>
      </c>
      <c r="C6005" s="25" t="n">
        <f aca="false">(CHOOSE($C$5838,Assumptions!$C$84,Assumptions!$C$103,Assumptions!$C$122)+$C$5842)*C6003</f>
        <v>724.495730450042</v>
      </c>
    </row>
    <row r="6006" customFormat="false" ht="15" hidden="false" customHeight="false" outlineLevel="0" collapsed="false">
      <c r="A6006" s="3" t="s">
        <v>493</v>
      </c>
      <c r="C6006" s="25" t="n">
        <f aca="false">Assumptions!$C$30*(1-CHOOSE($C$5838,Assumptions!$C$85,Assumptions!$C$104,Assumptions!$C$123))*CHOOSE($C$5838,Assumptions!$C$86,Assumptions!$C$105,Assumptions!$C$124)</f>
        <v>736.4913</v>
      </c>
    </row>
    <row r="6007" customFormat="false" ht="15" hidden="false" customHeight="false" outlineLevel="0" collapsed="false">
      <c r="A6007" s="3" t="s">
        <v>494</v>
      </c>
      <c r="C6007" s="25" t="n">
        <f aca="false">MAX(C6005,C6006)+C6004</f>
        <v>1013.08589867036</v>
      </c>
    </row>
    <row r="6008" customFormat="false" ht="15" hidden="false" customHeight="false" outlineLevel="0" collapsed="false">
      <c r="A6008" s="2" t="s">
        <v>495</v>
      </c>
      <c r="C6008" s="16" t="n">
        <f aca="false">IF(ISNUMBER(Assumptions!$C$14),Assumptions!$C$14,C6007)</f>
        <v>1013.08589867036</v>
      </c>
    </row>
    <row r="6009" customFormat="false" ht="15" hidden="false" customHeight="false" outlineLevel="0" collapsed="false">
      <c r="A6009" s="3" t="s">
        <v>496</v>
      </c>
      <c r="C6009" s="25" t="n">
        <f aca="false">C6008*Assumptions!$C$15</f>
        <v>40.5234359468143</v>
      </c>
    </row>
    <row r="6010" customFormat="false" ht="15" hidden="false" customHeight="false" outlineLevel="0" collapsed="false">
      <c r="A6010" s="2" t="s">
        <v>497</v>
      </c>
      <c r="C6010" s="16" t="n">
        <f aca="false">C6008-C6009</f>
        <v>972.562462723543</v>
      </c>
    </row>
    <row r="6011" customFormat="false" ht="15" hidden="false" customHeight="false" outlineLevel="0" collapsed="false">
      <c r="A6011" s="23" t="s">
        <v>498</v>
      </c>
      <c r="B6011" s="24"/>
      <c r="C6011" s="24"/>
      <c r="D6011" s="24"/>
      <c r="E6011" s="24"/>
      <c r="F6011" s="24"/>
      <c r="G6011" s="24"/>
      <c r="H6011" s="24"/>
      <c r="I6011" s="24"/>
      <c r="J6011" s="24"/>
      <c r="K6011" s="24"/>
    </row>
    <row r="6012" customFormat="false" ht="15" hidden="false" customHeight="false" outlineLevel="0" collapsed="false">
      <c r="A6012" s="3" t="s">
        <v>499</v>
      </c>
      <c r="C6012" s="25" t="n">
        <f aca="false">SUMPRODUCT($G$6000:$K$6000,$G$5892:$K$5892)*(1+SUMPRODUCT($G$6000:$K$6000,$G$5884:$K$5884)*Assumptions!$C$16/12)</f>
        <v>1349.6193225</v>
      </c>
    </row>
    <row r="6013" customFormat="false" ht="15" hidden="false" customHeight="false" outlineLevel="0" collapsed="false">
      <c r="A6013" s="3" t="s">
        <v>500</v>
      </c>
      <c r="C6013" s="25" t="n">
        <f aca="false">SUMPRODUCT($G$6000:$K$6000,$G$5905:$K$5905)*(1+SUMPRODUCT($G$6000:$K$6000,$G$5897:$K$5897)*Assumptions!$C$16/12)</f>
        <v>0</v>
      </c>
    </row>
    <row r="6014" customFormat="false" ht="15" hidden="false" customHeight="false" outlineLevel="0" collapsed="false">
      <c r="A6014" s="3" t="s">
        <v>501</v>
      </c>
      <c r="C6014" s="25" t="n">
        <f aca="false">SUMPRODUCT($G$6000:$K$6000,$G$5918:$K$5918)*(1+SUMPRODUCT($G$6000:$K$6000,$G$5910:$K$5910)*Assumptions!$C$16/12)</f>
        <v>0</v>
      </c>
    </row>
    <row r="6015" customFormat="false" ht="15" hidden="false" customHeight="false" outlineLevel="0" collapsed="false">
      <c r="A6015" s="23" t="s">
        <v>502</v>
      </c>
      <c r="B6015" s="24"/>
      <c r="C6015" s="24"/>
      <c r="D6015" s="24"/>
      <c r="E6015" s="24"/>
      <c r="F6015" s="24"/>
      <c r="G6015" s="24"/>
      <c r="H6015" s="24"/>
      <c r="I6015" s="24"/>
      <c r="J6015" s="24"/>
      <c r="K6015" s="24"/>
    </row>
    <row r="6016" customFormat="false" ht="15" hidden="false" customHeight="false" outlineLevel="0" collapsed="false">
      <c r="A6016" s="3" t="s">
        <v>499</v>
      </c>
      <c r="C6016" s="27" t="n">
        <f aca="false">Assumptions!$M$56</f>
        <v>1</v>
      </c>
    </row>
    <row r="6017" customFormat="false" ht="15" hidden="false" customHeight="false" outlineLevel="0" collapsed="false">
      <c r="A6017" s="3" t="s">
        <v>500</v>
      </c>
      <c r="C6017" s="27" t="n">
        <f aca="false">Assumptions!$M$57</f>
        <v>2</v>
      </c>
    </row>
    <row r="6018" customFormat="false" ht="15" hidden="false" customHeight="false" outlineLevel="0" collapsed="false">
      <c r="A6018" s="3" t="s">
        <v>501</v>
      </c>
      <c r="C6018" s="27" t="n">
        <f aca="false">Assumptions!$M$58</f>
        <v>2</v>
      </c>
    </row>
    <row r="6019" customFormat="false" ht="15" hidden="false" customHeight="false" outlineLevel="0" collapsed="false">
      <c r="A6019" s="23" t="s">
        <v>503</v>
      </c>
      <c r="B6019" s="24"/>
      <c r="C6019" s="24"/>
      <c r="D6019" s="24"/>
      <c r="E6019" s="24"/>
      <c r="F6019" s="24"/>
      <c r="G6019" s="24"/>
      <c r="H6019" s="24"/>
      <c r="I6019" s="24"/>
      <c r="J6019" s="24"/>
      <c r="K6019" s="24"/>
    </row>
    <row r="6020" customFormat="false" ht="15" hidden="false" customHeight="false" outlineLevel="0" collapsed="false">
      <c r="A6020" s="3" t="s">
        <v>499</v>
      </c>
      <c r="C6020" s="35" t="n">
        <f aca="false">Assumptions!$Q$56</f>
        <v>0</v>
      </c>
    </row>
    <row r="6021" customFormat="false" ht="15" hidden="false" customHeight="false" outlineLevel="0" collapsed="false">
      <c r="A6021" s="3" t="s">
        <v>500</v>
      </c>
      <c r="C6021" s="35" t="n">
        <f aca="false">Assumptions!$Q$57</f>
        <v>0</v>
      </c>
    </row>
    <row r="6022" customFormat="false" ht="15" hidden="false" customHeight="false" outlineLevel="0" collapsed="false">
      <c r="A6022" s="3" t="s">
        <v>501</v>
      </c>
      <c r="C6022" s="35" t="n">
        <f aca="false">Assumptions!$Q$58</f>
        <v>0</v>
      </c>
    </row>
    <row r="6023" customFormat="false" ht="15" hidden="false" customHeight="false" outlineLevel="0" collapsed="false">
      <c r="A6023" s="23" t="s">
        <v>504</v>
      </c>
      <c r="B6023" s="24"/>
      <c r="C6023" s="24"/>
      <c r="D6023" s="24"/>
      <c r="E6023" s="24"/>
      <c r="F6023" s="24"/>
      <c r="G6023" s="24"/>
      <c r="H6023" s="24"/>
      <c r="I6023" s="24"/>
      <c r="J6023" s="24"/>
      <c r="K6023" s="24"/>
    </row>
    <row r="6024" customFormat="false" ht="15" hidden="false" customHeight="false" outlineLevel="0" collapsed="false">
      <c r="A6024" s="3" t="s">
        <v>499</v>
      </c>
      <c r="C6024" s="25" t="n">
        <f aca="false">IF(C6020&gt;0,MIN(C6012,C6020*$C$6010),0)</f>
        <v>0</v>
      </c>
    </row>
    <row r="6025" customFormat="false" ht="15" hidden="false" customHeight="false" outlineLevel="0" collapsed="false">
      <c r="A6025" s="3" t="s">
        <v>500</v>
      </c>
      <c r="C6025" s="25" t="n">
        <f aca="false">IF(C6021&gt;0,MIN(C6013,C6021*$C$6010),0)</f>
        <v>0</v>
      </c>
    </row>
    <row r="6026" customFormat="false" ht="15" hidden="false" customHeight="false" outlineLevel="0" collapsed="false">
      <c r="A6026" s="3" t="s">
        <v>501</v>
      </c>
      <c r="C6026" s="25" t="n">
        <f aca="false">IF(C6022&gt;0,MIN(C6014,C6022*$C$6010),0)</f>
        <v>0</v>
      </c>
    </row>
    <row r="6027" customFormat="false" ht="15" hidden="false" customHeight="false" outlineLevel="0" collapsed="false">
      <c r="A6027" s="23" t="s">
        <v>505</v>
      </c>
      <c r="B6027" s="24"/>
      <c r="C6027" s="24"/>
      <c r="D6027" s="24"/>
      <c r="E6027" s="24"/>
      <c r="F6027" s="24"/>
      <c r="G6027" s="24"/>
      <c r="H6027" s="24"/>
      <c r="I6027" s="24"/>
      <c r="J6027" s="24"/>
      <c r="K6027" s="24"/>
    </row>
    <row r="6028" customFormat="false" ht="15" hidden="false" customHeight="false" outlineLevel="0" collapsed="false">
      <c r="A6028" s="3" t="s">
        <v>499</v>
      </c>
      <c r="C6028" s="25" t="n">
        <f aca="false">IF(C6020&gt;0,C6012-C6024,0)</f>
        <v>0</v>
      </c>
      <c r="G6028" s="20" t="n">
        <f aca="false">IF(AND(G5882=1,G5879=1),1,0)</f>
        <v>0</v>
      </c>
      <c r="H6028" s="20" t="n">
        <f aca="false">IF(G6028=1,1,IF(AND(H5882=1,H5879=1),1,0))</f>
        <v>0</v>
      </c>
      <c r="I6028" s="20" t="n">
        <f aca="false">IF(H6028=1,1,IF(AND(I5882=1,I5879=1),1,0))</f>
        <v>0</v>
      </c>
      <c r="J6028" s="20" t="n">
        <f aca="false">IF(I6028=1,1,IF(AND(J5882=1,J5879=1),1,0))</f>
        <v>0</v>
      </c>
      <c r="K6028" s="20" t="n">
        <f aca="false">IF(J6028=1,1,IF(AND(K5882=1,K5879=1),1,0))</f>
        <v>0</v>
      </c>
    </row>
    <row r="6029" customFormat="false" ht="15" hidden="false" customHeight="false" outlineLevel="0" collapsed="false">
      <c r="A6029" s="3" t="s">
        <v>500</v>
      </c>
      <c r="C6029" s="25" t="n">
        <f aca="false">IF(C6021&gt;0,C6013-C6025,0)</f>
        <v>0</v>
      </c>
      <c r="G6029" s="20" t="n">
        <f aca="false">IF(AND(G5895=1,G5879=1),1,0)</f>
        <v>0</v>
      </c>
      <c r="H6029" s="20" t="n">
        <f aca="false">IF(G6029=1,1,IF(AND(H5895=1,H5879=1),1,0))</f>
        <v>0</v>
      </c>
      <c r="I6029" s="20" t="n">
        <f aca="false">IF(H6029=1,1,IF(AND(I5895=1,I5879=1),1,0))</f>
        <v>0</v>
      </c>
      <c r="J6029" s="20" t="n">
        <f aca="false">IF(I6029=1,1,IF(AND(J5895=1,J5879=1),1,0))</f>
        <v>0</v>
      </c>
      <c r="K6029" s="20" t="n">
        <f aca="false">IF(J6029=1,1,IF(AND(K5895=1,K5879=1),1,0))</f>
        <v>0</v>
      </c>
    </row>
    <row r="6030" customFormat="false" ht="15" hidden="false" customHeight="false" outlineLevel="0" collapsed="false">
      <c r="A6030" s="3" t="s">
        <v>501</v>
      </c>
      <c r="C6030" s="25" t="n">
        <f aca="false">IF(C6022&gt;0,C6014-C6026,0)</f>
        <v>0</v>
      </c>
      <c r="G6030" s="20" t="n">
        <f aca="false">IF(AND(G5908=1,G5879=1),1,0)</f>
        <v>0</v>
      </c>
      <c r="H6030" s="20" t="n">
        <f aca="false">IF(G6030=1,1,IF(AND(H5908=1,H5879=1),1,0))</f>
        <v>0</v>
      </c>
      <c r="I6030" s="20" t="n">
        <f aca="false">IF(H6030=1,1,IF(AND(I5908=1,I5879=1),1,0))</f>
        <v>0</v>
      </c>
      <c r="J6030" s="20" t="n">
        <f aca="false">IF(I6030=1,1,IF(AND(J5908=1,J5879=1),1,0))</f>
        <v>0</v>
      </c>
      <c r="K6030" s="20" t="n">
        <f aca="false">IF(J6030=1,1,IF(AND(K5908=1,K5879=1),1,0))</f>
        <v>0</v>
      </c>
    </row>
    <row r="6031" customFormat="false" ht="15" hidden="false" customHeight="false" outlineLevel="0" collapsed="false">
      <c r="A6031" s="23" t="s">
        <v>506</v>
      </c>
      <c r="B6031" s="24"/>
      <c r="C6031" s="24"/>
      <c r="D6031" s="24"/>
      <c r="E6031" s="24"/>
      <c r="F6031" s="24"/>
      <c r="G6031" s="24"/>
      <c r="H6031" s="24"/>
      <c r="I6031" s="24"/>
      <c r="J6031" s="24"/>
      <c r="K6031" s="24"/>
    </row>
    <row r="6032" customFormat="false" ht="15" hidden="false" customHeight="false" outlineLevel="0" collapsed="false">
      <c r="A6032" s="3" t="s">
        <v>499</v>
      </c>
      <c r="C6032" s="25" t="n">
        <f aca="false">IF(C6020&gt;0,C6028,C6012)</f>
        <v>1349.6193225</v>
      </c>
    </row>
    <row r="6033" customFormat="false" ht="15" hidden="false" customHeight="false" outlineLevel="0" collapsed="false">
      <c r="A6033" s="3" t="s">
        <v>500</v>
      </c>
      <c r="C6033" s="25" t="n">
        <f aca="false">IF(C6021&gt;0,C6029,C6013)</f>
        <v>0</v>
      </c>
    </row>
    <row r="6034" customFormat="false" ht="15" hidden="false" customHeight="false" outlineLevel="0" collapsed="false">
      <c r="A6034" s="3" t="s">
        <v>501</v>
      </c>
      <c r="C6034" s="25" t="n">
        <f aca="false">IF(C6022&gt;0,C6030,C6014)</f>
        <v>0</v>
      </c>
    </row>
    <row r="6035" customFormat="false" ht="15" hidden="false" customHeight="false" outlineLevel="0" collapsed="false">
      <c r="A6035" s="23" t="s">
        <v>507</v>
      </c>
      <c r="B6035" s="24"/>
      <c r="C6035" s="24"/>
      <c r="D6035" s="24"/>
      <c r="E6035" s="24"/>
      <c r="F6035" s="24"/>
      <c r="G6035" s="24"/>
      <c r="H6035" s="24"/>
      <c r="I6035" s="24"/>
      <c r="J6035" s="24"/>
      <c r="K6035" s="24"/>
    </row>
    <row r="6036" customFormat="false" ht="15" hidden="false" customHeight="false" outlineLevel="0" collapsed="false">
      <c r="A6036" s="3" t="s">
        <v>499</v>
      </c>
      <c r="C6036" s="20" t="n">
        <f aca="false">IF(C6020&gt;0,Assumptions!$C$17,C6016)</f>
        <v>1</v>
      </c>
    </row>
    <row r="6037" customFormat="false" ht="15" hidden="false" customHeight="false" outlineLevel="0" collapsed="false">
      <c r="A6037" s="3" t="s">
        <v>500</v>
      </c>
      <c r="C6037" s="20" t="n">
        <f aca="false">IF(C6021&gt;0,Assumptions!$C$17,C6017)</f>
        <v>2</v>
      </c>
    </row>
    <row r="6038" customFormat="false" ht="15" hidden="false" customHeight="false" outlineLevel="0" collapsed="false">
      <c r="A6038" s="3" t="s">
        <v>501</v>
      </c>
      <c r="C6038" s="20" t="n">
        <f aca="false">IF(C6022&gt;0,Assumptions!$C$17,C6018)</f>
        <v>2</v>
      </c>
    </row>
    <row r="6039" customFormat="false" ht="15" hidden="false" customHeight="false" outlineLevel="0" collapsed="false">
      <c r="A6039" s="23" t="s">
        <v>508</v>
      </c>
      <c r="B6039" s="24"/>
      <c r="C6039" s="24"/>
      <c r="D6039" s="24"/>
      <c r="E6039" s="24"/>
      <c r="F6039" s="24"/>
      <c r="G6039" s="24"/>
      <c r="H6039" s="24"/>
      <c r="I6039" s="24"/>
      <c r="J6039" s="24"/>
      <c r="K6039" s="24"/>
    </row>
    <row r="6040" customFormat="false" ht="15" hidden="false" customHeight="false" outlineLevel="0" collapsed="false">
      <c r="A6040" s="3" t="s">
        <v>499</v>
      </c>
      <c r="C6040" s="25" t="n">
        <f aca="false">SUMPRODUCT(($C$6036:$C$6038&lt;C6036)*$C$6032:$C$6034)</f>
        <v>0</v>
      </c>
    </row>
    <row r="6041" customFormat="false" ht="15" hidden="false" customHeight="false" outlineLevel="0" collapsed="false">
      <c r="A6041" s="3" t="s">
        <v>500</v>
      </c>
      <c r="C6041" s="25" t="n">
        <f aca="false">SUMPRODUCT(($C$6036:$C$6038&lt;C6037)*$C$6032:$C$6034)</f>
        <v>1349.6193225</v>
      </c>
    </row>
    <row r="6042" customFormat="false" ht="15" hidden="false" customHeight="false" outlineLevel="0" collapsed="false">
      <c r="A6042" s="3" t="s">
        <v>501</v>
      </c>
      <c r="C6042" s="25" t="n">
        <f aca="false">SUMPRODUCT(($C$6036:$C$6038&lt;C6038)*$C$6032:$C$6034)</f>
        <v>1349.6193225</v>
      </c>
    </row>
    <row r="6043" customFormat="false" ht="15" hidden="false" customHeight="false" outlineLevel="0" collapsed="false">
      <c r="A6043" s="23" t="s">
        <v>509</v>
      </c>
      <c r="B6043" s="24"/>
      <c r="C6043" s="24"/>
      <c r="D6043" s="24"/>
      <c r="E6043" s="24"/>
      <c r="F6043" s="24"/>
      <c r="G6043" s="24"/>
      <c r="H6043" s="24"/>
      <c r="I6043" s="24"/>
      <c r="J6043" s="24"/>
      <c r="K6043" s="24"/>
    </row>
    <row r="6044" customFormat="false" ht="15" hidden="false" customHeight="false" outlineLevel="0" collapsed="false">
      <c r="A6044" s="3" t="s">
        <v>499</v>
      </c>
      <c r="C6044" s="25" t="n">
        <f aca="false">SUMPRODUCT(($C$6036:$C$6038=C6036)*$C$6032:$C$6034)</f>
        <v>1349.6193225</v>
      </c>
    </row>
    <row r="6045" customFormat="false" ht="15" hidden="false" customHeight="false" outlineLevel="0" collapsed="false">
      <c r="A6045" s="3" t="s">
        <v>500</v>
      </c>
      <c r="C6045" s="25" t="n">
        <f aca="false">SUMPRODUCT(($C$6036:$C$6038=C6037)*$C$6032:$C$6034)</f>
        <v>0</v>
      </c>
    </row>
    <row r="6046" customFormat="false" ht="15" hidden="false" customHeight="false" outlineLevel="0" collapsed="false">
      <c r="A6046" s="3" t="s">
        <v>501</v>
      </c>
      <c r="C6046" s="25" t="n">
        <f aca="false">SUMPRODUCT(($C$6036:$C$6038=C6038)*$C$6032:$C$6034)</f>
        <v>0</v>
      </c>
    </row>
    <row r="6047" customFormat="false" ht="15" hidden="false" customHeight="false" outlineLevel="0" collapsed="false">
      <c r="A6047" s="23" t="s">
        <v>510</v>
      </c>
      <c r="B6047" s="24"/>
      <c r="C6047" s="24"/>
      <c r="D6047" s="24"/>
      <c r="E6047" s="24"/>
      <c r="F6047" s="24"/>
      <c r="G6047" s="24"/>
      <c r="H6047" s="24"/>
      <c r="I6047" s="24"/>
      <c r="J6047" s="24"/>
      <c r="K6047" s="24"/>
    </row>
    <row r="6048" customFormat="false" ht="15" hidden="false" customHeight="false" outlineLevel="0" collapsed="false">
      <c r="A6048" s="3" t="s">
        <v>499</v>
      </c>
      <c r="C6048" s="25" t="n">
        <f aca="false">IF(C6044=0,0,C6032/C6044*MAX(0,MIN(C6044,$C$6010-SUM($C$6024:$C$6026)-C6040)))</f>
        <v>972.562462723543</v>
      </c>
    </row>
    <row r="6049" customFormat="false" ht="15" hidden="false" customHeight="false" outlineLevel="0" collapsed="false">
      <c r="A6049" s="3" t="s">
        <v>500</v>
      </c>
      <c r="C6049" s="25" t="n">
        <f aca="false">IF(C6045=0,0,C6033/C6045*MAX(0,MIN(C6045,$C$6010-SUM($C$6024:$C$6026)-C6041)))</f>
        <v>0</v>
      </c>
    </row>
    <row r="6050" customFormat="false" ht="15" hidden="false" customHeight="false" outlineLevel="0" collapsed="false">
      <c r="A6050" s="3" t="s">
        <v>501</v>
      </c>
      <c r="C6050" s="25" t="n">
        <f aca="false">IF(C6046=0,0,C6034/C6046*MAX(0,MIN(C6046,$C$6010-SUM($C$6024:$C$6026)-C6042)))</f>
        <v>0</v>
      </c>
    </row>
    <row r="6051" customFormat="false" ht="15" hidden="false" customHeight="false" outlineLevel="0" collapsed="false">
      <c r="A6051" s="23" t="s">
        <v>511</v>
      </c>
      <c r="B6051" s="24"/>
      <c r="C6051" s="24"/>
      <c r="D6051" s="24"/>
      <c r="E6051" s="24"/>
      <c r="F6051" s="24"/>
      <c r="G6051" s="24"/>
      <c r="H6051" s="24"/>
      <c r="I6051" s="24"/>
      <c r="J6051" s="24"/>
      <c r="K6051" s="24"/>
    </row>
    <row r="6052" customFormat="false" ht="15" hidden="false" customHeight="false" outlineLevel="0" collapsed="false">
      <c r="A6052" s="2" t="s">
        <v>499</v>
      </c>
      <c r="C6052" s="16" t="n">
        <f aca="false">C6024+C6048</f>
        <v>972.562462723543</v>
      </c>
    </row>
    <row r="6053" customFormat="false" ht="15" hidden="false" customHeight="false" outlineLevel="0" collapsed="false">
      <c r="A6053" s="2" t="s">
        <v>500</v>
      </c>
      <c r="C6053" s="16" t="n">
        <f aca="false">C6025+C6049</f>
        <v>0</v>
      </c>
    </row>
    <row r="6054" customFormat="false" ht="15" hidden="false" customHeight="false" outlineLevel="0" collapsed="false">
      <c r="A6054" s="2" t="s">
        <v>501</v>
      </c>
      <c r="C6054" s="16" t="n">
        <f aca="false">C6026+C6050</f>
        <v>0</v>
      </c>
    </row>
    <row r="6055" customFormat="false" ht="15" hidden="false" customHeight="false" outlineLevel="0" collapsed="false">
      <c r="A6055" s="23" t="s">
        <v>512</v>
      </c>
      <c r="B6055" s="24"/>
      <c r="C6055" s="24"/>
      <c r="D6055" s="24"/>
      <c r="E6055" s="24"/>
      <c r="F6055" s="24"/>
      <c r="G6055" s="24"/>
      <c r="H6055" s="24"/>
      <c r="I6055" s="24"/>
      <c r="J6055" s="24"/>
      <c r="K6055" s="24"/>
    </row>
    <row r="6056" customFormat="false" ht="15" hidden="false" customHeight="false" outlineLevel="0" collapsed="false">
      <c r="A6056" s="3" t="s">
        <v>499</v>
      </c>
      <c r="C6056" s="21" t="n">
        <f aca="false">IF(C6012=0,1,C6052/C6012)</f>
        <v>0.720619841839544</v>
      </c>
    </row>
    <row r="6057" customFormat="false" ht="15" hidden="false" customHeight="false" outlineLevel="0" collapsed="false">
      <c r="A6057" s="3" t="s">
        <v>500</v>
      </c>
      <c r="C6057" s="21" t="n">
        <f aca="false">IF(C6013=0,1,C6053/C6013)</f>
        <v>1</v>
      </c>
    </row>
    <row r="6058" customFormat="false" ht="15" hidden="false" customHeight="false" outlineLevel="0" collapsed="false">
      <c r="A6058" s="3" t="s">
        <v>501</v>
      </c>
      <c r="C6058" s="21" t="n">
        <f aca="false">IF(C6014=0,1,C6054/C6014)</f>
        <v>1</v>
      </c>
    </row>
    <row r="6059" customFormat="false" ht="15" hidden="false" customHeight="false" outlineLevel="0" collapsed="false">
      <c r="A6059" s="23" t="s">
        <v>513</v>
      </c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</row>
    <row r="6060" customFormat="false" ht="15" hidden="false" customHeight="false" outlineLevel="0" collapsed="false">
      <c r="A6060" s="3" t="s">
        <v>499</v>
      </c>
      <c r="C6060" s="25" t="n">
        <f aca="false">C6012-C6052</f>
        <v>377.056859776457</v>
      </c>
    </row>
    <row r="6061" customFormat="false" ht="15" hidden="false" customHeight="false" outlineLevel="0" collapsed="false">
      <c r="A6061" s="3" t="s">
        <v>500</v>
      </c>
      <c r="C6061" s="25" t="n">
        <f aca="false">C6013-C6053</f>
        <v>0</v>
      </c>
    </row>
    <row r="6062" customFormat="false" ht="15" hidden="false" customHeight="false" outlineLevel="0" collapsed="false">
      <c r="A6062" s="3" t="s">
        <v>501</v>
      </c>
      <c r="C6062" s="25" t="n">
        <f aca="false">C6014-C6054</f>
        <v>0</v>
      </c>
    </row>
    <row r="6063" customFormat="false" ht="15" hidden="false" customHeight="false" outlineLevel="0" collapsed="false">
      <c r="A6063" s="23" t="s">
        <v>514</v>
      </c>
      <c r="B6063" s="24"/>
      <c r="C6063" s="24"/>
      <c r="D6063" s="24"/>
      <c r="E6063" s="24"/>
      <c r="F6063" s="24"/>
      <c r="G6063" s="24"/>
      <c r="H6063" s="24"/>
      <c r="I6063" s="24"/>
      <c r="J6063" s="24"/>
      <c r="K6063" s="24"/>
    </row>
    <row r="6064" customFormat="false" ht="15" hidden="false" customHeight="false" outlineLevel="0" collapsed="false">
      <c r="A6064" s="3" t="s">
        <v>499</v>
      </c>
      <c r="C6064" s="21" t="n">
        <f aca="false">IF(C6012=0,0,C6060/C6012)</f>
        <v>0.279380158160456</v>
      </c>
    </row>
    <row r="6065" customFormat="false" ht="15" hidden="false" customHeight="false" outlineLevel="0" collapsed="false">
      <c r="A6065" s="3" t="s">
        <v>500</v>
      </c>
      <c r="C6065" s="21" t="n">
        <f aca="false">IF(C6013=0,0,C6061/C6013)</f>
        <v>0</v>
      </c>
    </row>
    <row r="6066" customFormat="false" ht="15" hidden="false" customHeight="false" outlineLevel="0" collapsed="false">
      <c r="A6066" s="3" t="s">
        <v>501</v>
      </c>
      <c r="C6066" s="21" t="n">
        <f aca="false">IF(C6014=0,0,C6062/C6014)</f>
        <v>0</v>
      </c>
    </row>
    <row r="6067" customFormat="false" ht="15" hidden="false" customHeight="false" outlineLevel="0" collapsed="false">
      <c r="A6067" s="2" t="s">
        <v>515</v>
      </c>
      <c r="C6067" s="16" t="n">
        <f aca="false">MAX(0,$C$6010-SUM($C$6024:$C$6026)-SUM($C$6032:$C$6034))</f>
        <v>0</v>
      </c>
    </row>
    <row r="6068" customFormat="false" ht="15" hidden="false" customHeight="false" outlineLevel="0" collapsed="false">
      <c r="A6068" s="3" t="s">
        <v>516</v>
      </c>
      <c r="C6068" s="25" t="n">
        <f aca="false">SUM($C$6052:$C$6054)+C6067+C6009-C6008</f>
        <v>0</v>
      </c>
    </row>
    <row r="6070" customFormat="false" ht="15" hidden="false" customHeight="false" outlineLevel="0" collapsed="false">
      <c r="A6070" s="23" t="s">
        <v>519</v>
      </c>
      <c r="B6070" s="24"/>
      <c r="C6070" s="24"/>
      <c r="D6070" s="24"/>
      <c r="E6070" s="24"/>
      <c r="F6070" s="24"/>
      <c r="G6070" s="24"/>
      <c r="H6070" s="24"/>
      <c r="I6070" s="24"/>
      <c r="J6070" s="24"/>
      <c r="K6070" s="24"/>
    </row>
    <row r="6071" customFormat="false" ht="15" hidden="false" customHeight="false" outlineLevel="0" collapsed="false">
      <c r="A6071" s="3" t="s">
        <v>520</v>
      </c>
      <c r="C6071" s="27" t="n">
        <f aca="false">Assumptions!$C$33</f>
        <v>1</v>
      </c>
    </row>
    <row r="6072" customFormat="false" ht="15" hidden="false" customHeight="false" outlineLevel="0" collapsed="false">
      <c r="A6072" s="3" t="s">
        <v>521</v>
      </c>
      <c r="C6072" s="29" t="n">
        <f aca="false">Assumptions!$C$34</f>
        <v>100</v>
      </c>
    </row>
    <row r="6073" customFormat="false" ht="15" hidden="false" customHeight="false" outlineLevel="0" collapsed="false">
      <c r="A6073" s="3" t="s">
        <v>522</v>
      </c>
      <c r="C6073" s="40" t="n">
        <f aca="false">Assumptions!$C$35</f>
        <v>95</v>
      </c>
    </row>
    <row r="6074" customFormat="false" ht="15" hidden="false" customHeight="false" outlineLevel="0" collapsed="false">
      <c r="A6074" s="3" t="s">
        <v>523</v>
      </c>
      <c r="C6074" s="25" t="n">
        <f aca="false">C6072*C6073/100*(1+Assumptions!$C$36)</f>
        <v>95</v>
      </c>
    </row>
    <row r="6075" customFormat="false" ht="15" hidden="false" customHeight="false" outlineLevel="0" collapsed="false">
      <c r="A6075" s="3" t="s">
        <v>524</v>
      </c>
      <c r="C6075" s="27" t="n">
        <f aca="false">Assumptions!$C$37</f>
        <v>3</v>
      </c>
    </row>
    <row r="6076" customFormat="false" ht="15" hidden="false" customHeight="false" outlineLevel="0" collapsed="false">
      <c r="A6076" s="3" t="s">
        <v>525</v>
      </c>
      <c r="C6076" s="20" t="n">
        <f aca="false">IF(C6001=1,SUMPRODUCT($G$5953:$K$5953,$G$5846:$K$5846),0)</f>
        <v>0</v>
      </c>
    </row>
    <row r="6077" customFormat="false" ht="15" hidden="false" customHeight="false" outlineLevel="0" collapsed="false">
      <c r="A6077" s="3" t="s">
        <v>526</v>
      </c>
      <c r="C6077" s="21" t="n">
        <f aca="false">IFERROR(C6072/CHOOSE(C6071,SUMPRODUCT($G$6000:$K$6000,$G$5892:$K$5892),SUMPRODUCT($G$6000:$K$6000,$G$5905:$K$5905),SUMPRODUCT($G$6000:$K$6000,$G$5918:$K$5918)),0)</f>
        <v>0.0760399605200525</v>
      </c>
    </row>
    <row r="6078" customFormat="false" ht="15" hidden="false" customHeight="false" outlineLevel="0" collapsed="false">
      <c r="A6078" s="3" t="s">
        <v>527</v>
      </c>
      <c r="C6078" s="25" t="n">
        <f aca="false">CHOOSE(C6071,C6052,C6053,C6054)*C6077</f>
        <v>73.9536112687832</v>
      </c>
    </row>
    <row r="6079" customFormat="false" ht="15" hidden="false" customHeight="false" outlineLevel="0" collapsed="false">
      <c r="A6079" s="3" t="s">
        <v>528</v>
      </c>
      <c r="C6079" s="21" t="n">
        <f aca="false">CHOOSE(C6071,C6056,C6057,C6058)</f>
        <v>0.720619841839544</v>
      </c>
    </row>
    <row r="6080" customFormat="false" ht="15" hidden="false" customHeight="false" outlineLevel="0" collapsed="false">
      <c r="A6080" s="3" t="s">
        <v>529</v>
      </c>
      <c r="C6080" s="20" t="n">
        <f aca="false">IF(C6001=1,C6076,C6075)</f>
        <v>3</v>
      </c>
    </row>
    <row r="6081" customFormat="false" ht="15" hidden="false" customHeight="false" outlineLevel="0" collapsed="false">
      <c r="A6081" s="3" t="s">
        <v>530</v>
      </c>
      <c r="C6081" s="34" t="n">
        <f aca="false">CHOOSE($C$5838,Assumptions!$C$83,Assumptions!$C$102,Assumptions!$C$121)</f>
        <v>100</v>
      </c>
    </row>
    <row r="6082" customFormat="false" ht="15" hidden="false" customHeight="false" outlineLevel="0" collapsed="false">
      <c r="A6082" s="3" t="s">
        <v>531</v>
      </c>
      <c r="C6082" s="25" t="n">
        <f aca="false">INDEX($G$5855:$K$5855,C6075)*CHOOSE($C$5838,Assumptions!$C$82,Assumptions!$C$101,Assumptions!$C$120)+MAX(0,INDEX($G$5950:$K$5950,C6075))</f>
        <v>1332.46352273601</v>
      </c>
    </row>
    <row r="6083" customFormat="false" ht="15" hidden="false" customHeight="false" outlineLevel="0" collapsed="false">
      <c r="A6083" s="23" t="s">
        <v>532</v>
      </c>
      <c r="B6083" s="24"/>
      <c r="C6083" s="24"/>
      <c r="D6083" s="24"/>
      <c r="E6083" s="24"/>
      <c r="F6083" s="24"/>
      <c r="G6083" s="24"/>
      <c r="H6083" s="24"/>
      <c r="I6083" s="24"/>
      <c r="J6083" s="24"/>
      <c r="K6083" s="24"/>
    </row>
    <row r="6084" customFormat="false" ht="15" hidden="false" customHeight="false" outlineLevel="0" collapsed="false">
      <c r="A6084" s="3" t="s">
        <v>499</v>
      </c>
      <c r="C6084" s="25" t="n">
        <f aca="false">INDEX($G$5892:$K$5892,C6075)</f>
        <v>1315.098</v>
      </c>
    </row>
    <row r="6085" customFormat="false" ht="15" hidden="false" customHeight="false" outlineLevel="0" collapsed="false">
      <c r="A6085" s="3" t="s">
        <v>500</v>
      </c>
      <c r="C6085" s="25" t="n">
        <f aca="false">INDEX($G$5905:$K$5905,C6075)</f>
        <v>0</v>
      </c>
    </row>
    <row r="6086" customFormat="false" ht="15" hidden="false" customHeight="false" outlineLevel="0" collapsed="false">
      <c r="A6086" s="3" t="s">
        <v>501</v>
      </c>
      <c r="C6086" s="25" t="n">
        <f aca="false">INDEX($G$5918:$K$5918,C6075)</f>
        <v>0</v>
      </c>
    </row>
    <row r="6087" customFormat="false" ht="15" hidden="false" customHeight="false" outlineLevel="0" collapsed="false">
      <c r="A6087" s="23" t="s">
        <v>502</v>
      </c>
      <c r="B6087" s="24"/>
      <c r="C6087" s="24"/>
      <c r="D6087" s="24"/>
      <c r="E6087" s="24"/>
      <c r="F6087" s="24"/>
      <c r="G6087" s="24"/>
      <c r="H6087" s="24"/>
      <c r="I6087" s="24"/>
      <c r="J6087" s="24"/>
      <c r="K6087" s="24"/>
    </row>
    <row r="6088" customFormat="false" ht="15" hidden="false" customHeight="false" outlineLevel="0" collapsed="false">
      <c r="A6088" s="3" t="s">
        <v>499</v>
      </c>
      <c r="C6088" s="27" t="n">
        <f aca="false">Assumptions!$M$56</f>
        <v>1</v>
      </c>
    </row>
    <row r="6089" customFormat="false" ht="15" hidden="false" customHeight="false" outlineLevel="0" collapsed="false">
      <c r="A6089" s="3" t="s">
        <v>500</v>
      </c>
      <c r="C6089" s="27" t="n">
        <f aca="false">Assumptions!$M$57</f>
        <v>2</v>
      </c>
    </row>
    <row r="6090" customFormat="false" ht="15" hidden="false" customHeight="false" outlineLevel="0" collapsed="false">
      <c r="A6090" s="3" t="s">
        <v>501</v>
      </c>
      <c r="C6090" s="27" t="n">
        <f aca="false">Assumptions!$M$58</f>
        <v>2</v>
      </c>
    </row>
    <row r="6091" customFormat="false" ht="15" hidden="false" customHeight="false" outlineLevel="0" collapsed="false">
      <c r="A6091" s="23" t="s">
        <v>503</v>
      </c>
      <c r="B6091" s="24"/>
      <c r="C6091" s="24"/>
      <c r="D6091" s="24"/>
      <c r="E6091" s="24"/>
      <c r="F6091" s="24"/>
      <c r="G6091" s="24"/>
      <c r="H6091" s="24"/>
      <c r="I6091" s="24"/>
      <c r="J6091" s="24"/>
      <c r="K6091" s="24"/>
    </row>
    <row r="6092" customFormat="false" ht="15" hidden="false" customHeight="false" outlineLevel="0" collapsed="false">
      <c r="A6092" s="3" t="s">
        <v>499</v>
      </c>
      <c r="C6092" s="35" t="n">
        <f aca="false">Assumptions!$Q$56</f>
        <v>0</v>
      </c>
    </row>
    <row r="6093" customFormat="false" ht="15" hidden="false" customHeight="false" outlineLevel="0" collapsed="false">
      <c r="A6093" s="3" t="s">
        <v>500</v>
      </c>
      <c r="C6093" s="35" t="n">
        <f aca="false">Assumptions!$Q$57</f>
        <v>0</v>
      </c>
    </row>
    <row r="6094" customFormat="false" ht="15" hidden="false" customHeight="false" outlineLevel="0" collapsed="false">
      <c r="A6094" s="3" t="s">
        <v>501</v>
      </c>
      <c r="C6094" s="35" t="n">
        <f aca="false">Assumptions!$Q$58</f>
        <v>0</v>
      </c>
    </row>
    <row r="6095" customFormat="false" ht="15" hidden="false" customHeight="false" outlineLevel="0" collapsed="false">
      <c r="A6095" s="23" t="s">
        <v>504</v>
      </c>
      <c r="B6095" s="24"/>
      <c r="C6095" s="24"/>
      <c r="D6095" s="24"/>
      <c r="E6095" s="24"/>
      <c r="F6095" s="24"/>
      <c r="G6095" s="24"/>
      <c r="H6095" s="24"/>
      <c r="I6095" s="24"/>
      <c r="J6095" s="24"/>
      <c r="K6095" s="24"/>
    </row>
    <row r="6096" customFormat="false" ht="15" hidden="false" customHeight="false" outlineLevel="0" collapsed="false">
      <c r="A6096" s="3" t="s">
        <v>499</v>
      </c>
      <c r="C6096" s="25" t="n">
        <f aca="false">IF(C6092&gt;0,MIN(C6084,C6092*$C$6082),0)</f>
        <v>0</v>
      </c>
    </row>
    <row r="6097" customFormat="false" ht="15" hidden="false" customHeight="false" outlineLevel="0" collapsed="false">
      <c r="A6097" s="3" t="s">
        <v>500</v>
      </c>
      <c r="C6097" s="25" t="n">
        <f aca="false">IF(C6093&gt;0,MIN(C6085,C6093*$C$6082),0)</f>
        <v>0</v>
      </c>
    </row>
    <row r="6098" customFormat="false" ht="15" hidden="false" customHeight="false" outlineLevel="0" collapsed="false">
      <c r="A6098" s="3" t="s">
        <v>501</v>
      </c>
      <c r="C6098" s="25" t="n">
        <f aca="false">IF(C6094&gt;0,MIN(C6086,C6094*$C$6082),0)</f>
        <v>0</v>
      </c>
    </row>
    <row r="6099" customFormat="false" ht="15" hidden="false" customHeight="false" outlineLevel="0" collapsed="false">
      <c r="A6099" s="23" t="s">
        <v>505</v>
      </c>
      <c r="B6099" s="24"/>
      <c r="C6099" s="24"/>
      <c r="D6099" s="24"/>
      <c r="E6099" s="24"/>
      <c r="F6099" s="24"/>
      <c r="G6099" s="24"/>
      <c r="H6099" s="24"/>
      <c r="I6099" s="24"/>
      <c r="J6099" s="24"/>
      <c r="K6099" s="24"/>
    </row>
    <row r="6100" customFormat="false" ht="15" hidden="false" customHeight="false" outlineLevel="0" collapsed="false">
      <c r="A6100" s="3" t="s">
        <v>499</v>
      </c>
      <c r="C6100" s="25" t="n">
        <f aca="false">IF(C6092&gt;0,C6084-C6096,0)</f>
        <v>0</v>
      </c>
    </row>
    <row r="6101" customFormat="false" ht="15" hidden="false" customHeight="false" outlineLevel="0" collapsed="false">
      <c r="A6101" s="3" t="s">
        <v>500</v>
      </c>
      <c r="C6101" s="25" t="n">
        <f aca="false">IF(C6093&gt;0,C6085-C6097,0)</f>
        <v>0</v>
      </c>
    </row>
    <row r="6102" customFormat="false" ht="15" hidden="false" customHeight="false" outlineLevel="0" collapsed="false">
      <c r="A6102" s="3" t="s">
        <v>501</v>
      </c>
      <c r="C6102" s="25" t="n">
        <f aca="false">IF(C6094&gt;0,C6086-C6098,0)</f>
        <v>0</v>
      </c>
    </row>
    <row r="6103" customFormat="false" ht="15" hidden="false" customHeight="false" outlineLevel="0" collapsed="false">
      <c r="A6103" s="23" t="s">
        <v>506</v>
      </c>
      <c r="B6103" s="24"/>
      <c r="C6103" s="24"/>
      <c r="D6103" s="24"/>
      <c r="E6103" s="24"/>
      <c r="F6103" s="24"/>
      <c r="G6103" s="24"/>
      <c r="H6103" s="24"/>
      <c r="I6103" s="24"/>
      <c r="J6103" s="24"/>
      <c r="K6103" s="24"/>
    </row>
    <row r="6104" customFormat="false" ht="15" hidden="false" customHeight="false" outlineLevel="0" collapsed="false">
      <c r="A6104" s="3" t="s">
        <v>499</v>
      </c>
      <c r="C6104" s="25" t="n">
        <f aca="false">IF(C6092&gt;0,C6100,C6084)</f>
        <v>1315.098</v>
      </c>
    </row>
    <row r="6105" customFormat="false" ht="15" hidden="false" customHeight="false" outlineLevel="0" collapsed="false">
      <c r="A6105" s="3" t="s">
        <v>500</v>
      </c>
      <c r="C6105" s="25" t="n">
        <f aca="false">IF(C6093&gt;0,C6101,C6085)</f>
        <v>0</v>
      </c>
    </row>
    <row r="6106" customFormat="false" ht="15" hidden="false" customHeight="false" outlineLevel="0" collapsed="false">
      <c r="A6106" s="3" t="s">
        <v>501</v>
      </c>
      <c r="C6106" s="25" t="n">
        <f aca="false">IF(C6094&gt;0,C6102,C6086)</f>
        <v>0</v>
      </c>
    </row>
    <row r="6107" customFormat="false" ht="15" hidden="false" customHeight="false" outlineLevel="0" collapsed="false">
      <c r="A6107" s="23" t="s">
        <v>507</v>
      </c>
      <c r="B6107" s="24"/>
      <c r="C6107" s="24"/>
      <c r="D6107" s="24"/>
      <c r="E6107" s="24"/>
      <c r="F6107" s="24"/>
      <c r="G6107" s="24"/>
      <c r="H6107" s="24"/>
      <c r="I6107" s="24"/>
      <c r="J6107" s="24"/>
      <c r="K6107" s="24"/>
    </row>
    <row r="6108" customFormat="false" ht="15" hidden="false" customHeight="false" outlineLevel="0" collapsed="false">
      <c r="A6108" s="3" t="s">
        <v>499</v>
      </c>
      <c r="C6108" s="20" t="n">
        <f aca="false">IF(C6092&gt;0,Assumptions!$C$17,C6088)</f>
        <v>1</v>
      </c>
    </row>
    <row r="6109" customFormat="false" ht="15" hidden="false" customHeight="false" outlineLevel="0" collapsed="false">
      <c r="A6109" s="3" t="s">
        <v>500</v>
      </c>
      <c r="C6109" s="20" t="n">
        <f aca="false">IF(C6093&gt;0,Assumptions!$C$17,C6089)</f>
        <v>2</v>
      </c>
    </row>
    <row r="6110" customFormat="false" ht="15" hidden="false" customHeight="false" outlineLevel="0" collapsed="false">
      <c r="A6110" s="3" t="s">
        <v>501</v>
      </c>
      <c r="C6110" s="20" t="n">
        <f aca="false">IF(C6094&gt;0,Assumptions!$C$17,C6090)</f>
        <v>2</v>
      </c>
    </row>
    <row r="6111" customFormat="false" ht="15" hidden="false" customHeight="false" outlineLevel="0" collapsed="false">
      <c r="A6111" s="23" t="s">
        <v>508</v>
      </c>
      <c r="B6111" s="24"/>
      <c r="C6111" s="24"/>
      <c r="D6111" s="24"/>
      <c r="E6111" s="24"/>
      <c r="F6111" s="24"/>
      <c r="G6111" s="24"/>
      <c r="H6111" s="24"/>
      <c r="I6111" s="24"/>
      <c r="J6111" s="24"/>
      <c r="K6111" s="24"/>
    </row>
    <row r="6112" customFormat="false" ht="15" hidden="false" customHeight="false" outlineLevel="0" collapsed="false">
      <c r="A6112" s="3" t="s">
        <v>499</v>
      </c>
      <c r="C6112" s="25" t="n">
        <f aca="false">SUMPRODUCT(($C$6108:$C$6110&lt;C6108)*$C$6104:$C$6106)</f>
        <v>0</v>
      </c>
    </row>
    <row r="6113" customFormat="false" ht="15" hidden="false" customHeight="false" outlineLevel="0" collapsed="false">
      <c r="A6113" s="3" t="s">
        <v>500</v>
      </c>
      <c r="C6113" s="25" t="n">
        <f aca="false">SUMPRODUCT(($C$6108:$C$6110&lt;C6109)*$C$6104:$C$6106)</f>
        <v>1315.098</v>
      </c>
    </row>
    <row r="6114" customFormat="false" ht="15" hidden="false" customHeight="false" outlineLevel="0" collapsed="false">
      <c r="A6114" s="3" t="s">
        <v>501</v>
      </c>
      <c r="C6114" s="25" t="n">
        <f aca="false">SUMPRODUCT(($C$6108:$C$6110&lt;C6110)*$C$6104:$C$6106)</f>
        <v>1315.098</v>
      </c>
    </row>
    <row r="6115" customFormat="false" ht="15" hidden="false" customHeight="false" outlineLevel="0" collapsed="false">
      <c r="A6115" s="23" t="s">
        <v>509</v>
      </c>
      <c r="B6115" s="24"/>
      <c r="C6115" s="24"/>
      <c r="D6115" s="24"/>
      <c r="E6115" s="24"/>
      <c r="F6115" s="24"/>
      <c r="G6115" s="24"/>
      <c r="H6115" s="24"/>
      <c r="I6115" s="24"/>
      <c r="J6115" s="24"/>
      <c r="K6115" s="24"/>
    </row>
    <row r="6116" customFormat="false" ht="15" hidden="false" customHeight="false" outlineLevel="0" collapsed="false">
      <c r="A6116" s="3" t="s">
        <v>499</v>
      </c>
      <c r="C6116" s="25" t="n">
        <f aca="false">SUMPRODUCT(($C$6108:$C$6110=C6108)*$C$6104:$C$6106)</f>
        <v>1315.098</v>
      </c>
    </row>
    <row r="6117" customFormat="false" ht="15" hidden="false" customHeight="false" outlineLevel="0" collapsed="false">
      <c r="A6117" s="3" t="s">
        <v>500</v>
      </c>
      <c r="C6117" s="25" t="n">
        <f aca="false">SUMPRODUCT(($C$6108:$C$6110=C6109)*$C$6104:$C$6106)</f>
        <v>0</v>
      </c>
    </row>
    <row r="6118" customFormat="false" ht="15" hidden="false" customHeight="false" outlineLevel="0" collapsed="false">
      <c r="A6118" s="3" t="s">
        <v>501</v>
      </c>
      <c r="C6118" s="25" t="n">
        <f aca="false">SUMPRODUCT(($C$6108:$C$6110=C6110)*$C$6104:$C$6106)</f>
        <v>0</v>
      </c>
    </row>
    <row r="6119" customFormat="false" ht="15" hidden="false" customHeight="false" outlineLevel="0" collapsed="false">
      <c r="A6119" s="23" t="s">
        <v>510</v>
      </c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</row>
    <row r="6120" customFormat="false" ht="15" hidden="false" customHeight="false" outlineLevel="0" collapsed="false">
      <c r="A6120" s="3" t="s">
        <v>499</v>
      </c>
      <c r="C6120" s="25" t="n">
        <f aca="false">IF(C6116=0,0,C6104/C6116*MAX(0,MIN(C6116,$C$6082-SUM($C$6096:$C$6098)-C6112)))</f>
        <v>1315.098</v>
      </c>
    </row>
    <row r="6121" customFormat="false" ht="15" hidden="false" customHeight="false" outlineLevel="0" collapsed="false">
      <c r="A6121" s="3" t="s">
        <v>500</v>
      </c>
      <c r="C6121" s="25" t="n">
        <f aca="false">IF(C6117=0,0,C6105/C6117*MAX(0,MIN(C6117,$C$6082-SUM($C$6096:$C$6098)-C6113)))</f>
        <v>0</v>
      </c>
    </row>
    <row r="6122" customFormat="false" ht="15" hidden="false" customHeight="false" outlineLevel="0" collapsed="false">
      <c r="A6122" s="3" t="s">
        <v>501</v>
      </c>
      <c r="C6122" s="25" t="n">
        <f aca="false">IF(C6118=0,0,C6106/C6118*MAX(0,MIN(C6118,$C$6082-SUM($C$6096:$C$6098)-C6114)))</f>
        <v>0</v>
      </c>
    </row>
    <row r="6123" customFormat="false" ht="15" hidden="false" customHeight="false" outlineLevel="0" collapsed="false">
      <c r="A6123" s="23" t="s">
        <v>511</v>
      </c>
      <c r="B6123" s="24"/>
      <c r="C6123" s="24"/>
      <c r="D6123" s="24"/>
      <c r="E6123" s="24"/>
      <c r="F6123" s="24"/>
      <c r="G6123" s="24"/>
      <c r="H6123" s="24"/>
      <c r="I6123" s="24"/>
      <c r="J6123" s="24"/>
      <c r="K6123" s="24"/>
    </row>
    <row r="6124" customFormat="false" ht="15" hidden="false" customHeight="false" outlineLevel="0" collapsed="false">
      <c r="A6124" s="2" t="s">
        <v>499</v>
      </c>
      <c r="C6124" s="16" t="n">
        <f aca="false">C6096+C6120</f>
        <v>1315.098</v>
      </c>
    </row>
    <row r="6125" customFormat="false" ht="15" hidden="false" customHeight="false" outlineLevel="0" collapsed="false">
      <c r="A6125" s="2" t="s">
        <v>500</v>
      </c>
      <c r="C6125" s="16" t="n">
        <f aca="false">C6097+C6121</f>
        <v>0</v>
      </c>
    </row>
    <row r="6126" customFormat="false" ht="15" hidden="false" customHeight="false" outlineLevel="0" collapsed="false">
      <c r="A6126" s="2" t="s">
        <v>501</v>
      </c>
      <c r="C6126" s="16" t="n">
        <f aca="false">C6098+C6122</f>
        <v>0</v>
      </c>
    </row>
    <row r="6127" customFormat="false" ht="15" hidden="false" customHeight="false" outlineLevel="0" collapsed="false">
      <c r="A6127" s="23" t="s">
        <v>512</v>
      </c>
      <c r="B6127" s="24"/>
      <c r="C6127" s="24"/>
      <c r="D6127" s="24"/>
      <c r="E6127" s="24"/>
      <c r="F6127" s="24"/>
      <c r="G6127" s="24"/>
      <c r="H6127" s="24"/>
      <c r="I6127" s="24"/>
      <c r="J6127" s="24"/>
      <c r="K6127" s="24"/>
    </row>
    <row r="6128" customFormat="false" ht="15" hidden="false" customHeight="false" outlineLevel="0" collapsed="false">
      <c r="A6128" s="3" t="s">
        <v>499</v>
      </c>
      <c r="C6128" s="21" t="n">
        <f aca="false">IF(C6084=0,1,C6124/C6084)</f>
        <v>1</v>
      </c>
    </row>
    <row r="6129" customFormat="false" ht="15" hidden="false" customHeight="false" outlineLevel="0" collapsed="false">
      <c r="A6129" s="3" t="s">
        <v>500</v>
      </c>
      <c r="C6129" s="21" t="n">
        <f aca="false">IF(C6085=0,1,C6125/C6085)</f>
        <v>1</v>
      </c>
    </row>
    <row r="6130" customFormat="false" ht="15" hidden="false" customHeight="false" outlineLevel="0" collapsed="false">
      <c r="A6130" s="3" t="s">
        <v>501</v>
      </c>
      <c r="C6130" s="21" t="n">
        <f aca="false">IF(C6086=0,1,C6126/C6086)</f>
        <v>1</v>
      </c>
    </row>
    <row r="6131" customFormat="false" ht="15" hidden="false" customHeight="false" outlineLevel="0" collapsed="false">
      <c r="A6131" s="23" t="s">
        <v>513</v>
      </c>
      <c r="B6131" s="24"/>
      <c r="C6131" s="24"/>
      <c r="D6131" s="24"/>
      <c r="E6131" s="24"/>
      <c r="F6131" s="24"/>
      <c r="G6131" s="24"/>
      <c r="H6131" s="24"/>
      <c r="I6131" s="24"/>
      <c r="J6131" s="24"/>
      <c r="K6131" s="24"/>
    </row>
    <row r="6132" customFormat="false" ht="15" hidden="false" customHeight="false" outlineLevel="0" collapsed="false">
      <c r="A6132" s="3" t="s">
        <v>499</v>
      </c>
      <c r="C6132" s="25" t="n">
        <f aca="false">C6084-C6124</f>
        <v>0</v>
      </c>
    </row>
    <row r="6133" customFormat="false" ht="15" hidden="false" customHeight="false" outlineLevel="0" collapsed="false">
      <c r="A6133" s="3" t="s">
        <v>500</v>
      </c>
      <c r="C6133" s="25" t="n">
        <f aca="false">C6085-C6125</f>
        <v>0</v>
      </c>
    </row>
    <row r="6134" customFormat="false" ht="15" hidden="false" customHeight="false" outlineLevel="0" collapsed="false">
      <c r="A6134" s="3" t="s">
        <v>501</v>
      </c>
      <c r="C6134" s="25" t="n">
        <f aca="false">C6086-C6126</f>
        <v>0</v>
      </c>
    </row>
    <row r="6135" customFormat="false" ht="15" hidden="false" customHeight="false" outlineLevel="0" collapsed="false">
      <c r="A6135" s="23" t="s">
        <v>514</v>
      </c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</row>
    <row r="6136" customFormat="false" ht="15" hidden="false" customHeight="false" outlineLevel="0" collapsed="false">
      <c r="A6136" s="3" t="s">
        <v>499</v>
      </c>
      <c r="C6136" s="21" t="n">
        <f aca="false">IF(C6084=0,0,C6132/C6084)</f>
        <v>0</v>
      </c>
    </row>
    <row r="6137" customFormat="false" ht="15" hidden="false" customHeight="false" outlineLevel="0" collapsed="false">
      <c r="A6137" s="3" t="s">
        <v>500</v>
      </c>
      <c r="C6137" s="21" t="n">
        <f aca="false">IF(C6085=0,0,C6133/C6085)</f>
        <v>0</v>
      </c>
    </row>
    <row r="6138" customFormat="false" ht="15" hidden="false" customHeight="false" outlineLevel="0" collapsed="false">
      <c r="A6138" s="3" t="s">
        <v>501</v>
      </c>
      <c r="C6138" s="21" t="n">
        <f aca="false">IF(C6086=0,0,C6134/C6086)</f>
        <v>0</v>
      </c>
    </row>
    <row r="6139" customFormat="false" ht="15" hidden="false" customHeight="false" outlineLevel="0" collapsed="false">
      <c r="A6139" s="2" t="s">
        <v>515</v>
      </c>
      <c r="C6139" s="16" t="n">
        <f aca="false">MAX(0,$C$6082-SUM($C$6096:$C$6098)-SUM($C$6104:$C$6106))</f>
        <v>17.3655227360109</v>
      </c>
    </row>
    <row r="6140" customFormat="false" ht="15" hidden="false" customHeight="false" outlineLevel="0" collapsed="false">
      <c r="A6140" s="3" t="s">
        <v>533</v>
      </c>
      <c r="C6140" s="34" t="n">
        <f aca="false">MIN(C6081,100*CHOOSE(C6071,C6128,C6129,C6130))</f>
        <v>100</v>
      </c>
    </row>
    <row r="6141" customFormat="false" ht="15" hidden="false" customHeight="false" outlineLevel="0" collapsed="false">
      <c r="A6141" s="3" t="s">
        <v>534</v>
      </c>
      <c r="C6141" s="20" t="n">
        <f aca="false">IF(C6001=1,C6076+Assumptions!$C$39,C6075)</f>
        <v>3</v>
      </c>
    </row>
    <row r="6142" customFormat="false" ht="15" hidden="false" customHeight="false" outlineLevel="0" collapsed="false">
      <c r="A6142" s="23" t="s">
        <v>535</v>
      </c>
      <c r="B6142" s="24"/>
      <c r="C6142" s="24"/>
      <c r="D6142" s="24"/>
      <c r="E6142" s="24"/>
      <c r="F6142" s="24"/>
      <c r="G6142" s="24"/>
      <c r="H6142" s="24"/>
      <c r="I6142" s="24"/>
      <c r="J6142" s="24"/>
      <c r="K6142" s="24"/>
    </row>
    <row r="6143" customFormat="false" ht="15" hidden="false" customHeight="false" outlineLevel="0" collapsed="false">
      <c r="A6143" s="3" t="s">
        <v>536</v>
      </c>
      <c r="C6143" s="20" t="n">
        <f aca="false">COLUMN()-COLUMN($C$1)</f>
        <v>0</v>
      </c>
      <c r="D6143" s="20" t="n">
        <f aca="false">COLUMN()-COLUMN($C$1)</f>
        <v>1</v>
      </c>
      <c r="E6143" s="20" t="n">
        <f aca="false">COLUMN()-COLUMN($C$1)</f>
        <v>2</v>
      </c>
      <c r="F6143" s="20" t="n">
        <f aca="false">COLUMN()-COLUMN($C$1)</f>
        <v>3</v>
      </c>
      <c r="G6143" s="20" t="n">
        <f aca="false">COLUMN()-COLUMN($C$1)</f>
        <v>4</v>
      </c>
      <c r="H6143" s="20" t="n">
        <f aca="false">COLUMN()-COLUMN($C$1)</f>
        <v>5</v>
      </c>
      <c r="I6143" s="20" t="n">
        <f aca="false">COLUMN()-COLUMN($C$1)</f>
        <v>6</v>
      </c>
    </row>
    <row r="6144" customFormat="false" ht="15" hidden="false" customHeight="false" outlineLevel="0" collapsed="false">
      <c r="A6144" s="3" t="s">
        <v>537</v>
      </c>
      <c r="D6144" s="31" t="n">
        <f aca="false">CHOOSE($C$6071,G5884,G5897,G5910)</f>
        <v>0.105</v>
      </c>
      <c r="E6144" s="31" t="n">
        <f aca="false">CHOOSE($C$6071,H5884,H5897,H5910)</f>
        <v>0.105</v>
      </c>
      <c r="F6144" s="31" t="n">
        <f aca="false">CHOOSE($C$6071,I5884,I5897,I5910)</f>
        <v>0.105</v>
      </c>
      <c r="G6144" s="31" t="n">
        <f aca="false">CHOOSE($C$6071,J5884,J5897,J5910)</f>
        <v>0.105</v>
      </c>
      <c r="H6144" s="31" t="n">
        <f aca="false">CHOOSE($C$6071,K5884,K5897,K5910)</f>
        <v>0.105</v>
      </c>
    </row>
    <row r="6145" customFormat="false" ht="15" hidden="false" customHeight="false" outlineLevel="0" collapsed="false">
      <c r="A6145" s="3" t="s">
        <v>538</v>
      </c>
      <c r="D6145" s="25" t="n">
        <f aca="false">IF(D6143&lt;=$C$6080,$C$6072*D6144,0)</f>
        <v>10.5</v>
      </c>
      <c r="E6145" s="25" t="n">
        <f aca="false">IF(E6143&lt;=$C$6080,$C$6072*E6144,0)</f>
        <v>10.5</v>
      </c>
      <c r="F6145" s="25" t="n">
        <f aca="false">IF(F6143&lt;=$C$6080,$C$6072*F6144,0)</f>
        <v>10.5</v>
      </c>
      <c r="G6145" s="25" t="n">
        <f aca="false">IF(G6143&lt;=$C$6080,$C$6072*G6144,0)</f>
        <v>0</v>
      </c>
      <c r="H6145" s="25" t="n">
        <f aca="false">IF(H6143&lt;=$C$6080,$C$6072*H6144,0)</f>
        <v>0</v>
      </c>
    </row>
    <row r="6146" customFormat="false" ht="15" hidden="false" customHeight="false" outlineLevel="0" collapsed="false">
      <c r="A6146" s="3" t="s">
        <v>539</v>
      </c>
      <c r="D6146" s="25" t="n">
        <f aca="false">IF(AND($C$6001=0,D6143=$C$6075),$C$6072*$C$6140/100,0)+IF(AND($C$6001=1,D6143=$C$6141),$C$6078,0)</f>
        <v>0</v>
      </c>
      <c r="E6146" s="25" t="n">
        <f aca="false">IF(AND($C$6001=0,E6143=$C$6075),$C$6072*$C$6140/100,0)+IF(AND($C$6001=1,E6143=$C$6141),$C$6078,0)</f>
        <v>0</v>
      </c>
      <c r="F6146" s="25" t="n">
        <f aca="false">IF(AND($C$6001=0,F6143=$C$6075),$C$6072*$C$6140/100,0)+IF(AND($C$6001=1,F6143=$C$6141),$C$6078,0)</f>
        <v>100</v>
      </c>
      <c r="G6146" s="25" t="n">
        <f aca="false">IF(AND($C$6001=0,G6143=$C$6075),$C$6072*$C$6140/100,0)+IF(AND($C$6001=1,G6143=$C$6141),$C$6078,0)</f>
        <v>0</v>
      </c>
      <c r="H6146" s="25" t="n">
        <f aca="false">IF(AND($C$6001=0,H6143=$C$6075),$C$6072*$C$6140/100,0)+IF(AND($C$6001=1,H6143=$C$6141),$C$6078,0)</f>
        <v>0</v>
      </c>
      <c r="I6146" s="25" t="n">
        <f aca="false">IF(AND($C$6001=0,I6143=$C$6075),$C$6072*$C$6140/100,0)+IF(AND($C$6001=1,I6143=$C$6141),$C$6078,0)</f>
        <v>0</v>
      </c>
    </row>
    <row r="6147" customFormat="false" ht="15" hidden="false" customHeight="false" outlineLevel="0" collapsed="false">
      <c r="A6147" s="2" t="s">
        <v>540</v>
      </c>
      <c r="C6147" s="16" t="n">
        <f aca="false">-$C$6074</f>
        <v>-95</v>
      </c>
      <c r="D6147" s="16" t="n">
        <f aca="false">D6145+D6146</f>
        <v>10.5</v>
      </c>
      <c r="E6147" s="16" t="n">
        <f aca="false">E6145+E6146</f>
        <v>10.5</v>
      </c>
      <c r="F6147" s="16" t="n">
        <f aca="false">F6145+F6146</f>
        <v>110.5</v>
      </c>
      <c r="G6147" s="16" t="n">
        <f aca="false">G6145+G6146</f>
        <v>0</v>
      </c>
      <c r="H6147" s="16" t="n">
        <f aca="false">H6145+H6146</f>
        <v>0</v>
      </c>
      <c r="I6147" s="16" t="n">
        <f aca="false">I6145+I6146</f>
        <v>0</v>
      </c>
    </row>
    <row r="6148" customFormat="false" ht="15" hidden="false" customHeight="false" outlineLevel="0" collapsed="false">
      <c r="A6148" s="3" t="s">
        <v>541</v>
      </c>
      <c r="C6148" s="25" t="n">
        <f aca="false">SUM($C$6145:$I$6145)</f>
        <v>31.5</v>
      </c>
    </row>
    <row r="6149" customFormat="false" ht="15" hidden="false" customHeight="false" outlineLevel="0" collapsed="false">
      <c r="A6149" s="3" t="s">
        <v>542</v>
      </c>
      <c r="C6149" s="25" t="n">
        <f aca="false">SUM($C$6146:$I$6146)</f>
        <v>100</v>
      </c>
    </row>
    <row r="6150" customFormat="false" ht="15" hidden="false" customHeight="false" outlineLevel="0" collapsed="false">
      <c r="A6150" s="3" t="s">
        <v>543</v>
      </c>
      <c r="C6150" s="25" t="n">
        <f aca="false">C6148+C6149</f>
        <v>131.5</v>
      </c>
    </row>
    <row r="6151" customFormat="false" ht="15" hidden="false" customHeight="false" outlineLevel="0" collapsed="false">
      <c r="A6151" s="3" t="s">
        <v>544</v>
      </c>
      <c r="C6151" s="25" t="n">
        <f aca="false">C6149-C6072*C6073/100</f>
        <v>5</v>
      </c>
    </row>
    <row r="6152" customFormat="false" ht="15" hidden="false" customHeight="false" outlineLevel="0" collapsed="false">
      <c r="A6152" s="3" t="s">
        <v>545</v>
      </c>
      <c r="C6152" s="25" t="n">
        <f aca="false">C6150-C6074</f>
        <v>36.5</v>
      </c>
    </row>
    <row r="6153" customFormat="false" ht="15" hidden="false" customHeight="false" outlineLevel="0" collapsed="false">
      <c r="A6153" s="2" t="s">
        <v>427</v>
      </c>
      <c r="C6153" s="44" t="n">
        <f aca="false">C6150/C6074</f>
        <v>1.38421052631579</v>
      </c>
    </row>
    <row r="6154" customFormat="false" ht="15" hidden="false" customHeight="false" outlineLevel="0" collapsed="false">
      <c r="A6154" s="2" t="s">
        <v>426</v>
      </c>
      <c r="C6154" s="42" t="n">
        <f aca="false">IF(C6150&lt;=0,-1,IFERROR(IRR($C$6147:$I$6147,MAX(-0.9,C6153^(1/C6141)-1)),IRR($C$6147:$I$6147,0.1)))</f>
        <v>0.126033624615204</v>
      </c>
    </row>
    <row r="6155" customFormat="false" ht="15" hidden="false" customHeight="false" outlineLevel="0" collapsed="false">
      <c r="A6155" s="3" t="s">
        <v>546</v>
      </c>
      <c r="C6155" s="32" t="n">
        <f aca="false">MAX($G$5961:$K$5961)</f>
        <v>7.16707744215791</v>
      </c>
    </row>
    <row r="6156" customFormat="false" ht="15" hidden="false" customHeight="false" outlineLevel="0" collapsed="false">
      <c r="A6156" s="3" t="s">
        <v>547</v>
      </c>
      <c r="C6156" s="32" t="n">
        <f aca="false">MIN($G$5962:$K$5962)</f>
        <v>1.0493452712451</v>
      </c>
    </row>
    <row r="6157" customFormat="false" ht="15" hidden="false" customHeight="false" outlineLevel="0" collapsed="false">
      <c r="A6157" s="3" t="s">
        <v>548</v>
      </c>
      <c r="C6157" s="25" t="n">
        <f aca="false">SUM($G$5868:$K$5868)</f>
        <v>233.054598670357</v>
      </c>
    </row>
    <row r="6161" customFormat="false" ht="15" hidden="false" customHeight="false" outlineLevel="0" collapsed="false">
      <c r="A6161" s="9" t="s">
        <v>1033</v>
      </c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</row>
    <row r="6162" customFormat="false" ht="15" hidden="false" customHeight="false" outlineLevel="0" collapsed="false">
      <c r="A6162" s="3" t="s">
        <v>1010</v>
      </c>
      <c r="C6162" s="11" t="n">
        <v>1</v>
      </c>
    </row>
    <row r="6163" customFormat="false" ht="15" hidden="false" customHeight="false" outlineLevel="0" collapsed="false">
      <c r="A6163" s="3" t="s">
        <v>1011</v>
      </c>
      <c r="C6163" s="30" t="n">
        <f aca="false">Sensitivities!$A$41</f>
        <v>-0.05</v>
      </c>
    </row>
    <row r="6164" customFormat="false" ht="15" hidden="false" customHeight="false" outlineLevel="0" collapsed="false">
      <c r="A6164" s="3" t="s">
        <v>1012</v>
      </c>
      <c r="C6164" s="18" t="n">
        <v>0</v>
      </c>
    </row>
    <row r="6165" customFormat="false" ht="15" hidden="false" customHeight="false" outlineLevel="0" collapsed="false">
      <c r="A6165" s="3" t="s">
        <v>1013</v>
      </c>
      <c r="C6165" s="18" t="n">
        <v>0</v>
      </c>
    </row>
    <row r="6166" customFormat="false" ht="15" hidden="false" customHeight="false" outlineLevel="0" collapsed="false">
      <c r="A6166" s="3" t="s">
        <v>1014</v>
      </c>
      <c r="C6166" s="15" t="n">
        <v>0</v>
      </c>
    </row>
    <row r="6168" customFormat="false" ht="15" hidden="false" customHeight="false" outlineLevel="0" collapsed="false">
      <c r="A6168" s="23" t="s">
        <v>281</v>
      </c>
      <c r="B6168" s="24"/>
      <c r="C6168" s="24"/>
      <c r="D6168" s="24"/>
      <c r="E6168" s="24"/>
      <c r="F6168" s="24"/>
      <c r="G6168" s="24"/>
      <c r="H6168" s="24"/>
      <c r="I6168" s="24"/>
      <c r="J6168" s="24"/>
      <c r="K6168" s="24"/>
    </row>
    <row r="6169" customFormat="false" ht="15" hidden="false" customHeight="false" outlineLevel="0" collapsed="false">
      <c r="A6169" s="3" t="s">
        <v>282</v>
      </c>
      <c r="F6169" s="27" t="n">
        <f aca="false">Assumptions!$C$6</f>
        <v>2026</v>
      </c>
      <c r="G6169" s="20" t="n">
        <f aca="false">F6169+1</f>
        <v>2027</v>
      </c>
      <c r="H6169" s="20" t="n">
        <f aca="false">G6169+1</f>
        <v>2028</v>
      </c>
      <c r="I6169" s="20" t="n">
        <f aca="false">H6169+1</f>
        <v>2029</v>
      </c>
      <c r="J6169" s="20" t="n">
        <f aca="false">I6169+1</f>
        <v>2030</v>
      </c>
      <c r="K6169" s="20" t="n">
        <f aca="false">J6169+1</f>
        <v>2031</v>
      </c>
    </row>
    <row r="6170" customFormat="false" ht="15" hidden="false" customHeight="false" outlineLevel="0" collapsed="false">
      <c r="A6170" s="3" t="s">
        <v>283</v>
      </c>
      <c r="G6170" s="20" t="n">
        <f aca="false">G6169-Assumptions!$C$6</f>
        <v>1</v>
      </c>
      <c r="H6170" s="20" t="n">
        <f aca="false">H6169-Assumptions!$C$6</f>
        <v>2</v>
      </c>
      <c r="I6170" s="20" t="n">
        <f aca="false">I6169-Assumptions!$C$6</f>
        <v>3</v>
      </c>
      <c r="J6170" s="20" t="n">
        <f aca="false">J6169-Assumptions!$C$6</f>
        <v>4</v>
      </c>
      <c r="K6170" s="20" t="n">
        <f aca="false">K6169-Assumptions!$C$6</f>
        <v>5</v>
      </c>
    </row>
    <row r="6171" customFormat="false" ht="15" hidden="false" customHeight="false" outlineLevel="0" collapsed="false">
      <c r="A6171" s="3" t="s">
        <v>165</v>
      </c>
      <c r="G6171" s="21" t="n">
        <f aca="false">CHOOSE($C$6162,Assumptions!$G$71,Assumptions!$G$90,Assumptions!$G$109)+$C$6163</f>
        <v>-0.095</v>
      </c>
      <c r="H6171" s="21" t="n">
        <f aca="false">CHOOSE($C$6162,Assumptions!$H$71,Assumptions!$H$90,Assumptions!$H$109)+$C$6163</f>
        <v>-0.09</v>
      </c>
      <c r="I6171" s="21" t="n">
        <f aca="false">CHOOSE($C$6162,Assumptions!$I$71,Assumptions!$I$90,Assumptions!$I$109)+$C$6163</f>
        <v>-0.085</v>
      </c>
      <c r="J6171" s="21" t="n">
        <f aca="false">CHOOSE($C$6162,Assumptions!$J$71,Assumptions!$J$90,Assumptions!$J$109)+$C$6163</f>
        <v>-0.08</v>
      </c>
      <c r="K6171" s="21" t="n">
        <f aca="false">CHOOSE($C$6162,Assumptions!$K$71,Assumptions!$K$90,Assumptions!$K$109)+$C$6163</f>
        <v>-0.08</v>
      </c>
    </row>
    <row r="6172" customFormat="false" ht="15" hidden="false" customHeight="false" outlineLevel="0" collapsed="false">
      <c r="A6172" s="3" t="s">
        <v>166</v>
      </c>
      <c r="G6172" s="21" t="n">
        <f aca="false">CHOOSE($C$6162,Assumptions!$G$72,Assumptions!$G$91,Assumptions!$G$110)</f>
        <v>0.483246670103635</v>
      </c>
      <c r="H6172" s="21" t="n">
        <f aca="false">CHOOSE($C$6162,Assumptions!$H$72,Assumptions!$H$91,Assumptions!$H$110)</f>
        <v>0.483246670103635</v>
      </c>
      <c r="I6172" s="21" t="n">
        <f aca="false">CHOOSE($C$6162,Assumptions!$I$72,Assumptions!$I$91,Assumptions!$I$110)</f>
        <v>0.481246670103635</v>
      </c>
      <c r="J6172" s="21" t="n">
        <f aca="false">CHOOSE($C$6162,Assumptions!$J$72,Assumptions!$J$91,Assumptions!$J$110)</f>
        <v>0.479246670103635</v>
      </c>
      <c r="K6172" s="21" t="n">
        <f aca="false">CHOOSE($C$6162,Assumptions!$K$72,Assumptions!$K$91,Assumptions!$K$110)</f>
        <v>0.477246670103635</v>
      </c>
    </row>
    <row r="6173" customFormat="false" ht="15" hidden="false" customHeight="false" outlineLevel="0" collapsed="false">
      <c r="A6173" s="3" t="s">
        <v>167</v>
      </c>
      <c r="G6173" s="21" t="n">
        <f aca="false">CHOOSE($C$6162,Assumptions!$G$73,Assumptions!$G$92,Assumptions!$G$111)+$C$6164</f>
        <v>0.14</v>
      </c>
      <c r="H6173" s="21" t="n">
        <f aca="false">CHOOSE($C$6162,Assumptions!$H$73,Assumptions!$H$92,Assumptions!$H$111)+$C$6164</f>
        <v>0.14</v>
      </c>
      <c r="I6173" s="21" t="n">
        <f aca="false">CHOOSE($C$6162,Assumptions!$I$73,Assumptions!$I$92,Assumptions!$I$111)+$C$6164</f>
        <v>0.138</v>
      </c>
      <c r="J6173" s="21" t="n">
        <f aca="false">CHOOSE($C$6162,Assumptions!$J$73,Assumptions!$J$92,Assumptions!$J$111)+$C$6164</f>
        <v>0.136</v>
      </c>
      <c r="K6173" s="21" t="n">
        <f aca="false">CHOOSE($C$6162,Assumptions!$K$73,Assumptions!$K$92,Assumptions!$K$111)+$C$6164</f>
        <v>0.134</v>
      </c>
    </row>
    <row r="6174" customFormat="false" ht="15" hidden="false" customHeight="false" outlineLevel="0" collapsed="false">
      <c r="A6174" s="23" t="s">
        <v>284</v>
      </c>
      <c r="B6174" s="24"/>
      <c r="C6174" s="24"/>
      <c r="D6174" s="24"/>
      <c r="E6174" s="24"/>
      <c r="F6174" s="24"/>
      <c r="G6174" s="24"/>
      <c r="H6174" s="24"/>
      <c r="I6174" s="24"/>
      <c r="J6174" s="24"/>
      <c r="K6174" s="24"/>
    </row>
    <row r="6175" customFormat="false" ht="15" hidden="false" customHeight="false" outlineLevel="0" collapsed="false">
      <c r="A6175" s="2" t="s">
        <v>256</v>
      </c>
      <c r="F6175" s="28" t="n">
        <f aca="false">'Historical Financials'!G23</f>
        <v>2246.166</v>
      </c>
      <c r="G6175" s="16" t="n">
        <f aca="false">F6175*(1+G6171)</f>
        <v>2032.78023</v>
      </c>
      <c r="H6175" s="16" t="n">
        <f aca="false">G6175*(1+H6171)</f>
        <v>1849.8300093</v>
      </c>
      <c r="I6175" s="16" t="n">
        <f aca="false">H6175*(1+I6171)</f>
        <v>1692.5944585095</v>
      </c>
      <c r="J6175" s="16" t="n">
        <f aca="false">I6175*(1+J6171)</f>
        <v>1557.18690182874</v>
      </c>
      <c r="K6175" s="16" t="n">
        <f aca="false">J6175*(1+K6171)</f>
        <v>1432.61194968244</v>
      </c>
    </row>
    <row r="6176" customFormat="false" ht="15" hidden="false" customHeight="false" outlineLevel="0" collapsed="false">
      <c r="A6176" s="3" t="s">
        <v>257</v>
      </c>
      <c r="G6176" s="25" t="n">
        <f aca="false">G6175*(1-G6172)</f>
        <v>1050.4459528</v>
      </c>
      <c r="H6176" s="25" t="n">
        <f aca="false">H6175*(1-H6172)</f>
        <v>955.905817048</v>
      </c>
      <c r="I6176" s="25" t="n">
        <f aca="false">I6175*(1-I6172)</f>
        <v>878.039011515939</v>
      </c>
      <c r="J6176" s="25" t="n">
        <f aca="false">J6175*(1-J6172)</f>
        <v>810.910264398321</v>
      </c>
      <c r="K6176" s="25" t="n">
        <f aca="false">K6175*(1-K6172)</f>
        <v>748.902667145821</v>
      </c>
    </row>
    <row r="6177" customFormat="false" ht="15" hidden="false" customHeight="false" outlineLevel="0" collapsed="false">
      <c r="A6177" s="2" t="s">
        <v>258</v>
      </c>
      <c r="G6177" s="16" t="n">
        <f aca="false">G6175-G6176</f>
        <v>982.3342772</v>
      </c>
      <c r="H6177" s="16" t="n">
        <f aca="false">H6175-H6176</f>
        <v>893.924192252</v>
      </c>
      <c r="I6177" s="16" t="n">
        <f aca="false">I6175-I6176</f>
        <v>814.555446993561</v>
      </c>
      <c r="J6177" s="16" t="n">
        <f aca="false">J6175-J6176</f>
        <v>746.276637430419</v>
      </c>
      <c r="K6177" s="16" t="n">
        <f aca="false">K6175-K6176</f>
        <v>683.70928253662</v>
      </c>
    </row>
    <row r="6178" customFormat="false" ht="15" hidden="false" customHeight="false" outlineLevel="0" collapsed="false">
      <c r="A6178" s="3" t="s">
        <v>285</v>
      </c>
      <c r="G6178" s="25" t="n">
        <f aca="false">G6177-G6179</f>
        <v>697.745045</v>
      </c>
      <c r="H6178" s="25" t="n">
        <f aca="false">H6177-H6179</f>
        <v>634.94799095</v>
      </c>
      <c r="I6178" s="25" t="n">
        <f aca="false">I6177-I6179</f>
        <v>580.97741171925</v>
      </c>
      <c r="J6178" s="25" t="n">
        <f aca="false">J6177-J6179</f>
        <v>534.49921878171</v>
      </c>
      <c r="K6178" s="25" t="n">
        <f aca="false">K6177-K6179</f>
        <v>491.739281279173</v>
      </c>
    </row>
    <row r="6179" customFormat="false" ht="15" hidden="false" customHeight="false" outlineLevel="0" collapsed="false">
      <c r="A6179" s="2" t="s">
        <v>286</v>
      </c>
      <c r="G6179" s="16" t="n">
        <f aca="false">G6175*G6173</f>
        <v>284.5892322</v>
      </c>
      <c r="H6179" s="16" t="n">
        <f aca="false">H6175*H6173</f>
        <v>258.976201302</v>
      </c>
      <c r="I6179" s="16" t="n">
        <f aca="false">I6175*I6173</f>
        <v>233.578035274311</v>
      </c>
      <c r="J6179" s="16" t="n">
        <f aca="false">J6175*J6173</f>
        <v>211.777418648709</v>
      </c>
      <c r="K6179" s="16" t="n">
        <f aca="false">K6175*K6173</f>
        <v>191.970001257447</v>
      </c>
    </row>
    <row r="6180" customFormat="false" ht="15" hidden="false" customHeight="false" outlineLevel="0" collapsed="false">
      <c r="A6180" s="3" t="s">
        <v>287</v>
      </c>
      <c r="G6180" s="25" t="n">
        <f aca="false">G6175*'Historical Financials'!G28/'Historical Financials'!G23</f>
        <v>77.19288</v>
      </c>
      <c r="H6180" s="25" t="n">
        <f aca="false">H6175*'Historical Financials'!G28/'Historical Financials'!G23</f>
        <v>70.2455208</v>
      </c>
      <c r="I6180" s="25" t="n">
        <f aca="false">I6175*'Historical Financials'!G28/'Historical Financials'!G23</f>
        <v>64.274651532</v>
      </c>
      <c r="J6180" s="25" t="n">
        <f aca="false">J6175*'Historical Financials'!G28/'Historical Financials'!G23</f>
        <v>59.13267940944</v>
      </c>
      <c r="K6180" s="25" t="n">
        <f aca="false">K6175*'Historical Financials'!G28/'Historical Financials'!G23</f>
        <v>54.4020650566848</v>
      </c>
    </row>
    <row r="6181" customFormat="false" ht="15" hidden="false" customHeight="false" outlineLevel="0" collapsed="false">
      <c r="A6181" s="3" t="s">
        <v>288</v>
      </c>
      <c r="G6181" s="25" t="n">
        <f aca="false">G6175*'Historical Financials'!G29/'Historical Financials'!G23</f>
        <v>22.04218</v>
      </c>
      <c r="H6181" s="25" t="n">
        <f aca="false">H6175*'Historical Financials'!G29/'Historical Financials'!G23</f>
        <v>20.0583838</v>
      </c>
      <c r="I6181" s="25" t="n">
        <f aca="false">I6175*'Historical Financials'!G29/'Historical Financials'!G23</f>
        <v>18.353421177</v>
      </c>
      <c r="J6181" s="25" t="n">
        <f aca="false">J6175*'Historical Financials'!G29/'Historical Financials'!G23</f>
        <v>16.88514748284</v>
      </c>
      <c r="K6181" s="25" t="n">
        <f aca="false">K6175*'Historical Financials'!G29/'Historical Financials'!G23</f>
        <v>15.5343356842128</v>
      </c>
    </row>
    <row r="6182" customFormat="false" ht="15" hidden="false" customHeight="false" outlineLevel="0" collapsed="false">
      <c r="A6182" s="2" t="s">
        <v>289</v>
      </c>
      <c r="G6182" s="16" t="n">
        <f aca="false">G6179-G6180-G6181</f>
        <v>185.3541722</v>
      </c>
      <c r="H6182" s="16" t="n">
        <f aca="false">H6179-H6180-H6181</f>
        <v>168.672296702</v>
      </c>
      <c r="I6182" s="16" t="n">
        <f aca="false">I6179-I6180-I6181</f>
        <v>150.949962565311</v>
      </c>
      <c r="J6182" s="16" t="n">
        <f aca="false">J6179-J6180-J6181</f>
        <v>135.759591756429</v>
      </c>
      <c r="K6182" s="16" t="n">
        <f aca="false">K6179-K6180-K6181</f>
        <v>122.033600516549</v>
      </c>
    </row>
    <row r="6183" customFormat="false" ht="15" hidden="false" customHeight="false" outlineLevel="0" collapsed="false">
      <c r="A6183" s="3" t="s">
        <v>290</v>
      </c>
      <c r="G6183" s="25" t="n">
        <f aca="false">G6209+G6222+G6235</f>
        <v>155.95467</v>
      </c>
      <c r="H6183" s="25" t="n">
        <f aca="false">H6209+H6222+H6235</f>
        <v>155.95467</v>
      </c>
      <c r="I6183" s="25" t="n">
        <f aca="false">I6209+I6222+I6235</f>
        <v>155.95467</v>
      </c>
      <c r="J6183" s="25" t="n">
        <f aca="false">J6209+J6222+J6235</f>
        <v>138.08529</v>
      </c>
      <c r="K6183" s="25" t="n">
        <f aca="false">K6209+K6222+K6235</f>
        <v>138.08529</v>
      </c>
    </row>
    <row r="6184" customFormat="false" ht="15" hidden="false" customHeight="false" outlineLevel="0" collapsed="false">
      <c r="A6184" s="3" t="s">
        <v>291</v>
      </c>
      <c r="G6184" s="25" t="n">
        <f aca="false">G6210+G6223+G6236</f>
        <v>0</v>
      </c>
      <c r="H6184" s="25" t="n">
        <f aca="false">H6210+H6223+H6236</f>
        <v>0</v>
      </c>
      <c r="I6184" s="25" t="n">
        <f aca="false">I6210+I6223+I6236</f>
        <v>0</v>
      </c>
      <c r="J6184" s="25" t="n">
        <f aca="false">J6210+J6223+J6236</f>
        <v>0</v>
      </c>
      <c r="K6184" s="25" t="n">
        <f aca="false">K6210+K6223+K6236</f>
        <v>0</v>
      </c>
    </row>
    <row r="6185" customFormat="false" ht="15" hidden="false" customHeight="false" outlineLevel="0" collapsed="false">
      <c r="A6185" s="3" t="s">
        <v>239</v>
      </c>
      <c r="G6185" s="25" t="n">
        <f aca="false">G6183+G6184</f>
        <v>155.95467</v>
      </c>
      <c r="H6185" s="25" t="n">
        <f aca="false">H6183+H6184</f>
        <v>155.95467</v>
      </c>
      <c r="I6185" s="25" t="n">
        <f aca="false">I6183+I6184</f>
        <v>155.95467</v>
      </c>
      <c r="J6185" s="25" t="n">
        <f aca="false">J6183+J6184</f>
        <v>138.08529</v>
      </c>
      <c r="K6185" s="25" t="n">
        <f aca="false">K6183+K6184</f>
        <v>138.08529</v>
      </c>
    </row>
    <row r="6186" customFormat="false" ht="15" hidden="false" customHeight="false" outlineLevel="0" collapsed="false">
      <c r="A6186" s="2" t="s">
        <v>264</v>
      </c>
      <c r="G6186" s="16" t="n">
        <f aca="false">G6182-G6185</f>
        <v>29.3995022</v>
      </c>
      <c r="H6186" s="16" t="n">
        <f aca="false">H6182-H6185</f>
        <v>12.717626702</v>
      </c>
      <c r="I6186" s="16" t="n">
        <f aca="false">I6182-I6185</f>
        <v>-5.00470743468901</v>
      </c>
      <c r="J6186" s="16" t="n">
        <f aca="false">J6182-J6185</f>
        <v>-2.32569824357134</v>
      </c>
      <c r="K6186" s="16" t="n">
        <f aca="false">K6182-K6185</f>
        <v>-16.0516894834505</v>
      </c>
    </row>
    <row r="6187" customFormat="false" ht="15" hidden="false" customHeight="false" outlineLevel="0" collapsed="false">
      <c r="A6187" s="3" t="s">
        <v>292</v>
      </c>
      <c r="G6187" s="25" t="n">
        <f aca="false">MAX(0,G6186)*Assumptions!$C$9</f>
        <v>7.34987555000001</v>
      </c>
      <c r="H6187" s="25" t="n">
        <f aca="false">MAX(0,H6186)*Assumptions!$C$9</f>
        <v>3.17940667550001</v>
      </c>
      <c r="I6187" s="25" t="n">
        <f aca="false">MAX(0,I6186)*Assumptions!$C$9</f>
        <v>0</v>
      </c>
      <c r="J6187" s="25" t="n">
        <f aca="false">MAX(0,J6186)*Assumptions!$C$9</f>
        <v>0</v>
      </c>
      <c r="K6187" s="25" t="n">
        <f aca="false">MAX(0,K6186)*Assumptions!$C$9</f>
        <v>0</v>
      </c>
    </row>
    <row r="6188" customFormat="false" ht="15" hidden="false" customHeight="false" outlineLevel="0" collapsed="false">
      <c r="A6188" s="2" t="s">
        <v>293</v>
      </c>
      <c r="G6188" s="16" t="n">
        <f aca="false">G6186-G6187</f>
        <v>22.04962665</v>
      </c>
      <c r="H6188" s="16" t="n">
        <f aca="false">H6186-H6187</f>
        <v>9.53822002650004</v>
      </c>
      <c r="I6188" s="16" t="n">
        <f aca="false">I6186-I6187</f>
        <v>-5.00470743468901</v>
      </c>
      <c r="J6188" s="16" t="n">
        <f aca="false">J6186-J6187</f>
        <v>-2.32569824357134</v>
      </c>
      <c r="K6188" s="16" t="n">
        <f aca="false">K6186-K6187</f>
        <v>-16.0516894834505</v>
      </c>
    </row>
    <row r="6189" customFormat="false" ht="15" hidden="false" customHeight="false" outlineLevel="0" collapsed="false">
      <c r="A6189" s="23" t="s">
        <v>294</v>
      </c>
      <c r="B6189" s="24"/>
      <c r="C6189" s="24"/>
      <c r="D6189" s="24"/>
      <c r="E6189" s="24"/>
      <c r="F6189" s="24"/>
      <c r="G6189" s="24"/>
      <c r="H6189" s="24"/>
      <c r="I6189" s="24"/>
      <c r="J6189" s="24"/>
      <c r="K6189" s="24"/>
    </row>
    <row r="6190" customFormat="false" ht="15" hidden="false" customHeight="false" outlineLevel="0" collapsed="false">
      <c r="A6190" s="3" t="s">
        <v>169</v>
      </c>
      <c r="G6190" s="25" t="n">
        <f aca="false">G6175*CHOOSE($C$6162,Assumptions!$C$75,Assumptions!$C$94,Assumptions!$C$113)</f>
        <v>28.45892322</v>
      </c>
      <c r="H6190" s="25" t="n">
        <f aca="false">H6175*CHOOSE($C$6162,Assumptions!$C$75,Assumptions!$C$94,Assumptions!$C$113)</f>
        <v>25.8976201302</v>
      </c>
      <c r="I6190" s="25" t="n">
        <f aca="false">I6175*CHOOSE($C$6162,Assumptions!$C$75,Assumptions!$C$94,Assumptions!$C$113)</f>
        <v>23.696322419133</v>
      </c>
      <c r="J6190" s="25" t="n">
        <f aca="false">J6175*CHOOSE($C$6162,Assumptions!$C$75,Assumptions!$C$94,Assumptions!$C$113)</f>
        <v>21.8006166256024</v>
      </c>
      <c r="K6190" s="25" t="n">
        <f aca="false">K6175*CHOOSE($C$6162,Assumptions!$C$75,Assumptions!$C$94,Assumptions!$C$113)</f>
        <v>20.0565672955542</v>
      </c>
    </row>
    <row r="6191" customFormat="false" ht="15" hidden="false" customHeight="false" outlineLevel="0" collapsed="false">
      <c r="A6191" s="3" t="s">
        <v>295</v>
      </c>
      <c r="G6191" s="25" t="n">
        <f aca="false">CHOOSE($C$6162,Assumptions!$C$76,Assumptions!$C$95,Assumptions!$C$114)*(G6175-F6175)+CHOOSE($C$6162,Assumptions!$C$77,Assumptions!$C$96,Assumptions!$C$115)*G6175</f>
        <v>-20.3278023</v>
      </c>
      <c r="H6191" s="25" t="n">
        <f aca="false">CHOOSE($C$6162,Assumptions!$C$76,Assumptions!$C$95,Assumptions!$C$114)*(H6175-G6175)+CHOOSE($C$6162,Assumptions!$C$77,Assumptions!$C$96,Assumptions!$C$115)*H6175</f>
        <v>-18.498300093</v>
      </c>
      <c r="I6191" s="25" t="n">
        <f aca="false">CHOOSE($C$6162,Assumptions!$C$76,Assumptions!$C$95,Assumptions!$C$114)*(I6175-H6175)+CHOOSE($C$6162,Assumptions!$C$77,Assumptions!$C$96,Assumptions!$C$115)*I6175</f>
        <v>-16.925944585095</v>
      </c>
      <c r="J6191" s="25" t="n">
        <f aca="false">CHOOSE($C$6162,Assumptions!$C$76,Assumptions!$C$95,Assumptions!$C$114)*(J6175-I6175)+CHOOSE($C$6162,Assumptions!$C$77,Assumptions!$C$96,Assumptions!$C$115)*J6175</f>
        <v>-15.5718690182874</v>
      </c>
      <c r="K6191" s="25" t="n">
        <f aca="false">CHOOSE($C$6162,Assumptions!$C$76,Assumptions!$C$95,Assumptions!$C$114)*(K6175-J6175)+CHOOSE($C$6162,Assumptions!$C$77,Assumptions!$C$96,Assumptions!$C$115)*K6175</f>
        <v>-14.3261194968244</v>
      </c>
    </row>
    <row r="6192" customFormat="false" ht="15" hidden="false" customHeight="false" outlineLevel="0" collapsed="false">
      <c r="A6192" s="2" t="s">
        <v>296</v>
      </c>
      <c r="G6192" s="16" t="n">
        <f aca="false">G6188+G6180+G6181+G6184-G6190-G6191</f>
        <v>113.15356573</v>
      </c>
      <c r="H6192" s="16" t="n">
        <f aca="false">H6188+H6180+H6181+H6184-H6190-H6191</f>
        <v>92.4428045893001</v>
      </c>
      <c r="I6192" s="16" t="n">
        <f aca="false">I6188+I6180+I6181+I6184-I6190-I6191</f>
        <v>70.852987440273</v>
      </c>
      <c r="J6192" s="16" t="n">
        <f aca="false">J6188+J6180+J6181+J6184-J6190-J6191</f>
        <v>67.4633810413937</v>
      </c>
      <c r="K6192" s="16" t="n">
        <f aca="false">K6188+K6180+K6181+K6184-K6190-K6191</f>
        <v>48.1542634587174</v>
      </c>
    </row>
    <row r="6194" customFormat="false" ht="15" hidden="false" customHeight="false" outlineLevel="0" collapsed="false">
      <c r="A6194" s="23" t="s">
        <v>298</v>
      </c>
      <c r="B6194" s="24"/>
      <c r="C6194" s="24"/>
      <c r="D6194" s="24"/>
      <c r="E6194" s="24"/>
      <c r="F6194" s="24"/>
      <c r="G6194" s="24"/>
      <c r="H6194" s="24"/>
      <c r="I6194" s="24"/>
      <c r="J6194" s="24"/>
      <c r="K6194" s="24"/>
    </row>
    <row r="6195" customFormat="false" ht="15" hidden="false" customHeight="false" outlineLevel="0" collapsed="false">
      <c r="A6195" s="3" t="s">
        <v>299</v>
      </c>
      <c r="G6195" s="30" t="n">
        <f aca="false">Assumptions!$G$52</f>
        <v>0.039</v>
      </c>
      <c r="H6195" s="30" t="n">
        <f aca="false">Assumptions!$H$52</f>
        <v>0.0375</v>
      </c>
      <c r="I6195" s="30" t="n">
        <f aca="false">Assumptions!$I$52</f>
        <v>0.035</v>
      </c>
      <c r="J6195" s="30" t="n">
        <f aca="false">Assumptions!$J$52</f>
        <v>0.035</v>
      </c>
      <c r="K6195" s="30" t="n">
        <f aca="false">Assumptions!$K$52</f>
        <v>0.035</v>
      </c>
    </row>
    <row r="6196" customFormat="false" ht="15" hidden="false" customHeight="false" outlineLevel="0" collapsed="false">
      <c r="A6196" s="3" t="s">
        <v>300</v>
      </c>
      <c r="C6196" s="31" t="n">
        <f aca="false">CHOOSE($C$6162,Assumptions!$C$78,Assumptions!$C$97,Assumptions!$C$116)+$C$6165</f>
        <v>0</v>
      </c>
    </row>
    <row r="6197" customFormat="false" ht="15" hidden="false" customHeight="false" outlineLevel="0" collapsed="false">
      <c r="A6197" s="3" t="s">
        <v>301</v>
      </c>
      <c r="C6197" s="31" t="n">
        <f aca="false">CHOOSE($C$6162,Assumptions!$C$79,Assumptions!$C$98,Assumptions!$C$117)</f>
        <v>0.11</v>
      </c>
    </row>
    <row r="6198" customFormat="false" ht="15" hidden="false" customHeight="false" outlineLevel="0" collapsed="false">
      <c r="A6198" s="3" t="s">
        <v>302</v>
      </c>
      <c r="C6198" s="32" t="n">
        <f aca="false">CHOOSE($C$6162,Assumptions!$C$80,Assumptions!$C$99,Assumptions!$C$118)</f>
        <v>6</v>
      </c>
    </row>
    <row r="6199" customFormat="false" ht="15" hidden="false" customHeight="false" outlineLevel="0" collapsed="false">
      <c r="A6199" s="3" t="s">
        <v>303</v>
      </c>
      <c r="C6199" s="32" t="n">
        <f aca="false">CHOOSE($C$6162,Assumptions!$C$81,Assumptions!$C$100,Assumptions!$C$119)</f>
        <v>1.25</v>
      </c>
    </row>
    <row r="6200" customFormat="false" ht="15" hidden="false" customHeight="false" outlineLevel="0" collapsed="false">
      <c r="A6200" s="3" t="s">
        <v>304</v>
      </c>
      <c r="G6200" s="25" t="n">
        <f aca="false">G6205+G6218+G6231</f>
        <v>1735.554</v>
      </c>
      <c r="H6200" s="25" t="n">
        <f aca="false">H6205+H6218+H6231</f>
        <v>1735.554</v>
      </c>
      <c r="I6200" s="25" t="n">
        <f aca="false">I6205+I6218+I6231</f>
        <v>1735.554</v>
      </c>
      <c r="J6200" s="25" t="n">
        <f aca="false">J6205+J6218+J6231</f>
        <v>1315.098</v>
      </c>
      <c r="K6200" s="25" t="n">
        <f aca="false">K6205+K6218+K6231</f>
        <v>1315.098</v>
      </c>
    </row>
    <row r="6201" customFormat="false" ht="15" hidden="false" customHeight="false" outlineLevel="0" collapsed="false">
      <c r="A6201" s="3" t="s">
        <v>305</v>
      </c>
      <c r="G6201" s="25" t="n">
        <f aca="false">F6274</f>
        <v>463.996</v>
      </c>
      <c r="H6201" s="25" t="n">
        <f aca="false">G6274</f>
        <v>577.14956573</v>
      </c>
      <c r="I6201" s="25" t="n">
        <f aca="false">H6274</f>
        <v>669.5923703193</v>
      </c>
      <c r="J6201" s="25" t="n">
        <f aca="false">I6274</f>
        <v>319.989357759573</v>
      </c>
      <c r="K6201" s="25" t="n">
        <f aca="false">J6274</f>
        <v>387.452738800967</v>
      </c>
    </row>
    <row r="6202" customFormat="false" ht="15" hidden="false" customHeight="false" outlineLevel="0" collapsed="false">
      <c r="A6202" s="3" t="s">
        <v>306</v>
      </c>
      <c r="G6202" s="25" t="n">
        <f aca="false">G6205*IF(G6206=1,$C$6197,IF(Assumptions!$I$56=1,MAX(G6195,Assumptions!$G$56)+Assumptions!$F$56+$C$6196,Assumptions!$E$56))+G6218*IF(G6219=1,$C$6197,IF(Assumptions!$I$57=1,MAX(G6195,Assumptions!$G$57)+Assumptions!$F$57+$C$6196,Assumptions!$E$57))+G6231*IF(G6232=1,$C$6197,IF(Assumptions!$I$58=1,MAX(G6195,Assumptions!$G$58)+Assumptions!$F$58+$C$6196,Assumptions!$E$58))</f>
        <v>155.95467</v>
      </c>
      <c r="H6202" s="25" t="n">
        <f aca="false">H6205*IF(OR(H6206=1,G6352=1),$C$6197,IF(Assumptions!$I$56=1,MAX(H6195,Assumptions!$G$56)+Assumptions!$F$56+$C$6196,Assumptions!$E$56))+H6218*IF(OR(H6219=1,G6353=1),$C$6197,IF(Assumptions!$I$57=1,MAX(H6195,Assumptions!$G$57)+Assumptions!$F$57+$C$6196,Assumptions!$E$57))+H6231*IF(OR(H6232=1,G6354=1),$C$6197,IF(Assumptions!$I$58=1,MAX(H6195,Assumptions!$G$58)+Assumptions!$F$58+$C$6196,Assumptions!$E$58))</f>
        <v>155.95467</v>
      </c>
      <c r="I6202" s="25" t="n">
        <f aca="false">I6205*IF(OR(I6206=1,H6352=1),$C$6197,IF(Assumptions!$I$56=1,MAX(I6195,Assumptions!$G$56)+Assumptions!$F$56+$C$6196,Assumptions!$E$56))+I6218*IF(OR(I6219=1,H6353=1),$C$6197,IF(Assumptions!$I$57=1,MAX(I6195,Assumptions!$G$57)+Assumptions!$F$57+$C$6196,Assumptions!$E$57))+I6231*IF(OR(I6232=1,H6354=1),$C$6197,IF(Assumptions!$I$58=1,MAX(I6195,Assumptions!$G$58)+Assumptions!$F$58+$C$6196,Assumptions!$E$58))</f>
        <v>184.33545</v>
      </c>
      <c r="J6202" s="25" t="n">
        <f aca="false">J6205*IF(OR(J6206=1,I6352=1),$C$6197,IF(Assumptions!$I$56=1,MAX(J6195,Assumptions!$G$56)+Assumptions!$F$56+$C$6196,Assumptions!$E$56))+J6218*IF(OR(J6219=1,I6353=1),$C$6197,IF(Assumptions!$I$57=1,MAX(J6195,Assumptions!$G$57)+Assumptions!$F$57+$C$6196,Assumptions!$E$57))+J6231*IF(OR(J6232=1,I6354=1),$C$6197,IF(Assumptions!$I$58=1,MAX(J6195,Assumptions!$G$58)+Assumptions!$F$58+$C$6196,Assumptions!$E$58))</f>
        <v>138.08529</v>
      </c>
      <c r="K6202" s="25" t="n">
        <f aca="false">K6205*IF(OR(K6206=1,J6352=1),$C$6197,IF(Assumptions!$I$56=1,MAX(K6195,Assumptions!$G$56)+Assumptions!$F$56+$C$6196,Assumptions!$E$56))+K6218*IF(OR(K6219=1,J6353=1),$C$6197,IF(Assumptions!$I$57=1,MAX(K6195,Assumptions!$G$57)+Assumptions!$F$57+$C$6196,Assumptions!$E$57))+K6231*IF(OR(K6232=1,J6354=1),$C$6197,IF(Assumptions!$I$58=1,MAX(K6195,Assumptions!$G$58)+Assumptions!$F$58+$C$6196,Assumptions!$E$58))</f>
        <v>138.08529</v>
      </c>
    </row>
    <row r="6203" customFormat="false" ht="15" hidden="false" customHeight="false" outlineLevel="0" collapsed="false">
      <c r="A6203" s="3" t="s">
        <v>307</v>
      </c>
      <c r="G6203" s="20" t="n">
        <f aca="false">IF(G6179&lt;=0,0,IF(AND((G6200-G6201)/G6179&lt;=$C$6198,G6179/G6202&gt;=$C$6199),1,0))</f>
        <v>1</v>
      </c>
      <c r="H6203" s="20" t="n">
        <f aca="false">IF(H6179&lt;=0,0,IF(AND((H6200-H6201)/H6179&lt;=$C$6198,H6179/H6202&gt;=$C$6199),1,0))</f>
        <v>1</v>
      </c>
      <c r="I6203" s="20" t="n">
        <f aca="false">IF(I6179&lt;=0,0,IF(AND((I6200-I6201)/I6179&lt;=$C$6198,I6179/I6202&gt;=$C$6199),1,0))</f>
        <v>1</v>
      </c>
      <c r="J6203" s="20" t="n">
        <f aca="false">IF(J6179&lt;=0,0,IF(AND((J6200-J6201)/J6179&lt;=$C$6198,J6179/J6202&gt;=$C$6199),1,0))</f>
        <v>1</v>
      </c>
      <c r="K6203" s="20" t="n">
        <f aca="false">IF(K6179&lt;=0,0,IF(AND((K6200-K6201)/K6179&lt;=$C$6198,K6179/K6202&gt;=$C$6199),1,0))</f>
        <v>1</v>
      </c>
    </row>
    <row r="6204" customFormat="false" ht="15" hidden="false" customHeight="false" outlineLevel="0" collapsed="false">
      <c r="A6204" s="23" t="s">
        <v>308</v>
      </c>
      <c r="B6204" s="24"/>
      <c r="C6204" s="24"/>
      <c r="D6204" s="24"/>
      <c r="E6204" s="24"/>
      <c r="F6204" s="24"/>
      <c r="G6204" s="24"/>
      <c r="H6204" s="24"/>
      <c r="I6204" s="24"/>
      <c r="J6204" s="24"/>
      <c r="K6204" s="24"/>
    </row>
    <row r="6205" customFormat="false" ht="15" hidden="false" customHeight="false" outlineLevel="0" collapsed="false">
      <c r="A6205" s="3" t="s">
        <v>309</v>
      </c>
      <c r="G6205" s="25" t="n">
        <f aca="false">F6216</f>
        <v>1315.098</v>
      </c>
      <c r="H6205" s="25" t="n">
        <f aca="false">G6216</f>
        <v>1315.098</v>
      </c>
      <c r="I6205" s="25" t="n">
        <f aca="false">H6216</f>
        <v>1315.098</v>
      </c>
      <c r="J6205" s="25" t="n">
        <f aca="false">I6216</f>
        <v>1315.098</v>
      </c>
      <c r="K6205" s="25" t="n">
        <f aca="false">J6216</f>
        <v>1315.098</v>
      </c>
    </row>
    <row r="6206" customFormat="false" ht="15" hidden="false" customHeight="false" outlineLevel="0" collapsed="false">
      <c r="A6206" s="3" t="s">
        <v>310</v>
      </c>
      <c r="G6206" s="20" t="n">
        <f aca="false">IF(G6169=Assumptions!$K$56,1,0)</f>
        <v>0</v>
      </c>
      <c r="H6206" s="20" t="n">
        <f aca="false">IF(H6169=Assumptions!$K$56,1,0)</f>
        <v>0</v>
      </c>
      <c r="I6206" s="20" t="n">
        <f aca="false">IF(I6169=Assumptions!$K$56,1,0)</f>
        <v>0</v>
      </c>
      <c r="J6206" s="20" t="n">
        <f aca="false">IF(J6169=Assumptions!$K$56,1,0)</f>
        <v>0</v>
      </c>
      <c r="K6206" s="20" t="n">
        <f aca="false">IF(K6169=Assumptions!$K$56,1,0)</f>
        <v>0</v>
      </c>
    </row>
    <row r="6208" customFormat="false" ht="15" hidden="false" customHeight="false" outlineLevel="0" collapsed="false">
      <c r="A6208" s="3" t="s">
        <v>311</v>
      </c>
      <c r="G6208" s="31" t="n">
        <f aca="false">IF(Assumptions!$I$56=1,MAX(G6195,Assumptions!$G$56)+Assumptions!$F$56+$C$6196,Assumptions!$E$56)</f>
        <v>0.105</v>
      </c>
      <c r="H6208" s="31" t="n">
        <f aca="false">IF(G6352=1,$C$6197,IF(Assumptions!$I$56=1,MAX(H6195,Assumptions!$G$56)+Assumptions!$F$56+$C$6196,Assumptions!$E$56))</f>
        <v>0.105</v>
      </c>
      <c r="I6208" s="31" t="n">
        <f aca="false">IF(H6352=1,$C$6197,IF(Assumptions!$I$56=1,MAX(I6195,Assumptions!$G$56)+Assumptions!$F$56+$C$6196,Assumptions!$E$56))</f>
        <v>0.105</v>
      </c>
      <c r="J6208" s="31" t="n">
        <f aca="false">IF(I6352=1,$C$6197,IF(Assumptions!$I$56=1,MAX(J6195,Assumptions!$G$56)+Assumptions!$F$56+$C$6196,Assumptions!$E$56))</f>
        <v>0.105</v>
      </c>
      <c r="K6208" s="31" t="n">
        <f aca="false">IF(J6352=1,$C$6197,IF(Assumptions!$I$56=1,MAX(K6195,Assumptions!$G$56)+Assumptions!$F$56+$C$6196,Assumptions!$E$56))</f>
        <v>0.105</v>
      </c>
    </row>
    <row r="6209" customFormat="false" ht="15" hidden="false" customHeight="false" outlineLevel="0" collapsed="false">
      <c r="A6209" s="3" t="s">
        <v>312</v>
      </c>
      <c r="G6209" s="25" t="n">
        <f aca="false">G6205*G6208</f>
        <v>138.08529</v>
      </c>
      <c r="H6209" s="25" t="n">
        <f aca="false">H6205*H6208</f>
        <v>138.08529</v>
      </c>
      <c r="I6209" s="25" t="n">
        <f aca="false">I6205*I6208</f>
        <v>138.08529</v>
      </c>
      <c r="J6209" s="25" t="n">
        <f aca="false">J6205*J6208</f>
        <v>138.08529</v>
      </c>
      <c r="K6209" s="25" t="n">
        <f aca="false">K6205*K6208</f>
        <v>138.08529</v>
      </c>
    </row>
    <row r="6210" customFormat="false" ht="15" hidden="false" customHeight="false" outlineLevel="0" collapsed="false">
      <c r="A6210" s="3" t="s">
        <v>313</v>
      </c>
      <c r="G6210" s="25" t="n">
        <f aca="false">G6205*Assumptions!$H$56</f>
        <v>0</v>
      </c>
      <c r="H6210" s="25" t="n">
        <f aca="false">H6205*Assumptions!$H$56</f>
        <v>0</v>
      </c>
      <c r="I6210" s="25" t="n">
        <f aca="false">I6205*Assumptions!$H$56</f>
        <v>0</v>
      </c>
      <c r="J6210" s="25" t="n">
        <f aca="false">J6205*Assumptions!$H$56</f>
        <v>0</v>
      </c>
      <c r="K6210" s="25" t="n">
        <f aca="false">K6205*Assumptions!$H$56</f>
        <v>0</v>
      </c>
    </row>
    <row r="6211" customFormat="false" ht="15" hidden="false" customHeight="false" outlineLevel="0" collapsed="false">
      <c r="A6211" s="3" t="s">
        <v>314</v>
      </c>
      <c r="G6211" s="25" t="n">
        <f aca="false">MIN(G6205,Assumptions!$L$56*Assumptions!$C$56)</f>
        <v>0</v>
      </c>
      <c r="H6211" s="25" t="n">
        <f aca="false">MIN(H6205,Assumptions!$L$56*Assumptions!$C$56)</f>
        <v>0</v>
      </c>
      <c r="I6211" s="25" t="n">
        <f aca="false">MIN(I6205,Assumptions!$L$56*Assumptions!$C$56)</f>
        <v>0</v>
      </c>
      <c r="J6211" s="25" t="n">
        <f aca="false">MIN(J6205,Assumptions!$L$56*Assumptions!$C$56)</f>
        <v>0</v>
      </c>
      <c r="K6211" s="25" t="n">
        <f aca="false">MIN(K6205,Assumptions!$L$56*Assumptions!$C$56)</f>
        <v>0</v>
      </c>
    </row>
    <row r="6212" customFormat="false" ht="15" hidden="false" customHeight="false" outlineLevel="0" collapsed="false">
      <c r="A6212" s="3" t="s">
        <v>315</v>
      </c>
      <c r="G6212" s="25" t="n">
        <f aca="false">IF(AND(Assumptions!$P$56=1,G6169&lt;Assumptions!$K$56),MIN(MAX(0,-G6266),MAX(0,Assumptions!$D$56-G6205)),0)</f>
        <v>0</v>
      </c>
      <c r="H6212" s="25" t="n">
        <f aca="false">IF(AND(Assumptions!$P$56=1,OR(H6169&lt;Assumptions!$K$56,G6352=1)),MIN(MAX(0,-H6266),MAX(0,Assumptions!$D$56-H6205)),0)</f>
        <v>0</v>
      </c>
      <c r="I6212" s="25" t="n">
        <f aca="false">IF(AND(Assumptions!$P$56=1,OR(I6169&lt;Assumptions!$K$56,H6352=1)),MIN(MAX(0,-I6266),MAX(0,Assumptions!$D$56-I6205)),0)</f>
        <v>0</v>
      </c>
      <c r="J6212" s="25" t="n">
        <f aca="false">IF(AND(Assumptions!$P$56=1,OR(J6169&lt;Assumptions!$K$56,I6352=1)),MIN(MAX(0,-J6266),MAX(0,Assumptions!$D$56-J6205)),0)</f>
        <v>0</v>
      </c>
      <c r="K6212" s="25" t="n">
        <f aca="false">IF(AND(Assumptions!$P$56=1,OR(K6169&lt;Assumptions!$K$56,J6352=1)),MIN(MAX(0,-K6266),MAX(0,Assumptions!$D$56-K6205)),0)</f>
        <v>0</v>
      </c>
    </row>
    <row r="6213" customFormat="false" ht="15" hidden="false" customHeight="false" outlineLevel="0" collapsed="false">
      <c r="A6213" s="3" t="s">
        <v>316</v>
      </c>
      <c r="G6213" s="25" t="n">
        <f aca="false">G6206*MIN(G6205-G6211+G6210,MAX(0,G6268-Assumptions!$C$12*G6203))</f>
        <v>0</v>
      </c>
      <c r="H6213" s="25" t="n">
        <f aca="false">H6206*MIN(H6205-H6211+H6210,MAX(0,H6268-Assumptions!$C$12*H6203))</f>
        <v>0</v>
      </c>
      <c r="I6213" s="25" t="n">
        <f aca="false">I6206*MIN(I6205-I6211+I6210,MAX(0,I6268-Assumptions!$C$12*I6203))</f>
        <v>0</v>
      </c>
      <c r="J6213" s="25" t="n">
        <f aca="false">J6206*MIN(J6205-J6211+J6210,MAX(0,J6268-Assumptions!$C$12*J6203))</f>
        <v>0</v>
      </c>
      <c r="K6213" s="25" t="n">
        <f aca="false">K6206*MIN(K6205-K6211+K6210,MAX(0,K6268-Assumptions!$C$12*K6203))</f>
        <v>0</v>
      </c>
    </row>
    <row r="6214" customFormat="false" ht="15" hidden="false" customHeight="false" outlineLevel="0" collapsed="false">
      <c r="A6214" s="3" t="s">
        <v>317</v>
      </c>
      <c r="G6214" s="25" t="n">
        <f aca="false">Assumptions!$N$56*MIN(G6205+G6212+G6210-G6211-G6213,MAX(0,G6272))</f>
        <v>0</v>
      </c>
      <c r="H6214" s="25" t="n">
        <f aca="false">Assumptions!$N$56*MIN(H6205+H6212+H6210-H6211-H6213,MAX(0,H6272))</f>
        <v>0</v>
      </c>
      <c r="I6214" s="25" t="n">
        <f aca="false">Assumptions!$N$56*MIN(I6205+I6212+I6210-I6211-I6213,MAX(0,I6272))</f>
        <v>0</v>
      </c>
      <c r="J6214" s="25" t="n">
        <f aca="false">Assumptions!$N$56*MIN(J6205+J6212+J6210-J6211-J6213,MAX(0,J6272))</f>
        <v>0</v>
      </c>
      <c r="K6214" s="25" t="n">
        <f aca="false">Assumptions!$N$56*MIN(K6205+K6212+K6210-K6211-K6213,MAX(0,K6272))</f>
        <v>0</v>
      </c>
    </row>
    <row r="6215" customFormat="false" ht="15" hidden="false" customHeight="false" outlineLevel="0" collapsed="false">
      <c r="A6215" s="3" t="s">
        <v>318</v>
      </c>
      <c r="G6215" s="25" t="n">
        <f aca="false">G6206*(1-G6203)*(G6205-G6211+G6210-G6213)</f>
        <v>0</v>
      </c>
      <c r="H6215" s="25" t="n">
        <f aca="false">H6206*(1-H6203)*(H6205-H6211+H6210-H6213)</f>
        <v>0</v>
      </c>
      <c r="I6215" s="25" t="n">
        <f aca="false">I6206*(1-I6203)*(I6205-I6211+I6210-I6213)</f>
        <v>0</v>
      </c>
      <c r="J6215" s="25" t="n">
        <f aca="false">J6206*(1-J6203)*(J6205-J6211+J6210-J6213)</f>
        <v>0</v>
      </c>
      <c r="K6215" s="25" t="n">
        <f aca="false">K6206*(1-K6203)*(K6205-K6211+K6210-K6213)</f>
        <v>0</v>
      </c>
    </row>
    <row r="6216" customFormat="false" ht="15" hidden="false" customHeight="false" outlineLevel="0" collapsed="false">
      <c r="A6216" s="2" t="s">
        <v>319</v>
      </c>
      <c r="F6216" s="28" t="n">
        <f aca="false">Assumptions!$C$56</f>
        <v>1315.098</v>
      </c>
      <c r="G6216" s="16" t="n">
        <f aca="false">G6205+G6212+G6210-G6211-G6213-G6214</f>
        <v>1315.098</v>
      </c>
      <c r="H6216" s="16" t="n">
        <f aca="false">H6205+H6212+H6210-H6211-H6213-H6214</f>
        <v>1315.098</v>
      </c>
      <c r="I6216" s="16" t="n">
        <f aca="false">I6205+I6212+I6210-I6211-I6213-I6214</f>
        <v>1315.098</v>
      </c>
      <c r="J6216" s="16" t="n">
        <f aca="false">J6205+J6212+J6210-J6211-J6213-J6214</f>
        <v>1315.098</v>
      </c>
      <c r="K6216" s="16" t="n">
        <f aca="false">K6205+K6212+K6210-K6211-K6213-K6214</f>
        <v>1315.098</v>
      </c>
    </row>
    <row r="6217" customFormat="false" ht="15" hidden="false" customHeight="false" outlineLevel="0" collapsed="false">
      <c r="A6217" s="23" t="s">
        <v>320</v>
      </c>
      <c r="B6217" s="24"/>
      <c r="C6217" s="24"/>
      <c r="D6217" s="24"/>
      <c r="E6217" s="24"/>
      <c r="F6217" s="24"/>
      <c r="G6217" s="24"/>
      <c r="H6217" s="24"/>
      <c r="I6217" s="24"/>
      <c r="J6217" s="24"/>
      <c r="K6217" s="24"/>
    </row>
    <row r="6218" customFormat="false" ht="15" hidden="false" customHeight="false" outlineLevel="0" collapsed="false">
      <c r="A6218" s="3" t="s">
        <v>309</v>
      </c>
      <c r="G6218" s="25" t="n">
        <f aca="false">F6229</f>
        <v>276.706</v>
      </c>
      <c r="H6218" s="25" t="n">
        <f aca="false">G6229</f>
        <v>276.706</v>
      </c>
      <c r="I6218" s="25" t="n">
        <f aca="false">H6229</f>
        <v>276.706</v>
      </c>
      <c r="J6218" s="25" t="n">
        <f aca="false">I6229</f>
        <v>0</v>
      </c>
      <c r="K6218" s="25" t="n">
        <f aca="false">J6229</f>
        <v>0</v>
      </c>
    </row>
    <row r="6219" customFormat="false" ht="15" hidden="false" customHeight="false" outlineLevel="0" collapsed="false">
      <c r="A6219" s="3" t="s">
        <v>310</v>
      </c>
      <c r="G6219" s="20" t="n">
        <f aca="false">IF(G6169=Assumptions!$K$57,1,0)</f>
        <v>0</v>
      </c>
      <c r="H6219" s="20" t="n">
        <f aca="false">IF(H6169=Assumptions!$K$57,1,0)</f>
        <v>0</v>
      </c>
      <c r="I6219" s="20" t="n">
        <f aca="false">IF(I6169=Assumptions!$K$57,1,0)</f>
        <v>1</v>
      </c>
      <c r="J6219" s="20" t="n">
        <f aca="false">IF(J6169=Assumptions!$K$57,1,0)</f>
        <v>0</v>
      </c>
      <c r="K6219" s="20" t="n">
        <f aca="false">IF(K6169=Assumptions!$K$57,1,0)</f>
        <v>0</v>
      </c>
    </row>
    <row r="6221" customFormat="false" ht="15" hidden="false" customHeight="false" outlineLevel="0" collapsed="false">
      <c r="A6221" s="3" t="s">
        <v>311</v>
      </c>
      <c r="G6221" s="31" t="n">
        <f aca="false">IF(Assumptions!$I$57=1,MAX(G6195,Assumptions!$G$57)+Assumptions!$F$57+$C$6196,Assumptions!$E$57)</f>
        <v>0.0425</v>
      </c>
      <c r="H6221" s="31" t="n">
        <f aca="false">IF(G6353=1,$C$6197,IF(Assumptions!$I$57=1,MAX(H6195,Assumptions!$G$57)+Assumptions!$F$57+$C$6196,Assumptions!$E$57))</f>
        <v>0.0425</v>
      </c>
      <c r="I6221" s="31" t="n">
        <f aca="false">IF(H6353=1,$C$6197,IF(Assumptions!$I$57=1,MAX(I6195,Assumptions!$G$57)+Assumptions!$F$57+$C$6196,Assumptions!$E$57))</f>
        <v>0.0425</v>
      </c>
      <c r="J6221" s="31" t="n">
        <f aca="false">IF(I6353=1,$C$6197,IF(Assumptions!$I$57=1,MAX(J6195,Assumptions!$G$57)+Assumptions!$F$57+$C$6196,Assumptions!$E$57))</f>
        <v>0.11</v>
      </c>
      <c r="K6221" s="31" t="n">
        <f aca="false">IF(J6353=1,$C$6197,IF(Assumptions!$I$57=1,MAX(K6195,Assumptions!$G$57)+Assumptions!$F$57+$C$6196,Assumptions!$E$57))</f>
        <v>0.11</v>
      </c>
    </row>
    <row r="6222" customFormat="false" ht="15" hidden="false" customHeight="false" outlineLevel="0" collapsed="false">
      <c r="A6222" s="3" t="s">
        <v>312</v>
      </c>
      <c r="G6222" s="25" t="n">
        <f aca="false">G6218*G6221</f>
        <v>11.760005</v>
      </c>
      <c r="H6222" s="25" t="n">
        <f aca="false">H6218*H6221</f>
        <v>11.760005</v>
      </c>
      <c r="I6222" s="25" t="n">
        <f aca="false">I6218*I6221</f>
        <v>11.760005</v>
      </c>
      <c r="J6222" s="25" t="n">
        <f aca="false">J6218*J6221</f>
        <v>0</v>
      </c>
      <c r="K6222" s="25" t="n">
        <f aca="false">K6218*K6221</f>
        <v>0</v>
      </c>
    </row>
    <row r="6223" customFormat="false" ht="15" hidden="false" customHeight="false" outlineLevel="0" collapsed="false">
      <c r="A6223" s="3" t="s">
        <v>313</v>
      </c>
      <c r="G6223" s="25" t="n">
        <f aca="false">G6218*Assumptions!$H$57</f>
        <v>0</v>
      </c>
      <c r="H6223" s="25" t="n">
        <f aca="false">H6218*Assumptions!$H$57</f>
        <v>0</v>
      </c>
      <c r="I6223" s="25" t="n">
        <f aca="false">I6218*Assumptions!$H$57</f>
        <v>0</v>
      </c>
      <c r="J6223" s="25" t="n">
        <f aca="false">J6218*Assumptions!$H$57</f>
        <v>0</v>
      </c>
      <c r="K6223" s="25" t="n">
        <f aca="false">K6218*Assumptions!$H$57</f>
        <v>0</v>
      </c>
    </row>
    <row r="6224" customFormat="false" ht="15" hidden="false" customHeight="false" outlineLevel="0" collapsed="false">
      <c r="A6224" s="3" t="s">
        <v>314</v>
      </c>
      <c r="G6224" s="25" t="n">
        <f aca="false">MIN(G6218,Assumptions!$L$57*Assumptions!$C$57)</f>
        <v>0</v>
      </c>
      <c r="H6224" s="25" t="n">
        <f aca="false">MIN(H6218,Assumptions!$L$57*Assumptions!$C$57)</f>
        <v>0</v>
      </c>
      <c r="I6224" s="25" t="n">
        <f aca="false">MIN(I6218,Assumptions!$L$57*Assumptions!$C$57)</f>
        <v>0</v>
      </c>
      <c r="J6224" s="25" t="n">
        <f aca="false">MIN(J6218,Assumptions!$L$57*Assumptions!$C$57)</f>
        <v>0</v>
      </c>
      <c r="K6224" s="25" t="n">
        <f aca="false">MIN(K6218,Assumptions!$L$57*Assumptions!$C$57)</f>
        <v>0</v>
      </c>
    </row>
    <row r="6225" customFormat="false" ht="15" hidden="false" customHeight="false" outlineLevel="0" collapsed="false">
      <c r="A6225" s="3" t="s">
        <v>315</v>
      </c>
      <c r="G6225" s="25" t="n">
        <f aca="false">IF(AND(Assumptions!$P$57=1,G6169&lt;Assumptions!$K$57),MIN(MAX(0,-G6266),MAX(0,Assumptions!$D$57-G6218)),0)</f>
        <v>0</v>
      </c>
      <c r="H6225" s="25" t="n">
        <f aca="false">IF(AND(Assumptions!$P$57=1,OR(H6169&lt;Assumptions!$K$57,G6353=1)),MIN(MAX(0,-H6266),MAX(0,Assumptions!$D$57-H6218)),0)</f>
        <v>0</v>
      </c>
      <c r="I6225" s="25" t="n">
        <f aca="false">IF(AND(Assumptions!$P$57=1,OR(I6169&lt;Assumptions!$K$57,H6353=1)),MIN(MAX(0,-I6266),MAX(0,Assumptions!$D$57-I6218)),0)</f>
        <v>0</v>
      </c>
      <c r="J6225" s="25" t="n">
        <f aca="false">IF(AND(Assumptions!$P$57=1,OR(J6169&lt;Assumptions!$K$57,I6353=1)),MIN(MAX(0,-J6266),MAX(0,Assumptions!$D$57-J6218)),0)</f>
        <v>0</v>
      </c>
      <c r="K6225" s="25" t="n">
        <f aca="false">IF(AND(Assumptions!$P$57=1,OR(K6169&lt;Assumptions!$K$57,J6353=1)),MIN(MAX(0,-K6266),MAX(0,Assumptions!$D$57-K6218)),0)</f>
        <v>0</v>
      </c>
    </row>
    <row r="6226" customFormat="false" ht="15" hidden="false" customHeight="false" outlineLevel="0" collapsed="false">
      <c r="A6226" s="3" t="s">
        <v>316</v>
      </c>
      <c r="G6226" s="25" t="n">
        <f aca="false">G6219*MIN(G6218-G6224+G6223,MAX(0,G6268-Assumptions!$C$12*G6203-G6213))</f>
        <v>0</v>
      </c>
      <c r="H6226" s="25" t="n">
        <f aca="false">H6219*MIN(H6218-H6224+H6223,MAX(0,H6268-Assumptions!$C$12*H6203-H6213))</f>
        <v>0</v>
      </c>
      <c r="I6226" s="25" t="n">
        <f aca="false">I6219*MIN(I6218-I6224+I6223,MAX(0,I6268-Assumptions!$C$12*I6203-I6213))</f>
        <v>276.706</v>
      </c>
      <c r="J6226" s="25" t="n">
        <f aca="false">J6219*MIN(J6218-J6224+J6223,MAX(0,J6268-Assumptions!$C$12*J6203-J6213))</f>
        <v>0</v>
      </c>
      <c r="K6226" s="25" t="n">
        <f aca="false">K6219*MIN(K6218-K6224+K6223,MAX(0,K6268-Assumptions!$C$12*K6203-K6213))</f>
        <v>0</v>
      </c>
    </row>
    <row r="6227" customFormat="false" ht="15" hidden="false" customHeight="false" outlineLevel="0" collapsed="false">
      <c r="A6227" s="3" t="s">
        <v>317</v>
      </c>
      <c r="G6227" s="25" t="n">
        <f aca="false">Assumptions!$N$57*MIN(G6218+G6225+G6223-G6224-G6226,MAX(0,G6272-G6214))</f>
        <v>0</v>
      </c>
      <c r="H6227" s="25" t="n">
        <f aca="false">Assumptions!$N$57*MIN(H6218+H6225+H6223-H6224-H6226,MAX(0,H6272-H6214))</f>
        <v>0</v>
      </c>
      <c r="I6227" s="25" t="n">
        <f aca="false">Assumptions!$N$57*MIN(I6218+I6225+I6223-I6224-I6226,MAX(0,I6272-I6214))</f>
        <v>0</v>
      </c>
      <c r="J6227" s="25" t="n">
        <f aca="false">Assumptions!$N$57*MIN(J6218+J6225+J6223-J6224-J6226,MAX(0,J6272-J6214))</f>
        <v>0</v>
      </c>
      <c r="K6227" s="25" t="n">
        <f aca="false">Assumptions!$N$57*MIN(K6218+K6225+K6223-K6224-K6226,MAX(0,K6272-K6214))</f>
        <v>0</v>
      </c>
    </row>
    <row r="6228" customFormat="false" ht="15" hidden="false" customHeight="false" outlineLevel="0" collapsed="false">
      <c r="A6228" s="3" t="s">
        <v>318</v>
      </c>
      <c r="G6228" s="25" t="n">
        <f aca="false">G6219*(1-G6203)*(G6218-G6224+G6223-G6226)</f>
        <v>0</v>
      </c>
      <c r="H6228" s="25" t="n">
        <f aca="false">H6219*(1-H6203)*(H6218-H6224+H6223-H6226)</f>
        <v>0</v>
      </c>
      <c r="I6228" s="25" t="n">
        <f aca="false">I6219*(1-I6203)*(I6218-I6224+I6223-I6226)</f>
        <v>0</v>
      </c>
      <c r="J6228" s="25" t="n">
        <f aca="false">J6219*(1-J6203)*(J6218-J6224+J6223-J6226)</f>
        <v>0</v>
      </c>
      <c r="K6228" s="25" t="n">
        <f aca="false">K6219*(1-K6203)*(K6218-K6224+K6223-K6226)</f>
        <v>0</v>
      </c>
    </row>
    <row r="6229" customFormat="false" ht="15" hidden="false" customHeight="false" outlineLevel="0" collapsed="false">
      <c r="A6229" s="2" t="s">
        <v>319</v>
      </c>
      <c r="F6229" s="28" t="n">
        <f aca="false">Assumptions!$C$57</f>
        <v>276.706</v>
      </c>
      <c r="G6229" s="16" t="n">
        <f aca="false">G6218+G6225+G6223-G6224-G6226-G6227</f>
        <v>276.706</v>
      </c>
      <c r="H6229" s="16" t="n">
        <f aca="false">H6218+H6225+H6223-H6224-H6226-H6227</f>
        <v>276.706</v>
      </c>
      <c r="I6229" s="16" t="n">
        <f aca="false">I6218+I6225+I6223-I6224-I6226-I6227</f>
        <v>0</v>
      </c>
      <c r="J6229" s="16" t="n">
        <f aca="false">J6218+J6225+J6223-J6224-J6226-J6227</f>
        <v>0</v>
      </c>
      <c r="K6229" s="16" t="n">
        <f aca="false">K6218+K6225+K6223-K6224-K6226-K6227</f>
        <v>0</v>
      </c>
    </row>
    <row r="6230" customFormat="false" ht="15" hidden="false" customHeight="false" outlineLevel="0" collapsed="false">
      <c r="A6230" s="23" t="s">
        <v>321</v>
      </c>
      <c r="B6230" s="24"/>
      <c r="C6230" s="24"/>
      <c r="D6230" s="24"/>
      <c r="E6230" s="24"/>
      <c r="F6230" s="24"/>
      <c r="G6230" s="24"/>
      <c r="H6230" s="24"/>
      <c r="I6230" s="24"/>
      <c r="J6230" s="24"/>
      <c r="K6230" s="24"/>
    </row>
    <row r="6231" customFormat="false" ht="15" hidden="false" customHeight="false" outlineLevel="0" collapsed="false">
      <c r="A6231" s="3" t="s">
        <v>309</v>
      </c>
      <c r="G6231" s="25" t="n">
        <f aca="false">F6242</f>
        <v>143.75</v>
      </c>
      <c r="H6231" s="25" t="n">
        <f aca="false">G6242</f>
        <v>143.75</v>
      </c>
      <c r="I6231" s="25" t="n">
        <f aca="false">H6242</f>
        <v>143.75</v>
      </c>
      <c r="J6231" s="25" t="n">
        <f aca="false">I6242</f>
        <v>0</v>
      </c>
      <c r="K6231" s="25" t="n">
        <f aca="false">J6242</f>
        <v>0</v>
      </c>
    </row>
    <row r="6232" customFormat="false" ht="15" hidden="false" customHeight="false" outlineLevel="0" collapsed="false">
      <c r="A6232" s="3" t="s">
        <v>310</v>
      </c>
      <c r="G6232" s="20" t="n">
        <f aca="false">IF(G6169=Assumptions!$K$58,1,0)</f>
        <v>0</v>
      </c>
      <c r="H6232" s="20" t="n">
        <f aca="false">IF(H6169=Assumptions!$K$58,1,0)</f>
        <v>0</v>
      </c>
      <c r="I6232" s="20" t="n">
        <f aca="false">IF(I6169=Assumptions!$K$58,1,0)</f>
        <v>1</v>
      </c>
      <c r="J6232" s="20" t="n">
        <f aca="false">IF(J6169=Assumptions!$K$58,1,0)</f>
        <v>0</v>
      </c>
      <c r="K6232" s="20" t="n">
        <f aca="false">IF(K6169=Assumptions!$K$58,1,0)</f>
        <v>0</v>
      </c>
    </row>
    <row r="6234" customFormat="false" ht="15" hidden="false" customHeight="false" outlineLevel="0" collapsed="false">
      <c r="A6234" s="3" t="s">
        <v>311</v>
      </c>
      <c r="G6234" s="31" t="n">
        <f aca="false">IF(Assumptions!$I$58=1,MAX(G6195,Assumptions!$G$58)+Assumptions!$F$58+$C$6196,Assumptions!$E$58)</f>
        <v>0.0425</v>
      </c>
      <c r="H6234" s="31" t="n">
        <f aca="false">IF(G6354=1,$C$6197,IF(Assumptions!$I$58=1,MAX(H6195,Assumptions!$G$58)+Assumptions!$F$58+$C$6196,Assumptions!$E$58))</f>
        <v>0.0425</v>
      </c>
      <c r="I6234" s="31" t="n">
        <f aca="false">IF(H6354=1,$C$6197,IF(Assumptions!$I$58=1,MAX(I6195,Assumptions!$G$58)+Assumptions!$F$58+$C$6196,Assumptions!$E$58))</f>
        <v>0.0425</v>
      </c>
      <c r="J6234" s="31" t="n">
        <f aca="false">IF(I6354=1,$C$6197,IF(Assumptions!$I$58=1,MAX(J6195,Assumptions!$G$58)+Assumptions!$F$58+$C$6196,Assumptions!$E$58))</f>
        <v>0.11</v>
      </c>
      <c r="K6234" s="31" t="n">
        <f aca="false">IF(J6354=1,$C$6197,IF(Assumptions!$I$58=1,MAX(K6195,Assumptions!$G$58)+Assumptions!$F$58+$C$6196,Assumptions!$E$58))</f>
        <v>0.11</v>
      </c>
    </row>
    <row r="6235" customFormat="false" ht="15" hidden="false" customHeight="false" outlineLevel="0" collapsed="false">
      <c r="A6235" s="3" t="s">
        <v>312</v>
      </c>
      <c r="G6235" s="25" t="n">
        <f aca="false">G6231*G6234</f>
        <v>6.109375</v>
      </c>
      <c r="H6235" s="25" t="n">
        <f aca="false">H6231*H6234</f>
        <v>6.109375</v>
      </c>
      <c r="I6235" s="25" t="n">
        <f aca="false">I6231*I6234</f>
        <v>6.109375</v>
      </c>
      <c r="J6235" s="25" t="n">
        <f aca="false">J6231*J6234</f>
        <v>0</v>
      </c>
      <c r="K6235" s="25" t="n">
        <f aca="false">K6231*K6234</f>
        <v>0</v>
      </c>
    </row>
    <row r="6236" customFormat="false" ht="15" hidden="false" customHeight="false" outlineLevel="0" collapsed="false">
      <c r="A6236" s="3" t="s">
        <v>313</v>
      </c>
      <c r="G6236" s="25" t="n">
        <f aca="false">G6231*Assumptions!$H$58</f>
        <v>0</v>
      </c>
      <c r="H6236" s="25" t="n">
        <f aca="false">H6231*Assumptions!$H$58</f>
        <v>0</v>
      </c>
      <c r="I6236" s="25" t="n">
        <f aca="false">I6231*Assumptions!$H$58</f>
        <v>0</v>
      </c>
      <c r="J6236" s="25" t="n">
        <f aca="false">J6231*Assumptions!$H$58</f>
        <v>0</v>
      </c>
      <c r="K6236" s="25" t="n">
        <f aca="false">K6231*Assumptions!$H$58</f>
        <v>0</v>
      </c>
    </row>
    <row r="6237" customFormat="false" ht="15" hidden="false" customHeight="false" outlineLevel="0" collapsed="false">
      <c r="A6237" s="3" t="s">
        <v>314</v>
      </c>
      <c r="G6237" s="25" t="n">
        <f aca="false">MIN(G6231,Assumptions!$L$58*Assumptions!$C$58)</f>
        <v>0</v>
      </c>
      <c r="H6237" s="25" t="n">
        <f aca="false">MIN(H6231,Assumptions!$L$58*Assumptions!$C$58)</f>
        <v>0</v>
      </c>
      <c r="I6237" s="25" t="n">
        <f aca="false">MIN(I6231,Assumptions!$L$58*Assumptions!$C$58)</f>
        <v>0</v>
      </c>
      <c r="J6237" s="25" t="n">
        <f aca="false">MIN(J6231,Assumptions!$L$58*Assumptions!$C$58)</f>
        <v>0</v>
      </c>
      <c r="K6237" s="25" t="n">
        <f aca="false">MIN(K6231,Assumptions!$L$58*Assumptions!$C$58)</f>
        <v>0</v>
      </c>
    </row>
    <row r="6238" customFormat="false" ht="15" hidden="false" customHeight="false" outlineLevel="0" collapsed="false">
      <c r="A6238" s="3" t="s">
        <v>315</v>
      </c>
      <c r="G6238" s="25" t="n">
        <f aca="false">IF(AND(Assumptions!$P$58=1,G6169&lt;Assumptions!$K$58),MIN(MAX(0,-G6266),MAX(0,Assumptions!$D$58-G6231)),0)</f>
        <v>0</v>
      </c>
      <c r="H6238" s="25" t="n">
        <f aca="false">IF(AND(Assumptions!$P$58=1,OR(H6169&lt;Assumptions!$K$58,G6354=1)),MIN(MAX(0,-H6266),MAX(0,Assumptions!$D$58-H6231)),0)</f>
        <v>0</v>
      </c>
      <c r="I6238" s="25" t="n">
        <f aca="false">IF(AND(Assumptions!$P$58=1,OR(I6169&lt;Assumptions!$K$58,H6354=1)),MIN(MAX(0,-I6266),MAX(0,Assumptions!$D$58-I6231)),0)</f>
        <v>0</v>
      </c>
      <c r="J6238" s="25" t="n">
        <f aca="false">IF(AND(Assumptions!$P$58=1,OR(J6169&lt;Assumptions!$K$58,I6354=1)),MIN(MAX(0,-J6266),MAX(0,Assumptions!$D$58-J6231)),0)</f>
        <v>0</v>
      </c>
      <c r="K6238" s="25" t="n">
        <f aca="false">IF(AND(Assumptions!$P$58=1,OR(K6169&lt;Assumptions!$K$58,J6354=1)),MIN(MAX(0,-K6266),MAX(0,Assumptions!$D$58-K6231)),0)</f>
        <v>0</v>
      </c>
    </row>
    <row r="6239" customFormat="false" ht="15" hidden="false" customHeight="false" outlineLevel="0" collapsed="false">
      <c r="A6239" s="3" t="s">
        <v>316</v>
      </c>
      <c r="G6239" s="25" t="n">
        <f aca="false">G6232*MIN(G6231-G6237+G6236,MAX(0,G6268-Assumptions!$C$12*G6203-G6213-G6226))</f>
        <v>0</v>
      </c>
      <c r="H6239" s="25" t="n">
        <f aca="false">H6232*MIN(H6231-H6237+H6236,MAX(0,H6268-Assumptions!$C$12*H6203-H6213-H6226))</f>
        <v>0</v>
      </c>
      <c r="I6239" s="25" t="n">
        <f aca="false">I6232*MIN(I6231-I6237+I6236,MAX(0,I6268-Assumptions!$C$12*I6203-I6213-I6226))</f>
        <v>143.75</v>
      </c>
      <c r="J6239" s="25" t="n">
        <f aca="false">J6232*MIN(J6231-J6237+J6236,MAX(0,J6268-Assumptions!$C$12*J6203-J6213-J6226))</f>
        <v>0</v>
      </c>
      <c r="K6239" s="25" t="n">
        <f aca="false">K6232*MIN(K6231-K6237+K6236,MAX(0,K6268-Assumptions!$C$12*K6203-K6213-K6226))</f>
        <v>0</v>
      </c>
    </row>
    <row r="6240" customFormat="false" ht="15" hidden="false" customHeight="false" outlineLevel="0" collapsed="false">
      <c r="A6240" s="3" t="s">
        <v>317</v>
      </c>
      <c r="G6240" s="25" t="n">
        <f aca="false">Assumptions!$N$58*MIN(G6231+G6238+G6236-G6237-G6239,MAX(0,G6272-G6214-G6227))</f>
        <v>0</v>
      </c>
      <c r="H6240" s="25" t="n">
        <f aca="false">Assumptions!$N$58*MIN(H6231+H6238+H6236-H6237-H6239,MAX(0,H6272-H6214-H6227))</f>
        <v>0</v>
      </c>
      <c r="I6240" s="25" t="n">
        <f aca="false">Assumptions!$N$58*MIN(I6231+I6238+I6236-I6237-I6239,MAX(0,I6272-I6214-I6227))</f>
        <v>0</v>
      </c>
      <c r="J6240" s="25" t="n">
        <f aca="false">Assumptions!$N$58*MIN(J6231+J6238+J6236-J6237-J6239,MAX(0,J6272-J6214-J6227))</f>
        <v>0</v>
      </c>
      <c r="K6240" s="25" t="n">
        <f aca="false">Assumptions!$N$58*MIN(K6231+K6238+K6236-K6237-K6239,MAX(0,K6272-K6214-K6227))</f>
        <v>0</v>
      </c>
    </row>
    <row r="6241" customFormat="false" ht="15" hidden="false" customHeight="false" outlineLevel="0" collapsed="false">
      <c r="A6241" s="3" t="s">
        <v>318</v>
      </c>
      <c r="G6241" s="25" t="n">
        <f aca="false">G6232*(1-G6203)*(G6231-G6237+G6236-G6239)</f>
        <v>0</v>
      </c>
      <c r="H6241" s="25" t="n">
        <f aca="false">H6232*(1-H6203)*(H6231-H6237+H6236-H6239)</f>
        <v>0</v>
      </c>
      <c r="I6241" s="25" t="n">
        <f aca="false">I6232*(1-I6203)*(I6231-I6237+I6236-I6239)</f>
        <v>0</v>
      </c>
      <c r="J6241" s="25" t="n">
        <f aca="false">J6232*(1-J6203)*(J6231-J6237+J6236-J6239)</f>
        <v>0</v>
      </c>
      <c r="K6241" s="25" t="n">
        <f aca="false">K6232*(1-K6203)*(K6231-K6237+K6236-K6239)</f>
        <v>0</v>
      </c>
    </row>
    <row r="6242" customFormat="false" ht="15" hidden="false" customHeight="false" outlineLevel="0" collapsed="false">
      <c r="A6242" s="2" t="s">
        <v>319</v>
      </c>
      <c r="F6242" s="28" t="n">
        <f aca="false">Assumptions!$C$58</f>
        <v>143.75</v>
      </c>
      <c r="G6242" s="16" t="n">
        <f aca="false">G6231+G6238+G6236-G6237-G6239-G6240</f>
        <v>143.75</v>
      </c>
      <c r="H6242" s="16" t="n">
        <f aca="false">H6231+H6238+H6236-H6237-H6239-H6240</f>
        <v>143.75</v>
      </c>
      <c r="I6242" s="16" t="n">
        <f aca="false">I6231+I6238+I6236-I6237-I6239-I6240</f>
        <v>0</v>
      </c>
      <c r="J6242" s="16" t="n">
        <f aca="false">J6231+J6238+J6236-J6237-J6239-J6240</f>
        <v>0</v>
      </c>
      <c r="K6242" s="16" t="n">
        <f aca="false">K6231+K6238+K6236-K6237-K6239-K6240</f>
        <v>0</v>
      </c>
    </row>
    <row r="6243" customFormat="false" ht="15" hidden="false" customHeight="false" outlineLevel="0" collapsed="false">
      <c r="A6243" s="23" t="s">
        <v>322</v>
      </c>
      <c r="B6243" s="24"/>
      <c r="C6243" s="24"/>
      <c r="D6243" s="24"/>
      <c r="E6243" s="24"/>
      <c r="F6243" s="24"/>
      <c r="G6243" s="24"/>
      <c r="H6243" s="24"/>
      <c r="I6243" s="24"/>
      <c r="J6243" s="24"/>
      <c r="K6243" s="24"/>
    </row>
    <row r="6244" customFormat="false" ht="15" hidden="false" customHeight="false" outlineLevel="0" collapsed="false">
      <c r="A6244" s="2" t="s">
        <v>323</v>
      </c>
      <c r="F6244" s="16" t="n">
        <f aca="false">F6216+F6229+F6242</f>
        <v>1735.554</v>
      </c>
      <c r="G6244" s="16" t="n">
        <f aca="false">G6216+G6229+G6242</f>
        <v>1735.554</v>
      </c>
      <c r="H6244" s="16" t="n">
        <f aca="false">H6216+H6229+H6242</f>
        <v>1735.554</v>
      </c>
      <c r="I6244" s="16" t="n">
        <f aca="false">I6216+I6229+I6242</f>
        <v>1315.098</v>
      </c>
      <c r="J6244" s="16" t="n">
        <f aca="false">J6216+J6229+J6242</f>
        <v>1315.098</v>
      </c>
      <c r="K6244" s="16" t="n">
        <f aca="false">K6216+K6229+K6242</f>
        <v>1315.098</v>
      </c>
    </row>
    <row r="6245" customFormat="false" ht="15" hidden="false" customHeight="false" outlineLevel="0" collapsed="false">
      <c r="A6245" s="3" t="s">
        <v>324</v>
      </c>
      <c r="G6245" s="25" t="n">
        <f aca="false">G6206*Assumptions!$C$56+G6219*Assumptions!$C$57+G6232*Assumptions!$C$58</f>
        <v>0</v>
      </c>
      <c r="H6245" s="25" t="n">
        <f aca="false">H6206*Assumptions!$C$56+H6219*Assumptions!$C$57+H6232*Assumptions!$C$58</f>
        <v>0</v>
      </c>
      <c r="I6245" s="25" t="n">
        <f aca="false">I6206*Assumptions!$C$56+I6219*Assumptions!$C$57+I6232*Assumptions!$C$58</f>
        <v>420.456</v>
      </c>
      <c r="J6245" s="25" t="n">
        <f aca="false">J6206*Assumptions!$C$56+J6219*Assumptions!$C$57+J6232*Assumptions!$C$58</f>
        <v>0</v>
      </c>
      <c r="K6245" s="25" t="n">
        <f aca="false">K6206*Assumptions!$C$56+K6219*Assumptions!$C$57+K6232*Assumptions!$C$58</f>
        <v>0</v>
      </c>
    </row>
    <row r="6246" customFormat="false" ht="15" hidden="false" customHeight="false" outlineLevel="0" collapsed="false">
      <c r="A6246" s="23" t="s">
        <v>325</v>
      </c>
      <c r="B6246" s="24"/>
      <c r="C6246" s="24"/>
      <c r="D6246" s="24"/>
      <c r="E6246" s="24"/>
      <c r="F6246" s="24"/>
      <c r="G6246" s="24"/>
      <c r="H6246" s="24"/>
      <c r="I6246" s="24"/>
      <c r="J6246" s="24"/>
      <c r="K6246" s="24"/>
    </row>
    <row r="6247" customFormat="false" ht="15" hidden="false" customHeight="false" outlineLevel="0" collapsed="false">
      <c r="A6247" s="3" t="s">
        <v>326</v>
      </c>
      <c r="C6247" s="25" t="n">
        <f aca="false">SUMPRODUCT($G$6206:$K$6206,$G$6205:$K$6205-$G$6211:$K$6211+$G$6210:$K$6210)</f>
        <v>0</v>
      </c>
    </row>
    <row r="6248" customFormat="false" ht="15" hidden="false" customHeight="false" outlineLevel="0" collapsed="false">
      <c r="A6248" s="3" t="s">
        <v>327</v>
      </c>
      <c r="C6248" s="25" t="n">
        <f aca="false">SUMPRODUCT($G$6206:$K$6206,$G$6213:$K$6213)</f>
        <v>0</v>
      </c>
    </row>
    <row r="6249" customFormat="false" ht="15" hidden="false" customHeight="false" outlineLevel="0" collapsed="false">
      <c r="A6249" s="3" t="s">
        <v>328</v>
      </c>
      <c r="C6249" s="3" t="str">
        <f aca="false">IF(SUM($G$6206:$K$6206)=0,"n/a (beyond horizon)",IF(SUMPRODUCT($G$6206:$K$6206,$G$6203:$K$6203)&gt;0,"REFINANCING PASS","REFINANCING FAILURE"))</f>
        <v>n/a (beyond horizon)</v>
      </c>
    </row>
    <row r="6250" customFormat="false" ht="15" hidden="false" customHeight="false" outlineLevel="0" collapsed="false">
      <c r="A6250" s="3" t="s">
        <v>329</v>
      </c>
      <c r="C6250" s="3" t="str">
        <f aca="false">IF(SUM($G$6206:$K$6206)=0,"n/a",IF(C6248&gt;=C6247-0.001,"Repaid from cash",IF(SUMPRODUCT($G$6206:$K$6206,$G$6203:$K$6203)&gt;0,IF(C6248&gt;0,"Partly repaid; remainder refinanced","Refinanced"),IF(SUM($G$6215:$K$6215)&gt;0.001,IF(C6248&gt;0,"Partial repayment; PAYMENT DEFAULT","PAYMENT DEFAULT"),"Repaid from cash"))))</f>
        <v>n/a</v>
      </c>
    </row>
    <row r="6251" customFormat="false" ht="15" hidden="false" customHeight="false" outlineLevel="0" collapsed="false">
      <c r="A6251" s="3" t="s">
        <v>330</v>
      </c>
      <c r="C6251" s="25" t="n">
        <f aca="false">SUMPRODUCT($G$6219:$K$6219,$G$6218:$K$6218-$G$6224:$K$6224+$G$6223:$K$6223)</f>
        <v>276.706</v>
      </c>
    </row>
    <row r="6252" customFormat="false" ht="15" hidden="false" customHeight="false" outlineLevel="0" collapsed="false">
      <c r="A6252" s="3" t="s">
        <v>331</v>
      </c>
      <c r="C6252" s="25" t="n">
        <f aca="false">SUMPRODUCT($G$6219:$K$6219,$G$6226:$K$6226)</f>
        <v>276.706</v>
      </c>
    </row>
    <row r="6253" customFormat="false" ht="15" hidden="false" customHeight="false" outlineLevel="0" collapsed="false">
      <c r="A6253" s="3" t="s">
        <v>332</v>
      </c>
      <c r="C6253" s="3" t="str">
        <f aca="false">IF(SUM($G$6219:$K$6219)=0,"n/a (beyond horizon)",IF(SUMPRODUCT($G$6219:$K$6219,$G$6203:$K$6203)&gt;0,"REFINANCING PASS","REFINANCING FAILURE"))</f>
        <v>REFINANCING PASS</v>
      </c>
    </row>
    <row r="6254" customFormat="false" ht="15" hidden="false" customHeight="false" outlineLevel="0" collapsed="false">
      <c r="A6254" s="3" t="s">
        <v>333</v>
      </c>
      <c r="C6254" s="3" t="str">
        <f aca="false">IF(SUM($G$6219:$K$6219)=0,"n/a",IF(C6252&gt;=C6251-0.001,"Repaid from cash",IF(SUMPRODUCT($G$6219:$K$6219,$G$6203:$K$6203)&gt;0,IF(C6252&gt;0,"Partly repaid; remainder refinanced","Refinanced"),IF(SUM($G$6228:$K$6228)&gt;0.001,IF(C6252&gt;0,"Partial repayment; PAYMENT DEFAULT","PAYMENT DEFAULT"),"Repaid from cash"))))</f>
        <v>Repaid from cash</v>
      </c>
    </row>
    <row r="6255" customFormat="false" ht="15" hidden="false" customHeight="false" outlineLevel="0" collapsed="false">
      <c r="A6255" s="3" t="s">
        <v>334</v>
      </c>
      <c r="C6255" s="25" t="n">
        <f aca="false">SUMPRODUCT($G$6232:$K$6232,$G$6231:$K$6231-$G$6237:$K$6237+$G$6236:$K$6236)</f>
        <v>143.75</v>
      </c>
    </row>
    <row r="6256" customFormat="false" ht="15" hidden="false" customHeight="false" outlineLevel="0" collapsed="false">
      <c r="A6256" s="3" t="s">
        <v>335</v>
      </c>
      <c r="C6256" s="25" t="n">
        <f aca="false">SUMPRODUCT($G$6232:$K$6232,$G$6239:$K$6239)</f>
        <v>143.75</v>
      </c>
    </row>
    <row r="6257" customFormat="false" ht="15" hidden="false" customHeight="false" outlineLevel="0" collapsed="false">
      <c r="A6257" s="3" t="s">
        <v>336</v>
      </c>
      <c r="C6257" s="3" t="str">
        <f aca="false">IF(SUM($G$6232:$K$6232)=0,"n/a (beyond horizon)",IF(SUMPRODUCT($G$6232:$K$6232,$G$6203:$K$6203)&gt;0,"REFINANCING PASS","REFINANCING FAILURE"))</f>
        <v>REFINANCING PASS</v>
      </c>
    </row>
    <row r="6258" customFormat="false" ht="15" hidden="false" customHeight="false" outlineLevel="0" collapsed="false">
      <c r="A6258" s="3" t="s">
        <v>337</v>
      </c>
      <c r="C6258" s="3" t="str">
        <f aca="false">IF(SUM($G$6232:$K$6232)=0,"n/a",IF(C6256&gt;=C6255-0.001,"Repaid from cash",IF(SUMPRODUCT($G$6232:$K$6232,$G$6203:$K$6203)&gt;0,IF(C6256&gt;0,"Partly repaid; remainder refinanced","Refinanced"),IF(SUM($G$6241:$K$6241)&gt;0.001,IF(C6256&gt;0,"Partial repayment; PAYMENT DEFAULT","PAYMENT DEFAULT"),"Repaid from cash"))))</f>
        <v>Repaid from cash</v>
      </c>
    </row>
    <row r="6259" customFormat="false" ht="15" hidden="false" customHeight="false" outlineLevel="0" collapsed="false">
      <c r="A6259" s="3" t="s">
        <v>338</v>
      </c>
      <c r="C6259" s="20" t="n">
        <f aca="false">IF(C6249="REFINANCING FAILURE",1,0)+IF(C6253="REFINANCING FAILURE",1,0)+IF(C6257="REFINANCING FAILURE",1,0)</f>
        <v>0</v>
      </c>
    </row>
    <row r="6261" customFormat="false" ht="15" hidden="false" customHeight="false" outlineLevel="0" collapsed="false">
      <c r="A6261" s="23" t="s">
        <v>340</v>
      </c>
      <c r="B6261" s="24"/>
      <c r="C6261" s="24"/>
      <c r="D6261" s="24"/>
      <c r="E6261" s="24"/>
      <c r="F6261" s="24"/>
      <c r="G6261" s="24"/>
      <c r="H6261" s="24"/>
      <c r="I6261" s="24"/>
      <c r="J6261" s="24"/>
      <c r="K6261" s="24"/>
    </row>
    <row r="6262" customFormat="false" ht="15" hidden="false" customHeight="false" outlineLevel="0" collapsed="false">
      <c r="A6262" s="3" t="s">
        <v>305</v>
      </c>
      <c r="G6262" s="25" t="n">
        <f aca="false">F6274</f>
        <v>463.996</v>
      </c>
      <c r="H6262" s="25" t="n">
        <f aca="false">G6274</f>
        <v>577.14956573</v>
      </c>
      <c r="I6262" s="25" t="n">
        <f aca="false">H6274</f>
        <v>669.5923703193</v>
      </c>
      <c r="J6262" s="25" t="n">
        <f aca="false">I6274</f>
        <v>319.989357759573</v>
      </c>
      <c r="K6262" s="25" t="n">
        <f aca="false">J6274</f>
        <v>387.452738800967</v>
      </c>
    </row>
    <row r="6263" customFormat="false" ht="15" hidden="false" customHeight="false" outlineLevel="0" collapsed="false">
      <c r="A6263" s="3" t="s">
        <v>341</v>
      </c>
      <c r="G6263" s="25" t="n">
        <f aca="false">G6192</f>
        <v>113.15356573</v>
      </c>
      <c r="H6263" s="25" t="n">
        <f aca="false">H6192</f>
        <v>92.4428045893001</v>
      </c>
      <c r="I6263" s="25" t="n">
        <f aca="false">I6192</f>
        <v>70.852987440273</v>
      </c>
      <c r="J6263" s="25" t="n">
        <f aca="false">J6192</f>
        <v>67.4633810413937</v>
      </c>
      <c r="K6263" s="25" t="n">
        <f aca="false">K6192</f>
        <v>48.1542634587174</v>
      </c>
    </row>
    <row r="6264" customFormat="false" ht="15" hidden="false" customHeight="false" outlineLevel="0" collapsed="false">
      <c r="A6264" s="3" t="s">
        <v>342</v>
      </c>
      <c r="G6264" s="25" t="n">
        <f aca="false">CHOOSE($C$6162,Assumptions!$G$74,Assumptions!$G$93,Assumptions!$G$112)</f>
        <v>0</v>
      </c>
      <c r="H6264" s="25" t="n">
        <f aca="false">CHOOSE($C$6162,Assumptions!$H$74,Assumptions!$H$93,Assumptions!$H$112)</f>
        <v>0</v>
      </c>
      <c r="I6264" s="25" t="n">
        <f aca="false">CHOOSE($C$6162,Assumptions!$I$74,Assumptions!$I$93,Assumptions!$I$112)</f>
        <v>0</v>
      </c>
      <c r="J6264" s="25" t="n">
        <f aca="false">CHOOSE($C$6162,Assumptions!$J$74,Assumptions!$J$93,Assumptions!$J$112)</f>
        <v>0</v>
      </c>
      <c r="K6264" s="25" t="n">
        <f aca="false">CHOOSE($C$6162,Assumptions!$K$74,Assumptions!$K$93,Assumptions!$K$112)</f>
        <v>0</v>
      </c>
    </row>
    <row r="6265" customFormat="false" ht="15" hidden="false" customHeight="false" outlineLevel="0" collapsed="false">
      <c r="A6265" s="3" t="s">
        <v>343</v>
      </c>
      <c r="G6265" s="25" t="n">
        <f aca="false">G6211+G6224+G6237</f>
        <v>0</v>
      </c>
      <c r="H6265" s="25" t="n">
        <f aca="false">H6211+H6224+H6237</f>
        <v>0</v>
      </c>
      <c r="I6265" s="25" t="n">
        <f aca="false">I6211+I6224+I6237</f>
        <v>0</v>
      </c>
      <c r="J6265" s="25" t="n">
        <f aca="false">J6211+J6224+J6237</f>
        <v>0</v>
      </c>
      <c r="K6265" s="25" t="n">
        <f aca="false">K6211+K6224+K6237</f>
        <v>0</v>
      </c>
    </row>
    <row r="6266" customFormat="false" ht="15" hidden="false" customHeight="false" outlineLevel="0" collapsed="false">
      <c r="A6266" s="2" t="s">
        <v>344</v>
      </c>
      <c r="G6266" s="16" t="n">
        <f aca="false">G6262+G6263+G6264-G6265</f>
        <v>577.14956573</v>
      </c>
      <c r="H6266" s="16" t="n">
        <f aca="false">H6262+H6263+H6264-H6265</f>
        <v>669.5923703193</v>
      </c>
      <c r="I6266" s="16" t="n">
        <f aca="false">I6262+I6263+I6264-I6265</f>
        <v>740.445357759573</v>
      </c>
      <c r="J6266" s="16" t="n">
        <f aca="false">J6262+J6263+J6264-J6265</f>
        <v>387.452738800967</v>
      </c>
      <c r="K6266" s="16" t="n">
        <f aca="false">K6262+K6263+K6264-K6265</f>
        <v>435.607002259684</v>
      </c>
    </row>
    <row r="6267" customFormat="false" ht="15" hidden="false" customHeight="false" outlineLevel="0" collapsed="false">
      <c r="A6267" s="3" t="s">
        <v>345</v>
      </c>
      <c r="G6267" s="25" t="n">
        <f aca="false">G6212+G6225+G6238</f>
        <v>0</v>
      </c>
      <c r="H6267" s="25" t="n">
        <f aca="false">H6212+H6225+H6238</f>
        <v>0</v>
      </c>
      <c r="I6267" s="25" t="n">
        <f aca="false">I6212+I6225+I6238</f>
        <v>0</v>
      </c>
      <c r="J6267" s="25" t="n">
        <f aca="false">J6212+J6225+J6238</f>
        <v>0</v>
      </c>
      <c r="K6267" s="25" t="n">
        <f aca="false">K6212+K6225+K6238</f>
        <v>0</v>
      </c>
    </row>
    <row r="6268" customFormat="false" ht="15" hidden="false" customHeight="false" outlineLevel="0" collapsed="false">
      <c r="A6268" s="2" t="s">
        <v>346</v>
      </c>
      <c r="G6268" s="16" t="n">
        <f aca="false">G6266+G6267</f>
        <v>577.14956573</v>
      </c>
      <c r="H6268" s="16" t="n">
        <f aca="false">H6266+H6267</f>
        <v>669.5923703193</v>
      </c>
      <c r="I6268" s="16" t="n">
        <f aca="false">I6266+I6267</f>
        <v>740.445357759573</v>
      </c>
      <c r="J6268" s="16" t="n">
        <f aca="false">J6266+J6267</f>
        <v>387.452738800967</v>
      </c>
      <c r="K6268" s="16" t="n">
        <f aca="false">K6266+K6267</f>
        <v>435.607002259684</v>
      </c>
    </row>
    <row r="6269" customFormat="false" ht="15" hidden="false" customHeight="false" outlineLevel="0" collapsed="false">
      <c r="A6269" s="3" t="s">
        <v>347</v>
      </c>
      <c r="G6269" s="25" t="n">
        <f aca="false">G6213+G6226+G6239</f>
        <v>0</v>
      </c>
      <c r="H6269" s="25" t="n">
        <f aca="false">H6213+H6226+H6239</f>
        <v>0</v>
      </c>
      <c r="I6269" s="25" t="n">
        <f aca="false">I6213+I6226+I6239</f>
        <v>420.456</v>
      </c>
      <c r="J6269" s="25" t="n">
        <f aca="false">J6213+J6226+J6239</f>
        <v>0</v>
      </c>
      <c r="K6269" s="25" t="n">
        <f aca="false">K6213+K6226+K6239</f>
        <v>0</v>
      </c>
    </row>
    <row r="6270" customFormat="false" ht="15" hidden="false" customHeight="false" outlineLevel="0" collapsed="false">
      <c r="A6270" s="2" t="s">
        <v>348</v>
      </c>
      <c r="G6270" s="16" t="n">
        <f aca="false">G6268-G6269</f>
        <v>577.14956573</v>
      </c>
      <c r="H6270" s="16" t="n">
        <f aca="false">H6268-H6269</f>
        <v>669.5923703193</v>
      </c>
      <c r="I6270" s="16" t="n">
        <f aca="false">I6268-I6269</f>
        <v>319.989357759573</v>
      </c>
      <c r="J6270" s="16" t="n">
        <f aca="false">J6268-J6269</f>
        <v>387.452738800967</v>
      </c>
      <c r="K6270" s="16" t="n">
        <f aca="false">K6268-K6269</f>
        <v>435.607002259684</v>
      </c>
    </row>
    <row r="6271" customFormat="false" ht="15" hidden="false" customHeight="false" outlineLevel="0" collapsed="false">
      <c r="A6271" s="3" t="s">
        <v>349</v>
      </c>
      <c r="G6271" s="25" t="n">
        <f aca="false">MAX(0,-G6270)</f>
        <v>0</v>
      </c>
      <c r="H6271" s="25" t="n">
        <f aca="false">MAX(0,-H6270)</f>
        <v>0</v>
      </c>
      <c r="I6271" s="25" t="n">
        <f aca="false">MAX(0,-I6270)</f>
        <v>0</v>
      </c>
      <c r="J6271" s="25" t="n">
        <f aca="false">MAX(0,-J6270)</f>
        <v>0</v>
      </c>
      <c r="K6271" s="25" t="n">
        <f aca="false">MAX(0,-K6270)</f>
        <v>0</v>
      </c>
    </row>
    <row r="6272" customFormat="false" ht="15" hidden="false" customHeight="false" outlineLevel="0" collapsed="false">
      <c r="A6272" s="3" t="s">
        <v>350</v>
      </c>
      <c r="G6272" s="25" t="n">
        <f aca="false">MAX(0,G6270-Assumptions!$C$12)*Assumptions!$C$13</f>
        <v>0</v>
      </c>
      <c r="H6272" s="25" t="n">
        <f aca="false">MAX(0,H6270-Assumptions!$C$12)*Assumptions!$C$13</f>
        <v>0</v>
      </c>
      <c r="I6272" s="25" t="n">
        <f aca="false">MAX(0,I6270-Assumptions!$C$12)*Assumptions!$C$13</f>
        <v>0</v>
      </c>
      <c r="J6272" s="25" t="n">
        <f aca="false">MAX(0,J6270-Assumptions!$C$12)*Assumptions!$C$13</f>
        <v>0</v>
      </c>
      <c r="K6272" s="25" t="n">
        <f aca="false">MAX(0,K6270-Assumptions!$C$12)*Assumptions!$C$13</f>
        <v>0</v>
      </c>
    </row>
    <row r="6273" customFormat="false" ht="15" hidden="false" customHeight="false" outlineLevel="0" collapsed="false">
      <c r="A6273" s="3" t="s">
        <v>351</v>
      </c>
      <c r="G6273" s="25" t="n">
        <f aca="false">G6214+G6227+G6240</f>
        <v>0</v>
      </c>
      <c r="H6273" s="25" t="n">
        <f aca="false">H6214+H6227+H6240</f>
        <v>0</v>
      </c>
      <c r="I6273" s="25" t="n">
        <f aca="false">I6214+I6227+I6240</f>
        <v>0</v>
      </c>
      <c r="J6273" s="25" t="n">
        <f aca="false">J6214+J6227+J6240</f>
        <v>0</v>
      </c>
      <c r="K6273" s="25" t="n">
        <f aca="false">K6214+K6227+K6240</f>
        <v>0</v>
      </c>
    </row>
    <row r="6274" customFormat="false" ht="15" hidden="false" customHeight="false" outlineLevel="0" collapsed="false">
      <c r="A6274" s="2" t="s">
        <v>352</v>
      </c>
      <c r="F6274" s="28" t="n">
        <f aca="false">Assumptions!$C$11</f>
        <v>463.996</v>
      </c>
      <c r="G6274" s="16" t="n">
        <f aca="false">G6270-G6273</f>
        <v>577.14956573</v>
      </c>
      <c r="H6274" s="16" t="n">
        <f aca="false">H6270-H6273</f>
        <v>669.5923703193</v>
      </c>
      <c r="I6274" s="16" t="n">
        <f aca="false">I6270-I6273</f>
        <v>319.989357759573</v>
      </c>
      <c r="J6274" s="16" t="n">
        <f aca="false">J6270-J6273</f>
        <v>387.452738800967</v>
      </c>
      <c r="K6274" s="16" t="n">
        <f aca="false">K6270-K6273</f>
        <v>435.607002259684</v>
      </c>
    </row>
    <row r="6275" customFormat="false" ht="15" hidden="false" customHeight="false" outlineLevel="0" collapsed="false">
      <c r="A6275" s="3" t="s">
        <v>353</v>
      </c>
      <c r="G6275" s="25" t="n">
        <f aca="false">G6215+G6228+G6241</f>
        <v>0</v>
      </c>
      <c r="H6275" s="25" t="n">
        <f aca="false">H6215+H6228+H6241</f>
        <v>0</v>
      </c>
      <c r="I6275" s="25" t="n">
        <f aca="false">I6215+I6228+I6241</f>
        <v>0</v>
      </c>
      <c r="J6275" s="25" t="n">
        <f aca="false">J6215+J6228+J6241</f>
        <v>0</v>
      </c>
      <c r="K6275" s="25" t="n">
        <f aca="false">K6215+K6228+K6241</f>
        <v>0</v>
      </c>
    </row>
    <row r="6276" customFormat="false" ht="15" hidden="false" customHeight="false" outlineLevel="0" collapsed="false">
      <c r="A6276" s="3" t="s">
        <v>354</v>
      </c>
      <c r="G6276" s="20" t="n">
        <f aca="false">IF(OR(G6271&gt;0.001,G6275&gt;0.001),1,0)</f>
        <v>0</v>
      </c>
      <c r="H6276" s="20" t="n">
        <f aca="false">IF(OR(H6271&gt;0.001,H6275&gt;0.001),1,0)</f>
        <v>0</v>
      </c>
      <c r="I6276" s="20" t="n">
        <f aca="false">IF(OR(I6271&gt;0.001,I6275&gt;0.001),1,0)</f>
        <v>0</v>
      </c>
      <c r="J6276" s="20" t="n">
        <f aca="false">IF(OR(J6271&gt;0.001,J6275&gt;0.001),1,0)</f>
        <v>0</v>
      </c>
      <c r="K6276" s="20" t="n">
        <f aca="false">IF(OR(K6271&gt;0.001,K6275&gt;0.001),1,0)</f>
        <v>0</v>
      </c>
    </row>
    <row r="6277" customFormat="false" ht="15" hidden="false" customHeight="false" outlineLevel="0" collapsed="false">
      <c r="A6277" s="3" t="s">
        <v>355</v>
      </c>
      <c r="G6277" s="20" t="n">
        <f aca="false">IF(G6276=1,1,0)</f>
        <v>0</v>
      </c>
      <c r="H6277" s="20" t="n">
        <f aca="false">IF(AND(H6276=1,SUM($G$6276:G6276)=0),1,0)</f>
        <v>0</v>
      </c>
      <c r="I6277" s="20" t="n">
        <f aca="false">IF(AND(I6276=1,SUM($G$6276:H6276)=0),1,0)</f>
        <v>0</v>
      </c>
      <c r="J6277" s="20" t="n">
        <f aca="false">IF(AND(J6276=1,SUM($G$6276:I6276)=0),1,0)</f>
        <v>0</v>
      </c>
      <c r="K6277" s="20" t="n">
        <f aca="false">IF(AND(K6276=1,SUM($G$6276:J6276)=0),1,0)</f>
        <v>0</v>
      </c>
    </row>
    <row r="6278" customFormat="false" ht="15" hidden="false" customHeight="false" outlineLevel="0" collapsed="false">
      <c r="A6278" s="3" t="s">
        <v>356</v>
      </c>
      <c r="G6278" s="25" t="n">
        <f aca="false">(G6244-F6244)-(G6267+G6184-G6265-G6269-G6273)</f>
        <v>0</v>
      </c>
      <c r="H6278" s="25" t="n">
        <f aca="false">(H6244-G6244)-(H6267+H6184-H6265-H6269-H6273)</f>
        <v>0</v>
      </c>
      <c r="I6278" s="25" t="n">
        <f aca="false">(I6244-H6244)-(I6267+I6184-I6265-I6269-I6273)</f>
        <v>0</v>
      </c>
      <c r="J6278" s="25" t="n">
        <f aca="false">(J6244-I6244)-(J6267+J6184-J6265-J6269-J6273)</f>
        <v>0</v>
      </c>
      <c r="K6278" s="25" t="n">
        <f aca="false">(K6244-J6244)-(K6267+K6184-K6265-K6269-K6273)</f>
        <v>0</v>
      </c>
    </row>
    <row r="6280" customFormat="false" ht="15" hidden="false" customHeight="false" outlineLevel="0" collapsed="false">
      <c r="A6280" s="23" t="s">
        <v>358</v>
      </c>
      <c r="B6280" s="24"/>
      <c r="C6280" s="24"/>
      <c r="D6280" s="24"/>
      <c r="E6280" s="24"/>
      <c r="F6280" s="24"/>
      <c r="G6280" s="24"/>
      <c r="H6280" s="24"/>
      <c r="I6280" s="24"/>
      <c r="J6280" s="24"/>
      <c r="K6280" s="24"/>
    </row>
    <row r="6281" customFormat="false" ht="15" hidden="false" customHeight="false" outlineLevel="0" collapsed="false">
      <c r="A6281" s="3" t="s">
        <v>359</v>
      </c>
      <c r="G6281" s="25" t="n">
        <f aca="false">G6244</f>
        <v>1735.554</v>
      </c>
      <c r="H6281" s="25" t="n">
        <f aca="false">H6244</f>
        <v>1735.554</v>
      </c>
      <c r="I6281" s="25" t="n">
        <f aca="false">I6244</f>
        <v>1315.098</v>
      </c>
      <c r="J6281" s="25" t="n">
        <f aca="false">J6244</f>
        <v>1315.098</v>
      </c>
      <c r="K6281" s="25" t="n">
        <f aca="false">K6244</f>
        <v>1315.098</v>
      </c>
    </row>
    <row r="6282" customFormat="false" ht="15" hidden="false" customHeight="false" outlineLevel="0" collapsed="false">
      <c r="A6282" s="3" t="s">
        <v>360</v>
      </c>
      <c r="G6282" s="25" t="n">
        <f aca="false">Assumptions!$O$56*G6216+Assumptions!$O$57*G6229+Assumptions!$O$58*G6242</f>
        <v>1315.098</v>
      </c>
      <c r="H6282" s="25" t="n">
        <f aca="false">Assumptions!$O$56*H6216+Assumptions!$O$57*H6229+Assumptions!$O$58*H6242</f>
        <v>1315.098</v>
      </c>
      <c r="I6282" s="25" t="n">
        <f aca="false">Assumptions!$O$56*I6216+Assumptions!$O$57*I6229+Assumptions!$O$58*I6242</f>
        <v>1315.098</v>
      </c>
      <c r="J6282" s="25" t="n">
        <f aca="false">Assumptions!$O$56*J6216+Assumptions!$O$57*J6229+Assumptions!$O$58*J6242</f>
        <v>1315.098</v>
      </c>
      <c r="K6282" s="25" t="n">
        <f aca="false">Assumptions!$O$56*K6216+Assumptions!$O$57*K6229+Assumptions!$O$58*K6242</f>
        <v>1315.098</v>
      </c>
    </row>
    <row r="6283" customFormat="false" ht="15" hidden="false" customHeight="false" outlineLevel="0" collapsed="false">
      <c r="A6283" s="3" t="s">
        <v>361</v>
      </c>
      <c r="G6283" s="25" t="n">
        <f aca="false">G6281-G6274</f>
        <v>1158.40443427</v>
      </c>
      <c r="H6283" s="25" t="n">
        <f aca="false">H6281-H6274</f>
        <v>1065.9616296807</v>
      </c>
      <c r="I6283" s="25" t="n">
        <f aca="false">I6281-I6274</f>
        <v>995.108642240427</v>
      </c>
      <c r="J6283" s="25" t="n">
        <f aca="false">J6281-J6274</f>
        <v>927.645261199033</v>
      </c>
      <c r="K6283" s="25" t="n">
        <f aca="false">K6281-K6274</f>
        <v>879.490997740316</v>
      </c>
    </row>
    <row r="6284" customFormat="false" ht="15" hidden="false" customHeight="false" outlineLevel="0" collapsed="false">
      <c r="A6284" s="3" t="s">
        <v>362</v>
      </c>
      <c r="G6284" s="32" t="n">
        <f aca="false">IF(G6179&gt;0,G6281/G6179,0)</f>
        <v>6.09845280014076</v>
      </c>
      <c r="H6284" s="32" t="n">
        <f aca="false">IF(H6179&gt;0,H6281/H6179,0)</f>
        <v>6.70159648367117</v>
      </c>
      <c r="I6284" s="32" t="n">
        <f aca="false">IF(I6179&gt;0,I6281/I6179,0)</f>
        <v>5.63022973652281</v>
      </c>
      <c r="J6284" s="32" t="n">
        <f aca="false">IF(J6179&gt;0,J6281/J6179,0)</f>
        <v>6.20981220940016</v>
      </c>
      <c r="K6284" s="32" t="n">
        <f aca="false">IF(K6179&gt;0,K6281/K6179,0)</f>
        <v>6.85053910186909</v>
      </c>
    </row>
    <row r="6285" customFormat="false" ht="15" hidden="false" customHeight="false" outlineLevel="0" collapsed="false">
      <c r="A6285" s="3" t="s">
        <v>363</v>
      </c>
      <c r="G6285" s="32" t="n">
        <f aca="false">IF(G6179&gt;0,G6283/G6179,0)</f>
        <v>4.07044365422762</v>
      </c>
      <c r="H6285" s="32" t="n">
        <f aca="false">IF(H6179&gt;0,H6283/H6179,0)</f>
        <v>4.11606017974466</v>
      </c>
      <c r="I6285" s="32" t="n">
        <f aca="false">IF(I6179&gt;0,I6283/I6179,0)</f>
        <v>4.26028346831407</v>
      </c>
      <c r="J6285" s="32" t="n">
        <f aca="false">IF(J6179&gt;0,J6283/J6179,0)</f>
        <v>4.38028410733341</v>
      </c>
      <c r="K6285" s="32" t="n">
        <f aca="false">IF(K6179&gt;0,K6283/K6179,0)</f>
        <v>4.58139809334505</v>
      </c>
    </row>
    <row r="6286" customFormat="false" ht="15" hidden="false" customHeight="false" outlineLevel="0" collapsed="false">
      <c r="A6286" s="3" t="s">
        <v>364</v>
      </c>
      <c r="G6286" s="32" t="n">
        <f aca="false">IF(G6183&gt;0,G6179/G6183,0)</f>
        <v>1.82482020063907</v>
      </c>
      <c r="H6286" s="32" t="n">
        <f aca="false">IF(H6183&gt;0,H6179/H6183,0)</f>
        <v>1.66058638258155</v>
      </c>
      <c r="I6286" s="32" t="n">
        <f aca="false">IF(I6183&gt;0,I6179/I6183,0)</f>
        <v>1.49773030377552</v>
      </c>
      <c r="J6286" s="32" t="n">
        <f aca="false">IF(J6183&gt;0,J6179/J6183,0)</f>
        <v>1.53367110029395</v>
      </c>
      <c r="K6286" s="32" t="n">
        <f aca="false">IF(K6183&gt;0,K6179/K6183,0)</f>
        <v>1.39022774444292</v>
      </c>
    </row>
    <row r="6287" customFormat="false" ht="15" hidden="false" customHeight="false" outlineLevel="0" collapsed="false">
      <c r="A6287" s="3" t="s">
        <v>365</v>
      </c>
      <c r="G6287" s="32" t="n">
        <f aca="false">IF(G6183&gt;0,G6182/G6183,0)</f>
        <v>1.18851312499972</v>
      </c>
      <c r="H6287" s="32" t="n">
        <f aca="false">IF(H6183&gt;0,H6182/H6183,0)</f>
        <v>1.08154694374975</v>
      </c>
      <c r="I6287" s="32" t="n">
        <f aca="false">IF(I6183&gt;0,I6182/I6183,0)</f>
        <v>0.967909217244415</v>
      </c>
      <c r="J6287" s="32" t="n">
        <f aca="false">IF(J6183&gt;0,J6182/J6183,0)</f>
        <v>0.983157523559741</v>
      </c>
      <c r="K6287" s="32" t="n">
        <f aca="false">IF(K6183&gt;0,K6182/K6183,0)</f>
        <v>0.883755253847456</v>
      </c>
    </row>
    <row r="6288" customFormat="false" ht="15" hidden="false" customHeight="false" outlineLevel="0" collapsed="false">
      <c r="A6288" s="3" t="s">
        <v>198</v>
      </c>
      <c r="G6288" s="21" t="n">
        <f aca="false">IF(G6281&gt;0,G6192/G6281,0)</f>
        <v>0.0651973754374684</v>
      </c>
      <c r="H6288" s="21" t="n">
        <f aca="false">IF(H6281&gt;0,H6192/H6281,0)</f>
        <v>0.0532641476953757</v>
      </c>
      <c r="I6288" s="21" t="n">
        <f aca="false">IF(I6281&gt;0,I6192/I6281,0)</f>
        <v>0.0538765836768614</v>
      </c>
      <c r="J6288" s="21" t="n">
        <f aca="false">IF(J6281&gt;0,J6192/J6281,0)</f>
        <v>0.0512991283093684</v>
      </c>
      <c r="K6288" s="21" t="n">
        <f aca="false">IF(K6281&gt;0,K6192/K6281,0)</f>
        <v>0.0366164829227307</v>
      </c>
    </row>
    <row r="6289" customFormat="false" ht="15" hidden="false" customHeight="false" outlineLevel="0" collapsed="false">
      <c r="A6289" s="3" t="s">
        <v>366</v>
      </c>
      <c r="G6289" s="32" t="n">
        <f aca="false">IF(G6183+G6265&gt;0,(G6179-G6190-G6187)/(G6183+G6265),0)</f>
        <v>1.59520989932523</v>
      </c>
      <c r="H6289" s="32" t="n">
        <f aca="false">IF(H6183+H6265&gt;0,(H6179-H6190-H6187)/(H6183+H6265),0)</f>
        <v>1.47414100838596</v>
      </c>
      <c r="I6289" s="32" t="n">
        <f aca="false">IF(I6183+I6265&gt;0,(I6179-I6190-I6187)/(I6183+I6265),0)</f>
        <v>1.34578664976931</v>
      </c>
      <c r="J6289" s="32" t="n">
        <f aca="false">IF(J6183+J6265&gt;0,(J6179-J6190-J6187)/(J6183+J6265),0)</f>
        <v>1.37579319291075</v>
      </c>
      <c r="K6289" s="32" t="n">
        <f aca="false">IF(K6183+K6265&gt;0,(K6179-K6190-K6187)/(K6183+K6265),0)</f>
        <v>1.24498006965038</v>
      </c>
    </row>
    <row r="6290" customFormat="false" ht="15" hidden="false" customHeight="false" outlineLevel="0" collapsed="false">
      <c r="A6290" s="3" t="s">
        <v>367</v>
      </c>
      <c r="G6290" s="25" t="n">
        <f aca="false">MAX(0,G6274)+Assumptions!$P$56*MAX(0,Assumptions!$D$56-G6216)+Assumptions!$P$57*MAX(0,Assumptions!$D$57-G6229)+Assumptions!$P$58*MAX(0,Assumptions!$D$58-G6242)</f>
        <v>577.14956573</v>
      </c>
      <c r="H6290" s="25" t="n">
        <f aca="false">MAX(0,H6274)+Assumptions!$P$56*MAX(0,Assumptions!$D$56-H6216)+Assumptions!$P$57*MAX(0,Assumptions!$D$57-H6229)+Assumptions!$P$58*MAX(0,Assumptions!$D$58-H6242)</f>
        <v>669.5923703193</v>
      </c>
      <c r="I6290" s="25" t="n">
        <f aca="false">MAX(0,I6274)+Assumptions!$P$56*MAX(0,Assumptions!$D$56-I6216)+Assumptions!$P$57*MAX(0,Assumptions!$D$57-I6229)+Assumptions!$P$58*MAX(0,Assumptions!$D$58-I6242)</f>
        <v>319.989357759573</v>
      </c>
      <c r="J6290" s="25" t="n">
        <f aca="false">MAX(0,J6274)+Assumptions!$P$56*MAX(0,Assumptions!$D$56-J6216)+Assumptions!$P$57*MAX(0,Assumptions!$D$57-J6229)+Assumptions!$P$58*MAX(0,Assumptions!$D$58-J6242)</f>
        <v>387.452738800967</v>
      </c>
      <c r="K6290" s="25" t="n">
        <f aca="false">MAX(0,K6274)+Assumptions!$P$56*MAX(0,Assumptions!$D$56-K6216)+Assumptions!$P$57*MAX(0,Assumptions!$D$57-K6229)+Assumptions!$P$58*MAX(0,Assumptions!$D$58-K6242)</f>
        <v>435.607002259684</v>
      </c>
    </row>
    <row r="6291" customFormat="false" ht="15" hidden="false" customHeight="false" outlineLevel="0" collapsed="false">
      <c r="A6291" s="3" t="s">
        <v>368</v>
      </c>
      <c r="G6291" s="21" t="n">
        <f aca="false">IF(G6281&gt;0,G6281/(G6281+MAX(0,G6179*CHOOSE($C$6162,Assumptions!$C$82,Assumptions!$C$101,Assumptions!$C$120)-G6283)),0)</f>
        <v>0.810101672558612</v>
      </c>
      <c r="H6291" s="21" t="n">
        <f aca="false">IF(H6281&gt;0,H6281/(H6281+MAX(0,H6179*CHOOSE($C$6162,Assumptions!$C$82,Assumptions!$C$101,Assumptions!$C$120)-H6283)),0)</f>
        <v>0.8288375973795</v>
      </c>
      <c r="I6291" s="21" t="n">
        <f aca="false">IF(I6281&gt;0,I6281/(I6281+MAX(0,I6179*CHOOSE($C$6162,Assumptions!$C$82,Assumptions!$C$101,Assumptions!$C$120)-I6283)),0)</f>
        <v>0.819544944998649</v>
      </c>
      <c r="J6291" s="21" t="n">
        <f aca="false">IF(J6281&gt;0,J6281/(J6281+MAX(0,J6179*CHOOSE($C$6162,Assumptions!$C$82,Assumptions!$C$101,Assumptions!$C$120)-J6283)),0)</f>
        <v>0.847232198707192</v>
      </c>
      <c r="K6291" s="21" t="n">
        <f aca="false">IF(K6281&gt;0,K6281/(K6281+MAX(0,K6179*CHOOSE($C$6162,Assumptions!$C$82,Assumptions!$C$101,Assumptions!$C$120)-K6283)),0)</f>
        <v>0.88176274498724</v>
      </c>
    </row>
    <row r="6292" customFormat="false" ht="15" hidden="false" customHeight="false" outlineLevel="0" collapsed="false">
      <c r="A6292" s="3" t="s">
        <v>369</v>
      </c>
      <c r="G6292" s="21" t="n">
        <f aca="false">IF(G6281&gt;0,MAX(0,G6274)/G6281,0)</f>
        <v>0.332544862176573</v>
      </c>
      <c r="H6292" s="21" t="n">
        <f aca="false">IF(H6281&gt;0,MAX(0,H6274)/H6281,0)</f>
        <v>0.385809009871949</v>
      </c>
      <c r="I6292" s="21" t="n">
        <f aca="false">IF(I6281&gt;0,MAX(0,I6274)/I6281,0)</f>
        <v>0.243319781308749</v>
      </c>
      <c r="J6292" s="21" t="n">
        <f aca="false">IF(J6281&gt;0,MAX(0,J6274)/J6281,0)</f>
        <v>0.294618909618117</v>
      </c>
      <c r="K6292" s="21" t="n">
        <f aca="false">IF(K6281&gt;0,MAX(0,K6274)/K6281,0)</f>
        <v>0.331235392540848</v>
      </c>
    </row>
    <row r="6293" customFormat="false" ht="15" hidden="false" customHeight="false" outlineLevel="0" collapsed="false">
      <c r="A6293" s="3" t="s">
        <v>370</v>
      </c>
      <c r="G6293" s="25" t="n">
        <f aca="false">Assumptions!$C$30*(1-CHOOSE($C$6162,Assumptions!$C$85,Assumptions!$C$104,Assumptions!$C$123))</f>
        <v>2454.971</v>
      </c>
      <c r="H6293" s="25" t="n">
        <f aca="false">Assumptions!$C$30*(1-CHOOSE($C$6162,Assumptions!$C$85,Assumptions!$C$104,Assumptions!$C$123))</f>
        <v>2454.971</v>
      </c>
      <c r="I6293" s="25" t="n">
        <f aca="false">Assumptions!$C$30*(1-CHOOSE($C$6162,Assumptions!$C$85,Assumptions!$C$104,Assumptions!$C$123))</f>
        <v>2454.971</v>
      </c>
      <c r="J6293" s="25" t="n">
        <f aca="false">Assumptions!$C$30*(1-CHOOSE($C$6162,Assumptions!$C$85,Assumptions!$C$104,Assumptions!$C$123))</f>
        <v>2454.971</v>
      </c>
      <c r="K6293" s="25" t="n">
        <f aca="false">Assumptions!$C$30*(1-CHOOSE($C$6162,Assumptions!$C$85,Assumptions!$C$104,Assumptions!$C$123))</f>
        <v>2454.971</v>
      </c>
    </row>
    <row r="6294" customFormat="false" ht="15" hidden="false" customHeight="false" outlineLevel="0" collapsed="false">
      <c r="A6294" s="23" t="s">
        <v>371</v>
      </c>
      <c r="B6294" s="24"/>
      <c r="C6294" s="24"/>
      <c r="D6294" s="24"/>
      <c r="E6294" s="24"/>
      <c r="F6294" s="24"/>
      <c r="G6294" s="24"/>
      <c r="H6294" s="24"/>
      <c r="I6294" s="24"/>
      <c r="J6294" s="24"/>
      <c r="K6294" s="24"/>
    </row>
    <row r="6295" customFormat="false" ht="15" hidden="false" customHeight="false" outlineLevel="0" collapsed="false">
      <c r="A6295" s="23" t="s">
        <v>372</v>
      </c>
      <c r="B6295" s="24"/>
      <c r="C6295" s="24"/>
      <c r="D6295" s="24"/>
      <c r="E6295" s="24"/>
      <c r="F6295" s="24"/>
      <c r="G6295" s="24"/>
      <c r="H6295" s="24"/>
      <c r="I6295" s="24"/>
      <c r="J6295" s="24"/>
      <c r="K6295" s="24"/>
    </row>
    <row r="6296" customFormat="false" ht="15" hidden="false" customHeight="false" outlineLevel="0" collapsed="false">
      <c r="A6296" s="3" t="s">
        <v>373</v>
      </c>
      <c r="G6296" s="32" t="n">
        <f aca="false">IF(G6179&gt;0,G6283/G6179,99)</f>
        <v>4.07044365422762</v>
      </c>
      <c r="H6296" s="32" t="n">
        <f aca="false">IF(H6179&gt;0,H6283/H6179,99)</f>
        <v>4.11606017974466</v>
      </c>
      <c r="I6296" s="32" t="n">
        <f aca="false">IF(I6179&gt;0,I6283/I6179,99)</f>
        <v>4.26028346831407</v>
      </c>
      <c r="J6296" s="32" t="n">
        <f aca="false">IF(J6179&gt;0,J6283/J6179,99)</f>
        <v>4.38028410733341</v>
      </c>
      <c r="K6296" s="32" t="n">
        <f aca="false">IF(K6179&gt;0,K6283/K6179,99)</f>
        <v>4.58139809334505</v>
      </c>
    </row>
    <row r="6297" customFormat="false" ht="15" hidden="false" customHeight="false" outlineLevel="0" collapsed="false">
      <c r="A6297" s="3" t="s">
        <v>374</v>
      </c>
      <c r="G6297" s="33" t="n">
        <f aca="false">Assumptions!$G$65</f>
        <v>5.25</v>
      </c>
      <c r="H6297" s="33" t="n">
        <f aca="false">Assumptions!$H$65</f>
        <v>5.25</v>
      </c>
      <c r="I6297" s="33" t="n">
        <f aca="false">Assumptions!$I$65</f>
        <v>5</v>
      </c>
      <c r="J6297" s="33" t="n">
        <f aca="false">Assumptions!$J$65</f>
        <v>5</v>
      </c>
      <c r="K6297" s="33" t="n">
        <f aca="false">Assumptions!$K$65</f>
        <v>5</v>
      </c>
    </row>
    <row r="6298" customFormat="false" ht="15" hidden="false" customHeight="false" outlineLevel="0" collapsed="false">
      <c r="A6298" s="3" t="s">
        <v>375</v>
      </c>
      <c r="G6298" s="32" t="n">
        <f aca="false">G6297-G6296</f>
        <v>1.17955634577238</v>
      </c>
      <c r="H6298" s="32" t="n">
        <f aca="false">H6297-H6296</f>
        <v>1.13393982025534</v>
      </c>
      <c r="I6298" s="32" t="n">
        <f aca="false">I6297-I6296</f>
        <v>0.739716531685935</v>
      </c>
      <c r="J6298" s="32" t="n">
        <f aca="false">J6297-J6296</f>
        <v>0.619715892666589</v>
      </c>
      <c r="K6298" s="32" t="n">
        <f aca="false">K6297-K6296</f>
        <v>0.418601906654947</v>
      </c>
    </row>
    <row r="6299" customFormat="false" ht="15" hidden="false" customHeight="false" outlineLevel="0" collapsed="false">
      <c r="A6299" s="3" t="s">
        <v>376</v>
      </c>
      <c r="G6299" s="21" t="n">
        <f aca="false">IF(G6297=0,0,G6298/ABS(G6297))</f>
        <v>0.22467739919474</v>
      </c>
      <c r="H6299" s="21" t="n">
        <f aca="false">IF(H6297=0,0,H6298/ABS(H6297))</f>
        <v>0.215988537191493</v>
      </c>
      <c r="I6299" s="21" t="n">
        <f aca="false">IF(I6297=0,0,I6298/ABS(I6297))</f>
        <v>0.147943306337187</v>
      </c>
      <c r="J6299" s="21" t="n">
        <f aca="false">IF(J6297=0,0,J6298/ABS(J6297))</f>
        <v>0.123943178533318</v>
      </c>
      <c r="K6299" s="21" t="n">
        <f aca="false">IF(K6297=0,0,K6298/ABS(K6297))</f>
        <v>0.0837203813309895</v>
      </c>
    </row>
    <row r="6300" customFormat="false" ht="15" hidden="false" customHeight="false" outlineLevel="0" collapsed="false">
      <c r="A6300" s="3" t="s">
        <v>377</v>
      </c>
      <c r="G6300" s="20" t="n">
        <f aca="false">IF(G6298&lt;0,1,0)</f>
        <v>0</v>
      </c>
      <c r="H6300" s="20" t="n">
        <f aca="false">IF(H6298&lt;0,1,0)</f>
        <v>0</v>
      </c>
      <c r="I6300" s="20" t="n">
        <f aca="false">IF(I6298&lt;0,1,0)</f>
        <v>0</v>
      </c>
      <c r="J6300" s="20" t="n">
        <f aca="false">IF(J6298&lt;0,1,0)</f>
        <v>0</v>
      </c>
      <c r="K6300" s="20" t="n">
        <f aca="false">IF(K6298&lt;0,1,0)</f>
        <v>0</v>
      </c>
    </row>
    <row r="6301" customFormat="false" ht="15" hidden="false" customHeight="false" outlineLevel="0" collapsed="false">
      <c r="A6301" s="3" t="s">
        <v>378</v>
      </c>
      <c r="C6301" s="20" t="n">
        <f aca="false">IFERROR(INDEX($G$6169:$K$6169,MATCH(1,$G$6300:$K$6300,0)),0)</f>
        <v>0</v>
      </c>
    </row>
    <row r="6302" customFormat="false" ht="15" hidden="false" customHeight="false" outlineLevel="0" collapsed="false">
      <c r="A6302" s="3" t="s">
        <v>379</v>
      </c>
      <c r="C6302" s="21" t="n">
        <f aca="false">MIN($G$6299:$K$6299)</f>
        <v>0.0837203813309895</v>
      </c>
    </row>
    <row r="6303" customFormat="false" ht="15" hidden="false" customHeight="false" outlineLevel="0" collapsed="false">
      <c r="A6303" s="23" t="s">
        <v>380</v>
      </c>
      <c r="B6303" s="24"/>
      <c r="C6303" s="24"/>
      <c r="D6303" s="24"/>
      <c r="E6303" s="24"/>
      <c r="F6303" s="24"/>
      <c r="G6303" s="24"/>
      <c r="H6303" s="24"/>
      <c r="I6303" s="24"/>
      <c r="J6303" s="24"/>
      <c r="K6303" s="24"/>
    </row>
    <row r="6304" customFormat="false" ht="15" hidden="false" customHeight="false" outlineLevel="0" collapsed="false">
      <c r="A6304" s="3" t="s">
        <v>373</v>
      </c>
      <c r="G6304" s="32" t="n">
        <f aca="false">IF(G6183&gt;0,G6179/G6183,99)</f>
        <v>1.82482020063907</v>
      </c>
      <c r="H6304" s="32" t="n">
        <f aca="false">IF(H6183&gt;0,H6179/H6183,99)</f>
        <v>1.66058638258155</v>
      </c>
      <c r="I6304" s="32" t="n">
        <f aca="false">IF(I6183&gt;0,I6179/I6183,99)</f>
        <v>1.49773030377552</v>
      </c>
      <c r="J6304" s="32" t="n">
        <f aca="false">IF(J6183&gt;0,J6179/J6183,99)</f>
        <v>1.53367110029395</v>
      </c>
      <c r="K6304" s="32" t="n">
        <f aca="false">IF(K6183&gt;0,K6179/K6183,99)</f>
        <v>1.39022774444292</v>
      </c>
    </row>
    <row r="6305" customFormat="false" ht="15" hidden="false" customHeight="false" outlineLevel="0" collapsed="false">
      <c r="A6305" s="3" t="s">
        <v>374</v>
      </c>
      <c r="G6305" s="33" t="n">
        <f aca="false">Assumptions!$G$66</f>
        <v>1.4</v>
      </c>
      <c r="H6305" s="33" t="n">
        <f aca="false">Assumptions!$H$66</f>
        <v>1.4</v>
      </c>
      <c r="I6305" s="33" t="n">
        <f aca="false">Assumptions!$I$66</f>
        <v>1.4</v>
      </c>
      <c r="J6305" s="33" t="n">
        <f aca="false">Assumptions!$J$66</f>
        <v>1.5</v>
      </c>
      <c r="K6305" s="33" t="n">
        <f aca="false">Assumptions!$K$66</f>
        <v>1.5</v>
      </c>
    </row>
    <row r="6306" customFormat="false" ht="15" hidden="false" customHeight="false" outlineLevel="0" collapsed="false">
      <c r="A6306" s="3" t="s">
        <v>375</v>
      </c>
      <c r="G6306" s="32" t="n">
        <f aca="false">G6304-G6305</f>
        <v>0.424820200639071</v>
      </c>
      <c r="H6306" s="32" t="n">
        <f aca="false">H6304-H6305</f>
        <v>0.260586382581554</v>
      </c>
      <c r="I6306" s="32" t="n">
        <f aca="false">I6304-I6305</f>
        <v>0.0977303037755204</v>
      </c>
      <c r="J6306" s="32" t="n">
        <f aca="false">J6304-J6305</f>
        <v>0.0336711002939465</v>
      </c>
      <c r="K6306" s="32" t="n">
        <f aca="false">K6304-K6305</f>
        <v>-0.109772255557075</v>
      </c>
    </row>
    <row r="6307" customFormat="false" ht="15" hidden="false" customHeight="false" outlineLevel="0" collapsed="false">
      <c r="A6307" s="3" t="s">
        <v>376</v>
      </c>
      <c r="G6307" s="21" t="n">
        <f aca="false">IF(G6305=0,0,G6306/ABS(G6305))</f>
        <v>0.303443000456479</v>
      </c>
      <c r="H6307" s="21" t="n">
        <f aca="false">IF(H6305=0,0,H6306/ABS(H6305))</f>
        <v>0.186133130415396</v>
      </c>
      <c r="I6307" s="21" t="n">
        <f aca="false">IF(I6305=0,0,I6306/ABS(I6305))</f>
        <v>0.0698073598396574</v>
      </c>
      <c r="J6307" s="21" t="n">
        <f aca="false">IF(J6305=0,0,J6306/ABS(J6305))</f>
        <v>0.0224474001959643</v>
      </c>
      <c r="K6307" s="21" t="n">
        <f aca="false">IF(K6305=0,0,K6306/ABS(K6305))</f>
        <v>-0.073181503704717</v>
      </c>
    </row>
    <row r="6308" customFormat="false" ht="15" hidden="false" customHeight="false" outlineLevel="0" collapsed="false">
      <c r="A6308" s="3" t="s">
        <v>377</v>
      </c>
      <c r="G6308" s="20" t="n">
        <f aca="false">IF(G6306&lt;0,1,0)</f>
        <v>0</v>
      </c>
      <c r="H6308" s="20" t="n">
        <f aca="false">IF(H6306&lt;0,1,0)</f>
        <v>0</v>
      </c>
      <c r="I6308" s="20" t="n">
        <f aca="false">IF(I6306&lt;0,1,0)</f>
        <v>0</v>
      </c>
      <c r="J6308" s="20" t="n">
        <f aca="false">IF(J6306&lt;0,1,0)</f>
        <v>0</v>
      </c>
      <c r="K6308" s="20" t="n">
        <f aca="false">IF(K6306&lt;0,1,0)</f>
        <v>1</v>
      </c>
    </row>
    <row r="6309" customFormat="false" ht="15" hidden="false" customHeight="false" outlineLevel="0" collapsed="false">
      <c r="A6309" s="3" t="s">
        <v>378</v>
      </c>
      <c r="C6309" s="20" t="n">
        <f aca="false">IFERROR(INDEX($G$6169:$K$6169,MATCH(1,$G$6308:$K$6308,0)),0)</f>
        <v>2031</v>
      </c>
    </row>
    <row r="6310" customFormat="false" ht="15" hidden="false" customHeight="false" outlineLevel="0" collapsed="false">
      <c r="A6310" s="3" t="s">
        <v>379</v>
      </c>
      <c r="C6310" s="21" t="n">
        <f aca="false">MIN($G$6307:$K$6307)</f>
        <v>-0.073181503704717</v>
      </c>
    </row>
    <row r="6311" customFormat="false" ht="15" hidden="false" customHeight="false" outlineLevel="0" collapsed="false">
      <c r="A6311" s="23" t="s">
        <v>381</v>
      </c>
      <c r="B6311" s="24"/>
      <c r="C6311" s="24"/>
      <c r="D6311" s="24"/>
      <c r="E6311" s="24"/>
      <c r="F6311" s="24"/>
      <c r="G6311" s="24"/>
      <c r="H6311" s="24"/>
      <c r="I6311" s="24"/>
      <c r="J6311" s="24"/>
      <c r="K6311" s="24"/>
    </row>
    <row r="6312" customFormat="false" ht="15" hidden="false" customHeight="false" outlineLevel="0" collapsed="false">
      <c r="A6312" s="3" t="s">
        <v>373</v>
      </c>
      <c r="G6312" s="25" t="n">
        <f aca="false">G6290</f>
        <v>577.14956573</v>
      </c>
      <c r="H6312" s="25" t="n">
        <f aca="false">H6290</f>
        <v>669.5923703193</v>
      </c>
      <c r="I6312" s="25" t="n">
        <f aca="false">I6290</f>
        <v>319.989357759573</v>
      </c>
      <c r="J6312" s="25" t="n">
        <f aca="false">J6290</f>
        <v>387.452738800967</v>
      </c>
      <c r="K6312" s="25" t="n">
        <f aca="false">K6290</f>
        <v>435.607002259684</v>
      </c>
    </row>
    <row r="6313" customFormat="false" ht="15" hidden="false" customHeight="false" outlineLevel="0" collapsed="false">
      <c r="A6313" s="3" t="s">
        <v>374</v>
      </c>
      <c r="G6313" s="29" t="n">
        <f aca="false">Assumptions!$G$67</f>
        <v>200</v>
      </c>
      <c r="H6313" s="29" t="n">
        <f aca="false">Assumptions!$H$67</f>
        <v>200</v>
      </c>
      <c r="I6313" s="29" t="n">
        <f aca="false">Assumptions!$I$67</f>
        <v>200</v>
      </c>
      <c r="J6313" s="29" t="n">
        <f aca="false">Assumptions!$J$67</f>
        <v>200</v>
      </c>
      <c r="K6313" s="29" t="n">
        <f aca="false">Assumptions!$K$67</f>
        <v>200</v>
      </c>
    </row>
    <row r="6314" customFormat="false" ht="15" hidden="false" customHeight="false" outlineLevel="0" collapsed="false">
      <c r="A6314" s="3" t="s">
        <v>375</v>
      </c>
      <c r="G6314" s="25" t="n">
        <f aca="false">G6312-G6313</f>
        <v>377.14956573</v>
      </c>
      <c r="H6314" s="25" t="n">
        <f aca="false">H6312-H6313</f>
        <v>469.5923703193</v>
      </c>
      <c r="I6314" s="25" t="n">
        <f aca="false">I6312-I6313</f>
        <v>119.989357759573</v>
      </c>
      <c r="J6314" s="25" t="n">
        <f aca="false">J6312-J6313</f>
        <v>187.452738800967</v>
      </c>
      <c r="K6314" s="25" t="n">
        <f aca="false">K6312-K6313</f>
        <v>235.607002259684</v>
      </c>
    </row>
    <row r="6315" customFormat="false" ht="15" hidden="false" customHeight="false" outlineLevel="0" collapsed="false">
      <c r="A6315" s="3" t="s">
        <v>376</v>
      </c>
      <c r="G6315" s="21" t="n">
        <f aca="false">IF(G6313=0,0,G6314/ABS(G6313))</f>
        <v>1.88574782865</v>
      </c>
      <c r="H6315" s="21" t="n">
        <f aca="false">IF(H6313=0,0,H6314/ABS(H6313))</f>
        <v>2.3479618515965</v>
      </c>
      <c r="I6315" s="21" t="n">
        <f aca="false">IF(I6313=0,0,I6314/ABS(I6313))</f>
        <v>0.599946788797866</v>
      </c>
      <c r="J6315" s="21" t="n">
        <f aca="false">IF(J6313=0,0,J6314/ABS(J6313))</f>
        <v>0.937263694004835</v>
      </c>
      <c r="K6315" s="21" t="n">
        <f aca="false">IF(K6313=0,0,K6314/ABS(K6313))</f>
        <v>1.17803501129842</v>
      </c>
    </row>
    <row r="6316" customFormat="false" ht="15" hidden="false" customHeight="false" outlineLevel="0" collapsed="false">
      <c r="A6316" s="3" t="s">
        <v>377</v>
      </c>
      <c r="G6316" s="20" t="n">
        <f aca="false">IF(G6314&lt;0,1,0)</f>
        <v>0</v>
      </c>
      <c r="H6316" s="20" t="n">
        <f aca="false">IF(H6314&lt;0,1,0)</f>
        <v>0</v>
      </c>
      <c r="I6316" s="20" t="n">
        <f aca="false">IF(I6314&lt;0,1,0)</f>
        <v>0</v>
      </c>
      <c r="J6316" s="20" t="n">
        <f aca="false">IF(J6314&lt;0,1,0)</f>
        <v>0</v>
      </c>
      <c r="K6316" s="20" t="n">
        <f aca="false">IF(K6314&lt;0,1,0)</f>
        <v>0</v>
      </c>
    </row>
    <row r="6317" customFormat="false" ht="15" hidden="false" customHeight="false" outlineLevel="0" collapsed="false">
      <c r="A6317" s="3" t="s">
        <v>378</v>
      </c>
      <c r="C6317" s="20" t="n">
        <f aca="false">IFERROR(INDEX($G$6169:$K$6169,MATCH(1,$G$6316:$K$6316,0)),0)</f>
        <v>0</v>
      </c>
    </row>
    <row r="6318" customFormat="false" ht="15" hidden="false" customHeight="false" outlineLevel="0" collapsed="false">
      <c r="A6318" s="3" t="s">
        <v>379</v>
      </c>
      <c r="C6318" s="21" t="n">
        <f aca="false">MIN($G$6315:$K$6315)</f>
        <v>0.599946788797866</v>
      </c>
    </row>
    <row r="6319" customFormat="false" ht="15" hidden="false" customHeight="false" outlineLevel="0" collapsed="false">
      <c r="A6319" s="3" t="s">
        <v>382</v>
      </c>
      <c r="G6319" s="20" t="n">
        <f aca="false">G6300+G6308+G6316</f>
        <v>0</v>
      </c>
      <c r="H6319" s="20" t="n">
        <f aca="false">H6300+H6308+H6316</f>
        <v>0</v>
      </c>
      <c r="I6319" s="20" t="n">
        <f aca="false">I6300+I6308+I6316</f>
        <v>0</v>
      </c>
      <c r="J6319" s="20" t="n">
        <f aca="false">J6300+J6308+J6316</f>
        <v>0</v>
      </c>
      <c r="K6319" s="20" t="n">
        <f aca="false">K6300+K6308+K6316</f>
        <v>1</v>
      </c>
    </row>
    <row r="6320" customFormat="false" ht="15" hidden="false" customHeight="false" outlineLevel="0" collapsed="false">
      <c r="A6320" s="3" t="s">
        <v>383</v>
      </c>
      <c r="C6320" s="20" t="n">
        <f aca="false">SUM($G$6319:$K$6319)</f>
        <v>1</v>
      </c>
    </row>
    <row r="6321" customFormat="false" ht="15" hidden="false" customHeight="false" outlineLevel="0" collapsed="false">
      <c r="A6321" s="3" t="s">
        <v>384</v>
      </c>
      <c r="C6321" s="21" t="n">
        <f aca="false">MIN(C6302,C6310,C6318)</f>
        <v>-0.073181503704717</v>
      </c>
    </row>
    <row r="6323" customFormat="false" ht="15" hidden="false" customHeight="false" outlineLevel="0" collapsed="false">
      <c r="A6323" s="23" t="s">
        <v>486</v>
      </c>
      <c r="B6323" s="24"/>
      <c r="C6323" s="24"/>
      <c r="D6323" s="24"/>
      <c r="E6323" s="24"/>
      <c r="F6323" s="24"/>
      <c r="G6323" s="24"/>
      <c r="H6323" s="24"/>
      <c r="I6323" s="24"/>
      <c r="J6323" s="24"/>
      <c r="K6323" s="24"/>
    </row>
    <row r="6324" customFormat="false" ht="15" hidden="false" customHeight="false" outlineLevel="0" collapsed="false">
      <c r="A6324" s="3" t="s">
        <v>487</v>
      </c>
      <c r="G6324" s="20" t="n">
        <f aca="false">IF($C$6325=1,G6277,IF(G6179=MIN($G$6179:$K$6179),1,0))</f>
        <v>0</v>
      </c>
      <c r="H6324" s="20" t="n">
        <f aca="false">IF($C$6325=1,H6277,IF(AND(H6179=MIN($G$6179:$K$6179),SUM($G$6324:G6324)=0),1,0))</f>
        <v>0</v>
      </c>
      <c r="I6324" s="20" t="n">
        <f aca="false">IF($C$6325=1,I6277,IF(AND(I6179=MIN($G$6179:$K$6179),SUM($G$6324:H6324)=0),1,0))</f>
        <v>0</v>
      </c>
      <c r="J6324" s="20" t="n">
        <f aca="false">IF($C$6325=1,J6277,IF(AND(J6179=MIN($G$6179:$K$6179),SUM($G$6324:I6324)=0),1,0))</f>
        <v>0</v>
      </c>
      <c r="K6324" s="20" t="n">
        <f aca="false">IF($C$6325=1,K6277,IF(AND(K6179=MIN($G$6179:$K$6179),SUM($G$6324:J6324)=0),1,0))</f>
        <v>1</v>
      </c>
    </row>
    <row r="6325" customFormat="false" ht="15" hidden="false" customHeight="false" outlineLevel="0" collapsed="false">
      <c r="A6325" s="3" t="s">
        <v>488</v>
      </c>
      <c r="C6325" s="20" t="n">
        <f aca="false">IF(SUM($G$6277:$K$6277)&gt;0,1,0)</f>
        <v>0</v>
      </c>
    </row>
    <row r="6326" customFormat="false" ht="15" hidden="false" customHeight="false" outlineLevel="0" collapsed="false">
      <c r="A6326" s="3" t="s">
        <v>489</v>
      </c>
      <c r="C6326" s="20" t="n">
        <f aca="false">SUMPRODUCT($G$6324:$K$6324,$G$6169:$K$6169)</f>
        <v>2031</v>
      </c>
    </row>
    <row r="6327" customFormat="false" ht="15" hidden="false" customHeight="false" outlineLevel="0" collapsed="false">
      <c r="A6327" s="3" t="s">
        <v>490</v>
      </c>
      <c r="C6327" s="25" t="n">
        <f aca="false">SUMPRODUCT($G$6324:$K$6324,$G$6179:$K$6179)</f>
        <v>191.970001257447</v>
      </c>
    </row>
    <row r="6328" customFormat="false" ht="15" hidden="false" customHeight="false" outlineLevel="0" collapsed="false">
      <c r="A6328" s="3" t="s">
        <v>491</v>
      </c>
      <c r="C6328" s="25" t="n">
        <f aca="false">MAX(0,SUMPRODUCT($G$6324:$K$6324,$G$6274:$K$6274))</f>
        <v>435.607002259684</v>
      </c>
    </row>
    <row r="6329" customFormat="false" ht="15" hidden="false" customHeight="false" outlineLevel="0" collapsed="false">
      <c r="A6329" s="3" t="s">
        <v>492</v>
      </c>
      <c r="C6329" s="25" t="n">
        <f aca="false">(CHOOSE($C$6162,Assumptions!$C$84,Assumptions!$C$103,Assumptions!$C$122)+$C$6166)*C6327</f>
        <v>959.850006287236</v>
      </c>
    </row>
    <row r="6330" customFormat="false" ht="15" hidden="false" customHeight="false" outlineLevel="0" collapsed="false">
      <c r="A6330" s="3" t="s">
        <v>493</v>
      </c>
      <c r="C6330" s="25" t="n">
        <f aca="false">Assumptions!$C$30*(1-CHOOSE($C$6162,Assumptions!$C$85,Assumptions!$C$104,Assumptions!$C$123))*CHOOSE($C$6162,Assumptions!$C$86,Assumptions!$C$105,Assumptions!$C$124)</f>
        <v>736.4913</v>
      </c>
    </row>
    <row r="6331" customFormat="false" ht="15" hidden="false" customHeight="false" outlineLevel="0" collapsed="false">
      <c r="A6331" s="3" t="s">
        <v>494</v>
      </c>
      <c r="C6331" s="25" t="n">
        <f aca="false">MAX(C6329,C6330)+C6328</f>
        <v>1395.45700854692</v>
      </c>
    </row>
    <row r="6332" customFormat="false" ht="15" hidden="false" customHeight="false" outlineLevel="0" collapsed="false">
      <c r="A6332" s="2" t="s">
        <v>495</v>
      </c>
      <c r="C6332" s="16" t="n">
        <f aca="false">IF(ISNUMBER(Assumptions!$C$14),Assumptions!$C$14,C6331)</f>
        <v>1395.45700854692</v>
      </c>
    </row>
    <row r="6333" customFormat="false" ht="15" hidden="false" customHeight="false" outlineLevel="0" collapsed="false">
      <c r="A6333" s="3" t="s">
        <v>496</v>
      </c>
      <c r="C6333" s="25" t="n">
        <f aca="false">C6332*Assumptions!$C$15</f>
        <v>55.8182803418768</v>
      </c>
    </row>
    <row r="6334" customFormat="false" ht="15" hidden="false" customHeight="false" outlineLevel="0" collapsed="false">
      <c r="A6334" s="2" t="s">
        <v>497</v>
      </c>
      <c r="C6334" s="16" t="n">
        <f aca="false">C6332-C6333</f>
        <v>1339.63872820504</v>
      </c>
    </row>
    <row r="6335" customFormat="false" ht="15" hidden="false" customHeight="false" outlineLevel="0" collapsed="false">
      <c r="A6335" s="23" t="s">
        <v>498</v>
      </c>
      <c r="B6335" s="24"/>
      <c r="C6335" s="24"/>
      <c r="D6335" s="24"/>
      <c r="E6335" s="24"/>
      <c r="F6335" s="24"/>
      <c r="G6335" s="24"/>
      <c r="H6335" s="24"/>
      <c r="I6335" s="24"/>
      <c r="J6335" s="24"/>
      <c r="K6335" s="24"/>
    </row>
    <row r="6336" customFormat="false" ht="15" hidden="false" customHeight="false" outlineLevel="0" collapsed="false">
      <c r="A6336" s="3" t="s">
        <v>499</v>
      </c>
      <c r="C6336" s="25" t="n">
        <f aca="false">SUMPRODUCT($G$6324:$K$6324,$G$6216:$K$6216)*(1+SUMPRODUCT($G$6324:$K$6324,$G$6208:$K$6208)*Assumptions!$C$16/12)</f>
        <v>1349.6193225</v>
      </c>
    </row>
    <row r="6337" customFormat="false" ht="15" hidden="false" customHeight="false" outlineLevel="0" collapsed="false">
      <c r="A6337" s="3" t="s">
        <v>500</v>
      </c>
      <c r="C6337" s="25" t="n">
        <f aca="false">SUMPRODUCT($G$6324:$K$6324,$G$6229:$K$6229)*(1+SUMPRODUCT($G$6324:$K$6324,$G$6221:$K$6221)*Assumptions!$C$16/12)</f>
        <v>0</v>
      </c>
    </row>
    <row r="6338" customFormat="false" ht="15" hidden="false" customHeight="false" outlineLevel="0" collapsed="false">
      <c r="A6338" s="3" t="s">
        <v>501</v>
      </c>
      <c r="C6338" s="25" t="n">
        <f aca="false">SUMPRODUCT($G$6324:$K$6324,$G$6242:$K$6242)*(1+SUMPRODUCT($G$6324:$K$6324,$G$6234:$K$6234)*Assumptions!$C$16/12)</f>
        <v>0</v>
      </c>
    </row>
    <row r="6339" customFormat="false" ht="15" hidden="false" customHeight="false" outlineLevel="0" collapsed="false">
      <c r="A6339" s="23" t="s">
        <v>502</v>
      </c>
      <c r="B6339" s="24"/>
      <c r="C6339" s="24"/>
      <c r="D6339" s="24"/>
      <c r="E6339" s="24"/>
      <c r="F6339" s="24"/>
      <c r="G6339" s="24"/>
      <c r="H6339" s="24"/>
      <c r="I6339" s="24"/>
      <c r="J6339" s="24"/>
      <c r="K6339" s="24"/>
    </row>
    <row r="6340" customFormat="false" ht="15" hidden="false" customHeight="false" outlineLevel="0" collapsed="false">
      <c r="A6340" s="3" t="s">
        <v>499</v>
      </c>
      <c r="C6340" s="27" t="n">
        <f aca="false">Assumptions!$M$56</f>
        <v>1</v>
      </c>
    </row>
    <row r="6341" customFormat="false" ht="15" hidden="false" customHeight="false" outlineLevel="0" collapsed="false">
      <c r="A6341" s="3" t="s">
        <v>500</v>
      </c>
      <c r="C6341" s="27" t="n">
        <f aca="false">Assumptions!$M$57</f>
        <v>2</v>
      </c>
    </row>
    <row r="6342" customFormat="false" ht="15" hidden="false" customHeight="false" outlineLevel="0" collapsed="false">
      <c r="A6342" s="3" t="s">
        <v>501</v>
      </c>
      <c r="C6342" s="27" t="n">
        <f aca="false">Assumptions!$M$58</f>
        <v>2</v>
      </c>
    </row>
    <row r="6343" customFormat="false" ht="15" hidden="false" customHeight="false" outlineLevel="0" collapsed="false">
      <c r="A6343" s="23" t="s">
        <v>503</v>
      </c>
      <c r="B6343" s="24"/>
      <c r="C6343" s="24"/>
      <c r="D6343" s="24"/>
      <c r="E6343" s="24"/>
      <c r="F6343" s="24"/>
      <c r="G6343" s="24"/>
      <c r="H6343" s="24"/>
      <c r="I6343" s="24"/>
      <c r="J6343" s="24"/>
      <c r="K6343" s="24"/>
    </row>
    <row r="6344" customFormat="false" ht="15" hidden="false" customHeight="false" outlineLevel="0" collapsed="false">
      <c r="A6344" s="3" t="s">
        <v>499</v>
      </c>
      <c r="C6344" s="35" t="n">
        <f aca="false">Assumptions!$Q$56</f>
        <v>0</v>
      </c>
    </row>
    <row r="6345" customFormat="false" ht="15" hidden="false" customHeight="false" outlineLevel="0" collapsed="false">
      <c r="A6345" s="3" t="s">
        <v>500</v>
      </c>
      <c r="C6345" s="35" t="n">
        <f aca="false">Assumptions!$Q$57</f>
        <v>0</v>
      </c>
    </row>
    <row r="6346" customFormat="false" ht="15" hidden="false" customHeight="false" outlineLevel="0" collapsed="false">
      <c r="A6346" s="3" t="s">
        <v>501</v>
      </c>
      <c r="C6346" s="35" t="n">
        <f aca="false">Assumptions!$Q$58</f>
        <v>0</v>
      </c>
    </row>
    <row r="6347" customFormat="false" ht="15" hidden="false" customHeight="false" outlineLevel="0" collapsed="false">
      <c r="A6347" s="23" t="s">
        <v>504</v>
      </c>
      <c r="B6347" s="24"/>
      <c r="C6347" s="24"/>
      <c r="D6347" s="24"/>
      <c r="E6347" s="24"/>
      <c r="F6347" s="24"/>
      <c r="G6347" s="24"/>
      <c r="H6347" s="24"/>
      <c r="I6347" s="24"/>
      <c r="J6347" s="24"/>
      <c r="K6347" s="24"/>
    </row>
    <row r="6348" customFormat="false" ht="15" hidden="false" customHeight="false" outlineLevel="0" collapsed="false">
      <c r="A6348" s="3" t="s">
        <v>499</v>
      </c>
      <c r="C6348" s="25" t="n">
        <f aca="false">IF(C6344&gt;0,MIN(C6336,C6344*$C$6334),0)</f>
        <v>0</v>
      </c>
    </row>
    <row r="6349" customFormat="false" ht="15" hidden="false" customHeight="false" outlineLevel="0" collapsed="false">
      <c r="A6349" s="3" t="s">
        <v>500</v>
      </c>
      <c r="C6349" s="25" t="n">
        <f aca="false">IF(C6345&gt;0,MIN(C6337,C6345*$C$6334),0)</f>
        <v>0</v>
      </c>
    </row>
    <row r="6350" customFormat="false" ht="15" hidden="false" customHeight="false" outlineLevel="0" collapsed="false">
      <c r="A6350" s="3" t="s">
        <v>501</v>
      </c>
      <c r="C6350" s="25" t="n">
        <f aca="false">IF(C6346&gt;0,MIN(C6338,C6346*$C$6334),0)</f>
        <v>0</v>
      </c>
    </row>
    <row r="6351" customFormat="false" ht="15" hidden="false" customHeight="false" outlineLevel="0" collapsed="false">
      <c r="A6351" s="23" t="s">
        <v>505</v>
      </c>
      <c r="B6351" s="24"/>
      <c r="C6351" s="24"/>
      <c r="D6351" s="24"/>
      <c r="E6351" s="24"/>
      <c r="F6351" s="24"/>
      <c r="G6351" s="24"/>
      <c r="H6351" s="24"/>
      <c r="I6351" s="24"/>
      <c r="J6351" s="24"/>
      <c r="K6351" s="24"/>
    </row>
    <row r="6352" customFormat="false" ht="15" hidden="false" customHeight="false" outlineLevel="0" collapsed="false">
      <c r="A6352" s="3" t="s">
        <v>499</v>
      </c>
      <c r="C6352" s="25" t="n">
        <f aca="false">IF(C6344&gt;0,C6336-C6348,0)</f>
        <v>0</v>
      </c>
      <c r="G6352" s="20" t="n">
        <f aca="false">IF(AND(G6206=1,G6203=1),1,0)</f>
        <v>0</v>
      </c>
      <c r="H6352" s="20" t="n">
        <f aca="false">IF(G6352=1,1,IF(AND(H6206=1,H6203=1),1,0))</f>
        <v>0</v>
      </c>
      <c r="I6352" s="20" t="n">
        <f aca="false">IF(H6352=1,1,IF(AND(I6206=1,I6203=1),1,0))</f>
        <v>0</v>
      </c>
      <c r="J6352" s="20" t="n">
        <f aca="false">IF(I6352=1,1,IF(AND(J6206=1,J6203=1),1,0))</f>
        <v>0</v>
      </c>
      <c r="K6352" s="20" t="n">
        <f aca="false">IF(J6352=1,1,IF(AND(K6206=1,K6203=1),1,0))</f>
        <v>0</v>
      </c>
    </row>
    <row r="6353" customFormat="false" ht="15" hidden="false" customHeight="false" outlineLevel="0" collapsed="false">
      <c r="A6353" s="3" t="s">
        <v>500</v>
      </c>
      <c r="C6353" s="25" t="n">
        <f aca="false">IF(C6345&gt;0,C6337-C6349,0)</f>
        <v>0</v>
      </c>
      <c r="G6353" s="20" t="n">
        <f aca="false">IF(AND(G6219=1,G6203=1),1,0)</f>
        <v>0</v>
      </c>
      <c r="H6353" s="20" t="n">
        <f aca="false">IF(G6353=1,1,IF(AND(H6219=1,H6203=1),1,0))</f>
        <v>0</v>
      </c>
      <c r="I6353" s="20" t="n">
        <f aca="false">IF(H6353=1,1,IF(AND(I6219=1,I6203=1),1,0))</f>
        <v>1</v>
      </c>
      <c r="J6353" s="20" t="n">
        <f aca="false">IF(I6353=1,1,IF(AND(J6219=1,J6203=1),1,0))</f>
        <v>1</v>
      </c>
      <c r="K6353" s="20" t="n">
        <f aca="false">IF(J6353=1,1,IF(AND(K6219=1,K6203=1),1,0))</f>
        <v>1</v>
      </c>
    </row>
    <row r="6354" customFormat="false" ht="15" hidden="false" customHeight="false" outlineLevel="0" collapsed="false">
      <c r="A6354" s="3" t="s">
        <v>501</v>
      </c>
      <c r="C6354" s="25" t="n">
        <f aca="false">IF(C6346&gt;0,C6338-C6350,0)</f>
        <v>0</v>
      </c>
      <c r="G6354" s="20" t="n">
        <f aca="false">IF(AND(G6232=1,G6203=1),1,0)</f>
        <v>0</v>
      </c>
      <c r="H6354" s="20" t="n">
        <f aca="false">IF(G6354=1,1,IF(AND(H6232=1,H6203=1),1,0))</f>
        <v>0</v>
      </c>
      <c r="I6354" s="20" t="n">
        <f aca="false">IF(H6354=1,1,IF(AND(I6232=1,I6203=1),1,0))</f>
        <v>1</v>
      </c>
      <c r="J6354" s="20" t="n">
        <f aca="false">IF(I6354=1,1,IF(AND(J6232=1,J6203=1),1,0))</f>
        <v>1</v>
      </c>
      <c r="K6354" s="20" t="n">
        <f aca="false">IF(J6354=1,1,IF(AND(K6232=1,K6203=1),1,0))</f>
        <v>1</v>
      </c>
    </row>
    <row r="6355" customFormat="false" ht="15" hidden="false" customHeight="false" outlineLevel="0" collapsed="false">
      <c r="A6355" s="23" t="s">
        <v>506</v>
      </c>
      <c r="B6355" s="24"/>
      <c r="C6355" s="24"/>
      <c r="D6355" s="24"/>
      <c r="E6355" s="24"/>
      <c r="F6355" s="24"/>
      <c r="G6355" s="24"/>
      <c r="H6355" s="24"/>
      <c r="I6355" s="24"/>
      <c r="J6355" s="24"/>
      <c r="K6355" s="24"/>
    </row>
    <row r="6356" customFormat="false" ht="15" hidden="false" customHeight="false" outlineLevel="0" collapsed="false">
      <c r="A6356" s="3" t="s">
        <v>499</v>
      </c>
      <c r="C6356" s="25" t="n">
        <f aca="false">IF(C6344&gt;0,C6352,C6336)</f>
        <v>1349.6193225</v>
      </c>
    </row>
    <row r="6357" customFormat="false" ht="15" hidden="false" customHeight="false" outlineLevel="0" collapsed="false">
      <c r="A6357" s="3" t="s">
        <v>500</v>
      </c>
      <c r="C6357" s="25" t="n">
        <f aca="false">IF(C6345&gt;0,C6353,C6337)</f>
        <v>0</v>
      </c>
    </row>
    <row r="6358" customFormat="false" ht="15" hidden="false" customHeight="false" outlineLevel="0" collapsed="false">
      <c r="A6358" s="3" t="s">
        <v>501</v>
      </c>
      <c r="C6358" s="25" t="n">
        <f aca="false">IF(C6346&gt;0,C6354,C6338)</f>
        <v>0</v>
      </c>
    </row>
    <row r="6359" customFormat="false" ht="15" hidden="false" customHeight="false" outlineLevel="0" collapsed="false">
      <c r="A6359" s="23" t="s">
        <v>507</v>
      </c>
      <c r="B6359" s="24"/>
      <c r="C6359" s="24"/>
      <c r="D6359" s="24"/>
      <c r="E6359" s="24"/>
      <c r="F6359" s="24"/>
      <c r="G6359" s="24"/>
      <c r="H6359" s="24"/>
      <c r="I6359" s="24"/>
      <c r="J6359" s="24"/>
      <c r="K6359" s="24"/>
    </row>
    <row r="6360" customFormat="false" ht="15" hidden="false" customHeight="false" outlineLevel="0" collapsed="false">
      <c r="A6360" s="3" t="s">
        <v>499</v>
      </c>
      <c r="C6360" s="20" t="n">
        <f aca="false">IF(C6344&gt;0,Assumptions!$C$17,C6340)</f>
        <v>1</v>
      </c>
    </row>
    <row r="6361" customFormat="false" ht="15" hidden="false" customHeight="false" outlineLevel="0" collapsed="false">
      <c r="A6361" s="3" t="s">
        <v>500</v>
      </c>
      <c r="C6361" s="20" t="n">
        <f aca="false">IF(C6345&gt;0,Assumptions!$C$17,C6341)</f>
        <v>2</v>
      </c>
    </row>
    <row r="6362" customFormat="false" ht="15" hidden="false" customHeight="false" outlineLevel="0" collapsed="false">
      <c r="A6362" s="3" t="s">
        <v>501</v>
      </c>
      <c r="C6362" s="20" t="n">
        <f aca="false">IF(C6346&gt;0,Assumptions!$C$17,C6342)</f>
        <v>2</v>
      </c>
    </row>
    <row r="6363" customFormat="false" ht="15" hidden="false" customHeight="false" outlineLevel="0" collapsed="false">
      <c r="A6363" s="23" t="s">
        <v>508</v>
      </c>
      <c r="B6363" s="24"/>
      <c r="C6363" s="24"/>
      <c r="D6363" s="24"/>
      <c r="E6363" s="24"/>
      <c r="F6363" s="24"/>
      <c r="G6363" s="24"/>
      <c r="H6363" s="24"/>
      <c r="I6363" s="24"/>
      <c r="J6363" s="24"/>
      <c r="K6363" s="24"/>
    </row>
    <row r="6364" customFormat="false" ht="15" hidden="false" customHeight="false" outlineLevel="0" collapsed="false">
      <c r="A6364" s="3" t="s">
        <v>499</v>
      </c>
      <c r="C6364" s="25" t="n">
        <f aca="false">SUMPRODUCT(($C$6360:$C$6362&lt;C6360)*$C$6356:$C$6358)</f>
        <v>0</v>
      </c>
    </row>
    <row r="6365" customFormat="false" ht="15" hidden="false" customHeight="false" outlineLevel="0" collapsed="false">
      <c r="A6365" s="3" t="s">
        <v>500</v>
      </c>
      <c r="C6365" s="25" t="n">
        <f aca="false">SUMPRODUCT(($C$6360:$C$6362&lt;C6361)*$C$6356:$C$6358)</f>
        <v>1349.6193225</v>
      </c>
    </row>
    <row r="6366" customFormat="false" ht="15" hidden="false" customHeight="false" outlineLevel="0" collapsed="false">
      <c r="A6366" s="3" t="s">
        <v>501</v>
      </c>
      <c r="C6366" s="25" t="n">
        <f aca="false">SUMPRODUCT(($C$6360:$C$6362&lt;C6362)*$C$6356:$C$6358)</f>
        <v>1349.6193225</v>
      </c>
    </row>
    <row r="6367" customFormat="false" ht="15" hidden="false" customHeight="false" outlineLevel="0" collapsed="false">
      <c r="A6367" s="23" t="s">
        <v>509</v>
      </c>
      <c r="B6367" s="24"/>
      <c r="C6367" s="24"/>
      <c r="D6367" s="24"/>
      <c r="E6367" s="24"/>
      <c r="F6367" s="24"/>
      <c r="G6367" s="24"/>
      <c r="H6367" s="24"/>
      <c r="I6367" s="24"/>
      <c r="J6367" s="24"/>
      <c r="K6367" s="24"/>
    </row>
    <row r="6368" customFormat="false" ht="15" hidden="false" customHeight="false" outlineLevel="0" collapsed="false">
      <c r="A6368" s="3" t="s">
        <v>499</v>
      </c>
      <c r="C6368" s="25" t="n">
        <f aca="false">SUMPRODUCT(($C$6360:$C$6362=C6360)*$C$6356:$C$6358)</f>
        <v>1349.6193225</v>
      </c>
    </row>
    <row r="6369" customFormat="false" ht="15" hidden="false" customHeight="false" outlineLevel="0" collapsed="false">
      <c r="A6369" s="3" t="s">
        <v>500</v>
      </c>
      <c r="C6369" s="25" t="n">
        <f aca="false">SUMPRODUCT(($C$6360:$C$6362=C6361)*$C$6356:$C$6358)</f>
        <v>0</v>
      </c>
    </row>
    <row r="6370" customFormat="false" ht="15" hidden="false" customHeight="false" outlineLevel="0" collapsed="false">
      <c r="A6370" s="3" t="s">
        <v>501</v>
      </c>
      <c r="C6370" s="25" t="n">
        <f aca="false">SUMPRODUCT(($C$6360:$C$6362=C6362)*$C$6356:$C$6358)</f>
        <v>0</v>
      </c>
    </row>
    <row r="6371" customFormat="false" ht="15" hidden="false" customHeight="false" outlineLevel="0" collapsed="false">
      <c r="A6371" s="23" t="s">
        <v>510</v>
      </c>
      <c r="B6371" s="24"/>
      <c r="C6371" s="24"/>
      <c r="D6371" s="24"/>
      <c r="E6371" s="24"/>
      <c r="F6371" s="24"/>
      <c r="G6371" s="24"/>
      <c r="H6371" s="24"/>
      <c r="I6371" s="24"/>
      <c r="J6371" s="24"/>
      <c r="K6371" s="24"/>
    </row>
    <row r="6372" customFormat="false" ht="15" hidden="false" customHeight="false" outlineLevel="0" collapsed="false">
      <c r="A6372" s="3" t="s">
        <v>499</v>
      </c>
      <c r="C6372" s="25" t="n">
        <f aca="false">IF(C6368=0,0,C6356/C6368*MAX(0,MIN(C6368,$C$6334-SUM($C$6348:$C$6350)-C6364)))</f>
        <v>1339.63872820504</v>
      </c>
    </row>
    <row r="6373" customFormat="false" ht="15" hidden="false" customHeight="false" outlineLevel="0" collapsed="false">
      <c r="A6373" s="3" t="s">
        <v>500</v>
      </c>
      <c r="C6373" s="25" t="n">
        <f aca="false">IF(C6369=0,0,C6357/C6369*MAX(0,MIN(C6369,$C$6334-SUM($C$6348:$C$6350)-C6365)))</f>
        <v>0</v>
      </c>
    </row>
    <row r="6374" customFormat="false" ht="15" hidden="false" customHeight="false" outlineLevel="0" collapsed="false">
      <c r="A6374" s="3" t="s">
        <v>501</v>
      </c>
      <c r="C6374" s="25" t="n">
        <f aca="false">IF(C6370=0,0,C6358/C6370*MAX(0,MIN(C6370,$C$6334-SUM($C$6348:$C$6350)-C6366)))</f>
        <v>0</v>
      </c>
    </row>
    <row r="6375" customFormat="false" ht="15" hidden="false" customHeight="false" outlineLevel="0" collapsed="false">
      <c r="A6375" s="23" t="s">
        <v>511</v>
      </c>
      <c r="B6375" s="24"/>
      <c r="C6375" s="24"/>
      <c r="D6375" s="24"/>
      <c r="E6375" s="24"/>
      <c r="F6375" s="24"/>
      <c r="G6375" s="24"/>
      <c r="H6375" s="24"/>
      <c r="I6375" s="24"/>
      <c r="J6375" s="24"/>
      <c r="K6375" s="24"/>
    </row>
    <row r="6376" customFormat="false" ht="15" hidden="false" customHeight="false" outlineLevel="0" collapsed="false">
      <c r="A6376" s="2" t="s">
        <v>499</v>
      </c>
      <c r="C6376" s="16" t="n">
        <f aca="false">C6348+C6372</f>
        <v>1339.63872820504</v>
      </c>
    </row>
    <row r="6377" customFormat="false" ht="15" hidden="false" customHeight="false" outlineLevel="0" collapsed="false">
      <c r="A6377" s="2" t="s">
        <v>500</v>
      </c>
      <c r="C6377" s="16" t="n">
        <f aca="false">C6349+C6373</f>
        <v>0</v>
      </c>
    </row>
    <row r="6378" customFormat="false" ht="15" hidden="false" customHeight="false" outlineLevel="0" collapsed="false">
      <c r="A6378" s="2" t="s">
        <v>501</v>
      </c>
      <c r="C6378" s="16" t="n">
        <f aca="false">C6350+C6374</f>
        <v>0</v>
      </c>
    </row>
    <row r="6379" customFormat="false" ht="15" hidden="false" customHeight="false" outlineLevel="0" collapsed="false">
      <c r="A6379" s="23" t="s">
        <v>512</v>
      </c>
      <c r="B6379" s="24"/>
      <c r="C6379" s="24"/>
      <c r="D6379" s="24"/>
      <c r="E6379" s="24"/>
      <c r="F6379" s="24"/>
      <c r="G6379" s="24"/>
      <c r="H6379" s="24"/>
      <c r="I6379" s="24"/>
      <c r="J6379" s="24"/>
      <c r="K6379" s="24"/>
    </row>
    <row r="6380" customFormat="false" ht="15" hidden="false" customHeight="false" outlineLevel="0" collapsed="false">
      <c r="A6380" s="3" t="s">
        <v>499</v>
      </c>
      <c r="C6380" s="21" t="n">
        <f aca="false">IF(C6336=0,1,C6376/C6336)</f>
        <v>0.992604881888865</v>
      </c>
    </row>
    <row r="6381" customFormat="false" ht="15" hidden="false" customHeight="false" outlineLevel="0" collapsed="false">
      <c r="A6381" s="3" t="s">
        <v>500</v>
      </c>
      <c r="C6381" s="21" t="n">
        <f aca="false">IF(C6337=0,1,C6377/C6337)</f>
        <v>1</v>
      </c>
    </row>
    <row r="6382" customFormat="false" ht="15" hidden="false" customHeight="false" outlineLevel="0" collapsed="false">
      <c r="A6382" s="3" t="s">
        <v>501</v>
      </c>
      <c r="C6382" s="21" t="n">
        <f aca="false">IF(C6338=0,1,C6378/C6338)</f>
        <v>1</v>
      </c>
    </row>
    <row r="6383" customFormat="false" ht="15" hidden="false" customHeight="false" outlineLevel="0" collapsed="false">
      <c r="A6383" s="23" t="s">
        <v>513</v>
      </c>
      <c r="B6383" s="24"/>
      <c r="C6383" s="24"/>
      <c r="D6383" s="24"/>
      <c r="E6383" s="24"/>
      <c r="F6383" s="24"/>
      <c r="G6383" s="24"/>
      <c r="H6383" s="24"/>
      <c r="I6383" s="24"/>
      <c r="J6383" s="24"/>
      <c r="K6383" s="24"/>
    </row>
    <row r="6384" customFormat="false" ht="15" hidden="false" customHeight="false" outlineLevel="0" collapsed="false">
      <c r="A6384" s="3" t="s">
        <v>499</v>
      </c>
      <c r="C6384" s="25" t="n">
        <f aca="false">C6336-C6376</f>
        <v>9.98059429495697</v>
      </c>
    </row>
    <row r="6385" customFormat="false" ht="15" hidden="false" customHeight="false" outlineLevel="0" collapsed="false">
      <c r="A6385" s="3" t="s">
        <v>500</v>
      </c>
      <c r="C6385" s="25" t="n">
        <f aca="false">C6337-C6377</f>
        <v>0</v>
      </c>
    </row>
    <row r="6386" customFormat="false" ht="15" hidden="false" customHeight="false" outlineLevel="0" collapsed="false">
      <c r="A6386" s="3" t="s">
        <v>501</v>
      </c>
      <c r="C6386" s="25" t="n">
        <f aca="false">C6338-C6378</f>
        <v>0</v>
      </c>
    </row>
    <row r="6387" customFormat="false" ht="15" hidden="false" customHeight="false" outlineLevel="0" collapsed="false">
      <c r="A6387" s="23" t="s">
        <v>514</v>
      </c>
      <c r="B6387" s="24"/>
      <c r="C6387" s="24"/>
      <c r="D6387" s="24"/>
      <c r="E6387" s="24"/>
      <c r="F6387" s="24"/>
      <c r="G6387" s="24"/>
      <c r="H6387" s="24"/>
      <c r="I6387" s="24"/>
      <c r="J6387" s="24"/>
      <c r="K6387" s="24"/>
    </row>
    <row r="6388" customFormat="false" ht="15" hidden="false" customHeight="false" outlineLevel="0" collapsed="false">
      <c r="A6388" s="3" t="s">
        <v>499</v>
      </c>
      <c r="C6388" s="21" t="n">
        <f aca="false">IF(C6336=0,0,C6384/C6336)</f>
        <v>0.00739511811113461</v>
      </c>
    </row>
    <row r="6389" customFormat="false" ht="15" hidden="false" customHeight="false" outlineLevel="0" collapsed="false">
      <c r="A6389" s="3" t="s">
        <v>500</v>
      </c>
      <c r="C6389" s="21" t="n">
        <f aca="false">IF(C6337=0,0,C6385/C6337)</f>
        <v>0</v>
      </c>
    </row>
    <row r="6390" customFormat="false" ht="15" hidden="false" customHeight="false" outlineLevel="0" collapsed="false">
      <c r="A6390" s="3" t="s">
        <v>501</v>
      </c>
      <c r="C6390" s="21" t="n">
        <f aca="false">IF(C6338=0,0,C6386/C6338)</f>
        <v>0</v>
      </c>
    </row>
    <row r="6391" customFormat="false" ht="15" hidden="false" customHeight="false" outlineLevel="0" collapsed="false">
      <c r="A6391" s="2" t="s">
        <v>515</v>
      </c>
      <c r="C6391" s="16" t="n">
        <f aca="false">MAX(0,$C$6334-SUM($C$6348:$C$6350)-SUM($C$6356:$C$6358))</f>
        <v>0</v>
      </c>
    </row>
    <row r="6392" customFormat="false" ht="15" hidden="false" customHeight="false" outlineLevel="0" collapsed="false">
      <c r="A6392" s="3" t="s">
        <v>516</v>
      </c>
      <c r="C6392" s="25" t="n">
        <f aca="false">SUM($C$6376:$C$6378)+C6391+C6333-C6332</f>
        <v>0</v>
      </c>
    </row>
    <row r="6394" customFormat="false" ht="15" hidden="false" customHeight="false" outlineLevel="0" collapsed="false">
      <c r="A6394" s="23" t="s">
        <v>519</v>
      </c>
      <c r="B6394" s="24"/>
      <c r="C6394" s="24"/>
      <c r="D6394" s="24"/>
      <c r="E6394" s="24"/>
      <c r="F6394" s="24"/>
      <c r="G6394" s="24"/>
      <c r="H6394" s="24"/>
      <c r="I6394" s="24"/>
      <c r="J6394" s="24"/>
      <c r="K6394" s="24"/>
    </row>
    <row r="6395" customFormat="false" ht="15" hidden="false" customHeight="false" outlineLevel="0" collapsed="false">
      <c r="A6395" s="3" t="s">
        <v>520</v>
      </c>
      <c r="C6395" s="27" t="n">
        <f aca="false">Assumptions!$C$33</f>
        <v>1</v>
      </c>
    </row>
    <row r="6396" customFormat="false" ht="15" hidden="false" customHeight="false" outlineLevel="0" collapsed="false">
      <c r="A6396" s="3" t="s">
        <v>521</v>
      </c>
      <c r="C6396" s="29" t="n">
        <f aca="false">Assumptions!$C$34</f>
        <v>100</v>
      </c>
    </row>
    <row r="6397" customFormat="false" ht="15" hidden="false" customHeight="false" outlineLevel="0" collapsed="false">
      <c r="A6397" s="3" t="s">
        <v>522</v>
      </c>
      <c r="C6397" s="40" t="n">
        <f aca="false">Assumptions!$C$35</f>
        <v>95</v>
      </c>
    </row>
    <row r="6398" customFormat="false" ht="15" hidden="false" customHeight="false" outlineLevel="0" collapsed="false">
      <c r="A6398" s="3" t="s">
        <v>523</v>
      </c>
      <c r="C6398" s="25" t="n">
        <f aca="false">C6396*C6397/100*(1+Assumptions!$C$36)</f>
        <v>95</v>
      </c>
    </row>
    <row r="6399" customFormat="false" ht="15" hidden="false" customHeight="false" outlineLevel="0" collapsed="false">
      <c r="A6399" s="3" t="s">
        <v>524</v>
      </c>
      <c r="C6399" s="27" t="n">
        <f aca="false">Assumptions!$C$37</f>
        <v>3</v>
      </c>
    </row>
    <row r="6400" customFormat="false" ht="15" hidden="false" customHeight="false" outlineLevel="0" collapsed="false">
      <c r="A6400" s="3" t="s">
        <v>525</v>
      </c>
      <c r="C6400" s="20" t="n">
        <f aca="false">IF(C6325=1,SUMPRODUCT($G$6277:$K$6277,$G$6170:$K$6170),0)</f>
        <v>0</v>
      </c>
    </row>
    <row r="6401" customFormat="false" ht="15" hidden="false" customHeight="false" outlineLevel="0" collapsed="false">
      <c r="A6401" s="3" t="s">
        <v>526</v>
      </c>
      <c r="C6401" s="21" t="n">
        <f aca="false">IFERROR(C6396/CHOOSE(C6395,SUMPRODUCT($G$6324:$K$6324,$G$6216:$K$6216),SUMPRODUCT($G$6324:$K$6324,$G$6229:$K$6229),SUMPRODUCT($G$6324:$K$6324,$G$6242:$K$6242)),0)</f>
        <v>0.0760399605200525</v>
      </c>
    </row>
    <row r="6402" customFormat="false" ht="15" hidden="false" customHeight="false" outlineLevel="0" collapsed="false">
      <c r="A6402" s="3" t="s">
        <v>527</v>
      </c>
      <c r="C6402" s="25" t="n">
        <f aca="false">CHOOSE(C6395,C6376,C6377,C6378)*C6401</f>
        <v>101.866076003845</v>
      </c>
    </row>
    <row r="6403" customFormat="false" ht="15" hidden="false" customHeight="false" outlineLevel="0" collapsed="false">
      <c r="A6403" s="3" t="s">
        <v>528</v>
      </c>
      <c r="C6403" s="21" t="n">
        <f aca="false">CHOOSE(C6395,C6380,C6381,C6382)</f>
        <v>0.992604881888865</v>
      </c>
    </row>
    <row r="6404" customFormat="false" ht="15" hidden="false" customHeight="false" outlineLevel="0" collapsed="false">
      <c r="A6404" s="3" t="s">
        <v>529</v>
      </c>
      <c r="C6404" s="20" t="n">
        <f aca="false">IF(C6325=1,C6400,C6399)</f>
        <v>3</v>
      </c>
    </row>
    <row r="6405" customFormat="false" ht="15" hidden="false" customHeight="false" outlineLevel="0" collapsed="false">
      <c r="A6405" s="3" t="s">
        <v>530</v>
      </c>
      <c r="C6405" s="34" t="n">
        <f aca="false">CHOOSE($C$6162,Assumptions!$C$83,Assumptions!$C$102,Assumptions!$C$121)</f>
        <v>100</v>
      </c>
    </row>
    <row r="6406" customFormat="false" ht="15" hidden="false" customHeight="false" outlineLevel="0" collapsed="false">
      <c r="A6406" s="3" t="s">
        <v>531</v>
      </c>
      <c r="C6406" s="25" t="n">
        <f aca="false">INDEX($G$6179:$K$6179,C6399)*CHOOSE($C$6162,Assumptions!$C$82,Assumptions!$C$101,Assumptions!$C$120)+MAX(0,INDEX($G$6274:$K$6274,C6399))</f>
        <v>1604.66855176828</v>
      </c>
    </row>
    <row r="6407" customFormat="false" ht="15" hidden="false" customHeight="false" outlineLevel="0" collapsed="false">
      <c r="A6407" s="23" t="s">
        <v>532</v>
      </c>
      <c r="B6407" s="24"/>
      <c r="C6407" s="24"/>
      <c r="D6407" s="24"/>
      <c r="E6407" s="24"/>
      <c r="F6407" s="24"/>
      <c r="G6407" s="24"/>
      <c r="H6407" s="24"/>
      <c r="I6407" s="24"/>
      <c r="J6407" s="24"/>
      <c r="K6407" s="24"/>
    </row>
    <row r="6408" customFormat="false" ht="15" hidden="false" customHeight="false" outlineLevel="0" collapsed="false">
      <c r="A6408" s="3" t="s">
        <v>499</v>
      </c>
      <c r="C6408" s="25" t="n">
        <f aca="false">INDEX($G$6216:$K$6216,C6399)</f>
        <v>1315.098</v>
      </c>
    </row>
    <row r="6409" customFormat="false" ht="15" hidden="false" customHeight="false" outlineLevel="0" collapsed="false">
      <c r="A6409" s="3" t="s">
        <v>500</v>
      </c>
      <c r="C6409" s="25" t="n">
        <f aca="false">INDEX($G$6229:$K$6229,C6399)</f>
        <v>0</v>
      </c>
    </row>
    <row r="6410" customFormat="false" ht="15" hidden="false" customHeight="false" outlineLevel="0" collapsed="false">
      <c r="A6410" s="3" t="s">
        <v>501</v>
      </c>
      <c r="C6410" s="25" t="n">
        <f aca="false">INDEX($G$6242:$K$6242,C6399)</f>
        <v>0</v>
      </c>
    </row>
    <row r="6411" customFormat="false" ht="15" hidden="false" customHeight="false" outlineLevel="0" collapsed="false">
      <c r="A6411" s="23" t="s">
        <v>502</v>
      </c>
      <c r="B6411" s="24"/>
      <c r="C6411" s="24"/>
      <c r="D6411" s="24"/>
      <c r="E6411" s="24"/>
      <c r="F6411" s="24"/>
      <c r="G6411" s="24"/>
      <c r="H6411" s="24"/>
      <c r="I6411" s="24"/>
      <c r="J6411" s="24"/>
      <c r="K6411" s="24"/>
    </row>
    <row r="6412" customFormat="false" ht="15" hidden="false" customHeight="false" outlineLevel="0" collapsed="false">
      <c r="A6412" s="3" t="s">
        <v>499</v>
      </c>
      <c r="C6412" s="27" t="n">
        <f aca="false">Assumptions!$M$56</f>
        <v>1</v>
      </c>
    </row>
    <row r="6413" customFormat="false" ht="15" hidden="false" customHeight="false" outlineLevel="0" collapsed="false">
      <c r="A6413" s="3" t="s">
        <v>500</v>
      </c>
      <c r="C6413" s="27" t="n">
        <f aca="false">Assumptions!$M$57</f>
        <v>2</v>
      </c>
    </row>
    <row r="6414" customFormat="false" ht="15" hidden="false" customHeight="false" outlineLevel="0" collapsed="false">
      <c r="A6414" s="3" t="s">
        <v>501</v>
      </c>
      <c r="C6414" s="27" t="n">
        <f aca="false">Assumptions!$M$58</f>
        <v>2</v>
      </c>
    </row>
    <row r="6415" customFormat="false" ht="15" hidden="false" customHeight="false" outlineLevel="0" collapsed="false">
      <c r="A6415" s="23" t="s">
        <v>503</v>
      </c>
      <c r="B6415" s="24"/>
      <c r="C6415" s="24"/>
      <c r="D6415" s="24"/>
      <c r="E6415" s="24"/>
      <c r="F6415" s="24"/>
      <c r="G6415" s="24"/>
      <c r="H6415" s="24"/>
      <c r="I6415" s="24"/>
      <c r="J6415" s="24"/>
      <c r="K6415" s="24"/>
    </row>
    <row r="6416" customFormat="false" ht="15" hidden="false" customHeight="false" outlineLevel="0" collapsed="false">
      <c r="A6416" s="3" t="s">
        <v>499</v>
      </c>
      <c r="C6416" s="35" t="n">
        <f aca="false">Assumptions!$Q$56</f>
        <v>0</v>
      </c>
    </row>
    <row r="6417" customFormat="false" ht="15" hidden="false" customHeight="false" outlineLevel="0" collapsed="false">
      <c r="A6417" s="3" t="s">
        <v>500</v>
      </c>
      <c r="C6417" s="35" t="n">
        <f aca="false">Assumptions!$Q$57</f>
        <v>0</v>
      </c>
    </row>
    <row r="6418" customFormat="false" ht="15" hidden="false" customHeight="false" outlineLevel="0" collapsed="false">
      <c r="A6418" s="3" t="s">
        <v>501</v>
      </c>
      <c r="C6418" s="35" t="n">
        <f aca="false">Assumptions!$Q$58</f>
        <v>0</v>
      </c>
    </row>
    <row r="6419" customFormat="false" ht="15" hidden="false" customHeight="false" outlineLevel="0" collapsed="false">
      <c r="A6419" s="23" t="s">
        <v>504</v>
      </c>
      <c r="B6419" s="24"/>
      <c r="C6419" s="24"/>
      <c r="D6419" s="24"/>
      <c r="E6419" s="24"/>
      <c r="F6419" s="24"/>
      <c r="G6419" s="24"/>
      <c r="H6419" s="24"/>
      <c r="I6419" s="24"/>
      <c r="J6419" s="24"/>
      <c r="K6419" s="24"/>
    </row>
    <row r="6420" customFormat="false" ht="15" hidden="false" customHeight="false" outlineLevel="0" collapsed="false">
      <c r="A6420" s="3" t="s">
        <v>499</v>
      </c>
      <c r="C6420" s="25" t="n">
        <f aca="false">IF(C6416&gt;0,MIN(C6408,C6416*$C$6406),0)</f>
        <v>0</v>
      </c>
    </row>
    <row r="6421" customFormat="false" ht="15" hidden="false" customHeight="false" outlineLevel="0" collapsed="false">
      <c r="A6421" s="3" t="s">
        <v>500</v>
      </c>
      <c r="C6421" s="25" t="n">
        <f aca="false">IF(C6417&gt;0,MIN(C6409,C6417*$C$6406),0)</f>
        <v>0</v>
      </c>
    </row>
    <row r="6422" customFormat="false" ht="15" hidden="false" customHeight="false" outlineLevel="0" collapsed="false">
      <c r="A6422" s="3" t="s">
        <v>501</v>
      </c>
      <c r="C6422" s="25" t="n">
        <f aca="false">IF(C6418&gt;0,MIN(C6410,C6418*$C$6406),0)</f>
        <v>0</v>
      </c>
    </row>
    <row r="6423" customFormat="false" ht="15" hidden="false" customHeight="false" outlineLevel="0" collapsed="false">
      <c r="A6423" s="23" t="s">
        <v>505</v>
      </c>
      <c r="B6423" s="24"/>
      <c r="C6423" s="24"/>
      <c r="D6423" s="24"/>
      <c r="E6423" s="24"/>
      <c r="F6423" s="24"/>
      <c r="G6423" s="24"/>
      <c r="H6423" s="24"/>
      <c r="I6423" s="24"/>
      <c r="J6423" s="24"/>
      <c r="K6423" s="24"/>
    </row>
    <row r="6424" customFormat="false" ht="15" hidden="false" customHeight="false" outlineLevel="0" collapsed="false">
      <c r="A6424" s="3" t="s">
        <v>499</v>
      </c>
      <c r="C6424" s="25" t="n">
        <f aca="false">IF(C6416&gt;0,C6408-C6420,0)</f>
        <v>0</v>
      </c>
    </row>
    <row r="6425" customFormat="false" ht="15" hidden="false" customHeight="false" outlineLevel="0" collapsed="false">
      <c r="A6425" s="3" t="s">
        <v>500</v>
      </c>
      <c r="C6425" s="25" t="n">
        <f aca="false">IF(C6417&gt;0,C6409-C6421,0)</f>
        <v>0</v>
      </c>
    </row>
    <row r="6426" customFormat="false" ht="15" hidden="false" customHeight="false" outlineLevel="0" collapsed="false">
      <c r="A6426" s="3" t="s">
        <v>501</v>
      </c>
      <c r="C6426" s="25" t="n">
        <f aca="false">IF(C6418&gt;0,C6410-C6422,0)</f>
        <v>0</v>
      </c>
    </row>
    <row r="6427" customFormat="false" ht="15" hidden="false" customHeight="false" outlineLevel="0" collapsed="false">
      <c r="A6427" s="23" t="s">
        <v>506</v>
      </c>
      <c r="B6427" s="24"/>
      <c r="C6427" s="24"/>
      <c r="D6427" s="24"/>
      <c r="E6427" s="24"/>
      <c r="F6427" s="24"/>
      <c r="G6427" s="24"/>
      <c r="H6427" s="24"/>
      <c r="I6427" s="24"/>
      <c r="J6427" s="24"/>
      <c r="K6427" s="24"/>
    </row>
    <row r="6428" customFormat="false" ht="15" hidden="false" customHeight="false" outlineLevel="0" collapsed="false">
      <c r="A6428" s="3" t="s">
        <v>499</v>
      </c>
      <c r="C6428" s="25" t="n">
        <f aca="false">IF(C6416&gt;0,C6424,C6408)</f>
        <v>1315.098</v>
      </c>
    </row>
    <row r="6429" customFormat="false" ht="15" hidden="false" customHeight="false" outlineLevel="0" collapsed="false">
      <c r="A6429" s="3" t="s">
        <v>500</v>
      </c>
      <c r="C6429" s="25" t="n">
        <f aca="false">IF(C6417&gt;0,C6425,C6409)</f>
        <v>0</v>
      </c>
    </row>
    <row r="6430" customFormat="false" ht="15" hidden="false" customHeight="false" outlineLevel="0" collapsed="false">
      <c r="A6430" s="3" t="s">
        <v>501</v>
      </c>
      <c r="C6430" s="25" t="n">
        <f aca="false">IF(C6418&gt;0,C6426,C6410)</f>
        <v>0</v>
      </c>
    </row>
    <row r="6431" customFormat="false" ht="15" hidden="false" customHeight="false" outlineLevel="0" collapsed="false">
      <c r="A6431" s="23" t="s">
        <v>507</v>
      </c>
      <c r="B6431" s="24"/>
      <c r="C6431" s="24"/>
      <c r="D6431" s="24"/>
      <c r="E6431" s="24"/>
      <c r="F6431" s="24"/>
      <c r="G6431" s="24"/>
      <c r="H6431" s="24"/>
      <c r="I6431" s="24"/>
      <c r="J6431" s="24"/>
      <c r="K6431" s="24"/>
    </row>
    <row r="6432" customFormat="false" ht="15" hidden="false" customHeight="false" outlineLevel="0" collapsed="false">
      <c r="A6432" s="3" t="s">
        <v>499</v>
      </c>
      <c r="C6432" s="20" t="n">
        <f aca="false">IF(C6416&gt;0,Assumptions!$C$17,C6412)</f>
        <v>1</v>
      </c>
    </row>
    <row r="6433" customFormat="false" ht="15" hidden="false" customHeight="false" outlineLevel="0" collapsed="false">
      <c r="A6433" s="3" t="s">
        <v>500</v>
      </c>
      <c r="C6433" s="20" t="n">
        <f aca="false">IF(C6417&gt;0,Assumptions!$C$17,C6413)</f>
        <v>2</v>
      </c>
    </row>
    <row r="6434" customFormat="false" ht="15" hidden="false" customHeight="false" outlineLevel="0" collapsed="false">
      <c r="A6434" s="3" t="s">
        <v>501</v>
      </c>
      <c r="C6434" s="20" t="n">
        <f aca="false">IF(C6418&gt;0,Assumptions!$C$17,C6414)</f>
        <v>2</v>
      </c>
    </row>
    <row r="6435" customFormat="false" ht="15" hidden="false" customHeight="false" outlineLevel="0" collapsed="false">
      <c r="A6435" s="23" t="s">
        <v>508</v>
      </c>
      <c r="B6435" s="24"/>
      <c r="C6435" s="24"/>
      <c r="D6435" s="24"/>
      <c r="E6435" s="24"/>
      <c r="F6435" s="24"/>
      <c r="G6435" s="24"/>
      <c r="H6435" s="24"/>
      <c r="I6435" s="24"/>
      <c r="J6435" s="24"/>
      <c r="K6435" s="24"/>
    </row>
    <row r="6436" customFormat="false" ht="15" hidden="false" customHeight="false" outlineLevel="0" collapsed="false">
      <c r="A6436" s="3" t="s">
        <v>499</v>
      </c>
      <c r="C6436" s="25" t="n">
        <f aca="false">SUMPRODUCT(($C$6432:$C$6434&lt;C6432)*$C$6428:$C$6430)</f>
        <v>0</v>
      </c>
    </row>
    <row r="6437" customFormat="false" ht="15" hidden="false" customHeight="false" outlineLevel="0" collapsed="false">
      <c r="A6437" s="3" t="s">
        <v>500</v>
      </c>
      <c r="C6437" s="25" t="n">
        <f aca="false">SUMPRODUCT(($C$6432:$C$6434&lt;C6433)*$C$6428:$C$6430)</f>
        <v>1315.098</v>
      </c>
    </row>
    <row r="6438" customFormat="false" ht="15" hidden="false" customHeight="false" outlineLevel="0" collapsed="false">
      <c r="A6438" s="3" t="s">
        <v>501</v>
      </c>
      <c r="C6438" s="25" t="n">
        <f aca="false">SUMPRODUCT(($C$6432:$C$6434&lt;C6434)*$C$6428:$C$6430)</f>
        <v>1315.098</v>
      </c>
    </row>
    <row r="6439" customFormat="false" ht="15" hidden="false" customHeight="false" outlineLevel="0" collapsed="false">
      <c r="A6439" s="23" t="s">
        <v>509</v>
      </c>
      <c r="B6439" s="24"/>
      <c r="C6439" s="24"/>
      <c r="D6439" s="24"/>
      <c r="E6439" s="24"/>
      <c r="F6439" s="24"/>
      <c r="G6439" s="24"/>
      <c r="H6439" s="24"/>
      <c r="I6439" s="24"/>
      <c r="J6439" s="24"/>
      <c r="K6439" s="24"/>
    </row>
    <row r="6440" customFormat="false" ht="15" hidden="false" customHeight="false" outlineLevel="0" collapsed="false">
      <c r="A6440" s="3" t="s">
        <v>499</v>
      </c>
      <c r="C6440" s="25" t="n">
        <f aca="false">SUMPRODUCT(($C$6432:$C$6434=C6432)*$C$6428:$C$6430)</f>
        <v>1315.098</v>
      </c>
    </row>
    <row r="6441" customFormat="false" ht="15" hidden="false" customHeight="false" outlineLevel="0" collapsed="false">
      <c r="A6441" s="3" t="s">
        <v>500</v>
      </c>
      <c r="C6441" s="25" t="n">
        <f aca="false">SUMPRODUCT(($C$6432:$C$6434=C6433)*$C$6428:$C$6430)</f>
        <v>0</v>
      </c>
    </row>
    <row r="6442" customFormat="false" ht="15" hidden="false" customHeight="false" outlineLevel="0" collapsed="false">
      <c r="A6442" s="3" t="s">
        <v>501</v>
      </c>
      <c r="C6442" s="25" t="n">
        <f aca="false">SUMPRODUCT(($C$6432:$C$6434=C6434)*$C$6428:$C$6430)</f>
        <v>0</v>
      </c>
    </row>
    <row r="6443" customFormat="false" ht="15" hidden="false" customHeight="false" outlineLevel="0" collapsed="false">
      <c r="A6443" s="23" t="s">
        <v>510</v>
      </c>
      <c r="B6443" s="24"/>
      <c r="C6443" s="24"/>
      <c r="D6443" s="24"/>
      <c r="E6443" s="24"/>
      <c r="F6443" s="24"/>
      <c r="G6443" s="24"/>
      <c r="H6443" s="24"/>
      <c r="I6443" s="24"/>
      <c r="J6443" s="24"/>
      <c r="K6443" s="24"/>
    </row>
    <row r="6444" customFormat="false" ht="15" hidden="false" customHeight="false" outlineLevel="0" collapsed="false">
      <c r="A6444" s="3" t="s">
        <v>499</v>
      </c>
      <c r="C6444" s="25" t="n">
        <f aca="false">IF(C6440=0,0,C6428/C6440*MAX(0,MIN(C6440,$C$6406-SUM($C$6420:$C$6422)-C6436)))</f>
        <v>1315.098</v>
      </c>
    </row>
    <row r="6445" customFormat="false" ht="15" hidden="false" customHeight="false" outlineLevel="0" collapsed="false">
      <c r="A6445" s="3" t="s">
        <v>500</v>
      </c>
      <c r="C6445" s="25" t="n">
        <f aca="false">IF(C6441=0,0,C6429/C6441*MAX(0,MIN(C6441,$C$6406-SUM($C$6420:$C$6422)-C6437)))</f>
        <v>0</v>
      </c>
    </row>
    <row r="6446" customFormat="false" ht="15" hidden="false" customHeight="false" outlineLevel="0" collapsed="false">
      <c r="A6446" s="3" t="s">
        <v>501</v>
      </c>
      <c r="C6446" s="25" t="n">
        <f aca="false">IF(C6442=0,0,C6430/C6442*MAX(0,MIN(C6442,$C$6406-SUM($C$6420:$C$6422)-C6438)))</f>
        <v>0</v>
      </c>
    </row>
    <row r="6447" customFormat="false" ht="15" hidden="false" customHeight="false" outlineLevel="0" collapsed="false">
      <c r="A6447" s="23" t="s">
        <v>511</v>
      </c>
      <c r="B6447" s="24"/>
      <c r="C6447" s="24"/>
      <c r="D6447" s="24"/>
      <c r="E6447" s="24"/>
      <c r="F6447" s="24"/>
      <c r="G6447" s="24"/>
      <c r="H6447" s="24"/>
      <c r="I6447" s="24"/>
      <c r="J6447" s="24"/>
      <c r="K6447" s="24"/>
    </row>
    <row r="6448" customFormat="false" ht="15" hidden="false" customHeight="false" outlineLevel="0" collapsed="false">
      <c r="A6448" s="2" t="s">
        <v>499</v>
      </c>
      <c r="C6448" s="16" t="n">
        <f aca="false">C6420+C6444</f>
        <v>1315.098</v>
      </c>
    </row>
    <row r="6449" customFormat="false" ht="15" hidden="false" customHeight="false" outlineLevel="0" collapsed="false">
      <c r="A6449" s="2" t="s">
        <v>500</v>
      </c>
      <c r="C6449" s="16" t="n">
        <f aca="false">C6421+C6445</f>
        <v>0</v>
      </c>
    </row>
    <row r="6450" customFormat="false" ht="15" hidden="false" customHeight="false" outlineLevel="0" collapsed="false">
      <c r="A6450" s="2" t="s">
        <v>501</v>
      </c>
      <c r="C6450" s="16" t="n">
        <f aca="false">C6422+C6446</f>
        <v>0</v>
      </c>
    </row>
    <row r="6451" customFormat="false" ht="15" hidden="false" customHeight="false" outlineLevel="0" collapsed="false">
      <c r="A6451" s="23" t="s">
        <v>512</v>
      </c>
      <c r="B6451" s="24"/>
      <c r="C6451" s="24"/>
      <c r="D6451" s="24"/>
      <c r="E6451" s="24"/>
      <c r="F6451" s="24"/>
      <c r="G6451" s="24"/>
      <c r="H6451" s="24"/>
      <c r="I6451" s="24"/>
      <c r="J6451" s="24"/>
      <c r="K6451" s="24"/>
    </row>
    <row r="6452" customFormat="false" ht="15" hidden="false" customHeight="false" outlineLevel="0" collapsed="false">
      <c r="A6452" s="3" t="s">
        <v>499</v>
      </c>
      <c r="C6452" s="21" t="n">
        <f aca="false">IF(C6408=0,1,C6448/C6408)</f>
        <v>1</v>
      </c>
    </row>
    <row r="6453" customFormat="false" ht="15" hidden="false" customHeight="false" outlineLevel="0" collapsed="false">
      <c r="A6453" s="3" t="s">
        <v>500</v>
      </c>
      <c r="C6453" s="21" t="n">
        <f aca="false">IF(C6409=0,1,C6449/C6409)</f>
        <v>1</v>
      </c>
    </row>
    <row r="6454" customFormat="false" ht="15" hidden="false" customHeight="false" outlineLevel="0" collapsed="false">
      <c r="A6454" s="3" t="s">
        <v>501</v>
      </c>
      <c r="C6454" s="21" t="n">
        <f aca="false">IF(C6410=0,1,C6450/C6410)</f>
        <v>1</v>
      </c>
    </row>
    <row r="6455" customFormat="false" ht="15" hidden="false" customHeight="false" outlineLevel="0" collapsed="false">
      <c r="A6455" s="23" t="s">
        <v>513</v>
      </c>
      <c r="B6455" s="24"/>
      <c r="C6455" s="24"/>
      <c r="D6455" s="24"/>
      <c r="E6455" s="24"/>
      <c r="F6455" s="24"/>
      <c r="G6455" s="24"/>
      <c r="H6455" s="24"/>
      <c r="I6455" s="24"/>
      <c r="J6455" s="24"/>
      <c r="K6455" s="24"/>
    </row>
    <row r="6456" customFormat="false" ht="15" hidden="false" customHeight="false" outlineLevel="0" collapsed="false">
      <c r="A6456" s="3" t="s">
        <v>499</v>
      </c>
      <c r="C6456" s="25" t="n">
        <f aca="false">C6408-C6448</f>
        <v>0</v>
      </c>
    </row>
    <row r="6457" customFormat="false" ht="15" hidden="false" customHeight="false" outlineLevel="0" collapsed="false">
      <c r="A6457" s="3" t="s">
        <v>500</v>
      </c>
      <c r="C6457" s="25" t="n">
        <f aca="false">C6409-C6449</f>
        <v>0</v>
      </c>
    </row>
    <row r="6458" customFormat="false" ht="15" hidden="false" customHeight="false" outlineLevel="0" collapsed="false">
      <c r="A6458" s="3" t="s">
        <v>501</v>
      </c>
      <c r="C6458" s="25" t="n">
        <f aca="false">C6410-C6450</f>
        <v>0</v>
      </c>
    </row>
    <row r="6459" customFormat="false" ht="15" hidden="false" customHeight="false" outlineLevel="0" collapsed="false">
      <c r="A6459" s="23" t="s">
        <v>514</v>
      </c>
      <c r="B6459" s="24"/>
      <c r="C6459" s="24"/>
      <c r="D6459" s="24"/>
      <c r="E6459" s="24"/>
      <c r="F6459" s="24"/>
      <c r="G6459" s="24"/>
      <c r="H6459" s="24"/>
      <c r="I6459" s="24"/>
      <c r="J6459" s="24"/>
      <c r="K6459" s="24"/>
    </row>
    <row r="6460" customFormat="false" ht="15" hidden="false" customHeight="false" outlineLevel="0" collapsed="false">
      <c r="A6460" s="3" t="s">
        <v>499</v>
      </c>
      <c r="C6460" s="21" t="n">
        <f aca="false">IF(C6408=0,0,C6456/C6408)</f>
        <v>0</v>
      </c>
    </row>
    <row r="6461" customFormat="false" ht="15" hidden="false" customHeight="false" outlineLevel="0" collapsed="false">
      <c r="A6461" s="3" t="s">
        <v>500</v>
      </c>
      <c r="C6461" s="21" t="n">
        <f aca="false">IF(C6409=0,0,C6457/C6409)</f>
        <v>0</v>
      </c>
    </row>
    <row r="6462" customFormat="false" ht="15" hidden="false" customHeight="false" outlineLevel="0" collapsed="false">
      <c r="A6462" s="3" t="s">
        <v>501</v>
      </c>
      <c r="C6462" s="21" t="n">
        <f aca="false">IF(C6410=0,0,C6458/C6410)</f>
        <v>0</v>
      </c>
    </row>
    <row r="6463" customFormat="false" ht="15" hidden="false" customHeight="false" outlineLevel="0" collapsed="false">
      <c r="A6463" s="2" t="s">
        <v>515</v>
      </c>
      <c r="C6463" s="16" t="n">
        <f aca="false">MAX(0,$C$6406-SUM($C$6420:$C$6422)-SUM($C$6428:$C$6430))</f>
        <v>289.570551768284</v>
      </c>
    </row>
    <row r="6464" customFormat="false" ht="15" hidden="false" customHeight="false" outlineLevel="0" collapsed="false">
      <c r="A6464" s="3" t="s">
        <v>533</v>
      </c>
      <c r="C6464" s="34" t="n">
        <f aca="false">MIN(C6405,100*CHOOSE(C6395,C6452,C6453,C6454))</f>
        <v>100</v>
      </c>
    </row>
    <row r="6465" customFormat="false" ht="15" hidden="false" customHeight="false" outlineLevel="0" collapsed="false">
      <c r="A6465" s="3" t="s">
        <v>534</v>
      </c>
      <c r="C6465" s="20" t="n">
        <f aca="false">IF(C6325=1,C6400+Assumptions!$C$39,C6399)</f>
        <v>3</v>
      </c>
    </row>
    <row r="6466" customFormat="false" ht="15" hidden="false" customHeight="false" outlineLevel="0" collapsed="false">
      <c r="A6466" s="23" t="s">
        <v>535</v>
      </c>
      <c r="B6466" s="24"/>
      <c r="C6466" s="24"/>
      <c r="D6466" s="24"/>
      <c r="E6466" s="24"/>
      <c r="F6466" s="24"/>
      <c r="G6466" s="24"/>
      <c r="H6466" s="24"/>
      <c r="I6466" s="24"/>
      <c r="J6466" s="24"/>
      <c r="K6466" s="24"/>
    </row>
    <row r="6467" customFormat="false" ht="15" hidden="false" customHeight="false" outlineLevel="0" collapsed="false">
      <c r="A6467" s="3" t="s">
        <v>536</v>
      </c>
      <c r="C6467" s="20" t="n">
        <f aca="false">COLUMN()-COLUMN($C$1)</f>
        <v>0</v>
      </c>
      <c r="D6467" s="20" t="n">
        <f aca="false">COLUMN()-COLUMN($C$1)</f>
        <v>1</v>
      </c>
      <c r="E6467" s="20" t="n">
        <f aca="false">COLUMN()-COLUMN($C$1)</f>
        <v>2</v>
      </c>
      <c r="F6467" s="20" t="n">
        <f aca="false">COLUMN()-COLUMN($C$1)</f>
        <v>3</v>
      </c>
      <c r="G6467" s="20" t="n">
        <f aca="false">COLUMN()-COLUMN($C$1)</f>
        <v>4</v>
      </c>
      <c r="H6467" s="20" t="n">
        <f aca="false">COLUMN()-COLUMN($C$1)</f>
        <v>5</v>
      </c>
      <c r="I6467" s="20" t="n">
        <f aca="false">COLUMN()-COLUMN($C$1)</f>
        <v>6</v>
      </c>
    </row>
    <row r="6468" customFormat="false" ht="15" hidden="false" customHeight="false" outlineLevel="0" collapsed="false">
      <c r="A6468" s="3" t="s">
        <v>537</v>
      </c>
      <c r="D6468" s="31" t="n">
        <f aca="false">CHOOSE($C$6395,G6208,G6221,G6234)</f>
        <v>0.105</v>
      </c>
      <c r="E6468" s="31" t="n">
        <f aca="false">CHOOSE($C$6395,H6208,H6221,H6234)</f>
        <v>0.105</v>
      </c>
      <c r="F6468" s="31" t="n">
        <f aca="false">CHOOSE($C$6395,I6208,I6221,I6234)</f>
        <v>0.105</v>
      </c>
      <c r="G6468" s="31" t="n">
        <f aca="false">CHOOSE($C$6395,J6208,J6221,J6234)</f>
        <v>0.105</v>
      </c>
      <c r="H6468" s="31" t="n">
        <f aca="false">CHOOSE($C$6395,K6208,K6221,K6234)</f>
        <v>0.105</v>
      </c>
    </row>
    <row r="6469" customFormat="false" ht="15" hidden="false" customHeight="false" outlineLevel="0" collapsed="false">
      <c r="A6469" s="3" t="s">
        <v>538</v>
      </c>
      <c r="D6469" s="25" t="n">
        <f aca="false">IF(D6467&lt;=$C$6404,$C$6396*D6468,0)</f>
        <v>10.5</v>
      </c>
      <c r="E6469" s="25" t="n">
        <f aca="false">IF(E6467&lt;=$C$6404,$C$6396*E6468,0)</f>
        <v>10.5</v>
      </c>
      <c r="F6469" s="25" t="n">
        <f aca="false">IF(F6467&lt;=$C$6404,$C$6396*F6468,0)</f>
        <v>10.5</v>
      </c>
      <c r="G6469" s="25" t="n">
        <f aca="false">IF(G6467&lt;=$C$6404,$C$6396*G6468,0)</f>
        <v>0</v>
      </c>
      <c r="H6469" s="25" t="n">
        <f aca="false">IF(H6467&lt;=$C$6404,$C$6396*H6468,0)</f>
        <v>0</v>
      </c>
    </row>
    <row r="6470" customFormat="false" ht="15" hidden="false" customHeight="false" outlineLevel="0" collapsed="false">
      <c r="A6470" s="3" t="s">
        <v>539</v>
      </c>
      <c r="D6470" s="25" t="n">
        <f aca="false">IF(AND($C$6325=0,D6467=$C$6399),$C$6396*$C$6464/100,0)+IF(AND($C$6325=1,D6467=$C$6465),$C$6402,0)</f>
        <v>0</v>
      </c>
      <c r="E6470" s="25" t="n">
        <f aca="false">IF(AND($C$6325=0,E6467=$C$6399),$C$6396*$C$6464/100,0)+IF(AND($C$6325=1,E6467=$C$6465),$C$6402,0)</f>
        <v>0</v>
      </c>
      <c r="F6470" s="25" t="n">
        <f aca="false">IF(AND($C$6325=0,F6467=$C$6399),$C$6396*$C$6464/100,0)+IF(AND($C$6325=1,F6467=$C$6465),$C$6402,0)</f>
        <v>100</v>
      </c>
      <c r="G6470" s="25" t="n">
        <f aca="false">IF(AND($C$6325=0,G6467=$C$6399),$C$6396*$C$6464/100,0)+IF(AND($C$6325=1,G6467=$C$6465),$C$6402,0)</f>
        <v>0</v>
      </c>
      <c r="H6470" s="25" t="n">
        <f aca="false">IF(AND($C$6325=0,H6467=$C$6399),$C$6396*$C$6464/100,0)+IF(AND($C$6325=1,H6467=$C$6465),$C$6402,0)</f>
        <v>0</v>
      </c>
      <c r="I6470" s="25" t="n">
        <f aca="false">IF(AND($C$6325=0,I6467=$C$6399),$C$6396*$C$6464/100,0)+IF(AND($C$6325=1,I6467=$C$6465),$C$6402,0)</f>
        <v>0</v>
      </c>
    </row>
    <row r="6471" customFormat="false" ht="15" hidden="false" customHeight="false" outlineLevel="0" collapsed="false">
      <c r="A6471" s="2" t="s">
        <v>540</v>
      </c>
      <c r="C6471" s="16" t="n">
        <f aca="false">-$C$6398</f>
        <v>-95</v>
      </c>
      <c r="D6471" s="16" t="n">
        <f aca="false">D6469+D6470</f>
        <v>10.5</v>
      </c>
      <c r="E6471" s="16" t="n">
        <f aca="false">E6469+E6470</f>
        <v>10.5</v>
      </c>
      <c r="F6471" s="16" t="n">
        <f aca="false">F6469+F6470</f>
        <v>110.5</v>
      </c>
      <c r="G6471" s="16" t="n">
        <f aca="false">G6469+G6470</f>
        <v>0</v>
      </c>
      <c r="H6471" s="16" t="n">
        <f aca="false">H6469+H6470</f>
        <v>0</v>
      </c>
      <c r="I6471" s="16" t="n">
        <f aca="false">I6469+I6470</f>
        <v>0</v>
      </c>
    </row>
    <row r="6472" customFormat="false" ht="15" hidden="false" customHeight="false" outlineLevel="0" collapsed="false">
      <c r="A6472" s="3" t="s">
        <v>541</v>
      </c>
      <c r="C6472" s="25" t="n">
        <f aca="false">SUM($C$6469:$I$6469)</f>
        <v>31.5</v>
      </c>
    </row>
    <row r="6473" customFormat="false" ht="15" hidden="false" customHeight="false" outlineLevel="0" collapsed="false">
      <c r="A6473" s="3" t="s">
        <v>542</v>
      </c>
      <c r="C6473" s="25" t="n">
        <f aca="false">SUM($C$6470:$I$6470)</f>
        <v>100</v>
      </c>
    </row>
    <row r="6474" customFormat="false" ht="15" hidden="false" customHeight="false" outlineLevel="0" collapsed="false">
      <c r="A6474" s="3" t="s">
        <v>543</v>
      </c>
      <c r="C6474" s="25" t="n">
        <f aca="false">C6472+C6473</f>
        <v>131.5</v>
      </c>
    </row>
    <row r="6475" customFormat="false" ht="15" hidden="false" customHeight="false" outlineLevel="0" collapsed="false">
      <c r="A6475" s="3" t="s">
        <v>544</v>
      </c>
      <c r="C6475" s="25" t="n">
        <f aca="false">C6473-C6396*C6397/100</f>
        <v>5</v>
      </c>
    </row>
    <row r="6476" customFormat="false" ht="15" hidden="false" customHeight="false" outlineLevel="0" collapsed="false">
      <c r="A6476" s="3" t="s">
        <v>545</v>
      </c>
      <c r="C6476" s="25" t="n">
        <f aca="false">C6474-C6398</f>
        <v>36.5</v>
      </c>
    </row>
    <row r="6477" customFormat="false" ht="15" hidden="false" customHeight="false" outlineLevel="0" collapsed="false">
      <c r="A6477" s="2" t="s">
        <v>427</v>
      </c>
      <c r="C6477" s="44" t="n">
        <f aca="false">C6474/C6398</f>
        <v>1.38421052631579</v>
      </c>
    </row>
    <row r="6478" customFormat="false" ht="15" hidden="false" customHeight="false" outlineLevel="0" collapsed="false">
      <c r="A6478" s="2" t="s">
        <v>426</v>
      </c>
      <c r="C6478" s="42" t="n">
        <f aca="false">IF(C6474&lt;=0,-1,IFERROR(IRR($C$6471:$I$6471,MAX(-0.9,C6477^(1/C6465)-1)),IRR($C$6471:$I$6471,0.1)))</f>
        <v>0.126033624615204</v>
      </c>
    </row>
    <row r="6479" customFormat="false" ht="15" hidden="false" customHeight="false" outlineLevel="0" collapsed="false">
      <c r="A6479" s="3" t="s">
        <v>546</v>
      </c>
      <c r="C6479" s="32" t="n">
        <f aca="false">MAX($G$6285:$K$6285)</f>
        <v>4.58139809334505</v>
      </c>
    </row>
    <row r="6480" customFormat="false" ht="15" hidden="false" customHeight="false" outlineLevel="0" collapsed="false">
      <c r="A6480" s="3" t="s">
        <v>547</v>
      </c>
      <c r="C6480" s="32" t="n">
        <f aca="false">MIN($G$6286:$K$6286)</f>
        <v>1.39022774444292</v>
      </c>
    </row>
    <row r="6481" customFormat="false" ht="15" hidden="false" customHeight="false" outlineLevel="0" collapsed="false">
      <c r="A6481" s="3" t="s">
        <v>548</v>
      </c>
      <c r="C6481" s="25" t="n">
        <f aca="false">SUM($G$6192:$K$6192)</f>
        <v>392.067002259684</v>
      </c>
    </row>
    <row r="6485" customFormat="false" ht="15" hidden="false" customHeight="false" outlineLevel="0" collapsed="false">
      <c r="A6485" s="9" t="s">
        <v>1034</v>
      </c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</row>
    <row r="6486" customFormat="false" ht="15" hidden="false" customHeight="false" outlineLevel="0" collapsed="false">
      <c r="A6486" s="3" t="s">
        <v>1010</v>
      </c>
      <c r="C6486" s="11" t="n">
        <v>1</v>
      </c>
    </row>
    <row r="6487" customFormat="false" ht="15" hidden="false" customHeight="false" outlineLevel="0" collapsed="false">
      <c r="A6487" s="3" t="s">
        <v>1011</v>
      </c>
      <c r="C6487" s="30" t="n">
        <f aca="false">Sensitivities!$A$42</f>
        <v>0</v>
      </c>
    </row>
    <row r="6488" customFormat="false" ht="15" hidden="false" customHeight="false" outlineLevel="0" collapsed="false">
      <c r="A6488" s="3" t="s">
        <v>1012</v>
      </c>
      <c r="C6488" s="18" t="n">
        <v>0</v>
      </c>
    </row>
    <row r="6489" customFormat="false" ht="15" hidden="false" customHeight="false" outlineLevel="0" collapsed="false">
      <c r="A6489" s="3" t="s">
        <v>1013</v>
      </c>
      <c r="C6489" s="18" t="n">
        <v>0</v>
      </c>
    </row>
    <row r="6490" customFormat="false" ht="15" hidden="false" customHeight="false" outlineLevel="0" collapsed="false">
      <c r="A6490" s="3" t="s">
        <v>1014</v>
      </c>
      <c r="C6490" s="15" t="n">
        <v>0</v>
      </c>
    </row>
    <row r="6492" customFormat="false" ht="15" hidden="false" customHeight="false" outlineLevel="0" collapsed="false">
      <c r="A6492" s="23" t="s">
        <v>281</v>
      </c>
      <c r="B6492" s="24"/>
      <c r="C6492" s="24"/>
      <c r="D6492" s="24"/>
      <c r="E6492" s="24"/>
      <c r="F6492" s="24"/>
      <c r="G6492" s="24"/>
      <c r="H6492" s="24"/>
      <c r="I6492" s="24"/>
      <c r="J6492" s="24"/>
      <c r="K6492" s="24"/>
    </row>
    <row r="6493" customFormat="false" ht="15" hidden="false" customHeight="false" outlineLevel="0" collapsed="false">
      <c r="A6493" s="3" t="s">
        <v>282</v>
      </c>
      <c r="F6493" s="27" t="n">
        <f aca="false">Assumptions!$C$6</f>
        <v>2026</v>
      </c>
      <c r="G6493" s="20" t="n">
        <f aca="false">F6493+1</f>
        <v>2027</v>
      </c>
      <c r="H6493" s="20" t="n">
        <f aca="false">G6493+1</f>
        <v>2028</v>
      </c>
      <c r="I6493" s="20" t="n">
        <f aca="false">H6493+1</f>
        <v>2029</v>
      </c>
      <c r="J6493" s="20" t="n">
        <f aca="false">I6493+1</f>
        <v>2030</v>
      </c>
      <c r="K6493" s="20" t="n">
        <f aca="false">J6493+1</f>
        <v>2031</v>
      </c>
    </row>
    <row r="6494" customFormat="false" ht="15" hidden="false" customHeight="false" outlineLevel="0" collapsed="false">
      <c r="A6494" s="3" t="s">
        <v>283</v>
      </c>
      <c r="G6494" s="20" t="n">
        <f aca="false">G6493-Assumptions!$C$6</f>
        <v>1</v>
      </c>
      <c r="H6494" s="20" t="n">
        <f aca="false">H6493-Assumptions!$C$6</f>
        <v>2</v>
      </c>
      <c r="I6494" s="20" t="n">
        <f aca="false">I6493-Assumptions!$C$6</f>
        <v>3</v>
      </c>
      <c r="J6494" s="20" t="n">
        <f aca="false">J6493-Assumptions!$C$6</f>
        <v>4</v>
      </c>
      <c r="K6494" s="20" t="n">
        <f aca="false">K6493-Assumptions!$C$6</f>
        <v>5</v>
      </c>
    </row>
    <row r="6495" customFormat="false" ht="15" hidden="false" customHeight="false" outlineLevel="0" collapsed="false">
      <c r="A6495" s="3" t="s">
        <v>165</v>
      </c>
      <c r="G6495" s="21" t="n">
        <f aca="false">CHOOSE($C$6486,Assumptions!$G$71,Assumptions!$G$90,Assumptions!$G$109)+$C$6487</f>
        <v>-0.045</v>
      </c>
      <c r="H6495" s="21" t="n">
        <f aca="false">CHOOSE($C$6486,Assumptions!$H$71,Assumptions!$H$90,Assumptions!$H$109)+$C$6487</f>
        <v>-0.04</v>
      </c>
      <c r="I6495" s="21" t="n">
        <f aca="false">CHOOSE($C$6486,Assumptions!$I$71,Assumptions!$I$90,Assumptions!$I$109)+$C$6487</f>
        <v>-0.035</v>
      </c>
      <c r="J6495" s="21" t="n">
        <f aca="false">CHOOSE($C$6486,Assumptions!$J$71,Assumptions!$J$90,Assumptions!$J$109)+$C$6487</f>
        <v>-0.03</v>
      </c>
      <c r="K6495" s="21" t="n">
        <f aca="false">CHOOSE($C$6486,Assumptions!$K$71,Assumptions!$K$90,Assumptions!$K$109)+$C$6487</f>
        <v>-0.03</v>
      </c>
    </row>
    <row r="6496" customFormat="false" ht="15" hidden="false" customHeight="false" outlineLevel="0" collapsed="false">
      <c r="A6496" s="3" t="s">
        <v>166</v>
      </c>
      <c r="G6496" s="21" t="n">
        <f aca="false">CHOOSE($C$6486,Assumptions!$G$72,Assumptions!$G$91,Assumptions!$G$110)</f>
        <v>0.483246670103635</v>
      </c>
      <c r="H6496" s="21" t="n">
        <f aca="false">CHOOSE($C$6486,Assumptions!$H$72,Assumptions!$H$91,Assumptions!$H$110)</f>
        <v>0.483246670103635</v>
      </c>
      <c r="I6496" s="21" t="n">
        <f aca="false">CHOOSE($C$6486,Assumptions!$I$72,Assumptions!$I$91,Assumptions!$I$110)</f>
        <v>0.481246670103635</v>
      </c>
      <c r="J6496" s="21" t="n">
        <f aca="false">CHOOSE($C$6486,Assumptions!$J$72,Assumptions!$J$91,Assumptions!$J$110)</f>
        <v>0.479246670103635</v>
      </c>
      <c r="K6496" s="21" t="n">
        <f aca="false">CHOOSE($C$6486,Assumptions!$K$72,Assumptions!$K$91,Assumptions!$K$110)</f>
        <v>0.477246670103635</v>
      </c>
    </row>
    <row r="6497" customFormat="false" ht="15" hidden="false" customHeight="false" outlineLevel="0" collapsed="false">
      <c r="A6497" s="3" t="s">
        <v>167</v>
      </c>
      <c r="G6497" s="21" t="n">
        <f aca="false">CHOOSE($C$6486,Assumptions!$G$73,Assumptions!$G$92,Assumptions!$G$111)+$C$6488</f>
        <v>0.14</v>
      </c>
      <c r="H6497" s="21" t="n">
        <f aca="false">CHOOSE($C$6486,Assumptions!$H$73,Assumptions!$H$92,Assumptions!$H$111)+$C$6488</f>
        <v>0.14</v>
      </c>
      <c r="I6497" s="21" t="n">
        <f aca="false">CHOOSE($C$6486,Assumptions!$I$73,Assumptions!$I$92,Assumptions!$I$111)+$C$6488</f>
        <v>0.138</v>
      </c>
      <c r="J6497" s="21" t="n">
        <f aca="false">CHOOSE($C$6486,Assumptions!$J$73,Assumptions!$J$92,Assumptions!$J$111)+$C$6488</f>
        <v>0.136</v>
      </c>
      <c r="K6497" s="21" t="n">
        <f aca="false">CHOOSE($C$6486,Assumptions!$K$73,Assumptions!$K$92,Assumptions!$K$111)+$C$6488</f>
        <v>0.134</v>
      </c>
    </row>
    <row r="6498" customFormat="false" ht="15" hidden="false" customHeight="false" outlineLevel="0" collapsed="false">
      <c r="A6498" s="23" t="s">
        <v>284</v>
      </c>
      <c r="B6498" s="24"/>
      <c r="C6498" s="24"/>
      <c r="D6498" s="24"/>
      <c r="E6498" s="24"/>
      <c r="F6498" s="24"/>
      <c r="G6498" s="24"/>
      <c r="H6498" s="24"/>
      <c r="I6498" s="24"/>
      <c r="J6498" s="24"/>
      <c r="K6498" s="24"/>
    </row>
    <row r="6499" customFormat="false" ht="15" hidden="false" customHeight="false" outlineLevel="0" collapsed="false">
      <c r="A6499" s="2" t="s">
        <v>256</v>
      </c>
      <c r="F6499" s="28" t="n">
        <f aca="false">'Historical Financials'!G23</f>
        <v>2246.166</v>
      </c>
      <c r="G6499" s="16" t="n">
        <f aca="false">F6499*(1+G6495)</f>
        <v>2145.08853</v>
      </c>
      <c r="H6499" s="16" t="n">
        <f aca="false">G6499*(1+H6495)</f>
        <v>2059.2849888</v>
      </c>
      <c r="I6499" s="16" t="n">
        <f aca="false">H6499*(1+I6495)</f>
        <v>1987.210014192</v>
      </c>
      <c r="J6499" s="16" t="n">
        <f aca="false">I6499*(1+J6495)</f>
        <v>1927.59371376624</v>
      </c>
      <c r="K6499" s="16" t="n">
        <f aca="false">J6499*(1+K6495)</f>
        <v>1869.76590235325</v>
      </c>
    </row>
    <row r="6500" customFormat="false" ht="15" hidden="false" customHeight="false" outlineLevel="0" collapsed="false">
      <c r="A6500" s="3" t="s">
        <v>257</v>
      </c>
      <c r="G6500" s="25" t="n">
        <f aca="false">G6499*(1-G6496)</f>
        <v>1108.4816408</v>
      </c>
      <c r="H6500" s="25" t="n">
        <f aca="false">H6499*(1-H6496)</f>
        <v>1064.142375168</v>
      </c>
      <c r="I6500" s="25" t="n">
        <f aca="false">I6499*(1-I6496)</f>
        <v>1030.8718120655</v>
      </c>
      <c r="J6500" s="25" t="n">
        <f aca="false">J6499*(1-J6496)</f>
        <v>1003.80084513107</v>
      </c>
      <c r="K6500" s="25" t="n">
        <f aca="false">K6499*(1-K6496)</f>
        <v>977.426351581845</v>
      </c>
    </row>
    <row r="6501" customFormat="false" ht="15" hidden="false" customHeight="false" outlineLevel="0" collapsed="false">
      <c r="A6501" s="2" t="s">
        <v>258</v>
      </c>
      <c r="G6501" s="16" t="n">
        <f aca="false">G6499-G6500</f>
        <v>1036.6068892</v>
      </c>
      <c r="H6501" s="16" t="n">
        <f aca="false">H6499-H6500</f>
        <v>995.142613632</v>
      </c>
      <c r="I6501" s="16" t="n">
        <f aca="false">I6499-I6500</f>
        <v>956.338202126496</v>
      </c>
      <c r="J6501" s="16" t="n">
        <f aca="false">J6499-J6500</f>
        <v>923.792868635169</v>
      </c>
      <c r="K6501" s="16" t="n">
        <f aca="false">K6499-K6500</f>
        <v>892.339550771407</v>
      </c>
    </row>
    <row r="6502" customFormat="false" ht="15" hidden="false" customHeight="false" outlineLevel="0" collapsed="false">
      <c r="A6502" s="3" t="s">
        <v>285</v>
      </c>
      <c r="G6502" s="25" t="n">
        <f aca="false">G6501-G6503</f>
        <v>736.294495</v>
      </c>
      <c r="H6502" s="25" t="n">
        <f aca="false">H6501-H6503</f>
        <v>706.8427152</v>
      </c>
      <c r="I6502" s="25" t="n">
        <f aca="false">I6501-I6503</f>
        <v>682.103220168</v>
      </c>
      <c r="J6502" s="25" t="n">
        <f aca="false">J6501-J6503</f>
        <v>661.64012356296</v>
      </c>
      <c r="K6502" s="25" t="n">
        <f aca="false">K6501-K6503</f>
        <v>641.790919856071</v>
      </c>
    </row>
    <row r="6503" customFormat="false" ht="15" hidden="false" customHeight="false" outlineLevel="0" collapsed="false">
      <c r="A6503" s="2" t="s">
        <v>286</v>
      </c>
      <c r="G6503" s="16" t="n">
        <f aca="false">G6499*G6497</f>
        <v>300.3123942</v>
      </c>
      <c r="H6503" s="16" t="n">
        <f aca="false">H6499*H6497</f>
        <v>288.299898432</v>
      </c>
      <c r="I6503" s="16" t="n">
        <f aca="false">I6499*I6497</f>
        <v>274.234981958496</v>
      </c>
      <c r="J6503" s="16" t="n">
        <f aca="false">J6499*J6497</f>
        <v>262.152745072209</v>
      </c>
      <c r="K6503" s="16" t="n">
        <f aca="false">K6499*K6497</f>
        <v>250.548630915336</v>
      </c>
    </row>
    <row r="6504" customFormat="false" ht="15" hidden="false" customHeight="false" outlineLevel="0" collapsed="false">
      <c r="A6504" s="3" t="s">
        <v>287</v>
      </c>
      <c r="G6504" s="25" t="n">
        <f aca="false">G6499*'Historical Financials'!G28/'Historical Financials'!G23</f>
        <v>81.45768</v>
      </c>
      <c r="H6504" s="25" t="n">
        <f aca="false">H6499*'Historical Financials'!G28/'Historical Financials'!G23</f>
        <v>78.1993728</v>
      </c>
      <c r="I6504" s="25" t="n">
        <f aca="false">I6499*'Historical Financials'!G28/'Historical Financials'!G23</f>
        <v>75.462394752</v>
      </c>
      <c r="J6504" s="25" t="n">
        <f aca="false">J6499*'Historical Financials'!G28/'Historical Financials'!G23</f>
        <v>73.19852290944</v>
      </c>
      <c r="K6504" s="25" t="n">
        <f aca="false">K6499*'Historical Financials'!G28/'Historical Financials'!G23</f>
        <v>71.0025672221568</v>
      </c>
    </row>
    <row r="6505" customFormat="false" ht="15" hidden="false" customHeight="false" outlineLevel="0" collapsed="false">
      <c r="A6505" s="3" t="s">
        <v>288</v>
      </c>
      <c r="G6505" s="25" t="n">
        <f aca="false">G6499*'Historical Financials'!G29/'Historical Financials'!G23</f>
        <v>23.25998</v>
      </c>
      <c r="H6505" s="25" t="n">
        <f aca="false">H6499*'Historical Financials'!G29/'Historical Financials'!G23</f>
        <v>22.3295808</v>
      </c>
      <c r="I6505" s="25" t="n">
        <f aca="false">I6499*'Historical Financials'!G29/'Historical Financials'!G23</f>
        <v>21.548045472</v>
      </c>
      <c r="J6505" s="25" t="n">
        <f aca="false">J6499*'Historical Financials'!G29/'Historical Financials'!G23</f>
        <v>20.90160410784</v>
      </c>
      <c r="K6505" s="25" t="n">
        <f aca="false">K6499*'Historical Financials'!G29/'Historical Financials'!G23</f>
        <v>20.2745559846048</v>
      </c>
    </row>
    <row r="6506" customFormat="false" ht="15" hidden="false" customHeight="false" outlineLevel="0" collapsed="false">
      <c r="A6506" s="2" t="s">
        <v>289</v>
      </c>
      <c r="G6506" s="16" t="n">
        <f aca="false">G6503-G6504-G6505</f>
        <v>195.5947342</v>
      </c>
      <c r="H6506" s="16" t="n">
        <f aca="false">H6503-H6504-H6505</f>
        <v>187.770944832</v>
      </c>
      <c r="I6506" s="16" t="n">
        <f aca="false">I6503-I6504-I6505</f>
        <v>177.224541734496</v>
      </c>
      <c r="J6506" s="16" t="n">
        <f aca="false">J6503-J6504-J6505</f>
        <v>168.052618054929</v>
      </c>
      <c r="K6506" s="16" t="n">
        <f aca="false">K6503-K6504-K6505</f>
        <v>159.271507708574</v>
      </c>
    </row>
    <row r="6507" customFormat="false" ht="15" hidden="false" customHeight="false" outlineLevel="0" collapsed="false">
      <c r="A6507" s="3" t="s">
        <v>290</v>
      </c>
      <c r="G6507" s="25" t="n">
        <f aca="false">G6533+G6546+G6559</f>
        <v>155.95467</v>
      </c>
      <c r="H6507" s="25" t="n">
        <f aca="false">H6533+H6546+H6559</f>
        <v>155.95467</v>
      </c>
      <c r="I6507" s="25" t="n">
        <f aca="false">I6533+I6546+I6559</f>
        <v>155.95467</v>
      </c>
      <c r="J6507" s="25" t="n">
        <f aca="false">J6533+J6546+J6559</f>
        <v>138.08529</v>
      </c>
      <c r="K6507" s="25" t="n">
        <f aca="false">K6533+K6546+K6559</f>
        <v>138.08529</v>
      </c>
    </row>
    <row r="6508" customFormat="false" ht="15" hidden="false" customHeight="false" outlineLevel="0" collapsed="false">
      <c r="A6508" s="3" t="s">
        <v>291</v>
      </c>
      <c r="G6508" s="25" t="n">
        <f aca="false">G6534+G6547+G6560</f>
        <v>0</v>
      </c>
      <c r="H6508" s="25" t="n">
        <f aca="false">H6534+H6547+H6560</f>
        <v>0</v>
      </c>
      <c r="I6508" s="25" t="n">
        <f aca="false">I6534+I6547+I6560</f>
        <v>0</v>
      </c>
      <c r="J6508" s="25" t="n">
        <f aca="false">J6534+J6547+J6560</f>
        <v>0</v>
      </c>
      <c r="K6508" s="25" t="n">
        <f aca="false">K6534+K6547+K6560</f>
        <v>0</v>
      </c>
    </row>
    <row r="6509" customFormat="false" ht="15" hidden="false" customHeight="false" outlineLevel="0" collapsed="false">
      <c r="A6509" s="3" t="s">
        <v>239</v>
      </c>
      <c r="G6509" s="25" t="n">
        <f aca="false">G6507+G6508</f>
        <v>155.95467</v>
      </c>
      <c r="H6509" s="25" t="n">
        <f aca="false">H6507+H6508</f>
        <v>155.95467</v>
      </c>
      <c r="I6509" s="25" t="n">
        <f aca="false">I6507+I6508</f>
        <v>155.95467</v>
      </c>
      <c r="J6509" s="25" t="n">
        <f aca="false">J6507+J6508</f>
        <v>138.08529</v>
      </c>
      <c r="K6509" s="25" t="n">
        <f aca="false">K6507+K6508</f>
        <v>138.08529</v>
      </c>
    </row>
    <row r="6510" customFormat="false" ht="15" hidden="false" customHeight="false" outlineLevel="0" collapsed="false">
      <c r="A6510" s="2" t="s">
        <v>264</v>
      </c>
      <c r="G6510" s="16" t="n">
        <f aca="false">G6506-G6509</f>
        <v>39.6400642</v>
      </c>
      <c r="H6510" s="16" t="n">
        <f aca="false">H6506-H6509</f>
        <v>31.816274832</v>
      </c>
      <c r="I6510" s="16" t="n">
        <f aca="false">I6506-I6509</f>
        <v>21.269871734496</v>
      </c>
      <c r="J6510" s="16" t="n">
        <f aca="false">J6506-J6509</f>
        <v>29.9673280549286</v>
      </c>
      <c r="K6510" s="16" t="n">
        <f aca="false">K6506-K6509</f>
        <v>21.1862177085742</v>
      </c>
    </row>
    <row r="6511" customFormat="false" ht="15" hidden="false" customHeight="false" outlineLevel="0" collapsed="false">
      <c r="A6511" s="3" t="s">
        <v>292</v>
      </c>
      <c r="G6511" s="25" t="n">
        <f aca="false">MAX(0,G6510)*Assumptions!$C$9</f>
        <v>9.91001604999999</v>
      </c>
      <c r="H6511" s="25" t="n">
        <f aca="false">MAX(0,H6510)*Assumptions!$C$9</f>
        <v>7.95406870799999</v>
      </c>
      <c r="I6511" s="25" t="n">
        <f aca="false">MAX(0,I6510)*Assumptions!$C$9</f>
        <v>5.317467933624</v>
      </c>
      <c r="J6511" s="25" t="n">
        <f aca="false">MAX(0,J6510)*Assumptions!$C$9</f>
        <v>7.49183201373215</v>
      </c>
      <c r="K6511" s="25" t="n">
        <f aca="false">MAX(0,K6510)*Assumptions!$C$9</f>
        <v>5.29655442714356</v>
      </c>
    </row>
    <row r="6512" customFormat="false" ht="15" hidden="false" customHeight="false" outlineLevel="0" collapsed="false">
      <c r="A6512" s="2" t="s">
        <v>293</v>
      </c>
      <c r="G6512" s="16" t="n">
        <f aca="false">G6510-G6511</f>
        <v>29.73004815</v>
      </c>
      <c r="H6512" s="16" t="n">
        <f aca="false">H6510-H6511</f>
        <v>23.862206124</v>
      </c>
      <c r="I6512" s="16" t="n">
        <f aca="false">I6510-I6511</f>
        <v>15.952403800872</v>
      </c>
      <c r="J6512" s="16" t="n">
        <f aca="false">J6510-J6511</f>
        <v>22.4754960411965</v>
      </c>
      <c r="K6512" s="16" t="n">
        <f aca="false">K6510-K6511</f>
        <v>15.8896632814307</v>
      </c>
    </row>
    <row r="6513" customFormat="false" ht="15" hidden="false" customHeight="false" outlineLevel="0" collapsed="false">
      <c r="A6513" s="23" t="s">
        <v>294</v>
      </c>
      <c r="B6513" s="24"/>
      <c r="C6513" s="24"/>
      <c r="D6513" s="24"/>
      <c r="E6513" s="24"/>
      <c r="F6513" s="24"/>
      <c r="G6513" s="24"/>
      <c r="H6513" s="24"/>
      <c r="I6513" s="24"/>
      <c r="J6513" s="24"/>
      <c r="K6513" s="24"/>
    </row>
    <row r="6514" customFormat="false" ht="15" hidden="false" customHeight="false" outlineLevel="0" collapsed="false">
      <c r="A6514" s="3" t="s">
        <v>169</v>
      </c>
      <c r="G6514" s="25" t="n">
        <f aca="false">G6499*CHOOSE($C$6486,Assumptions!$C$75,Assumptions!$C$94,Assumptions!$C$113)</f>
        <v>30.03123942</v>
      </c>
      <c r="H6514" s="25" t="n">
        <f aca="false">H6499*CHOOSE($C$6486,Assumptions!$C$75,Assumptions!$C$94,Assumptions!$C$113)</f>
        <v>28.8299898432</v>
      </c>
      <c r="I6514" s="25" t="n">
        <f aca="false">I6499*CHOOSE($C$6486,Assumptions!$C$75,Assumptions!$C$94,Assumptions!$C$113)</f>
        <v>27.820940198688</v>
      </c>
      <c r="J6514" s="25" t="n">
        <f aca="false">J6499*CHOOSE($C$6486,Assumptions!$C$75,Assumptions!$C$94,Assumptions!$C$113)</f>
        <v>26.9863119927274</v>
      </c>
      <c r="K6514" s="25" t="n">
        <f aca="false">K6499*CHOOSE($C$6486,Assumptions!$C$75,Assumptions!$C$94,Assumptions!$C$113)</f>
        <v>26.1767226329455</v>
      </c>
    </row>
    <row r="6515" customFormat="false" ht="15" hidden="false" customHeight="false" outlineLevel="0" collapsed="false">
      <c r="A6515" s="3" t="s">
        <v>295</v>
      </c>
      <c r="G6515" s="25" t="n">
        <f aca="false">CHOOSE($C$6486,Assumptions!$C$76,Assumptions!$C$95,Assumptions!$C$114)*(G6499-F6499)+CHOOSE($C$6486,Assumptions!$C$77,Assumptions!$C$96,Assumptions!$C$115)*G6499</f>
        <v>-21.4508853</v>
      </c>
      <c r="H6515" s="25" t="n">
        <f aca="false">CHOOSE($C$6486,Assumptions!$C$76,Assumptions!$C$95,Assumptions!$C$114)*(H6499-G6499)+CHOOSE($C$6486,Assumptions!$C$77,Assumptions!$C$96,Assumptions!$C$115)*H6499</f>
        <v>-20.592849888</v>
      </c>
      <c r="I6515" s="25" t="n">
        <f aca="false">CHOOSE($C$6486,Assumptions!$C$76,Assumptions!$C$95,Assumptions!$C$114)*(I6499-H6499)+CHOOSE($C$6486,Assumptions!$C$77,Assumptions!$C$96,Assumptions!$C$115)*I6499</f>
        <v>-19.87210014192</v>
      </c>
      <c r="J6515" s="25" t="n">
        <f aca="false">CHOOSE($C$6486,Assumptions!$C$76,Assumptions!$C$95,Assumptions!$C$114)*(J6499-I6499)+CHOOSE($C$6486,Assumptions!$C$77,Assumptions!$C$96,Assumptions!$C$115)*J6499</f>
        <v>-19.2759371376624</v>
      </c>
      <c r="K6515" s="25" t="n">
        <f aca="false">CHOOSE($C$6486,Assumptions!$C$76,Assumptions!$C$95,Assumptions!$C$114)*(K6499-J6499)+CHOOSE($C$6486,Assumptions!$C$77,Assumptions!$C$96,Assumptions!$C$115)*K6499</f>
        <v>-18.6976590235325</v>
      </c>
    </row>
    <row r="6516" customFormat="false" ht="15" hidden="false" customHeight="false" outlineLevel="0" collapsed="false">
      <c r="A6516" s="2" t="s">
        <v>296</v>
      </c>
      <c r="G6516" s="16" t="n">
        <f aca="false">G6512+G6504+G6505+G6508-G6514-G6515</f>
        <v>125.86735403</v>
      </c>
      <c r="H6516" s="16" t="n">
        <f aca="false">H6512+H6504+H6505+H6508-H6514-H6515</f>
        <v>116.1540197688</v>
      </c>
      <c r="I6516" s="16" t="n">
        <f aca="false">I6512+I6504+I6505+I6508-I6514-I6515</f>
        <v>105.014003968104</v>
      </c>
      <c r="J6516" s="16" t="n">
        <f aca="false">J6512+J6504+J6505+J6508-J6514-J6515</f>
        <v>108.865248203412</v>
      </c>
      <c r="K6516" s="16" t="n">
        <f aca="false">K6512+K6504+K6505+K6508-K6514-K6515</f>
        <v>99.6877228787792</v>
      </c>
    </row>
    <row r="6518" customFormat="false" ht="15" hidden="false" customHeight="false" outlineLevel="0" collapsed="false">
      <c r="A6518" s="23" t="s">
        <v>298</v>
      </c>
      <c r="B6518" s="24"/>
      <c r="C6518" s="24"/>
      <c r="D6518" s="24"/>
      <c r="E6518" s="24"/>
      <c r="F6518" s="24"/>
      <c r="G6518" s="24"/>
      <c r="H6518" s="24"/>
      <c r="I6518" s="24"/>
      <c r="J6518" s="24"/>
      <c r="K6518" s="24"/>
    </row>
    <row r="6519" customFormat="false" ht="15" hidden="false" customHeight="false" outlineLevel="0" collapsed="false">
      <c r="A6519" s="3" t="s">
        <v>299</v>
      </c>
      <c r="G6519" s="30" t="n">
        <f aca="false">Assumptions!$G$52</f>
        <v>0.039</v>
      </c>
      <c r="H6519" s="30" t="n">
        <f aca="false">Assumptions!$H$52</f>
        <v>0.0375</v>
      </c>
      <c r="I6519" s="30" t="n">
        <f aca="false">Assumptions!$I$52</f>
        <v>0.035</v>
      </c>
      <c r="J6519" s="30" t="n">
        <f aca="false">Assumptions!$J$52</f>
        <v>0.035</v>
      </c>
      <c r="K6519" s="30" t="n">
        <f aca="false">Assumptions!$K$52</f>
        <v>0.035</v>
      </c>
    </row>
    <row r="6520" customFormat="false" ht="15" hidden="false" customHeight="false" outlineLevel="0" collapsed="false">
      <c r="A6520" s="3" t="s">
        <v>300</v>
      </c>
      <c r="C6520" s="31" t="n">
        <f aca="false">CHOOSE($C$6486,Assumptions!$C$78,Assumptions!$C$97,Assumptions!$C$116)+$C$6489</f>
        <v>0</v>
      </c>
    </row>
    <row r="6521" customFormat="false" ht="15" hidden="false" customHeight="false" outlineLevel="0" collapsed="false">
      <c r="A6521" s="3" t="s">
        <v>301</v>
      </c>
      <c r="C6521" s="31" t="n">
        <f aca="false">CHOOSE($C$6486,Assumptions!$C$79,Assumptions!$C$98,Assumptions!$C$117)</f>
        <v>0.11</v>
      </c>
    </row>
    <row r="6522" customFormat="false" ht="15" hidden="false" customHeight="false" outlineLevel="0" collapsed="false">
      <c r="A6522" s="3" t="s">
        <v>302</v>
      </c>
      <c r="C6522" s="32" t="n">
        <f aca="false">CHOOSE($C$6486,Assumptions!$C$80,Assumptions!$C$99,Assumptions!$C$118)</f>
        <v>6</v>
      </c>
    </row>
    <row r="6523" customFormat="false" ht="15" hidden="false" customHeight="false" outlineLevel="0" collapsed="false">
      <c r="A6523" s="3" t="s">
        <v>303</v>
      </c>
      <c r="C6523" s="32" t="n">
        <f aca="false">CHOOSE($C$6486,Assumptions!$C$81,Assumptions!$C$100,Assumptions!$C$119)</f>
        <v>1.25</v>
      </c>
    </row>
    <row r="6524" customFormat="false" ht="15" hidden="false" customHeight="false" outlineLevel="0" collapsed="false">
      <c r="A6524" s="3" t="s">
        <v>304</v>
      </c>
      <c r="G6524" s="25" t="n">
        <f aca="false">G6529+G6542+G6555</f>
        <v>1735.554</v>
      </c>
      <c r="H6524" s="25" t="n">
        <f aca="false">H6529+H6542+H6555</f>
        <v>1735.554</v>
      </c>
      <c r="I6524" s="25" t="n">
        <f aca="false">I6529+I6542+I6555</f>
        <v>1735.554</v>
      </c>
      <c r="J6524" s="25" t="n">
        <f aca="false">J6529+J6542+J6555</f>
        <v>1315.098</v>
      </c>
      <c r="K6524" s="25" t="n">
        <f aca="false">K6529+K6542+K6555</f>
        <v>1315.098</v>
      </c>
    </row>
    <row r="6525" customFormat="false" ht="15" hidden="false" customHeight="false" outlineLevel="0" collapsed="false">
      <c r="A6525" s="3" t="s">
        <v>305</v>
      </c>
      <c r="G6525" s="25" t="n">
        <f aca="false">F6598</f>
        <v>463.996</v>
      </c>
      <c r="H6525" s="25" t="n">
        <f aca="false">G6598</f>
        <v>589.86335403</v>
      </c>
      <c r="I6525" s="25" t="n">
        <f aca="false">H6598</f>
        <v>706.0173737988</v>
      </c>
      <c r="J6525" s="25" t="n">
        <f aca="false">I6598</f>
        <v>390.575377766904</v>
      </c>
      <c r="K6525" s="25" t="n">
        <f aca="false">J6598</f>
        <v>499.440625970316</v>
      </c>
    </row>
    <row r="6526" customFormat="false" ht="15" hidden="false" customHeight="false" outlineLevel="0" collapsed="false">
      <c r="A6526" s="3" t="s">
        <v>306</v>
      </c>
      <c r="G6526" s="25" t="n">
        <f aca="false">G6529*IF(G6530=1,$C$6521,IF(Assumptions!$I$56=1,MAX(G6519,Assumptions!$G$56)+Assumptions!$F$56+$C$6520,Assumptions!$E$56))+G6542*IF(G6543=1,$C$6521,IF(Assumptions!$I$57=1,MAX(G6519,Assumptions!$G$57)+Assumptions!$F$57+$C$6520,Assumptions!$E$57))+G6555*IF(G6556=1,$C$6521,IF(Assumptions!$I$58=1,MAX(G6519,Assumptions!$G$58)+Assumptions!$F$58+$C$6520,Assumptions!$E$58))</f>
        <v>155.95467</v>
      </c>
      <c r="H6526" s="25" t="n">
        <f aca="false">H6529*IF(OR(H6530=1,G6676=1),$C$6521,IF(Assumptions!$I$56=1,MAX(H6519,Assumptions!$G$56)+Assumptions!$F$56+$C$6520,Assumptions!$E$56))+H6542*IF(OR(H6543=1,G6677=1),$C$6521,IF(Assumptions!$I$57=1,MAX(H6519,Assumptions!$G$57)+Assumptions!$F$57+$C$6520,Assumptions!$E$57))+H6555*IF(OR(H6556=1,G6678=1),$C$6521,IF(Assumptions!$I$58=1,MAX(H6519,Assumptions!$G$58)+Assumptions!$F$58+$C$6520,Assumptions!$E$58))</f>
        <v>155.95467</v>
      </c>
      <c r="I6526" s="25" t="n">
        <f aca="false">I6529*IF(OR(I6530=1,H6676=1),$C$6521,IF(Assumptions!$I$56=1,MAX(I6519,Assumptions!$G$56)+Assumptions!$F$56+$C$6520,Assumptions!$E$56))+I6542*IF(OR(I6543=1,H6677=1),$C$6521,IF(Assumptions!$I$57=1,MAX(I6519,Assumptions!$G$57)+Assumptions!$F$57+$C$6520,Assumptions!$E$57))+I6555*IF(OR(I6556=1,H6678=1),$C$6521,IF(Assumptions!$I$58=1,MAX(I6519,Assumptions!$G$58)+Assumptions!$F$58+$C$6520,Assumptions!$E$58))</f>
        <v>184.33545</v>
      </c>
      <c r="J6526" s="25" t="n">
        <f aca="false">J6529*IF(OR(J6530=1,I6676=1),$C$6521,IF(Assumptions!$I$56=1,MAX(J6519,Assumptions!$G$56)+Assumptions!$F$56+$C$6520,Assumptions!$E$56))+J6542*IF(OR(J6543=1,I6677=1),$C$6521,IF(Assumptions!$I$57=1,MAX(J6519,Assumptions!$G$57)+Assumptions!$F$57+$C$6520,Assumptions!$E$57))+J6555*IF(OR(J6556=1,I6678=1),$C$6521,IF(Assumptions!$I$58=1,MAX(J6519,Assumptions!$G$58)+Assumptions!$F$58+$C$6520,Assumptions!$E$58))</f>
        <v>138.08529</v>
      </c>
      <c r="K6526" s="25" t="n">
        <f aca="false">K6529*IF(OR(K6530=1,J6676=1),$C$6521,IF(Assumptions!$I$56=1,MAX(K6519,Assumptions!$G$56)+Assumptions!$F$56+$C$6520,Assumptions!$E$56))+K6542*IF(OR(K6543=1,J6677=1),$C$6521,IF(Assumptions!$I$57=1,MAX(K6519,Assumptions!$G$57)+Assumptions!$F$57+$C$6520,Assumptions!$E$57))+K6555*IF(OR(K6556=1,J6678=1),$C$6521,IF(Assumptions!$I$58=1,MAX(K6519,Assumptions!$G$58)+Assumptions!$F$58+$C$6520,Assumptions!$E$58))</f>
        <v>138.08529</v>
      </c>
    </row>
    <row r="6527" customFormat="false" ht="15" hidden="false" customHeight="false" outlineLevel="0" collapsed="false">
      <c r="A6527" s="3" t="s">
        <v>307</v>
      </c>
      <c r="G6527" s="20" t="n">
        <f aca="false">IF(G6503&lt;=0,0,IF(AND((G6524-G6525)/G6503&lt;=$C$6522,G6503/G6526&gt;=$C$6523),1,0))</f>
        <v>1</v>
      </c>
      <c r="H6527" s="20" t="n">
        <f aca="false">IF(H6503&lt;=0,0,IF(AND((H6524-H6525)/H6503&lt;=$C$6522,H6503/H6526&gt;=$C$6523),1,0))</f>
        <v>1</v>
      </c>
      <c r="I6527" s="20" t="n">
        <f aca="false">IF(I6503&lt;=0,0,IF(AND((I6524-I6525)/I6503&lt;=$C$6522,I6503/I6526&gt;=$C$6523),1,0))</f>
        <v>1</v>
      </c>
      <c r="J6527" s="20" t="n">
        <f aca="false">IF(J6503&lt;=0,0,IF(AND((J6524-J6525)/J6503&lt;=$C$6522,J6503/J6526&gt;=$C$6523),1,0))</f>
        <v>1</v>
      </c>
      <c r="K6527" s="20" t="n">
        <f aca="false">IF(K6503&lt;=0,0,IF(AND((K6524-K6525)/K6503&lt;=$C$6522,K6503/K6526&gt;=$C$6523),1,0))</f>
        <v>1</v>
      </c>
    </row>
    <row r="6528" customFormat="false" ht="15" hidden="false" customHeight="false" outlineLevel="0" collapsed="false">
      <c r="A6528" s="23" t="s">
        <v>308</v>
      </c>
      <c r="B6528" s="24"/>
      <c r="C6528" s="24"/>
      <c r="D6528" s="24"/>
      <c r="E6528" s="24"/>
      <c r="F6528" s="24"/>
      <c r="G6528" s="24"/>
      <c r="H6528" s="24"/>
      <c r="I6528" s="24"/>
      <c r="J6528" s="24"/>
      <c r="K6528" s="24"/>
    </row>
    <row r="6529" customFormat="false" ht="15" hidden="false" customHeight="false" outlineLevel="0" collapsed="false">
      <c r="A6529" s="3" t="s">
        <v>309</v>
      </c>
      <c r="G6529" s="25" t="n">
        <f aca="false">F6540</f>
        <v>1315.098</v>
      </c>
      <c r="H6529" s="25" t="n">
        <f aca="false">G6540</f>
        <v>1315.098</v>
      </c>
      <c r="I6529" s="25" t="n">
        <f aca="false">H6540</f>
        <v>1315.098</v>
      </c>
      <c r="J6529" s="25" t="n">
        <f aca="false">I6540</f>
        <v>1315.098</v>
      </c>
      <c r="K6529" s="25" t="n">
        <f aca="false">J6540</f>
        <v>1315.098</v>
      </c>
    </row>
    <row r="6530" customFormat="false" ht="15" hidden="false" customHeight="false" outlineLevel="0" collapsed="false">
      <c r="A6530" s="3" t="s">
        <v>310</v>
      </c>
      <c r="G6530" s="20" t="n">
        <f aca="false">IF(G6493=Assumptions!$K$56,1,0)</f>
        <v>0</v>
      </c>
      <c r="H6530" s="20" t="n">
        <f aca="false">IF(H6493=Assumptions!$K$56,1,0)</f>
        <v>0</v>
      </c>
      <c r="I6530" s="20" t="n">
        <f aca="false">IF(I6493=Assumptions!$K$56,1,0)</f>
        <v>0</v>
      </c>
      <c r="J6530" s="20" t="n">
        <f aca="false">IF(J6493=Assumptions!$K$56,1,0)</f>
        <v>0</v>
      </c>
      <c r="K6530" s="20" t="n">
        <f aca="false">IF(K6493=Assumptions!$K$56,1,0)</f>
        <v>0</v>
      </c>
    </row>
    <row r="6532" customFormat="false" ht="15" hidden="false" customHeight="false" outlineLevel="0" collapsed="false">
      <c r="A6532" s="3" t="s">
        <v>311</v>
      </c>
      <c r="G6532" s="31" t="n">
        <f aca="false">IF(Assumptions!$I$56=1,MAX(G6519,Assumptions!$G$56)+Assumptions!$F$56+$C$6520,Assumptions!$E$56)</f>
        <v>0.105</v>
      </c>
      <c r="H6532" s="31" t="n">
        <f aca="false">IF(G6676=1,$C$6521,IF(Assumptions!$I$56=1,MAX(H6519,Assumptions!$G$56)+Assumptions!$F$56+$C$6520,Assumptions!$E$56))</f>
        <v>0.105</v>
      </c>
      <c r="I6532" s="31" t="n">
        <f aca="false">IF(H6676=1,$C$6521,IF(Assumptions!$I$56=1,MAX(I6519,Assumptions!$G$56)+Assumptions!$F$56+$C$6520,Assumptions!$E$56))</f>
        <v>0.105</v>
      </c>
      <c r="J6532" s="31" t="n">
        <f aca="false">IF(I6676=1,$C$6521,IF(Assumptions!$I$56=1,MAX(J6519,Assumptions!$G$56)+Assumptions!$F$56+$C$6520,Assumptions!$E$56))</f>
        <v>0.105</v>
      </c>
      <c r="K6532" s="31" t="n">
        <f aca="false">IF(J6676=1,$C$6521,IF(Assumptions!$I$56=1,MAX(K6519,Assumptions!$G$56)+Assumptions!$F$56+$C$6520,Assumptions!$E$56))</f>
        <v>0.105</v>
      </c>
    </row>
    <row r="6533" customFormat="false" ht="15" hidden="false" customHeight="false" outlineLevel="0" collapsed="false">
      <c r="A6533" s="3" t="s">
        <v>312</v>
      </c>
      <c r="G6533" s="25" t="n">
        <f aca="false">G6529*G6532</f>
        <v>138.08529</v>
      </c>
      <c r="H6533" s="25" t="n">
        <f aca="false">H6529*H6532</f>
        <v>138.08529</v>
      </c>
      <c r="I6533" s="25" t="n">
        <f aca="false">I6529*I6532</f>
        <v>138.08529</v>
      </c>
      <c r="J6533" s="25" t="n">
        <f aca="false">J6529*J6532</f>
        <v>138.08529</v>
      </c>
      <c r="K6533" s="25" t="n">
        <f aca="false">K6529*K6532</f>
        <v>138.08529</v>
      </c>
    </row>
    <row r="6534" customFormat="false" ht="15" hidden="false" customHeight="false" outlineLevel="0" collapsed="false">
      <c r="A6534" s="3" t="s">
        <v>313</v>
      </c>
      <c r="G6534" s="25" t="n">
        <f aca="false">G6529*Assumptions!$H$56</f>
        <v>0</v>
      </c>
      <c r="H6534" s="25" t="n">
        <f aca="false">H6529*Assumptions!$H$56</f>
        <v>0</v>
      </c>
      <c r="I6534" s="25" t="n">
        <f aca="false">I6529*Assumptions!$H$56</f>
        <v>0</v>
      </c>
      <c r="J6534" s="25" t="n">
        <f aca="false">J6529*Assumptions!$H$56</f>
        <v>0</v>
      </c>
      <c r="K6534" s="25" t="n">
        <f aca="false">K6529*Assumptions!$H$56</f>
        <v>0</v>
      </c>
    </row>
    <row r="6535" customFormat="false" ht="15" hidden="false" customHeight="false" outlineLevel="0" collapsed="false">
      <c r="A6535" s="3" t="s">
        <v>314</v>
      </c>
      <c r="G6535" s="25" t="n">
        <f aca="false">MIN(G6529,Assumptions!$L$56*Assumptions!$C$56)</f>
        <v>0</v>
      </c>
      <c r="H6535" s="25" t="n">
        <f aca="false">MIN(H6529,Assumptions!$L$56*Assumptions!$C$56)</f>
        <v>0</v>
      </c>
      <c r="I6535" s="25" t="n">
        <f aca="false">MIN(I6529,Assumptions!$L$56*Assumptions!$C$56)</f>
        <v>0</v>
      </c>
      <c r="J6535" s="25" t="n">
        <f aca="false">MIN(J6529,Assumptions!$L$56*Assumptions!$C$56)</f>
        <v>0</v>
      </c>
      <c r="K6535" s="25" t="n">
        <f aca="false">MIN(K6529,Assumptions!$L$56*Assumptions!$C$56)</f>
        <v>0</v>
      </c>
    </row>
    <row r="6536" customFormat="false" ht="15" hidden="false" customHeight="false" outlineLevel="0" collapsed="false">
      <c r="A6536" s="3" t="s">
        <v>315</v>
      </c>
      <c r="G6536" s="25" t="n">
        <f aca="false">IF(AND(Assumptions!$P$56=1,G6493&lt;Assumptions!$K$56),MIN(MAX(0,-G6590),MAX(0,Assumptions!$D$56-G6529)),0)</f>
        <v>0</v>
      </c>
      <c r="H6536" s="25" t="n">
        <f aca="false">IF(AND(Assumptions!$P$56=1,OR(H6493&lt;Assumptions!$K$56,G6676=1)),MIN(MAX(0,-H6590),MAX(0,Assumptions!$D$56-H6529)),0)</f>
        <v>0</v>
      </c>
      <c r="I6536" s="25" t="n">
        <f aca="false">IF(AND(Assumptions!$P$56=1,OR(I6493&lt;Assumptions!$K$56,H6676=1)),MIN(MAX(0,-I6590),MAX(0,Assumptions!$D$56-I6529)),0)</f>
        <v>0</v>
      </c>
      <c r="J6536" s="25" t="n">
        <f aca="false">IF(AND(Assumptions!$P$56=1,OR(J6493&lt;Assumptions!$K$56,I6676=1)),MIN(MAX(0,-J6590),MAX(0,Assumptions!$D$56-J6529)),0)</f>
        <v>0</v>
      </c>
      <c r="K6536" s="25" t="n">
        <f aca="false">IF(AND(Assumptions!$P$56=1,OR(K6493&lt;Assumptions!$K$56,J6676=1)),MIN(MAX(0,-K6590),MAX(0,Assumptions!$D$56-K6529)),0)</f>
        <v>0</v>
      </c>
    </row>
    <row r="6537" customFormat="false" ht="15" hidden="false" customHeight="false" outlineLevel="0" collapsed="false">
      <c r="A6537" s="3" t="s">
        <v>316</v>
      </c>
      <c r="G6537" s="25" t="n">
        <f aca="false">G6530*MIN(G6529-G6535+G6534,MAX(0,G6592-Assumptions!$C$12*G6527))</f>
        <v>0</v>
      </c>
      <c r="H6537" s="25" t="n">
        <f aca="false">H6530*MIN(H6529-H6535+H6534,MAX(0,H6592-Assumptions!$C$12*H6527))</f>
        <v>0</v>
      </c>
      <c r="I6537" s="25" t="n">
        <f aca="false">I6530*MIN(I6529-I6535+I6534,MAX(0,I6592-Assumptions!$C$12*I6527))</f>
        <v>0</v>
      </c>
      <c r="J6537" s="25" t="n">
        <f aca="false">J6530*MIN(J6529-J6535+J6534,MAX(0,J6592-Assumptions!$C$12*J6527))</f>
        <v>0</v>
      </c>
      <c r="K6537" s="25" t="n">
        <f aca="false">K6530*MIN(K6529-K6535+K6534,MAX(0,K6592-Assumptions!$C$12*K6527))</f>
        <v>0</v>
      </c>
    </row>
    <row r="6538" customFormat="false" ht="15" hidden="false" customHeight="false" outlineLevel="0" collapsed="false">
      <c r="A6538" s="3" t="s">
        <v>317</v>
      </c>
      <c r="G6538" s="25" t="n">
        <f aca="false">Assumptions!$N$56*MIN(G6529+G6536+G6534-G6535-G6537,MAX(0,G6596))</f>
        <v>0</v>
      </c>
      <c r="H6538" s="25" t="n">
        <f aca="false">Assumptions!$N$56*MIN(H6529+H6536+H6534-H6535-H6537,MAX(0,H6596))</f>
        <v>0</v>
      </c>
      <c r="I6538" s="25" t="n">
        <f aca="false">Assumptions!$N$56*MIN(I6529+I6536+I6534-I6535-I6537,MAX(0,I6596))</f>
        <v>0</v>
      </c>
      <c r="J6538" s="25" t="n">
        <f aca="false">Assumptions!$N$56*MIN(J6529+J6536+J6534-J6535-J6537,MAX(0,J6596))</f>
        <v>0</v>
      </c>
      <c r="K6538" s="25" t="n">
        <f aca="false">Assumptions!$N$56*MIN(K6529+K6536+K6534-K6535-K6537,MAX(0,K6596))</f>
        <v>0</v>
      </c>
    </row>
    <row r="6539" customFormat="false" ht="15" hidden="false" customHeight="false" outlineLevel="0" collapsed="false">
      <c r="A6539" s="3" t="s">
        <v>318</v>
      </c>
      <c r="G6539" s="25" t="n">
        <f aca="false">G6530*(1-G6527)*(G6529-G6535+G6534-G6537)</f>
        <v>0</v>
      </c>
      <c r="H6539" s="25" t="n">
        <f aca="false">H6530*(1-H6527)*(H6529-H6535+H6534-H6537)</f>
        <v>0</v>
      </c>
      <c r="I6539" s="25" t="n">
        <f aca="false">I6530*(1-I6527)*(I6529-I6535+I6534-I6537)</f>
        <v>0</v>
      </c>
      <c r="J6539" s="25" t="n">
        <f aca="false">J6530*(1-J6527)*(J6529-J6535+J6534-J6537)</f>
        <v>0</v>
      </c>
      <c r="K6539" s="25" t="n">
        <f aca="false">K6530*(1-K6527)*(K6529-K6535+K6534-K6537)</f>
        <v>0</v>
      </c>
    </row>
    <row r="6540" customFormat="false" ht="15" hidden="false" customHeight="false" outlineLevel="0" collapsed="false">
      <c r="A6540" s="2" t="s">
        <v>319</v>
      </c>
      <c r="F6540" s="28" t="n">
        <f aca="false">Assumptions!$C$56</f>
        <v>1315.098</v>
      </c>
      <c r="G6540" s="16" t="n">
        <f aca="false">G6529+G6536+G6534-G6535-G6537-G6538</f>
        <v>1315.098</v>
      </c>
      <c r="H6540" s="16" t="n">
        <f aca="false">H6529+H6536+H6534-H6535-H6537-H6538</f>
        <v>1315.098</v>
      </c>
      <c r="I6540" s="16" t="n">
        <f aca="false">I6529+I6536+I6534-I6535-I6537-I6538</f>
        <v>1315.098</v>
      </c>
      <c r="J6540" s="16" t="n">
        <f aca="false">J6529+J6536+J6534-J6535-J6537-J6538</f>
        <v>1315.098</v>
      </c>
      <c r="K6540" s="16" t="n">
        <f aca="false">K6529+K6536+K6534-K6535-K6537-K6538</f>
        <v>1315.098</v>
      </c>
    </row>
    <row r="6541" customFormat="false" ht="15" hidden="false" customHeight="false" outlineLevel="0" collapsed="false">
      <c r="A6541" s="23" t="s">
        <v>320</v>
      </c>
      <c r="B6541" s="24"/>
      <c r="C6541" s="24"/>
      <c r="D6541" s="24"/>
      <c r="E6541" s="24"/>
      <c r="F6541" s="24"/>
      <c r="G6541" s="24"/>
      <c r="H6541" s="24"/>
      <c r="I6541" s="24"/>
      <c r="J6541" s="24"/>
      <c r="K6541" s="24"/>
    </row>
    <row r="6542" customFormat="false" ht="15" hidden="false" customHeight="false" outlineLevel="0" collapsed="false">
      <c r="A6542" s="3" t="s">
        <v>309</v>
      </c>
      <c r="G6542" s="25" t="n">
        <f aca="false">F6553</f>
        <v>276.706</v>
      </c>
      <c r="H6542" s="25" t="n">
        <f aca="false">G6553</f>
        <v>276.706</v>
      </c>
      <c r="I6542" s="25" t="n">
        <f aca="false">H6553</f>
        <v>276.706</v>
      </c>
      <c r="J6542" s="25" t="n">
        <f aca="false">I6553</f>
        <v>0</v>
      </c>
      <c r="K6542" s="25" t="n">
        <f aca="false">J6553</f>
        <v>0</v>
      </c>
    </row>
    <row r="6543" customFormat="false" ht="15" hidden="false" customHeight="false" outlineLevel="0" collapsed="false">
      <c r="A6543" s="3" t="s">
        <v>310</v>
      </c>
      <c r="G6543" s="20" t="n">
        <f aca="false">IF(G6493=Assumptions!$K$57,1,0)</f>
        <v>0</v>
      </c>
      <c r="H6543" s="20" t="n">
        <f aca="false">IF(H6493=Assumptions!$K$57,1,0)</f>
        <v>0</v>
      </c>
      <c r="I6543" s="20" t="n">
        <f aca="false">IF(I6493=Assumptions!$K$57,1,0)</f>
        <v>1</v>
      </c>
      <c r="J6543" s="20" t="n">
        <f aca="false">IF(J6493=Assumptions!$K$57,1,0)</f>
        <v>0</v>
      </c>
      <c r="K6543" s="20" t="n">
        <f aca="false">IF(K6493=Assumptions!$K$57,1,0)</f>
        <v>0</v>
      </c>
    </row>
    <row r="6545" customFormat="false" ht="15" hidden="false" customHeight="false" outlineLevel="0" collapsed="false">
      <c r="A6545" s="3" t="s">
        <v>311</v>
      </c>
      <c r="G6545" s="31" t="n">
        <f aca="false">IF(Assumptions!$I$57=1,MAX(G6519,Assumptions!$G$57)+Assumptions!$F$57+$C$6520,Assumptions!$E$57)</f>
        <v>0.0425</v>
      </c>
      <c r="H6545" s="31" t="n">
        <f aca="false">IF(G6677=1,$C$6521,IF(Assumptions!$I$57=1,MAX(H6519,Assumptions!$G$57)+Assumptions!$F$57+$C$6520,Assumptions!$E$57))</f>
        <v>0.0425</v>
      </c>
      <c r="I6545" s="31" t="n">
        <f aca="false">IF(H6677=1,$C$6521,IF(Assumptions!$I$57=1,MAX(I6519,Assumptions!$G$57)+Assumptions!$F$57+$C$6520,Assumptions!$E$57))</f>
        <v>0.0425</v>
      </c>
      <c r="J6545" s="31" t="n">
        <f aca="false">IF(I6677=1,$C$6521,IF(Assumptions!$I$57=1,MAX(J6519,Assumptions!$G$57)+Assumptions!$F$57+$C$6520,Assumptions!$E$57))</f>
        <v>0.11</v>
      </c>
      <c r="K6545" s="31" t="n">
        <f aca="false">IF(J6677=1,$C$6521,IF(Assumptions!$I$57=1,MAX(K6519,Assumptions!$G$57)+Assumptions!$F$57+$C$6520,Assumptions!$E$57))</f>
        <v>0.11</v>
      </c>
    </row>
    <row r="6546" customFormat="false" ht="15" hidden="false" customHeight="false" outlineLevel="0" collapsed="false">
      <c r="A6546" s="3" t="s">
        <v>312</v>
      </c>
      <c r="G6546" s="25" t="n">
        <f aca="false">G6542*G6545</f>
        <v>11.760005</v>
      </c>
      <c r="H6546" s="25" t="n">
        <f aca="false">H6542*H6545</f>
        <v>11.760005</v>
      </c>
      <c r="I6546" s="25" t="n">
        <f aca="false">I6542*I6545</f>
        <v>11.760005</v>
      </c>
      <c r="J6546" s="25" t="n">
        <f aca="false">J6542*J6545</f>
        <v>0</v>
      </c>
      <c r="K6546" s="25" t="n">
        <f aca="false">K6542*K6545</f>
        <v>0</v>
      </c>
    </row>
    <row r="6547" customFormat="false" ht="15" hidden="false" customHeight="false" outlineLevel="0" collapsed="false">
      <c r="A6547" s="3" t="s">
        <v>313</v>
      </c>
      <c r="G6547" s="25" t="n">
        <f aca="false">G6542*Assumptions!$H$57</f>
        <v>0</v>
      </c>
      <c r="H6547" s="25" t="n">
        <f aca="false">H6542*Assumptions!$H$57</f>
        <v>0</v>
      </c>
      <c r="I6547" s="25" t="n">
        <f aca="false">I6542*Assumptions!$H$57</f>
        <v>0</v>
      </c>
      <c r="J6547" s="25" t="n">
        <f aca="false">J6542*Assumptions!$H$57</f>
        <v>0</v>
      </c>
      <c r="K6547" s="25" t="n">
        <f aca="false">K6542*Assumptions!$H$57</f>
        <v>0</v>
      </c>
    </row>
    <row r="6548" customFormat="false" ht="15" hidden="false" customHeight="false" outlineLevel="0" collapsed="false">
      <c r="A6548" s="3" t="s">
        <v>314</v>
      </c>
      <c r="G6548" s="25" t="n">
        <f aca="false">MIN(G6542,Assumptions!$L$57*Assumptions!$C$57)</f>
        <v>0</v>
      </c>
      <c r="H6548" s="25" t="n">
        <f aca="false">MIN(H6542,Assumptions!$L$57*Assumptions!$C$57)</f>
        <v>0</v>
      </c>
      <c r="I6548" s="25" t="n">
        <f aca="false">MIN(I6542,Assumptions!$L$57*Assumptions!$C$57)</f>
        <v>0</v>
      </c>
      <c r="J6548" s="25" t="n">
        <f aca="false">MIN(J6542,Assumptions!$L$57*Assumptions!$C$57)</f>
        <v>0</v>
      </c>
      <c r="K6548" s="25" t="n">
        <f aca="false">MIN(K6542,Assumptions!$L$57*Assumptions!$C$57)</f>
        <v>0</v>
      </c>
    </row>
    <row r="6549" customFormat="false" ht="15" hidden="false" customHeight="false" outlineLevel="0" collapsed="false">
      <c r="A6549" s="3" t="s">
        <v>315</v>
      </c>
      <c r="G6549" s="25" t="n">
        <f aca="false">IF(AND(Assumptions!$P$57=1,G6493&lt;Assumptions!$K$57),MIN(MAX(0,-G6590),MAX(0,Assumptions!$D$57-G6542)),0)</f>
        <v>0</v>
      </c>
      <c r="H6549" s="25" t="n">
        <f aca="false">IF(AND(Assumptions!$P$57=1,OR(H6493&lt;Assumptions!$K$57,G6677=1)),MIN(MAX(0,-H6590),MAX(0,Assumptions!$D$57-H6542)),0)</f>
        <v>0</v>
      </c>
      <c r="I6549" s="25" t="n">
        <f aca="false">IF(AND(Assumptions!$P$57=1,OR(I6493&lt;Assumptions!$K$57,H6677=1)),MIN(MAX(0,-I6590),MAX(0,Assumptions!$D$57-I6542)),0)</f>
        <v>0</v>
      </c>
      <c r="J6549" s="25" t="n">
        <f aca="false">IF(AND(Assumptions!$P$57=1,OR(J6493&lt;Assumptions!$K$57,I6677=1)),MIN(MAX(0,-J6590),MAX(0,Assumptions!$D$57-J6542)),0)</f>
        <v>0</v>
      </c>
      <c r="K6549" s="25" t="n">
        <f aca="false">IF(AND(Assumptions!$P$57=1,OR(K6493&lt;Assumptions!$K$57,J6677=1)),MIN(MAX(0,-K6590),MAX(0,Assumptions!$D$57-K6542)),0)</f>
        <v>0</v>
      </c>
    </row>
    <row r="6550" customFormat="false" ht="15" hidden="false" customHeight="false" outlineLevel="0" collapsed="false">
      <c r="A6550" s="3" t="s">
        <v>316</v>
      </c>
      <c r="G6550" s="25" t="n">
        <f aca="false">G6543*MIN(G6542-G6548+G6547,MAX(0,G6592-Assumptions!$C$12*G6527-G6537))</f>
        <v>0</v>
      </c>
      <c r="H6550" s="25" t="n">
        <f aca="false">H6543*MIN(H6542-H6548+H6547,MAX(0,H6592-Assumptions!$C$12*H6527-H6537))</f>
        <v>0</v>
      </c>
      <c r="I6550" s="25" t="n">
        <f aca="false">I6543*MIN(I6542-I6548+I6547,MAX(0,I6592-Assumptions!$C$12*I6527-I6537))</f>
        <v>276.706</v>
      </c>
      <c r="J6550" s="25" t="n">
        <f aca="false">J6543*MIN(J6542-J6548+J6547,MAX(0,J6592-Assumptions!$C$12*J6527-J6537))</f>
        <v>0</v>
      </c>
      <c r="K6550" s="25" t="n">
        <f aca="false">K6543*MIN(K6542-K6548+K6547,MAX(0,K6592-Assumptions!$C$12*K6527-K6537))</f>
        <v>0</v>
      </c>
    </row>
    <row r="6551" customFormat="false" ht="15" hidden="false" customHeight="false" outlineLevel="0" collapsed="false">
      <c r="A6551" s="3" t="s">
        <v>317</v>
      </c>
      <c r="G6551" s="25" t="n">
        <f aca="false">Assumptions!$N$57*MIN(G6542+G6549+G6547-G6548-G6550,MAX(0,G6596-G6538))</f>
        <v>0</v>
      </c>
      <c r="H6551" s="25" t="n">
        <f aca="false">Assumptions!$N$57*MIN(H6542+H6549+H6547-H6548-H6550,MAX(0,H6596-H6538))</f>
        <v>0</v>
      </c>
      <c r="I6551" s="25" t="n">
        <f aca="false">Assumptions!$N$57*MIN(I6542+I6549+I6547-I6548-I6550,MAX(0,I6596-I6538))</f>
        <v>0</v>
      </c>
      <c r="J6551" s="25" t="n">
        <f aca="false">Assumptions!$N$57*MIN(J6542+J6549+J6547-J6548-J6550,MAX(0,J6596-J6538))</f>
        <v>0</v>
      </c>
      <c r="K6551" s="25" t="n">
        <f aca="false">Assumptions!$N$57*MIN(K6542+K6549+K6547-K6548-K6550,MAX(0,K6596-K6538))</f>
        <v>0</v>
      </c>
    </row>
    <row r="6552" customFormat="false" ht="15" hidden="false" customHeight="false" outlineLevel="0" collapsed="false">
      <c r="A6552" s="3" t="s">
        <v>318</v>
      </c>
      <c r="G6552" s="25" t="n">
        <f aca="false">G6543*(1-G6527)*(G6542-G6548+G6547-G6550)</f>
        <v>0</v>
      </c>
      <c r="H6552" s="25" t="n">
        <f aca="false">H6543*(1-H6527)*(H6542-H6548+H6547-H6550)</f>
        <v>0</v>
      </c>
      <c r="I6552" s="25" t="n">
        <f aca="false">I6543*(1-I6527)*(I6542-I6548+I6547-I6550)</f>
        <v>0</v>
      </c>
      <c r="J6552" s="25" t="n">
        <f aca="false">J6543*(1-J6527)*(J6542-J6548+J6547-J6550)</f>
        <v>0</v>
      </c>
      <c r="K6552" s="25" t="n">
        <f aca="false">K6543*(1-K6527)*(K6542-K6548+K6547-K6550)</f>
        <v>0</v>
      </c>
    </row>
    <row r="6553" customFormat="false" ht="15" hidden="false" customHeight="false" outlineLevel="0" collapsed="false">
      <c r="A6553" s="2" t="s">
        <v>319</v>
      </c>
      <c r="F6553" s="28" t="n">
        <f aca="false">Assumptions!$C$57</f>
        <v>276.706</v>
      </c>
      <c r="G6553" s="16" t="n">
        <f aca="false">G6542+G6549+G6547-G6548-G6550-G6551</f>
        <v>276.706</v>
      </c>
      <c r="H6553" s="16" t="n">
        <f aca="false">H6542+H6549+H6547-H6548-H6550-H6551</f>
        <v>276.706</v>
      </c>
      <c r="I6553" s="16" t="n">
        <f aca="false">I6542+I6549+I6547-I6548-I6550-I6551</f>
        <v>0</v>
      </c>
      <c r="J6553" s="16" t="n">
        <f aca="false">J6542+J6549+J6547-J6548-J6550-J6551</f>
        <v>0</v>
      </c>
      <c r="K6553" s="16" t="n">
        <f aca="false">K6542+K6549+K6547-K6548-K6550-K6551</f>
        <v>0</v>
      </c>
    </row>
    <row r="6554" customFormat="false" ht="15" hidden="false" customHeight="false" outlineLevel="0" collapsed="false">
      <c r="A6554" s="23" t="s">
        <v>321</v>
      </c>
      <c r="B6554" s="24"/>
      <c r="C6554" s="24"/>
      <c r="D6554" s="24"/>
      <c r="E6554" s="24"/>
      <c r="F6554" s="24"/>
      <c r="G6554" s="24"/>
      <c r="H6554" s="24"/>
      <c r="I6554" s="24"/>
      <c r="J6554" s="24"/>
      <c r="K6554" s="24"/>
    </row>
    <row r="6555" customFormat="false" ht="15" hidden="false" customHeight="false" outlineLevel="0" collapsed="false">
      <c r="A6555" s="3" t="s">
        <v>309</v>
      </c>
      <c r="G6555" s="25" t="n">
        <f aca="false">F6566</f>
        <v>143.75</v>
      </c>
      <c r="H6555" s="25" t="n">
        <f aca="false">G6566</f>
        <v>143.75</v>
      </c>
      <c r="I6555" s="25" t="n">
        <f aca="false">H6566</f>
        <v>143.75</v>
      </c>
      <c r="J6555" s="25" t="n">
        <f aca="false">I6566</f>
        <v>0</v>
      </c>
      <c r="K6555" s="25" t="n">
        <f aca="false">J6566</f>
        <v>0</v>
      </c>
    </row>
    <row r="6556" customFormat="false" ht="15" hidden="false" customHeight="false" outlineLevel="0" collapsed="false">
      <c r="A6556" s="3" t="s">
        <v>310</v>
      </c>
      <c r="G6556" s="20" t="n">
        <f aca="false">IF(G6493=Assumptions!$K$58,1,0)</f>
        <v>0</v>
      </c>
      <c r="H6556" s="20" t="n">
        <f aca="false">IF(H6493=Assumptions!$K$58,1,0)</f>
        <v>0</v>
      </c>
      <c r="I6556" s="20" t="n">
        <f aca="false">IF(I6493=Assumptions!$K$58,1,0)</f>
        <v>1</v>
      </c>
      <c r="J6556" s="20" t="n">
        <f aca="false">IF(J6493=Assumptions!$K$58,1,0)</f>
        <v>0</v>
      </c>
      <c r="K6556" s="20" t="n">
        <f aca="false">IF(K6493=Assumptions!$K$58,1,0)</f>
        <v>0</v>
      </c>
    </row>
    <row r="6558" customFormat="false" ht="15" hidden="false" customHeight="false" outlineLevel="0" collapsed="false">
      <c r="A6558" s="3" t="s">
        <v>311</v>
      </c>
      <c r="G6558" s="31" t="n">
        <f aca="false">IF(Assumptions!$I$58=1,MAX(G6519,Assumptions!$G$58)+Assumptions!$F$58+$C$6520,Assumptions!$E$58)</f>
        <v>0.0425</v>
      </c>
      <c r="H6558" s="31" t="n">
        <f aca="false">IF(G6678=1,$C$6521,IF(Assumptions!$I$58=1,MAX(H6519,Assumptions!$G$58)+Assumptions!$F$58+$C$6520,Assumptions!$E$58))</f>
        <v>0.0425</v>
      </c>
      <c r="I6558" s="31" t="n">
        <f aca="false">IF(H6678=1,$C$6521,IF(Assumptions!$I$58=1,MAX(I6519,Assumptions!$G$58)+Assumptions!$F$58+$C$6520,Assumptions!$E$58))</f>
        <v>0.0425</v>
      </c>
      <c r="J6558" s="31" t="n">
        <f aca="false">IF(I6678=1,$C$6521,IF(Assumptions!$I$58=1,MAX(J6519,Assumptions!$G$58)+Assumptions!$F$58+$C$6520,Assumptions!$E$58))</f>
        <v>0.11</v>
      </c>
      <c r="K6558" s="31" t="n">
        <f aca="false">IF(J6678=1,$C$6521,IF(Assumptions!$I$58=1,MAX(K6519,Assumptions!$G$58)+Assumptions!$F$58+$C$6520,Assumptions!$E$58))</f>
        <v>0.11</v>
      </c>
    </row>
    <row r="6559" customFormat="false" ht="15" hidden="false" customHeight="false" outlineLevel="0" collapsed="false">
      <c r="A6559" s="3" t="s">
        <v>312</v>
      </c>
      <c r="G6559" s="25" t="n">
        <f aca="false">G6555*G6558</f>
        <v>6.109375</v>
      </c>
      <c r="H6559" s="25" t="n">
        <f aca="false">H6555*H6558</f>
        <v>6.109375</v>
      </c>
      <c r="I6559" s="25" t="n">
        <f aca="false">I6555*I6558</f>
        <v>6.109375</v>
      </c>
      <c r="J6559" s="25" t="n">
        <f aca="false">J6555*J6558</f>
        <v>0</v>
      </c>
      <c r="K6559" s="25" t="n">
        <f aca="false">K6555*K6558</f>
        <v>0</v>
      </c>
    </row>
    <row r="6560" customFormat="false" ht="15" hidden="false" customHeight="false" outlineLevel="0" collapsed="false">
      <c r="A6560" s="3" t="s">
        <v>313</v>
      </c>
      <c r="G6560" s="25" t="n">
        <f aca="false">G6555*Assumptions!$H$58</f>
        <v>0</v>
      </c>
      <c r="H6560" s="25" t="n">
        <f aca="false">H6555*Assumptions!$H$58</f>
        <v>0</v>
      </c>
      <c r="I6560" s="25" t="n">
        <f aca="false">I6555*Assumptions!$H$58</f>
        <v>0</v>
      </c>
      <c r="J6560" s="25" t="n">
        <f aca="false">J6555*Assumptions!$H$58</f>
        <v>0</v>
      </c>
      <c r="K6560" s="25" t="n">
        <f aca="false">K6555*Assumptions!$H$58</f>
        <v>0</v>
      </c>
    </row>
    <row r="6561" customFormat="false" ht="15" hidden="false" customHeight="false" outlineLevel="0" collapsed="false">
      <c r="A6561" s="3" t="s">
        <v>314</v>
      </c>
      <c r="G6561" s="25" t="n">
        <f aca="false">MIN(G6555,Assumptions!$L$58*Assumptions!$C$58)</f>
        <v>0</v>
      </c>
      <c r="H6561" s="25" t="n">
        <f aca="false">MIN(H6555,Assumptions!$L$58*Assumptions!$C$58)</f>
        <v>0</v>
      </c>
      <c r="I6561" s="25" t="n">
        <f aca="false">MIN(I6555,Assumptions!$L$58*Assumptions!$C$58)</f>
        <v>0</v>
      </c>
      <c r="J6561" s="25" t="n">
        <f aca="false">MIN(J6555,Assumptions!$L$58*Assumptions!$C$58)</f>
        <v>0</v>
      </c>
      <c r="K6561" s="25" t="n">
        <f aca="false">MIN(K6555,Assumptions!$L$58*Assumptions!$C$58)</f>
        <v>0</v>
      </c>
    </row>
    <row r="6562" customFormat="false" ht="15" hidden="false" customHeight="false" outlineLevel="0" collapsed="false">
      <c r="A6562" s="3" t="s">
        <v>315</v>
      </c>
      <c r="G6562" s="25" t="n">
        <f aca="false">IF(AND(Assumptions!$P$58=1,G6493&lt;Assumptions!$K$58),MIN(MAX(0,-G6590),MAX(0,Assumptions!$D$58-G6555)),0)</f>
        <v>0</v>
      </c>
      <c r="H6562" s="25" t="n">
        <f aca="false">IF(AND(Assumptions!$P$58=1,OR(H6493&lt;Assumptions!$K$58,G6678=1)),MIN(MAX(0,-H6590),MAX(0,Assumptions!$D$58-H6555)),0)</f>
        <v>0</v>
      </c>
      <c r="I6562" s="25" t="n">
        <f aca="false">IF(AND(Assumptions!$P$58=1,OR(I6493&lt;Assumptions!$K$58,H6678=1)),MIN(MAX(0,-I6590),MAX(0,Assumptions!$D$58-I6555)),0)</f>
        <v>0</v>
      </c>
      <c r="J6562" s="25" t="n">
        <f aca="false">IF(AND(Assumptions!$P$58=1,OR(J6493&lt;Assumptions!$K$58,I6678=1)),MIN(MAX(0,-J6590),MAX(0,Assumptions!$D$58-J6555)),0)</f>
        <v>0</v>
      </c>
      <c r="K6562" s="25" t="n">
        <f aca="false">IF(AND(Assumptions!$P$58=1,OR(K6493&lt;Assumptions!$K$58,J6678=1)),MIN(MAX(0,-K6590),MAX(0,Assumptions!$D$58-K6555)),0)</f>
        <v>0</v>
      </c>
    </row>
    <row r="6563" customFormat="false" ht="15" hidden="false" customHeight="false" outlineLevel="0" collapsed="false">
      <c r="A6563" s="3" t="s">
        <v>316</v>
      </c>
      <c r="G6563" s="25" t="n">
        <f aca="false">G6556*MIN(G6555-G6561+G6560,MAX(0,G6592-Assumptions!$C$12*G6527-G6537-G6550))</f>
        <v>0</v>
      </c>
      <c r="H6563" s="25" t="n">
        <f aca="false">H6556*MIN(H6555-H6561+H6560,MAX(0,H6592-Assumptions!$C$12*H6527-H6537-H6550))</f>
        <v>0</v>
      </c>
      <c r="I6563" s="25" t="n">
        <f aca="false">I6556*MIN(I6555-I6561+I6560,MAX(0,I6592-Assumptions!$C$12*I6527-I6537-I6550))</f>
        <v>143.75</v>
      </c>
      <c r="J6563" s="25" t="n">
        <f aca="false">J6556*MIN(J6555-J6561+J6560,MAX(0,J6592-Assumptions!$C$12*J6527-J6537-J6550))</f>
        <v>0</v>
      </c>
      <c r="K6563" s="25" t="n">
        <f aca="false">K6556*MIN(K6555-K6561+K6560,MAX(0,K6592-Assumptions!$C$12*K6527-K6537-K6550))</f>
        <v>0</v>
      </c>
    </row>
    <row r="6564" customFormat="false" ht="15" hidden="false" customHeight="false" outlineLevel="0" collapsed="false">
      <c r="A6564" s="3" t="s">
        <v>317</v>
      </c>
      <c r="G6564" s="25" t="n">
        <f aca="false">Assumptions!$N$58*MIN(G6555+G6562+G6560-G6561-G6563,MAX(0,G6596-G6538-G6551))</f>
        <v>0</v>
      </c>
      <c r="H6564" s="25" t="n">
        <f aca="false">Assumptions!$N$58*MIN(H6555+H6562+H6560-H6561-H6563,MAX(0,H6596-H6538-H6551))</f>
        <v>0</v>
      </c>
      <c r="I6564" s="25" t="n">
        <f aca="false">Assumptions!$N$58*MIN(I6555+I6562+I6560-I6561-I6563,MAX(0,I6596-I6538-I6551))</f>
        <v>0</v>
      </c>
      <c r="J6564" s="25" t="n">
        <f aca="false">Assumptions!$N$58*MIN(J6555+J6562+J6560-J6561-J6563,MAX(0,J6596-J6538-J6551))</f>
        <v>0</v>
      </c>
      <c r="K6564" s="25" t="n">
        <f aca="false">Assumptions!$N$58*MIN(K6555+K6562+K6560-K6561-K6563,MAX(0,K6596-K6538-K6551))</f>
        <v>0</v>
      </c>
    </row>
    <row r="6565" customFormat="false" ht="15" hidden="false" customHeight="false" outlineLevel="0" collapsed="false">
      <c r="A6565" s="3" t="s">
        <v>318</v>
      </c>
      <c r="G6565" s="25" t="n">
        <f aca="false">G6556*(1-G6527)*(G6555-G6561+G6560-G6563)</f>
        <v>0</v>
      </c>
      <c r="H6565" s="25" t="n">
        <f aca="false">H6556*(1-H6527)*(H6555-H6561+H6560-H6563)</f>
        <v>0</v>
      </c>
      <c r="I6565" s="25" t="n">
        <f aca="false">I6556*(1-I6527)*(I6555-I6561+I6560-I6563)</f>
        <v>0</v>
      </c>
      <c r="J6565" s="25" t="n">
        <f aca="false">J6556*(1-J6527)*(J6555-J6561+J6560-J6563)</f>
        <v>0</v>
      </c>
      <c r="K6565" s="25" t="n">
        <f aca="false">K6556*(1-K6527)*(K6555-K6561+K6560-K6563)</f>
        <v>0</v>
      </c>
    </row>
    <row r="6566" customFormat="false" ht="15" hidden="false" customHeight="false" outlineLevel="0" collapsed="false">
      <c r="A6566" s="2" t="s">
        <v>319</v>
      </c>
      <c r="F6566" s="28" t="n">
        <f aca="false">Assumptions!$C$58</f>
        <v>143.75</v>
      </c>
      <c r="G6566" s="16" t="n">
        <f aca="false">G6555+G6562+G6560-G6561-G6563-G6564</f>
        <v>143.75</v>
      </c>
      <c r="H6566" s="16" t="n">
        <f aca="false">H6555+H6562+H6560-H6561-H6563-H6564</f>
        <v>143.75</v>
      </c>
      <c r="I6566" s="16" t="n">
        <f aca="false">I6555+I6562+I6560-I6561-I6563-I6564</f>
        <v>0</v>
      </c>
      <c r="J6566" s="16" t="n">
        <f aca="false">J6555+J6562+J6560-J6561-J6563-J6564</f>
        <v>0</v>
      </c>
      <c r="K6566" s="16" t="n">
        <f aca="false">K6555+K6562+K6560-K6561-K6563-K6564</f>
        <v>0</v>
      </c>
    </row>
    <row r="6567" customFormat="false" ht="15" hidden="false" customHeight="false" outlineLevel="0" collapsed="false">
      <c r="A6567" s="23" t="s">
        <v>322</v>
      </c>
      <c r="B6567" s="24"/>
      <c r="C6567" s="24"/>
      <c r="D6567" s="24"/>
      <c r="E6567" s="24"/>
      <c r="F6567" s="24"/>
      <c r="G6567" s="24"/>
      <c r="H6567" s="24"/>
      <c r="I6567" s="24"/>
      <c r="J6567" s="24"/>
      <c r="K6567" s="24"/>
    </row>
    <row r="6568" customFormat="false" ht="15" hidden="false" customHeight="false" outlineLevel="0" collapsed="false">
      <c r="A6568" s="2" t="s">
        <v>323</v>
      </c>
      <c r="F6568" s="16" t="n">
        <f aca="false">F6540+F6553+F6566</f>
        <v>1735.554</v>
      </c>
      <c r="G6568" s="16" t="n">
        <f aca="false">G6540+G6553+G6566</f>
        <v>1735.554</v>
      </c>
      <c r="H6568" s="16" t="n">
        <f aca="false">H6540+H6553+H6566</f>
        <v>1735.554</v>
      </c>
      <c r="I6568" s="16" t="n">
        <f aca="false">I6540+I6553+I6566</f>
        <v>1315.098</v>
      </c>
      <c r="J6568" s="16" t="n">
        <f aca="false">J6540+J6553+J6566</f>
        <v>1315.098</v>
      </c>
      <c r="K6568" s="16" t="n">
        <f aca="false">K6540+K6553+K6566</f>
        <v>1315.098</v>
      </c>
    </row>
    <row r="6569" customFormat="false" ht="15" hidden="false" customHeight="false" outlineLevel="0" collapsed="false">
      <c r="A6569" s="3" t="s">
        <v>324</v>
      </c>
      <c r="G6569" s="25" t="n">
        <f aca="false">G6530*Assumptions!$C$56+G6543*Assumptions!$C$57+G6556*Assumptions!$C$58</f>
        <v>0</v>
      </c>
      <c r="H6569" s="25" t="n">
        <f aca="false">H6530*Assumptions!$C$56+H6543*Assumptions!$C$57+H6556*Assumptions!$C$58</f>
        <v>0</v>
      </c>
      <c r="I6569" s="25" t="n">
        <f aca="false">I6530*Assumptions!$C$56+I6543*Assumptions!$C$57+I6556*Assumptions!$C$58</f>
        <v>420.456</v>
      </c>
      <c r="J6569" s="25" t="n">
        <f aca="false">J6530*Assumptions!$C$56+J6543*Assumptions!$C$57+J6556*Assumptions!$C$58</f>
        <v>0</v>
      </c>
      <c r="K6569" s="25" t="n">
        <f aca="false">K6530*Assumptions!$C$56+K6543*Assumptions!$C$57+K6556*Assumptions!$C$58</f>
        <v>0</v>
      </c>
    </row>
    <row r="6570" customFormat="false" ht="15" hidden="false" customHeight="false" outlineLevel="0" collapsed="false">
      <c r="A6570" s="23" t="s">
        <v>325</v>
      </c>
      <c r="B6570" s="24"/>
      <c r="C6570" s="24"/>
      <c r="D6570" s="24"/>
      <c r="E6570" s="24"/>
      <c r="F6570" s="24"/>
      <c r="G6570" s="24"/>
      <c r="H6570" s="24"/>
      <c r="I6570" s="24"/>
      <c r="J6570" s="24"/>
      <c r="K6570" s="24"/>
    </row>
    <row r="6571" customFormat="false" ht="15" hidden="false" customHeight="false" outlineLevel="0" collapsed="false">
      <c r="A6571" s="3" t="s">
        <v>326</v>
      </c>
      <c r="C6571" s="25" t="n">
        <f aca="false">SUMPRODUCT($G$6530:$K$6530,$G$6529:$K$6529-$G$6535:$K$6535+$G$6534:$K$6534)</f>
        <v>0</v>
      </c>
    </row>
    <row r="6572" customFormat="false" ht="15" hidden="false" customHeight="false" outlineLevel="0" collapsed="false">
      <c r="A6572" s="3" t="s">
        <v>327</v>
      </c>
      <c r="C6572" s="25" t="n">
        <f aca="false">SUMPRODUCT($G$6530:$K$6530,$G$6537:$K$6537)</f>
        <v>0</v>
      </c>
    </row>
    <row r="6573" customFormat="false" ht="15" hidden="false" customHeight="false" outlineLevel="0" collapsed="false">
      <c r="A6573" s="3" t="s">
        <v>328</v>
      </c>
      <c r="C6573" s="3" t="str">
        <f aca="false">IF(SUM($G$6530:$K$6530)=0,"n/a (beyond horizon)",IF(SUMPRODUCT($G$6530:$K$6530,$G$6527:$K$6527)&gt;0,"REFINANCING PASS","REFINANCING FAILURE"))</f>
        <v>n/a (beyond horizon)</v>
      </c>
    </row>
    <row r="6574" customFormat="false" ht="15" hidden="false" customHeight="false" outlineLevel="0" collapsed="false">
      <c r="A6574" s="3" t="s">
        <v>329</v>
      </c>
      <c r="C6574" s="3" t="str">
        <f aca="false">IF(SUM($G$6530:$K$6530)=0,"n/a",IF(C6572&gt;=C6571-0.001,"Repaid from cash",IF(SUMPRODUCT($G$6530:$K$6530,$G$6527:$K$6527)&gt;0,IF(C6572&gt;0,"Partly repaid; remainder refinanced","Refinanced"),IF(SUM($G$6539:$K$6539)&gt;0.001,IF(C6572&gt;0,"Partial repayment; PAYMENT DEFAULT","PAYMENT DEFAULT"),"Repaid from cash"))))</f>
        <v>n/a</v>
      </c>
    </row>
    <row r="6575" customFormat="false" ht="15" hidden="false" customHeight="false" outlineLevel="0" collapsed="false">
      <c r="A6575" s="3" t="s">
        <v>330</v>
      </c>
      <c r="C6575" s="25" t="n">
        <f aca="false">SUMPRODUCT($G$6543:$K$6543,$G$6542:$K$6542-$G$6548:$K$6548+$G$6547:$K$6547)</f>
        <v>276.706</v>
      </c>
    </row>
    <row r="6576" customFormat="false" ht="15" hidden="false" customHeight="false" outlineLevel="0" collapsed="false">
      <c r="A6576" s="3" t="s">
        <v>331</v>
      </c>
      <c r="C6576" s="25" t="n">
        <f aca="false">SUMPRODUCT($G$6543:$K$6543,$G$6550:$K$6550)</f>
        <v>276.706</v>
      </c>
    </row>
    <row r="6577" customFormat="false" ht="15" hidden="false" customHeight="false" outlineLevel="0" collapsed="false">
      <c r="A6577" s="3" t="s">
        <v>332</v>
      </c>
      <c r="C6577" s="3" t="str">
        <f aca="false">IF(SUM($G$6543:$K$6543)=0,"n/a (beyond horizon)",IF(SUMPRODUCT($G$6543:$K$6543,$G$6527:$K$6527)&gt;0,"REFINANCING PASS","REFINANCING FAILURE"))</f>
        <v>REFINANCING PASS</v>
      </c>
    </row>
    <row r="6578" customFormat="false" ht="15" hidden="false" customHeight="false" outlineLevel="0" collapsed="false">
      <c r="A6578" s="3" t="s">
        <v>333</v>
      </c>
      <c r="C6578" s="3" t="str">
        <f aca="false">IF(SUM($G$6543:$K$6543)=0,"n/a",IF(C6576&gt;=C6575-0.001,"Repaid from cash",IF(SUMPRODUCT($G$6543:$K$6543,$G$6527:$K$6527)&gt;0,IF(C6576&gt;0,"Partly repaid; remainder refinanced","Refinanced"),IF(SUM($G$6552:$K$6552)&gt;0.001,IF(C6576&gt;0,"Partial repayment; PAYMENT DEFAULT","PAYMENT DEFAULT"),"Repaid from cash"))))</f>
        <v>Repaid from cash</v>
      </c>
    </row>
    <row r="6579" customFormat="false" ht="15" hidden="false" customHeight="false" outlineLevel="0" collapsed="false">
      <c r="A6579" s="3" t="s">
        <v>334</v>
      </c>
      <c r="C6579" s="25" t="n">
        <f aca="false">SUMPRODUCT($G$6556:$K$6556,$G$6555:$K$6555-$G$6561:$K$6561+$G$6560:$K$6560)</f>
        <v>143.75</v>
      </c>
    </row>
    <row r="6580" customFormat="false" ht="15" hidden="false" customHeight="false" outlineLevel="0" collapsed="false">
      <c r="A6580" s="3" t="s">
        <v>335</v>
      </c>
      <c r="C6580" s="25" t="n">
        <f aca="false">SUMPRODUCT($G$6556:$K$6556,$G$6563:$K$6563)</f>
        <v>143.75</v>
      </c>
    </row>
    <row r="6581" customFormat="false" ht="15" hidden="false" customHeight="false" outlineLevel="0" collapsed="false">
      <c r="A6581" s="3" t="s">
        <v>336</v>
      </c>
      <c r="C6581" s="3" t="str">
        <f aca="false">IF(SUM($G$6556:$K$6556)=0,"n/a (beyond horizon)",IF(SUMPRODUCT($G$6556:$K$6556,$G$6527:$K$6527)&gt;0,"REFINANCING PASS","REFINANCING FAILURE"))</f>
        <v>REFINANCING PASS</v>
      </c>
    </row>
    <row r="6582" customFormat="false" ht="15" hidden="false" customHeight="false" outlineLevel="0" collapsed="false">
      <c r="A6582" s="3" t="s">
        <v>337</v>
      </c>
      <c r="C6582" s="3" t="str">
        <f aca="false">IF(SUM($G$6556:$K$6556)=0,"n/a",IF(C6580&gt;=C6579-0.001,"Repaid from cash",IF(SUMPRODUCT($G$6556:$K$6556,$G$6527:$K$6527)&gt;0,IF(C6580&gt;0,"Partly repaid; remainder refinanced","Refinanced"),IF(SUM($G$6565:$K$6565)&gt;0.001,IF(C6580&gt;0,"Partial repayment; PAYMENT DEFAULT","PAYMENT DEFAULT"),"Repaid from cash"))))</f>
        <v>Repaid from cash</v>
      </c>
    </row>
    <row r="6583" customFormat="false" ht="15" hidden="false" customHeight="false" outlineLevel="0" collapsed="false">
      <c r="A6583" s="3" t="s">
        <v>338</v>
      </c>
      <c r="C6583" s="20" t="n">
        <f aca="false">IF(C6573="REFINANCING FAILURE",1,0)+IF(C6577="REFINANCING FAILURE",1,0)+IF(C6581="REFINANCING FAILURE",1,0)</f>
        <v>0</v>
      </c>
    </row>
    <row r="6585" customFormat="false" ht="15" hidden="false" customHeight="false" outlineLevel="0" collapsed="false">
      <c r="A6585" s="23" t="s">
        <v>340</v>
      </c>
      <c r="B6585" s="24"/>
      <c r="C6585" s="24"/>
      <c r="D6585" s="24"/>
      <c r="E6585" s="24"/>
      <c r="F6585" s="24"/>
      <c r="G6585" s="24"/>
      <c r="H6585" s="24"/>
      <c r="I6585" s="24"/>
      <c r="J6585" s="24"/>
      <c r="K6585" s="24"/>
    </row>
    <row r="6586" customFormat="false" ht="15" hidden="false" customHeight="false" outlineLevel="0" collapsed="false">
      <c r="A6586" s="3" t="s">
        <v>305</v>
      </c>
      <c r="G6586" s="25" t="n">
        <f aca="false">F6598</f>
        <v>463.996</v>
      </c>
      <c r="H6586" s="25" t="n">
        <f aca="false">G6598</f>
        <v>589.86335403</v>
      </c>
      <c r="I6586" s="25" t="n">
        <f aca="false">H6598</f>
        <v>706.0173737988</v>
      </c>
      <c r="J6586" s="25" t="n">
        <f aca="false">I6598</f>
        <v>390.575377766904</v>
      </c>
      <c r="K6586" s="25" t="n">
        <f aca="false">J6598</f>
        <v>499.440625970316</v>
      </c>
    </row>
    <row r="6587" customFormat="false" ht="15" hidden="false" customHeight="false" outlineLevel="0" collapsed="false">
      <c r="A6587" s="3" t="s">
        <v>341</v>
      </c>
      <c r="G6587" s="25" t="n">
        <f aca="false">G6516</f>
        <v>125.86735403</v>
      </c>
      <c r="H6587" s="25" t="n">
        <f aca="false">H6516</f>
        <v>116.1540197688</v>
      </c>
      <c r="I6587" s="25" t="n">
        <f aca="false">I6516</f>
        <v>105.014003968104</v>
      </c>
      <c r="J6587" s="25" t="n">
        <f aca="false">J6516</f>
        <v>108.865248203412</v>
      </c>
      <c r="K6587" s="25" t="n">
        <f aca="false">K6516</f>
        <v>99.6877228787792</v>
      </c>
    </row>
    <row r="6588" customFormat="false" ht="15" hidden="false" customHeight="false" outlineLevel="0" collapsed="false">
      <c r="A6588" s="3" t="s">
        <v>342</v>
      </c>
      <c r="G6588" s="25" t="n">
        <f aca="false">CHOOSE($C$6486,Assumptions!$G$74,Assumptions!$G$93,Assumptions!$G$112)</f>
        <v>0</v>
      </c>
      <c r="H6588" s="25" t="n">
        <f aca="false">CHOOSE($C$6486,Assumptions!$H$74,Assumptions!$H$93,Assumptions!$H$112)</f>
        <v>0</v>
      </c>
      <c r="I6588" s="25" t="n">
        <f aca="false">CHOOSE($C$6486,Assumptions!$I$74,Assumptions!$I$93,Assumptions!$I$112)</f>
        <v>0</v>
      </c>
      <c r="J6588" s="25" t="n">
        <f aca="false">CHOOSE($C$6486,Assumptions!$J$74,Assumptions!$J$93,Assumptions!$J$112)</f>
        <v>0</v>
      </c>
      <c r="K6588" s="25" t="n">
        <f aca="false">CHOOSE($C$6486,Assumptions!$K$74,Assumptions!$K$93,Assumptions!$K$112)</f>
        <v>0</v>
      </c>
    </row>
    <row r="6589" customFormat="false" ht="15" hidden="false" customHeight="false" outlineLevel="0" collapsed="false">
      <c r="A6589" s="3" t="s">
        <v>343</v>
      </c>
      <c r="G6589" s="25" t="n">
        <f aca="false">G6535+G6548+G6561</f>
        <v>0</v>
      </c>
      <c r="H6589" s="25" t="n">
        <f aca="false">H6535+H6548+H6561</f>
        <v>0</v>
      </c>
      <c r="I6589" s="25" t="n">
        <f aca="false">I6535+I6548+I6561</f>
        <v>0</v>
      </c>
      <c r="J6589" s="25" t="n">
        <f aca="false">J6535+J6548+J6561</f>
        <v>0</v>
      </c>
      <c r="K6589" s="25" t="n">
        <f aca="false">K6535+K6548+K6561</f>
        <v>0</v>
      </c>
    </row>
    <row r="6590" customFormat="false" ht="15" hidden="false" customHeight="false" outlineLevel="0" collapsed="false">
      <c r="A6590" s="2" t="s">
        <v>344</v>
      </c>
      <c r="G6590" s="16" t="n">
        <f aca="false">G6586+G6587+G6588-G6589</f>
        <v>589.86335403</v>
      </c>
      <c r="H6590" s="16" t="n">
        <f aca="false">H6586+H6587+H6588-H6589</f>
        <v>706.0173737988</v>
      </c>
      <c r="I6590" s="16" t="n">
        <f aca="false">I6586+I6587+I6588-I6589</f>
        <v>811.031377766904</v>
      </c>
      <c r="J6590" s="16" t="n">
        <f aca="false">J6586+J6587+J6588-J6589</f>
        <v>499.440625970316</v>
      </c>
      <c r="K6590" s="16" t="n">
        <f aca="false">K6586+K6587+K6588-K6589</f>
        <v>599.128348849095</v>
      </c>
    </row>
    <row r="6591" customFormat="false" ht="15" hidden="false" customHeight="false" outlineLevel="0" collapsed="false">
      <c r="A6591" s="3" t="s">
        <v>345</v>
      </c>
      <c r="G6591" s="25" t="n">
        <f aca="false">G6536+G6549+G6562</f>
        <v>0</v>
      </c>
      <c r="H6591" s="25" t="n">
        <f aca="false">H6536+H6549+H6562</f>
        <v>0</v>
      </c>
      <c r="I6591" s="25" t="n">
        <f aca="false">I6536+I6549+I6562</f>
        <v>0</v>
      </c>
      <c r="J6591" s="25" t="n">
        <f aca="false">J6536+J6549+J6562</f>
        <v>0</v>
      </c>
      <c r="K6591" s="25" t="n">
        <f aca="false">K6536+K6549+K6562</f>
        <v>0</v>
      </c>
    </row>
    <row r="6592" customFormat="false" ht="15" hidden="false" customHeight="false" outlineLevel="0" collapsed="false">
      <c r="A6592" s="2" t="s">
        <v>346</v>
      </c>
      <c r="G6592" s="16" t="n">
        <f aca="false">G6590+G6591</f>
        <v>589.86335403</v>
      </c>
      <c r="H6592" s="16" t="n">
        <f aca="false">H6590+H6591</f>
        <v>706.0173737988</v>
      </c>
      <c r="I6592" s="16" t="n">
        <f aca="false">I6590+I6591</f>
        <v>811.031377766904</v>
      </c>
      <c r="J6592" s="16" t="n">
        <f aca="false">J6590+J6591</f>
        <v>499.440625970316</v>
      </c>
      <c r="K6592" s="16" t="n">
        <f aca="false">K6590+K6591</f>
        <v>599.128348849095</v>
      </c>
    </row>
    <row r="6593" customFormat="false" ht="15" hidden="false" customHeight="false" outlineLevel="0" collapsed="false">
      <c r="A6593" s="3" t="s">
        <v>347</v>
      </c>
      <c r="G6593" s="25" t="n">
        <f aca="false">G6537+G6550+G6563</f>
        <v>0</v>
      </c>
      <c r="H6593" s="25" t="n">
        <f aca="false">H6537+H6550+H6563</f>
        <v>0</v>
      </c>
      <c r="I6593" s="25" t="n">
        <f aca="false">I6537+I6550+I6563</f>
        <v>420.456</v>
      </c>
      <c r="J6593" s="25" t="n">
        <f aca="false">J6537+J6550+J6563</f>
        <v>0</v>
      </c>
      <c r="K6593" s="25" t="n">
        <f aca="false">K6537+K6550+K6563</f>
        <v>0</v>
      </c>
    </row>
    <row r="6594" customFormat="false" ht="15" hidden="false" customHeight="false" outlineLevel="0" collapsed="false">
      <c r="A6594" s="2" t="s">
        <v>348</v>
      </c>
      <c r="G6594" s="16" t="n">
        <f aca="false">G6592-G6593</f>
        <v>589.86335403</v>
      </c>
      <c r="H6594" s="16" t="n">
        <f aca="false">H6592-H6593</f>
        <v>706.0173737988</v>
      </c>
      <c r="I6594" s="16" t="n">
        <f aca="false">I6592-I6593</f>
        <v>390.575377766904</v>
      </c>
      <c r="J6594" s="16" t="n">
        <f aca="false">J6592-J6593</f>
        <v>499.440625970316</v>
      </c>
      <c r="K6594" s="16" t="n">
        <f aca="false">K6592-K6593</f>
        <v>599.128348849095</v>
      </c>
    </row>
    <row r="6595" customFormat="false" ht="15" hidden="false" customHeight="false" outlineLevel="0" collapsed="false">
      <c r="A6595" s="3" t="s">
        <v>349</v>
      </c>
      <c r="G6595" s="25" t="n">
        <f aca="false">MAX(0,-G6594)</f>
        <v>0</v>
      </c>
      <c r="H6595" s="25" t="n">
        <f aca="false">MAX(0,-H6594)</f>
        <v>0</v>
      </c>
      <c r="I6595" s="25" t="n">
        <f aca="false">MAX(0,-I6594)</f>
        <v>0</v>
      </c>
      <c r="J6595" s="25" t="n">
        <f aca="false">MAX(0,-J6594)</f>
        <v>0</v>
      </c>
      <c r="K6595" s="25" t="n">
        <f aca="false">MAX(0,-K6594)</f>
        <v>0</v>
      </c>
    </row>
    <row r="6596" customFormat="false" ht="15" hidden="false" customHeight="false" outlineLevel="0" collapsed="false">
      <c r="A6596" s="3" t="s">
        <v>350</v>
      </c>
      <c r="G6596" s="25" t="n">
        <f aca="false">MAX(0,G6594-Assumptions!$C$12)*Assumptions!$C$13</f>
        <v>0</v>
      </c>
      <c r="H6596" s="25" t="n">
        <f aca="false">MAX(0,H6594-Assumptions!$C$12)*Assumptions!$C$13</f>
        <v>0</v>
      </c>
      <c r="I6596" s="25" t="n">
        <f aca="false">MAX(0,I6594-Assumptions!$C$12)*Assumptions!$C$13</f>
        <v>0</v>
      </c>
      <c r="J6596" s="25" t="n">
        <f aca="false">MAX(0,J6594-Assumptions!$C$12)*Assumptions!$C$13</f>
        <v>0</v>
      </c>
      <c r="K6596" s="25" t="n">
        <f aca="false">MAX(0,K6594-Assumptions!$C$12)*Assumptions!$C$13</f>
        <v>0</v>
      </c>
    </row>
    <row r="6597" customFormat="false" ht="15" hidden="false" customHeight="false" outlineLevel="0" collapsed="false">
      <c r="A6597" s="3" t="s">
        <v>351</v>
      </c>
      <c r="G6597" s="25" t="n">
        <f aca="false">G6538+G6551+G6564</f>
        <v>0</v>
      </c>
      <c r="H6597" s="25" t="n">
        <f aca="false">H6538+H6551+H6564</f>
        <v>0</v>
      </c>
      <c r="I6597" s="25" t="n">
        <f aca="false">I6538+I6551+I6564</f>
        <v>0</v>
      </c>
      <c r="J6597" s="25" t="n">
        <f aca="false">J6538+J6551+J6564</f>
        <v>0</v>
      </c>
      <c r="K6597" s="25" t="n">
        <f aca="false">K6538+K6551+K6564</f>
        <v>0</v>
      </c>
    </row>
    <row r="6598" customFormat="false" ht="15" hidden="false" customHeight="false" outlineLevel="0" collapsed="false">
      <c r="A6598" s="2" t="s">
        <v>352</v>
      </c>
      <c r="F6598" s="28" t="n">
        <f aca="false">Assumptions!$C$11</f>
        <v>463.996</v>
      </c>
      <c r="G6598" s="16" t="n">
        <f aca="false">G6594-G6597</f>
        <v>589.86335403</v>
      </c>
      <c r="H6598" s="16" t="n">
        <f aca="false">H6594-H6597</f>
        <v>706.0173737988</v>
      </c>
      <c r="I6598" s="16" t="n">
        <f aca="false">I6594-I6597</f>
        <v>390.575377766904</v>
      </c>
      <c r="J6598" s="16" t="n">
        <f aca="false">J6594-J6597</f>
        <v>499.440625970316</v>
      </c>
      <c r="K6598" s="16" t="n">
        <f aca="false">K6594-K6597</f>
        <v>599.128348849095</v>
      </c>
    </row>
    <row r="6599" customFormat="false" ht="15" hidden="false" customHeight="false" outlineLevel="0" collapsed="false">
      <c r="A6599" s="3" t="s">
        <v>353</v>
      </c>
      <c r="G6599" s="25" t="n">
        <f aca="false">G6539+G6552+G6565</f>
        <v>0</v>
      </c>
      <c r="H6599" s="25" t="n">
        <f aca="false">H6539+H6552+H6565</f>
        <v>0</v>
      </c>
      <c r="I6599" s="25" t="n">
        <f aca="false">I6539+I6552+I6565</f>
        <v>0</v>
      </c>
      <c r="J6599" s="25" t="n">
        <f aca="false">J6539+J6552+J6565</f>
        <v>0</v>
      </c>
      <c r="K6599" s="25" t="n">
        <f aca="false">K6539+K6552+K6565</f>
        <v>0</v>
      </c>
    </row>
    <row r="6600" customFormat="false" ht="15" hidden="false" customHeight="false" outlineLevel="0" collapsed="false">
      <c r="A6600" s="3" t="s">
        <v>354</v>
      </c>
      <c r="G6600" s="20" t="n">
        <f aca="false">IF(OR(G6595&gt;0.001,G6599&gt;0.001),1,0)</f>
        <v>0</v>
      </c>
      <c r="H6600" s="20" t="n">
        <f aca="false">IF(OR(H6595&gt;0.001,H6599&gt;0.001),1,0)</f>
        <v>0</v>
      </c>
      <c r="I6600" s="20" t="n">
        <f aca="false">IF(OR(I6595&gt;0.001,I6599&gt;0.001),1,0)</f>
        <v>0</v>
      </c>
      <c r="J6600" s="20" t="n">
        <f aca="false">IF(OR(J6595&gt;0.001,J6599&gt;0.001),1,0)</f>
        <v>0</v>
      </c>
      <c r="K6600" s="20" t="n">
        <f aca="false">IF(OR(K6595&gt;0.001,K6599&gt;0.001),1,0)</f>
        <v>0</v>
      </c>
    </row>
    <row r="6601" customFormat="false" ht="15" hidden="false" customHeight="false" outlineLevel="0" collapsed="false">
      <c r="A6601" s="3" t="s">
        <v>355</v>
      </c>
      <c r="G6601" s="20" t="n">
        <f aca="false">IF(G6600=1,1,0)</f>
        <v>0</v>
      </c>
      <c r="H6601" s="20" t="n">
        <f aca="false">IF(AND(H6600=1,SUM($G$6600:G6600)=0),1,0)</f>
        <v>0</v>
      </c>
      <c r="I6601" s="20" t="n">
        <f aca="false">IF(AND(I6600=1,SUM($G$6600:H6600)=0),1,0)</f>
        <v>0</v>
      </c>
      <c r="J6601" s="20" t="n">
        <f aca="false">IF(AND(J6600=1,SUM($G$6600:I6600)=0),1,0)</f>
        <v>0</v>
      </c>
      <c r="K6601" s="20" t="n">
        <f aca="false">IF(AND(K6600=1,SUM($G$6600:J6600)=0),1,0)</f>
        <v>0</v>
      </c>
    </row>
    <row r="6602" customFormat="false" ht="15" hidden="false" customHeight="false" outlineLevel="0" collapsed="false">
      <c r="A6602" s="3" t="s">
        <v>356</v>
      </c>
      <c r="G6602" s="25" t="n">
        <f aca="false">(G6568-F6568)-(G6591+G6508-G6589-G6593-G6597)</f>
        <v>0</v>
      </c>
      <c r="H6602" s="25" t="n">
        <f aca="false">(H6568-G6568)-(H6591+H6508-H6589-H6593-H6597)</f>
        <v>0</v>
      </c>
      <c r="I6602" s="25" t="n">
        <f aca="false">(I6568-H6568)-(I6591+I6508-I6589-I6593-I6597)</f>
        <v>0</v>
      </c>
      <c r="J6602" s="25" t="n">
        <f aca="false">(J6568-I6568)-(J6591+J6508-J6589-J6593-J6597)</f>
        <v>0</v>
      </c>
      <c r="K6602" s="25" t="n">
        <f aca="false">(K6568-J6568)-(K6591+K6508-K6589-K6593-K6597)</f>
        <v>0</v>
      </c>
    </row>
    <row r="6604" customFormat="false" ht="15" hidden="false" customHeight="false" outlineLevel="0" collapsed="false">
      <c r="A6604" s="23" t="s">
        <v>358</v>
      </c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</row>
    <row r="6605" customFormat="false" ht="15" hidden="false" customHeight="false" outlineLevel="0" collapsed="false">
      <c r="A6605" s="3" t="s">
        <v>359</v>
      </c>
      <c r="G6605" s="25" t="n">
        <f aca="false">G6568</f>
        <v>1735.554</v>
      </c>
      <c r="H6605" s="25" t="n">
        <f aca="false">H6568</f>
        <v>1735.554</v>
      </c>
      <c r="I6605" s="25" t="n">
        <f aca="false">I6568</f>
        <v>1315.098</v>
      </c>
      <c r="J6605" s="25" t="n">
        <f aca="false">J6568</f>
        <v>1315.098</v>
      </c>
      <c r="K6605" s="25" t="n">
        <f aca="false">K6568</f>
        <v>1315.098</v>
      </c>
    </row>
    <row r="6606" customFormat="false" ht="15" hidden="false" customHeight="false" outlineLevel="0" collapsed="false">
      <c r="A6606" s="3" t="s">
        <v>360</v>
      </c>
      <c r="G6606" s="25" t="n">
        <f aca="false">Assumptions!$O$56*G6540+Assumptions!$O$57*G6553+Assumptions!$O$58*G6566</f>
        <v>1315.098</v>
      </c>
      <c r="H6606" s="25" t="n">
        <f aca="false">Assumptions!$O$56*H6540+Assumptions!$O$57*H6553+Assumptions!$O$58*H6566</f>
        <v>1315.098</v>
      </c>
      <c r="I6606" s="25" t="n">
        <f aca="false">Assumptions!$O$56*I6540+Assumptions!$O$57*I6553+Assumptions!$O$58*I6566</f>
        <v>1315.098</v>
      </c>
      <c r="J6606" s="25" t="n">
        <f aca="false">Assumptions!$O$56*J6540+Assumptions!$O$57*J6553+Assumptions!$O$58*J6566</f>
        <v>1315.098</v>
      </c>
      <c r="K6606" s="25" t="n">
        <f aca="false">Assumptions!$O$56*K6540+Assumptions!$O$57*K6553+Assumptions!$O$58*K6566</f>
        <v>1315.098</v>
      </c>
    </row>
    <row r="6607" customFormat="false" ht="15" hidden="false" customHeight="false" outlineLevel="0" collapsed="false">
      <c r="A6607" s="3" t="s">
        <v>361</v>
      </c>
      <c r="G6607" s="25" t="n">
        <f aca="false">G6605-G6598</f>
        <v>1145.69064597</v>
      </c>
      <c r="H6607" s="25" t="n">
        <f aca="false">H6605-H6598</f>
        <v>1029.5366262012</v>
      </c>
      <c r="I6607" s="25" t="n">
        <f aca="false">I6605-I6598</f>
        <v>924.522622233096</v>
      </c>
      <c r="J6607" s="25" t="n">
        <f aca="false">J6605-J6598</f>
        <v>815.657374029684</v>
      </c>
      <c r="K6607" s="25" t="n">
        <f aca="false">K6605-K6598</f>
        <v>715.969651150905</v>
      </c>
    </row>
    <row r="6608" customFormat="false" ht="15" hidden="false" customHeight="false" outlineLevel="0" collapsed="false">
      <c r="A6608" s="3" t="s">
        <v>362</v>
      </c>
      <c r="G6608" s="32" t="n">
        <f aca="false">IF(G6503&gt;0,G6605/G6503,0)</f>
        <v>5.77916207762031</v>
      </c>
      <c r="H6608" s="32" t="n">
        <f aca="false">IF(H6503&gt;0,H6605/H6503,0)</f>
        <v>6.01996049752115</v>
      </c>
      <c r="I6608" s="32" t="n">
        <f aca="false">IF(I6503&gt;0,I6605/I6503,0)</f>
        <v>4.79551511119407</v>
      </c>
      <c r="J6608" s="32" t="n">
        <f aca="false">IF(J6503&gt;0,J6605/J6503,0)</f>
        <v>5.01653339406293</v>
      </c>
      <c r="K6608" s="32" t="n">
        <f aca="false">IF(K6503&gt;0,K6605/K6503,0)</f>
        <v>5.2488732235156</v>
      </c>
    </row>
    <row r="6609" customFormat="false" ht="15" hidden="false" customHeight="false" outlineLevel="0" collapsed="false">
      <c r="A6609" s="3" t="s">
        <v>363</v>
      </c>
      <c r="G6609" s="32" t="n">
        <f aca="false">IF(G6503&gt;0,G6607/G6503,0)</f>
        <v>3.81499621093561</v>
      </c>
      <c r="H6609" s="32" t="n">
        <f aca="false">IF(H6503&gt;0,H6607/H6503,0)</f>
        <v>3.57106135590274</v>
      </c>
      <c r="I6609" s="32" t="n">
        <f aca="false">IF(I6503&gt;0,I6607/I6503,0)</f>
        <v>3.37127895073947</v>
      </c>
      <c r="J6609" s="32" t="n">
        <f aca="false">IF(J6503&gt;0,J6607/J6503,0)</f>
        <v>3.11138215930188</v>
      </c>
      <c r="K6609" s="32" t="n">
        <f aca="false">IF(K6503&gt;0,K6607/K6503,0)</f>
        <v>2.85760751729209</v>
      </c>
    </row>
    <row r="6610" customFormat="false" ht="15" hidden="false" customHeight="false" outlineLevel="0" collapsed="false">
      <c r="A6610" s="3" t="s">
        <v>364</v>
      </c>
      <c r="G6610" s="32" t="n">
        <f aca="false">IF(G6507&gt;0,G6503/G6507,0)</f>
        <v>1.92563899625449</v>
      </c>
      <c r="H6610" s="32" t="n">
        <f aca="false">IF(H6507&gt;0,H6503/H6507,0)</f>
        <v>1.84861343640431</v>
      </c>
      <c r="I6610" s="32" t="n">
        <f aca="false">IF(I6507&gt;0,I6503/I6507,0)</f>
        <v>1.75842750947116</v>
      </c>
      <c r="J6610" s="32" t="n">
        <f aca="false">IF(J6507&gt;0,J6503/J6507,0)</f>
        <v>1.89848422719182</v>
      </c>
      <c r="K6610" s="32" t="n">
        <f aca="false">IF(K6507&gt;0,K6503/K6507,0)</f>
        <v>1.81444838125289</v>
      </c>
    </row>
    <row r="6611" customFormat="false" ht="15" hidden="false" customHeight="false" outlineLevel="0" collapsed="false">
      <c r="A6611" s="3" t="s">
        <v>365</v>
      </c>
      <c r="G6611" s="32" t="n">
        <f aca="false">IF(G6507&gt;0,G6506/G6507,0)</f>
        <v>1.25417683356324</v>
      </c>
      <c r="H6611" s="32" t="n">
        <f aca="false">IF(H6507&gt;0,H6506/H6507,0)</f>
        <v>1.20400976022071</v>
      </c>
      <c r="I6611" s="32" t="n">
        <f aca="false">IF(I6507&gt;0,I6506/I6507,0)</f>
        <v>1.13638496195398</v>
      </c>
      <c r="J6611" s="32" t="n">
        <f aca="false">IF(J6507&gt;0,J6506/J6507,0)</f>
        <v>1.21702042306555</v>
      </c>
      <c r="K6611" s="32" t="n">
        <f aca="false">IF(K6507&gt;0,K6506/K6507,0)</f>
        <v>1.1534284912504</v>
      </c>
    </row>
    <row r="6612" customFormat="false" ht="15" hidden="false" customHeight="false" outlineLevel="0" collapsed="false">
      <c r="A6612" s="3" t="s">
        <v>198</v>
      </c>
      <c r="G6612" s="21" t="n">
        <f aca="false">IF(G6605&gt;0,G6516/G6605,0)</f>
        <v>0.0725228682196002</v>
      </c>
      <c r="H6612" s="21" t="n">
        <f aca="false">IF(H6605&gt;0,H6516/H6605,0)</f>
        <v>0.0669261917340515</v>
      </c>
      <c r="I6612" s="21" t="n">
        <f aca="false">IF(I6605&gt;0,I6516/I6605,0)</f>
        <v>0.0798526071578726</v>
      </c>
      <c r="J6612" s="21" t="n">
        <f aca="false">IF(J6605&gt;0,J6516/J6605,0)</f>
        <v>0.0827810917539313</v>
      </c>
      <c r="K6612" s="21" t="n">
        <f aca="false">IF(K6605&gt;0,K6516/K6605,0)</f>
        <v>0.0758025051203631</v>
      </c>
    </row>
    <row r="6613" customFormat="false" ht="15" hidden="false" customHeight="false" outlineLevel="0" collapsed="false">
      <c r="A6613" s="3" t="s">
        <v>366</v>
      </c>
      <c r="G6613" s="32" t="n">
        <f aca="false">IF(G6507+G6589&gt;0,(G6503-G6514-G6511)/(G6507+G6589),0)</f>
        <v>1.66953088823823</v>
      </c>
      <c r="H6613" s="32" t="n">
        <f aca="false">IF(H6507+H6589&gt;0,(H6503-H6514-H6511)/(H6507+H6589),0)</f>
        <v>1.6127496527087</v>
      </c>
      <c r="I6613" s="32" t="n">
        <f aca="false">IF(I6507+I6589&gt;0,(I6503-I6514-I6511)/(I6507+I6589),0)</f>
        <v>1.54594007236964</v>
      </c>
      <c r="J6613" s="32" t="n">
        <f aca="false">IF(J6507+J6589&gt;0,(J6503-J6514-J6511)/(J6507+J6589),0)</f>
        <v>1.64879692156745</v>
      </c>
      <c r="K6613" s="32" t="n">
        <f aca="false">IF(K6507+K6589&gt;0,(K6503-K6514-K6511)/(K6507+K6589),0)</f>
        <v>1.58652202457805</v>
      </c>
    </row>
    <row r="6614" customFormat="false" ht="15" hidden="false" customHeight="false" outlineLevel="0" collapsed="false">
      <c r="A6614" s="3" t="s">
        <v>367</v>
      </c>
      <c r="G6614" s="25" t="n">
        <f aca="false">MAX(0,G6598)+Assumptions!$P$56*MAX(0,Assumptions!$D$56-G6540)+Assumptions!$P$57*MAX(0,Assumptions!$D$57-G6553)+Assumptions!$P$58*MAX(0,Assumptions!$D$58-G6566)</f>
        <v>589.86335403</v>
      </c>
      <c r="H6614" s="25" t="n">
        <f aca="false">MAX(0,H6598)+Assumptions!$P$56*MAX(0,Assumptions!$D$56-H6540)+Assumptions!$P$57*MAX(0,Assumptions!$D$57-H6553)+Assumptions!$P$58*MAX(0,Assumptions!$D$58-H6566)</f>
        <v>706.0173737988</v>
      </c>
      <c r="I6614" s="25" t="n">
        <f aca="false">MAX(0,I6598)+Assumptions!$P$56*MAX(0,Assumptions!$D$56-I6540)+Assumptions!$P$57*MAX(0,Assumptions!$D$57-I6553)+Assumptions!$P$58*MAX(0,Assumptions!$D$58-I6566)</f>
        <v>390.575377766904</v>
      </c>
      <c r="J6614" s="25" t="n">
        <f aca="false">MAX(0,J6598)+Assumptions!$P$56*MAX(0,Assumptions!$D$56-J6540)+Assumptions!$P$57*MAX(0,Assumptions!$D$57-J6553)+Assumptions!$P$58*MAX(0,Assumptions!$D$58-J6566)</f>
        <v>499.440625970316</v>
      </c>
      <c r="K6614" s="25" t="n">
        <f aca="false">MAX(0,K6598)+Assumptions!$P$56*MAX(0,Assumptions!$D$56-K6540)+Assumptions!$P$57*MAX(0,Assumptions!$D$57-K6553)+Assumptions!$P$58*MAX(0,Assumptions!$D$58-K6566)</f>
        <v>599.128348849095</v>
      </c>
    </row>
    <row r="6615" customFormat="false" ht="15" hidden="false" customHeight="false" outlineLevel="0" collapsed="false">
      <c r="A6615" s="3" t="s">
        <v>368</v>
      </c>
      <c r="G6615" s="21" t="n">
        <f aca="false">IF(G6605&gt;0,G6605/(G6605+MAX(0,G6503*CHOOSE($C$6486,Assumptions!$C$82,Assumptions!$C$101,Assumptions!$C$120)-G6607)),0)</f>
        <v>0.774254240974845</v>
      </c>
      <c r="H6615" s="21" t="n">
        <f aca="false">IF(H6605&gt;0,H6605/(H6605+MAX(0,H6503*CHOOSE($C$6486,Assumptions!$C$82,Assumptions!$C$101,Assumptions!$C$120)-H6607)),0)</f>
        <v>0.757332605467614</v>
      </c>
      <c r="I6615" s="21" t="n">
        <f aca="false">IF(I6605&gt;0,I6605/(I6605+MAX(0,I6503*CHOOSE($C$6486,Assumptions!$C$82,Assumptions!$C$101,Assumptions!$C$120)-I6607)),0)</f>
        <v>0.692569548476987</v>
      </c>
      <c r="J6615" s="21" t="n">
        <f aca="false">IF(J6605&gt;0,J6605/(J6605+MAX(0,J6503*CHOOSE($C$6486,Assumptions!$C$82,Assumptions!$C$101,Assumptions!$C$120)-J6607)),0)</f>
        <v>0.677438344609961</v>
      </c>
      <c r="K6615" s="21" t="n">
        <f aca="false">IF(K6605&gt;0,K6605/(K6605+MAX(0,K6503*CHOOSE($C$6486,Assumptions!$C$82,Assumptions!$C$101,Assumptions!$C$120)-K6607)),0)</f>
        <v>0.665149726155595</v>
      </c>
    </row>
    <row r="6616" customFormat="false" ht="15" hidden="false" customHeight="false" outlineLevel="0" collapsed="false">
      <c r="A6616" s="3" t="s">
        <v>369</v>
      </c>
      <c r="G6616" s="21" t="n">
        <f aca="false">IF(G6605&gt;0,MAX(0,G6598)/G6605,0)</f>
        <v>0.339870354958705</v>
      </c>
      <c r="H6616" s="21" t="n">
        <f aca="false">IF(H6605&gt;0,MAX(0,H6598)/H6605,0)</f>
        <v>0.406796546692756</v>
      </c>
      <c r="I6616" s="21" t="n">
        <f aca="false">IF(I6605&gt;0,MAX(0,I6598)/I6605,0)</f>
        <v>0.296993363055</v>
      </c>
      <c r="J6616" s="21" t="n">
        <f aca="false">IF(J6605&gt;0,MAX(0,J6598)/J6605,0)</f>
        <v>0.379774454808931</v>
      </c>
      <c r="K6616" s="21" t="n">
        <f aca="false">IF(K6605&gt;0,MAX(0,K6598)/K6605,0)</f>
        <v>0.455576959929294</v>
      </c>
    </row>
    <row r="6617" customFormat="false" ht="15" hidden="false" customHeight="false" outlineLevel="0" collapsed="false">
      <c r="A6617" s="3" t="s">
        <v>370</v>
      </c>
      <c r="G6617" s="25" t="n">
        <f aca="false">Assumptions!$C$30*(1-CHOOSE($C$6486,Assumptions!$C$85,Assumptions!$C$104,Assumptions!$C$123))</f>
        <v>2454.971</v>
      </c>
      <c r="H6617" s="25" t="n">
        <f aca="false">Assumptions!$C$30*(1-CHOOSE($C$6486,Assumptions!$C$85,Assumptions!$C$104,Assumptions!$C$123))</f>
        <v>2454.971</v>
      </c>
      <c r="I6617" s="25" t="n">
        <f aca="false">Assumptions!$C$30*(1-CHOOSE($C$6486,Assumptions!$C$85,Assumptions!$C$104,Assumptions!$C$123))</f>
        <v>2454.971</v>
      </c>
      <c r="J6617" s="25" t="n">
        <f aca="false">Assumptions!$C$30*(1-CHOOSE($C$6486,Assumptions!$C$85,Assumptions!$C$104,Assumptions!$C$123))</f>
        <v>2454.971</v>
      </c>
      <c r="K6617" s="25" t="n">
        <f aca="false">Assumptions!$C$30*(1-CHOOSE($C$6486,Assumptions!$C$85,Assumptions!$C$104,Assumptions!$C$123))</f>
        <v>2454.971</v>
      </c>
    </row>
    <row r="6618" customFormat="false" ht="15" hidden="false" customHeight="false" outlineLevel="0" collapsed="false">
      <c r="A6618" s="23" t="s">
        <v>371</v>
      </c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</row>
    <row r="6619" customFormat="false" ht="15" hidden="false" customHeight="false" outlineLevel="0" collapsed="false">
      <c r="A6619" s="23" t="s">
        <v>372</v>
      </c>
      <c r="B6619" s="24"/>
      <c r="C6619" s="24"/>
      <c r="D6619" s="24"/>
      <c r="E6619" s="24"/>
      <c r="F6619" s="24"/>
      <c r="G6619" s="24"/>
      <c r="H6619" s="24"/>
      <c r="I6619" s="24"/>
      <c r="J6619" s="24"/>
      <c r="K6619" s="24"/>
    </row>
    <row r="6620" customFormat="false" ht="15" hidden="false" customHeight="false" outlineLevel="0" collapsed="false">
      <c r="A6620" s="3" t="s">
        <v>373</v>
      </c>
      <c r="G6620" s="32" t="n">
        <f aca="false">IF(G6503&gt;0,G6607/G6503,99)</f>
        <v>3.81499621093561</v>
      </c>
      <c r="H6620" s="32" t="n">
        <f aca="false">IF(H6503&gt;0,H6607/H6503,99)</f>
        <v>3.57106135590274</v>
      </c>
      <c r="I6620" s="32" t="n">
        <f aca="false">IF(I6503&gt;0,I6607/I6503,99)</f>
        <v>3.37127895073947</v>
      </c>
      <c r="J6620" s="32" t="n">
        <f aca="false">IF(J6503&gt;0,J6607/J6503,99)</f>
        <v>3.11138215930188</v>
      </c>
      <c r="K6620" s="32" t="n">
        <f aca="false">IF(K6503&gt;0,K6607/K6503,99)</f>
        <v>2.85760751729209</v>
      </c>
    </row>
    <row r="6621" customFormat="false" ht="15" hidden="false" customHeight="false" outlineLevel="0" collapsed="false">
      <c r="A6621" s="3" t="s">
        <v>374</v>
      </c>
      <c r="G6621" s="33" t="n">
        <f aca="false">Assumptions!$G$65</f>
        <v>5.25</v>
      </c>
      <c r="H6621" s="33" t="n">
        <f aca="false">Assumptions!$H$65</f>
        <v>5.25</v>
      </c>
      <c r="I6621" s="33" t="n">
        <f aca="false">Assumptions!$I$65</f>
        <v>5</v>
      </c>
      <c r="J6621" s="33" t="n">
        <f aca="false">Assumptions!$J$65</f>
        <v>5</v>
      </c>
      <c r="K6621" s="33" t="n">
        <f aca="false">Assumptions!$K$65</f>
        <v>5</v>
      </c>
    </row>
    <row r="6622" customFormat="false" ht="15" hidden="false" customHeight="false" outlineLevel="0" collapsed="false">
      <c r="A6622" s="3" t="s">
        <v>375</v>
      </c>
      <c r="G6622" s="32" t="n">
        <f aca="false">G6621-G6620</f>
        <v>1.43500378906439</v>
      </c>
      <c r="H6622" s="32" t="n">
        <f aca="false">H6621-H6620</f>
        <v>1.67893864409726</v>
      </c>
      <c r="I6622" s="32" t="n">
        <f aca="false">I6621-I6620</f>
        <v>1.62872104926053</v>
      </c>
      <c r="J6622" s="32" t="n">
        <f aca="false">J6621-J6620</f>
        <v>1.88861784069812</v>
      </c>
      <c r="K6622" s="32" t="n">
        <f aca="false">K6621-K6620</f>
        <v>2.14239248270791</v>
      </c>
    </row>
    <row r="6623" customFormat="false" ht="15" hidden="false" customHeight="false" outlineLevel="0" collapsed="false">
      <c r="A6623" s="3" t="s">
        <v>376</v>
      </c>
      <c r="G6623" s="21" t="n">
        <f aca="false">IF(G6621=0,0,G6622/ABS(G6621))</f>
        <v>0.273334055059884</v>
      </c>
      <c r="H6623" s="21" t="n">
        <f aca="false">IF(H6621=0,0,H6622/ABS(H6621))</f>
        <v>0.319797836970907</v>
      </c>
      <c r="I6623" s="21" t="n">
        <f aca="false">IF(I6621=0,0,I6622/ABS(I6621))</f>
        <v>0.325744209852106</v>
      </c>
      <c r="J6623" s="21" t="n">
        <f aca="false">IF(J6621=0,0,J6622/ABS(J6621))</f>
        <v>0.377723568139623</v>
      </c>
      <c r="K6623" s="21" t="n">
        <f aca="false">IF(K6621=0,0,K6622/ABS(K6621))</f>
        <v>0.428478496541582</v>
      </c>
    </row>
    <row r="6624" customFormat="false" ht="15" hidden="false" customHeight="false" outlineLevel="0" collapsed="false">
      <c r="A6624" s="3" t="s">
        <v>377</v>
      </c>
      <c r="G6624" s="20" t="n">
        <f aca="false">IF(G6622&lt;0,1,0)</f>
        <v>0</v>
      </c>
      <c r="H6624" s="20" t="n">
        <f aca="false">IF(H6622&lt;0,1,0)</f>
        <v>0</v>
      </c>
      <c r="I6624" s="20" t="n">
        <f aca="false">IF(I6622&lt;0,1,0)</f>
        <v>0</v>
      </c>
      <c r="J6624" s="20" t="n">
        <f aca="false">IF(J6622&lt;0,1,0)</f>
        <v>0</v>
      </c>
      <c r="K6624" s="20" t="n">
        <f aca="false">IF(K6622&lt;0,1,0)</f>
        <v>0</v>
      </c>
    </row>
    <row r="6625" customFormat="false" ht="15" hidden="false" customHeight="false" outlineLevel="0" collapsed="false">
      <c r="A6625" s="3" t="s">
        <v>378</v>
      </c>
      <c r="C6625" s="20" t="n">
        <f aca="false">IFERROR(INDEX($G$6493:$K$6493,MATCH(1,$G$6624:$K$6624,0)),0)</f>
        <v>0</v>
      </c>
    </row>
    <row r="6626" customFormat="false" ht="15" hidden="false" customHeight="false" outlineLevel="0" collapsed="false">
      <c r="A6626" s="3" t="s">
        <v>379</v>
      </c>
      <c r="C6626" s="21" t="n">
        <f aca="false">MIN($G$6623:$K$6623)</f>
        <v>0.273334055059884</v>
      </c>
    </row>
    <row r="6627" customFormat="false" ht="15" hidden="false" customHeight="false" outlineLevel="0" collapsed="false">
      <c r="A6627" s="23" t="s">
        <v>380</v>
      </c>
      <c r="B6627" s="24"/>
      <c r="C6627" s="24"/>
      <c r="D6627" s="24"/>
      <c r="E6627" s="24"/>
      <c r="F6627" s="24"/>
      <c r="G6627" s="24"/>
      <c r="H6627" s="24"/>
      <c r="I6627" s="24"/>
      <c r="J6627" s="24"/>
      <c r="K6627" s="24"/>
    </row>
    <row r="6628" customFormat="false" ht="15" hidden="false" customHeight="false" outlineLevel="0" collapsed="false">
      <c r="A6628" s="3" t="s">
        <v>373</v>
      </c>
      <c r="G6628" s="32" t="n">
        <f aca="false">IF(G6507&gt;0,G6503/G6507,99)</f>
        <v>1.92563899625449</v>
      </c>
      <c r="H6628" s="32" t="n">
        <f aca="false">IF(H6507&gt;0,H6503/H6507,99)</f>
        <v>1.84861343640431</v>
      </c>
      <c r="I6628" s="32" t="n">
        <f aca="false">IF(I6507&gt;0,I6503/I6507,99)</f>
        <v>1.75842750947116</v>
      </c>
      <c r="J6628" s="32" t="n">
        <f aca="false">IF(J6507&gt;0,J6503/J6507,99)</f>
        <v>1.89848422719182</v>
      </c>
      <c r="K6628" s="32" t="n">
        <f aca="false">IF(K6507&gt;0,K6503/K6507,99)</f>
        <v>1.81444838125289</v>
      </c>
    </row>
    <row r="6629" customFormat="false" ht="15" hidden="false" customHeight="false" outlineLevel="0" collapsed="false">
      <c r="A6629" s="3" t="s">
        <v>374</v>
      </c>
      <c r="G6629" s="33" t="n">
        <f aca="false">Assumptions!$G$66</f>
        <v>1.4</v>
      </c>
      <c r="H6629" s="33" t="n">
        <f aca="false">Assumptions!$H$66</f>
        <v>1.4</v>
      </c>
      <c r="I6629" s="33" t="n">
        <f aca="false">Assumptions!$I$66</f>
        <v>1.4</v>
      </c>
      <c r="J6629" s="33" t="n">
        <f aca="false">Assumptions!$J$66</f>
        <v>1.5</v>
      </c>
      <c r="K6629" s="33" t="n">
        <f aca="false">Assumptions!$K$66</f>
        <v>1.5</v>
      </c>
    </row>
    <row r="6630" customFormat="false" ht="15" hidden="false" customHeight="false" outlineLevel="0" collapsed="false">
      <c r="A6630" s="3" t="s">
        <v>375</v>
      </c>
      <c r="G6630" s="32" t="n">
        <f aca="false">G6628-G6629</f>
        <v>0.525638996254489</v>
      </c>
      <c r="H6630" s="32" t="n">
        <f aca="false">H6628-H6629</f>
        <v>0.448613436404309</v>
      </c>
      <c r="I6630" s="32" t="n">
        <f aca="false">I6628-I6629</f>
        <v>0.358427509471156</v>
      </c>
      <c r="J6630" s="32" t="n">
        <f aca="false">J6628-J6629</f>
        <v>0.398484227191822</v>
      </c>
      <c r="K6630" s="32" t="n">
        <f aca="false">K6628-K6629</f>
        <v>0.31444838125289</v>
      </c>
    </row>
    <row r="6631" customFormat="false" ht="15" hidden="false" customHeight="false" outlineLevel="0" collapsed="false">
      <c r="A6631" s="3" t="s">
        <v>376</v>
      </c>
      <c r="G6631" s="21" t="n">
        <f aca="false">IF(G6629=0,0,G6630/ABS(G6629))</f>
        <v>0.375456425896063</v>
      </c>
      <c r="H6631" s="21" t="n">
        <f aca="false">IF(H6629=0,0,H6630/ABS(H6629))</f>
        <v>0.320438168860221</v>
      </c>
      <c r="I6631" s="21" t="n">
        <f aca="false">IF(I6629=0,0,I6630/ABS(I6629))</f>
        <v>0.256019649622254</v>
      </c>
      <c r="J6631" s="21" t="n">
        <f aca="false">IF(J6629=0,0,J6630/ABS(J6629))</f>
        <v>0.265656151461215</v>
      </c>
      <c r="K6631" s="21" t="n">
        <f aca="false">IF(K6629=0,0,K6630/ABS(K6629))</f>
        <v>0.209632254168593</v>
      </c>
    </row>
    <row r="6632" customFormat="false" ht="15" hidden="false" customHeight="false" outlineLevel="0" collapsed="false">
      <c r="A6632" s="3" t="s">
        <v>377</v>
      </c>
      <c r="G6632" s="20" t="n">
        <f aca="false">IF(G6630&lt;0,1,0)</f>
        <v>0</v>
      </c>
      <c r="H6632" s="20" t="n">
        <f aca="false">IF(H6630&lt;0,1,0)</f>
        <v>0</v>
      </c>
      <c r="I6632" s="20" t="n">
        <f aca="false">IF(I6630&lt;0,1,0)</f>
        <v>0</v>
      </c>
      <c r="J6632" s="20" t="n">
        <f aca="false">IF(J6630&lt;0,1,0)</f>
        <v>0</v>
      </c>
      <c r="K6632" s="20" t="n">
        <f aca="false">IF(K6630&lt;0,1,0)</f>
        <v>0</v>
      </c>
    </row>
    <row r="6633" customFormat="false" ht="15" hidden="false" customHeight="false" outlineLevel="0" collapsed="false">
      <c r="A6633" s="3" t="s">
        <v>378</v>
      </c>
      <c r="C6633" s="20" t="n">
        <f aca="false">IFERROR(INDEX($G$6493:$K$6493,MATCH(1,$G$6632:$K$6632,0)),0)</f>
        <v>0</v>
      </c>
    </row>
    <row r="6634" customFormat="false" ht="15" hidden="false" customHeight="false" outlineLevel="0" collapsed="false">
      <c r="A6634" s="3" t="s">
        <v>379</v>
      </c>
      <c r="C6634" s="21" t="n">
        <f aca="false">MIN($G$6631:$K$6631)</f>
        <v>0.209632254168593</v>
      </c>
    </row>
    <row r="6635" customFormat="false" ht="15" hidden="false" customHeight="false" outlineLevel="0" collapsed="false">
      <c r="A6635" s="23" t="s">
        <v>381</v>
      </c>
      <c r="B6635" s="24"/>
      <c r="C6635" s="24"/>
      <c r="D6635" s="24"/>
      <c r="E6635" s="24"/>
      <c r="F6635" s="24"/>
      <c r="G6635" s="24"/>
      <c r="H6635" s="24"/>
      <c r="I6635" s="24"/>
      <c r="J6635" s="24"/>
      <c r="K6635" s="24"/>
    </row>
    <row r="6636" customFormat="false" ht="15" hidden="false" customHeight="false" outlineLevel="0" collapsed="false">
      <c r="A6636" s="3" t="s">
        <v>373</v>
      </c>
      <c r="G6636" s="25" t="n">
        <f aca="false">G6614</f>
        <v>589.86335403</v>
      </c>
      <c r="H6636" s="25" t="n">
        <f aca="false">H6614</f>
        <v>706.0173737988</v>
      </c>
      <c r="I6636" s="25" t="n">
        <f aca="false">I6614</f>
        <v>390.575377766904</v>
      </c>
      <c r="J6636" s="25" t="n">
        <f aca="false">J6614</f>
        <v>499.440625970316</v>
      </c>
      <c r="K6636" s="25" t="n">
        <f aca="false">K6614</f>
        <v>599.128348849095</v>
      </c>
    </row>
    <row r="6637" customFormat="false" ht="15" hidden="false" customHeight="false" outlineLevel="0" collapsed="false">
      <c r="A6637" s="3" t="s">
        <v>374</v>
      </c>
      <c r="G6637" s="29" t="n">
        <f aca="false">Assumptions!$G$67</f>
        <v>200</v>
      </c>
      <c r="H6637" s="29" t="n">
        <f aca="false">Assumptions!$H$67</f>
        <v>200</v>
      </c>
      <c r="I6637" s="29" t="n">
        <f aca="false">Assumptions!$I$67</f>
        <v>200</v>
      </c>
      <c r="J6637" s="29" t="n">
        <f aca="false">Assumptions!$J$67</f>
        <v>200</v>
      </c>
      <c r="K6637" s="29" t="n">
        <f aca="false">Assumptions!$K$67</f>
        <v>200</v>
      </c>
    </row>
    <row r="6638" customFormat="false" ht="15" hidden="false" customHeight="false" outlineLevel="0" collapsed="false">
      <c r="A6638" s="3" t="s">
        <v>375</v>
      </c>
      <c r="G6638" s="25" t="n">
        <f aca="false">G6636-G6637</f>
        <v>389.86335403</v>
      </c>
      <c r="H6638" s="25" t="n">
        <f aca="false">H6636-H6637</f>
        <v>506.0173737988</v>
      </c>
      <c r="I6638" s="25" t="n">
        <f aca="false">I6636-I6637</f>
        <v>190.575377766904</v>
      </c>
      <c r="J6638" s="25" t="n">
        <f aca="false">J6636-J6637</f>
        <v>299.440625970316</v>
      </c>
      <c r="K6638" s="25" t="n">
        <f aca="false">K6636-K6637</f>
        <v>399.128348849095</v>
      </c>
    </row>
    <row r="6639" customFormat="false" ht="15" hidden="false" customHeight="false" outlineLevel="0" collapsed="false">
      <c r="A6639" s="3" t="s">
        <v>376</v>
      </c>
      <c r="G6639" s="21" t="n">
        <f aca="false">IF(G6637=0,0,G6638/ABS(G6637))</f>
        <v>1.94931677015</v>
      </c>
      <c r="H6639" s="21" t="n">
        <f aca="false">IF(H6637=0,0,H6638/ABS(H6637))</f>
        <v>2.530086868994</v>
      </c>
      <c r="I6639" s="21" t="n">
        <f aca="false">IF(I6637=0,0,I6638/ABS(I6637))</f>
        <v>0.95287688883452</v>
      </c>
      <c r="J6639" s="21" t="n">
        <f aca="false">IF(J6637=0,0,J6638/ABS(J6637))</f>
        <v>1.49720312985158</v>
      </c>
      <c r="K6639" s="21" t="n">
        <f aca="false">IF(K6637=0,0,K6638/ABS(K6637))</f>
        <v>1.99564174424547</v>
      </c>
    </row>
    <row r="6640" customFormat="false" ht="15" hidden="false" customHeight="false" outlineLevel="0" collapsed="false">
      <c r="A6640" s="3" t="s">
        <v>377</v>
      </c>
      <c r="G6640" s="20" t="n">
        <f aca="false">IF(G6638&lt;0,1,0)</f>
        <v>0</v>
      </c>
      <c r="H6640" s="20" t="n">
        <f aca="false">IF(H6638&lt;0,1,0)</f>
        <v>0</v>
      </c>
      <c r="I6640" s="20" t="n">
        <f aca="false">IF(I6638&lt;0,1,0)</f>
        <v>0</v>
      </c>
      <c r="J6640" s="20" t="n">
        <f aca="false">IF(J6638&lt;0,1,0)</f>
        <v>0</v>
      </c>
      <c r="K6640" s="20" t="n">
        <f aca="false">IF(K6638&lt;0,1,0)</f>
        <v>0</v>
      </c>
    </row>
    <row r="6641" customFormat="false" ht="15" hidden="false" customHeight="false" outlineLevel="0" collapsed="false">
      <c r="A6641" s="3" t="s">
        <v>378</v>
      </c>
      <c r="C6641" s="20" t="n">
        <f aca="false">IFERROR(INDEX($G$6493:$K$6493,MATCH(1,$G$6640:$K$6640,0)),0)</f>
        <v>0</v>
      </c>
    </row>
    <row r="6642" customFormat="false" ht="15" hidden="false" customHeight="false" outlineLevel="0" collapsed="false">
      <c r="A6642" s="3" t="s">
        <v>379</v>
      </c>
      <c r="C6642" s="21" t="n">
        <f aca="false">MIN($G$6639:$K$6639)</f>
        <v>0.95287688883452</v>
      </c>
    </row>
    <row r="6643" customFormat="false" ht="15" hidden="false" customHeight="false" outlineLevel="0" collapsed="false">
      <c r="A6643" s="3" t="s">
        <v>382</v>
      </c>
      <c r="G6643" s="20" t="n">
        <f aca="false">G6624+G6632+G6640</f>
        <v>0</v>
      </c>
      <c r="H6643" s="20" t="n">
        <f aca="false">H6624+H6632+H6640</f>
        <v>0</v>
      </c>
      <c r="I6643" s="20" t="n">
        <f aca="false">I6624+I6632+I6640</f>
        <v>0</v>
      </c>
      <c r="J6643" s="20" t="n">
        <f aca="false">J6624+J6632+J6640</f>
        <v>0</v>
      </c>
      <c r="K6643" s="20" t="n">
        <f aca="false">K6624+K6632+K6640</f>
        <v>0</v>
      </c>
    </row>
    <row r="6644" customFormat="false" ht="15" hidden="false" customHeight="false" outlineLevel="0" collapsed="false">
      <c r="A6644" s="3" t="s">
        <v>383</v>
      </c>
      <c r="C6644" s="20" t="n">
        <f aca="false">SUM($G$6643:$K$6643)</f>
        <v>0</v>
      </c>
    </row>
    <row r="6645" customFormat="false" ht="15" hidden="false" customHeight="false" outlineLevel="0" collapsed="false">
      <c r="A6645" s="3" t="s">
        <v>384</v>
      </c>
      <c r="C6645" s="21" t="n">
        <f aca="false">MIN(C6626,C6634,C6642)</f>
        <v>0.209632254168593</v>
      </c>
    </row>
    <row r="6647" customFormat="false" ht="15" hidden="false" customHeight="false" outlineLevel="0" collapsed="false">
      <c r="A6647" s="23" t="s">
        <v>486</v>
      </c>
      <c r="B6647" s="24"/>
      <c r="C6647" s="24"/>
      <c r="D6647" s="24"/>
      <c r="E6647" s="24"/>
      <c r="F6647" s="24"/>
      <c r="G6647" s="24"/>
      <c r="H6647" s="24"/>
      <c r="I6647" s="24"/>
      <c r="J6647" s="24"/>
      <c r="K6647" s="24"/>
    </row>
    <row r="6648" customFormat="false" ht="15" hidden="false" customHeight="false" outlineLevel="0" collapsed="false">
      <c r="A6648" s="3" t="s">
        <v>487</v>
      </c>
      <c r="G6648" s="20" t="n">
        <f aca="false">IF($C$6649=1,G6601,IF(G6503=MIN($G$6503:$K$6503),1,0))</f>
        <v>0</v>
      </c>
      <c r="H6648" s="20" t="n">
        <f aca="false">IF($C$6649=1,H6601,IF(AND(H6503=MIN($G$6503:$K$6503),SUM($G$6648:G6648)=0),1,0))</f>
        <v>0</v>
      </c>
      <c r="I6648" s="20" t="n">
        <f aca="false">IF($C$6649=1,I6601,IF(AND(I6503=MIN($G$6503:$K$6503),SUM($G$6648:H6648)=0),1,0))</f>
        <v>0</v>
      </c>
      <c r="J6648" s="20" t="n">
        <f aca="false">IF($C$6649=1,J6601,IF(AND(J6503=MIN($G$6503:$K$6503),SUM($G$6648:I6648)=0),1,0))</f>
        <v>0</v>
      </c>
      <c r="K6648" s="20" t="n">
        <f aca="false">IF($C$6649=1,K6601,IF(AND(K6503=MIN($G$6503:$K$6503),SUM($G$6648:J6648)=0),1,0))</f>
        <v>1</v>
      </c>
    </row>
    <row r="6649" customFormat="false" ht="15" hidden="false" customHeight="false" outlineLevel="0" collapsed="false">
      <c r="A6649" s="3" t="s">
        <v>488</v>
      </c>
      <c r="C6649" s="20" t="n">
        <f aca="false">IF(SUM($G$6601:$K$6601)&gt;0,1,0)</f>
        <v>0</v>
      </c>
    </row>
    <row r="6650" customFormat="false" ht="15" hidden="false" customHeight="false" outlineLevel="0" collapsed="false">
      <c r="A6650" s="3" t="s">
        <v>489</v>
      </c>
      <c r="C6650" s="20" t="n">
        <f aca="false">SUMPRODUCT($G$6648:$K$6648,$G$6493:$K$6493)</f>
        <v>2031</v>
      </c>
    </row>
    <row r="6651" customFormat="false" ht="15" hidden="false" customHeight="false" outlineLevel="0" collapsed="false">
      <c r="A6651" s="3" t="s">
        <v>490</v>
      </c>
      <c r="C6651" s="25" t="n">
        <f aca="false">SUMPRODUCT($G$6648:$K$6648,$G$6503:$K$6503)</f>
        <v>250.548630915336</v>
      </c>
    </row>
    <row r="6652" customFormat="false" ht="15" hidden="false" customHeight="false" outlineLevel="0" collapsed="false">
      <c r="A6652" s="3" t="s">
        <v>491</v>
      </c>
      <c r="C6652" s="25" t="n">
        <f aca="false">MAX(0,SUMPRODUCT($G$6648:$K$6648,$G$6598:$K$6598))</f>
        <v>599.128348849095</v>
      </c>
    </row>
    <row r="6653" customFormat="false" ht="15" hidden="false" customHeight="false" outlineLevel="0" collapsed="false">
      <c r="A6653" s="3" t="s">
        <v>492</v>
      </c>
      <c r="C6653" s="25" t="n">
        <f aca="false">(CHOOSE($C$6486,Assumptions!$C$84,Assumptions!$C$103,Assumptions!$C$122)+$C$6490)*C6651</f>
        <v>1252.74315457668</v>
      </c>
    </row>
    <row r="6654" customFormat="false" ht="15" hidden="false" customHeight="false" outlineLevel="0" collapsed="false">
      <c r="A6654" s="3" t="s">
        <v>493</v>
      </c>
      <c r="C6654" s="25" t="n">
        <f aca="false">Assumptions!$C$30*(1-CHOOSE($C$6486,Assumptions!$C$85,Assumptions!$C$104,Assumptions!$C$123))*CHOOSE($C$6486,Assumptions!$C$86,Assumptions!$C$105,Assumptions!$C$124)</f>
        <v>736.4913</v>
      </c>
    </row>
    <row r="6655" customFormat="false" ht="15" hidden="false" customHeight="false" outlineLevel="0" collapsed="false">
      <c r="A6655" s="3" t="s">
        <v>494</v>
      </c>
      <c r="C6655" s="25" t="n">
        <f aca="false">MAX(C6653,C6654)+C6652</f>
        <v>1851.87150342577</v>
      </c>
    </row>
    <row r="6656" customFormat="false" ht="15" hidden="false" customHeight="false" outlineLevel="0" collapsed="false">
      <c r="A6656" s="2" t="s">
        <v>495</v>
      </c>
      <c r="C6656" s="16" t="n">
        <f aca="false">IF(ISNUMBER(Assumptions!$C$14),Assumptions!$C$14,C6655)</f>
        <v>1851.87150342577</v>
      </c>
    </row>
    <row r="6657" customFormat="false" ht="15" hidden="false" customHeight="false" outlineLevel="0" collapsed="false">
      <c r="A6657" s="3" t="s">
        <v>496</v>
      </c>
      <c r="C6657" s="25" t="n">
        <f aca="false">C6656*Assumptions!$C$15</f>
        <v>74.074860137031</v>
      </c>
    </row>
    <row r="6658" customFormat="false" ht="15" hidden="false" customHeight="false" outlineLevel="0" collapsed="false">
      <c r="A6658" s="2" t="s">
        <v>497</v>
      </c>
      <c r="C6658" s="16" t="n">
        <f aca="false">C6656-C6657</f>
        <v>1777.79664328874</v>
      </c>
    </row>
    <row r="6659" customFormat="false" ht="15" hidden="false" customHeight="false" outlineLevel="0" collapsed="false">
      <c r="A6659" s="23" t="s">
        <v>498</v>
      </c>
      <c r="B6659" s="24"/>
      <c r="C6659" s="24"/>
      <c r="D6659" s="24"/>
      <c r="E6659" s="24"/>
      <c r="F6659" s="24"/>
      <c r="G6659" s="24"/>
      <c r="H6659" s="24"/>
      <c r="I6659" s="24"/>
      <c r="J6659" s="24"/>
      <c r="K6659" s="24"/>
    </row>
    <row r="6660" customFormat="false" ht="15" hidden="false" customHeight="false" outlineLevel="0" collapsed="false">
      <c r="A6660" s="3" t="s">
        <v>499</v>
      </c>
      <c r="C6660" s="25" t="n">
        <f aca="false">SUMPRODUCT($G$6648:$K$6648,$G$6540:$K$6540)*(1+SUMPRODUCT($G$6648:$K$6648,$G$6532:$K$6532)*Assumptions!$C$16/12)</f>
        <v>1349.6193225</v>
      </c>
    </row>
    <row r="6661" customFormat="false" ht="15" hidden="false" customHeight="false" outlineLevel="0" collapsed="false">
      <c r="A6661" s="3" t="s">
        <v>500</v>
      </c>
      <c r="C6661" s="25" t="n">
        <f aca="false">SUMPRODUCT($G$6648:$K$6648,$G$6553:$K$6553)*(1+SUMPRODUCT($G$6648:$K$6648,$G$6545:$K$6545)*Assumptions!$C$16/12)</f>
        <v>0</v>
      </c>
    </row>
    <row r="6662" customFormat="false" ht="15" hidden="false" customHeight="false" outlineLevel="0" collapsed="false">
      <c r="A6662" s="3" t="s">
        <v>501</v>
      </c>
      <c r="C6662" s="25" t="n">
        <f aca="false">SUMPRODUCT($G$6648:$K$6648,$G$6566:$K$6566)*(1+SUMPRODUCT($G$6648:$K$6648,$G$6558:$K$6558)*Assumptions!$C$16/12)</f>
        <v>0</v>
      </c>
    </row>
    <row r="6663" customFormat="false" ht="15" hidden="false" customHeight="false" outlineLevel="0" collapsed="false">
      <c r="A6663" s="23" t="s">
        <v>502</v>
      </c>
      <c r="B6663" s="24"/>
      <c r="C6663" s="24"/>
      <c r="D6663" s="24"/>
      <c r="E6663" s="24"/>
      <c r="F6663" s="24"/>
      <c r="G6663" s="24"/>
      <c r="H6663" s="24"/>
      <c r="I6663" s="24"/>
      <c r="J6663" s="24"/>
      <c r="K6663" s="24"/>
    </row>
    <row r="6664" customFormat="false" ht="15" hidden="false" customHeight="false" outlineLevel="0" collapsed="false">
      <c r="A6664" s="3" t="s">
        <v>499</v>
      </c>
      <c r="C6664" s="27" t="n">
        <f aca="false">Assumptions!$M$56</f>
        <v>1</v>
      </c>
    </row>
    <row r="6665" customFormat="false" ht="15" hidden="false" customHeight="false" outlineLevel="0" collapsed="false">
      <c r="A6665" s="3" t="s">
        <v>500</v>
      </c>
      <c r="C6665" s="27" t="n">
        <f aca="false">Assumptions!$M$57</f>
        <v>2</v>
      </c>
    </row>
    <row r="6666" customFormat="false" ht="15" hidden="false" customHeight="false" outlineLevel="0" collapsed="false">
      <c r="A6666" s="3" t="s">
        <v>501</v>
      </c>
      <c r="C6666" s="27" t="n">
        <f aca="false">Assumptions!$M$58</f>
        <v>2</v>
      </c>
    </row>
    <row r="6667" customFormat="false" ht="15" hidden="false" customHeight="false" outlineLevel="0" collapsed="false">
      <c r="A6667" s="23" t="s">
        <v>503</v>
      </c>
      <c r="B6667" s="24"/>
      <c r="C6667" s="24"/>
      <c r="D6667" s="24"/>
      <c r="E6667" s="24"/>
      <c r="F6667" s="24"/>
      <c r="G6667" s="24"/>
      <c r="H6667" s="24"/>
      <c r="I6667" s="24"/>
      <c r="J6667" s="24"/>
      <c r="K6667" s="24"/>
    </row>
    <row r="6668" customFormat="false" ht="15" hidden="false" customHeight="false" outlineLevel="0" collapsed="false">
      <c r="A6668" s="3" t="s">
        <v>499</v>
      </c>
      <c r="C6668" s="35" t="n">
        <f aca="false">Assumptions!$Q$56</f>
        <v>0</v>
      </c>
    </row>
    <row r="6669" customFormat="false" ht="15" hidden="false" customHeight="false" outlineLevel="0" collapsed="false">
      <c r="A6669" s="3" t="s">
        <v>500</v>
      </c>
      <c r="C6669" s="35" t="n">
        <f aca="false">Assumptions!$Q$57</f>
        <v>0</v>
      </c>
    </row>
    <row r="6670" customFormat="false" ht="15" hidden="false" customHeight="false" outlineLevel="0" collapsed="false">
      <c r="A6670" s="3" t="s">
        <v>501</v>
      </c>
      <c r="C6670" s="35" t="n">
        <f aca="false">Assumptions!$Q$58</f>
        <v>0</v>
      </c>
    </row>
    <row r="6671" customFormat="false" ht="15" hidden="false" customHeight="false" outlineLevel="0" collapsed="false">
      <c r="A6671" s="23" t="s">
        <v>504</v>
      </c>
      <c r="B6671" s="24"/>
      <c r="C6671" s="24"/>
      <c r="D6671" s="24"/>
      <c r="E6671" s="24"/>
      <c r="F6671" s="24"/>
      <c r="G6671" s="24"/>
      <c r="H6671" s="24"/>
      <c r="I6671" s="24"/>
      <c r="J6671" s="24"/>
      <c r="K6671" s="24"/>
    </row>
    <row r="6672" customFormat="false" ht="15" hidden="false" customHeight="false" outlineLevel="0" collapsed="false">
      <c r="A6672" s="3" t="s">
        <v>499</v>
      </c>
      <c r="C6672" s="25" t="n">
        <f aca="false">IF(C6668&gt;0,MIN(C6660,C6668*$C$6658),0)</f>
        <v>0</v>
      </c>
    </row>
    <row r="6673" customFormat="false" ht="15" hidden="false" customHeight="false" outlineLevel="0" collapsed="false">
      <c r="A6673" s="3" t="s">
        <v>500</v>
      </c>
      <c r="C6673" s="25" t="n">
        <f aca="false">IF(C6669&gt;0,MIN(C6661,C6669*$C$6658),0)</f>
        <v>0</v>
      </c>
    </row>
    <row r="6674" customFormat="false" ht="15" hidden="false" customHeight="false" outlineLevel="0" collapsed="false">
      <c r="A6674" s="3" t="s">
        <v>501</v>
      </c>
      <c r="C6674" s="25" t="n">
        <f aca="false">IF(C6670&gt;0,MIN(C6662,C6670*$C$6658),0)</f>
        <v>0</v>
      </c>
    </row>
    <row r="6675" customFormat="false" ht="15" hidden="false" customHeight="false" outlineLevel="0" collapsed="false">
      <c r="A6675" s="23" t="s">
        <v>505</v>
      </c>
      <c r="B6675" s="24"/>
      <c r="C6675" s="24"/>
      <c r="D6675" s="24"/>
      <c r="E6675" s="24"/>
      <c r="F6675" s="24"/>
      <c r="G6675" s="24"/>
      <c r="H6675" s="24"/>
      <c r="I6675" s="24"/>
      <c r="J6675" s="24"/>
      <c r="K6675" s="24"/>
    </row>
    <row r="6676" customFormat="false" ht="15" hidden="false" customHeight="false" outlineLevel="0" collapsed="false">
      <c r="A6676" s="3" t="s">
        <v>499</v>
      </c>
      <c r="C6676" s="25" t="n">
        <f aca="false">IF(C6668&gt;0,C6660-C6672,0)</f>
        <v>0</v>
      </c>
      <c r="G6676" s="20" t="n">
        <f aca="false">IF(AND(G6530=1,G6527=1),1,0)</f>
        <v>0</v>
      </c>
      <c r="H6676" s="20" t="n">
        <f aca="false">IF(G6676=1,1,IF(AND(H6530=1,H6527=1),1,0))</f>
        <v>0</v>
      </c>
      <c r="I6676" s="20" t="n">
        <f aca="false">IF(H6676=1,1,IF(AND(I6530=1,I6527=1),1,0))</f>
        <v>0</v>
      </c>
      <c r="J6676" s="20" t="n">
        <f aca="false">IF(I6676=1,1,IF(AND(J6530=1,J6527=1),1,0))</f>
        <v>0</v>
      </c>
      <c r="K6676" s="20" t="n">
        <f aca="false">IF(J6676=1,1,IF(AND(K6530=1,K6527=1),1,0))</f>
        <v>0</v>
      </c>
    </row>
    <row r="6677" customFormat="false" ht="15" hidden="false" customHeight="false" outlineLevel="0" collapsed="false">
      <c r="A6677" s="3" t="s">
        <v>500</v>
      </c>
      <c r="C6677" s="25" t="n">
        <f aca="false">IF(C6669&gt;0,C6661-C6673,0)</f>
        <v>0</v>
      </c>
      <c r="G6677" s="20" t="n">
        <f aca="false">IF(AND(G6543=1,G6527=1),1,0)</f>
        <v>0</v>
      </c>
      <c r="H6677" s="20" t="n">
        <f aca="false">IF(G6677=1,1,IF(AND(H6543=1,H6527=1),1,0))</f>
        <v>0</v>
      </c>
      <c r="I6677" s="20" t="n">
        <f aca="false">IF(H6677=1,1,IF(AND(I6543=1,I6527=1),1,0))</f>
        <v>1</v>
      </c>
      <c r="J6677" s="20" t="n">
        <f aca="false">IF(I6677=1,1,IF(AND(J6543=1,J6527=1),1,0))</f>
        <v>1</v>
      </c>
      <c r="K6677" s="20" t="n">
        <f aca="false">IF(J6677=1,1,IF(AND(K6543=1,K6527=1),1,0))</f>
        <v>1</v>
      </c>
    </row>
    <row r="6678" customFormat="false" ht="15" hidden="false" customHeight="false" outlineLevel="0" collapsed="false">
      <c r="A6678" s="3" t="s">
        <v>501</v>
      </c>
      <c r="C6678" s="25" t="n">
        <f aca="false">IF(C6670&gt;0,C6662-C6674,0)</f>
        <v>0</v>
      </c>
      <c r="G6678" s="20" t="n">
        <f aca="false">IF(AND(G6556=1,G6527=1),1,0)</f>
        <v>0</v>
      </c>
      <c r="H6678" s="20" t="n">
        <f aca="false">IF(G6678=1,1,IF(AND(H6556=1,H6527=1),1,0))</f>
        <v>0</v>
      </c>
      <c r="I6678" s="20" t="n">
        <f aca="false">IF(H6678=1,1,IF(AND(I6556=1,I6527=1),1,0))</f>
        <v>1</v>
      </c>
      <c r="J6678" s="20" t="n">
        <f aca="false">IF(I6678=1,1,IF(AND(J6556=1,J6527=1),1,0))</f>
        <v>1</v>
      </c>
      <c r="K6678" s="20" t="n">
        <f aca="false">IF(J6678=1,1,IF(AND(K6556=1,K6527=1),1,0))</f>
        <v>1</v>
      </c>
    </row>
    <row r="6679" customFormat="false" ht="15" hidden="false" customHeight="false" outlineLevel="0" collapsed="false">
      <c r="A6679" s="23" t="s">
        <v>506</v>
      </c>
      <c r="B6679" s="24"/>
      <c r="C6679" s="24"/>
      <c r="D6679" s="24"/>
      <c r="E6679" s="24"/>
      <c r="F6679" s="24"/>
      <c r="G6679" s="24"/>
      <c r="H6679" s="24"/>
      <c r="I6679" s="24"/>
      <c r="J6679" s="24"/>
      <c r="K6679" s="24"/>
    </row>
    <row r="6680" customFormat="false" ht="15" hidden="false" customHeight="false" outlineLevel="0" collapsed="false">
      <c r="A6680" s="3" t="s">
        <v>499</v>
      </c>
      <c r="C6680" s="25" t="n">
        <f aca="false">IF(C6668&gt;0,C6676,C6660)</f>
        <v>1349.6193225</v>
      </c>
    </row>
    <row r="6681" customFormat="false" ht="15" hidden="false" customHeight="false" outlineLevel="0" collapsed="false">
      <c r="A6681" s="3" t="s">
        <v>500</v>
      </c>
      <c r="C6681" s="25" t="n">
        <f aca="false">IF(C6669&gt;0,C6677,C6661)</f>
        <v>0</v>
      </c>
    </row>
    <row r="6682" customFormat="false" ht="15" hidden="false" customHeight="false" outlineLevel="0" collapsed="false">
      <c r="A6682" s="3" t="s">
        <v>501</v>
      </c>
      <c r="C6682" s="25" t="n">
        <f aca="false">IF(C6670&gt;0,C6678,C6662)</f>
        <v>0</v>
      </c>
    </row>
    <row r="6683" customFormat="false" ht="15" hidden="false" customHeight="false" outlineLevel="0" collapsed="false">
      <c r="A6683" s="23" t="s">
        <v>507</v>
      </c>
      <c r="B6683" s="24"/>
      <c r="C6683" s="24"/>
      <c r="D6683" s="24"/>
      <c r="E6683" s="24"/>
      <c r="F6683" s="24"/>
      <c r="G6683" s="24"/>
      <c r="H6683" s="24"/>
      <c r="I6683" s="24"/>
      <c r="J6683" s="24"/>
      <c r="K6683" s="24"/>
    </row>
    <row r="6684" customFormat="false" ht="15" hidden="false" customHeight="false" outlineLevel="0" collapsed="false">
      <c r="A6684" s="3" t="s">
        <v>499</v>
      </c>
      <c r="C6684" s="20" t="n">
        <f aca="false">IF(C6668&gt;0,Assumptions!$C$17,C6664)</f>
        <v>1</v>
      </c>
    </row>
    <row r="6685" customFormat="false" ht="15" hidden="false" customHeight="false" outlineLevel="0" collapsed="false">
      <c r="A6685" s="3" t="s">
        <v>500</v>
      </c>
      <c r="C6685" s="20" t="n">
        <f aca="false">IF(C6669&gt;0,Assumptions!$C$17,C6665)</f>
        <v>2</v>
      </c>
    </row>
    <row r="6686" customFormat="false" ht="15" hidden="false" customHeight="false" outlineLevel="0" collapsed="false">
      <c r="A6686" s="3" t="s">
        <v>501</v>
      </c>
      <c r="C6686" s="20" t="n">
        <f aca="false">IF(C6670&gt;0,Assumptions!$C$17,C6666)</f>
        <v>2</v>
      </c>
    </row>
    <row r="6687" customFormat="false" ht="15" hidden="false" customHeight="false" outlineLevel="0" collapsed="false">
      <c r="A6687" s="23" t="s">
        <v>508</v>
      </c>
      <c r="B6687" s="24"/>
      <c r="C6687" s="24"/>
      <c r="D6687" s="24"/>
      <c r="E6687" s="24"/>
      <c r="F6687" s="24"/>
      <c r="G6687" s="24"/>
      <c r="H6687" s="24"/>
      <c r="I6687" s="24"/>
      <c r="J6687" s="24"/>
      <c r="K6687" s="24"/>
    </row>
    <row r="6688" customFormat="false" ht="15" hidden="false" customHeight="false" outlineLevel="0" collapsed="false">
      <c r="A6688" s="3" t="s">
        <v>499</v>
      </c>
      <c r="C6688" s="25" t="n">
        <f aca="false">SUMPRODUCT(($C$6684:$C$6686&lt;C6684)*$C$6680:$C$6682)</f>
        <v>0</v>
      </c>
    </row>
    <row r="6689" customFormat="false" ht="15" hidden="false" customHeight="false" outlineLevel="0" collapsed="false">
      <c r="A6689" s="3" t="s">
        <v>500</v>
      </c>
      <c r="C6689" s="25" t="n">
        <f aca="false">SUMPRODUCT(($C$6684:$C$6686&lt;C6685)*$C$6680:$C$6682)</f>
        <v>1349.6193225</v>
      </c>
    </row>
    <row r="6690" customFormat="false" ht="15" hidden="false" customHeight="false" outlineLevel="0" collapsed="false">
      <c r="A6690" s="3" t="s">
        <v>501</v>
      </c>
      <c r="C6690" s="25" t="n">
        <f aca="false">SUMPRODUCT(($C$6684:$C$6686&lt;C6686)*$C$6680:$C$6682)</f>
        <v>1349.6193225</v>
      </c>
    </row>
    <row r="6691" customFormat="false" ht="15" hidden="false" customHeight="false" outlineLevel="0" collapsed="false">
      <c r="A6691" s="23" t="s">
        <v>509</v>
      </c>
      <c r="B6691" s="24"/>
      <c r="C6691" s="24"/>
      <c r="D6691" s="24"/>
      <c r="E6691" s="24"/>
      <c r="F6691" s="24"/>
      <c r="G6691" s="24"/>
      <c r="H6691" s="24"/>
      <c r="I6691" s="24"/>
      <c r="J6691" s="24"/>
      <c r="K6691" s="24"/>
    </row>
    <row r="6692" customFormat="false" ht="15" hidden="false" customHeight="false" outlineLevel="0" collapsed="false">
      <c r="A6692" s="3" t="s">
        <v>499</v>
      </c>
      <c r="C6692" s="25" t="n">
        <f aca="false">SUMPRODUCT(($C$6684:$C$6686=C6684)*$C$6680:$C$6682)</f>
        <v>1349.6193225</v>
      </c>
    </row>
    <row r="6693" customFormat="false" ht="15" hidden="false" customHeight="false" outlineLevel="0" collapsed="false">
      <c r="A6693" s="3" t="s">
        <v>500</v>
      </c>
      <c r="C6693" s="25" t="n">
        <f aca="false">SUMPRODUCT(($C$6684:$C$6686=C6685)*$C$6680:$C$6682)</f>
        <v>0</v>
      </c>
    </row>
    <row r="6694" customFormat="false" ht="15" hidden="false" customHeight="false" outlineLevel="0" collapsed="false">
      <c r="A6694" s="3" t="s">
        <v>501</v>
      </c>
      <c r="C6694" s="25" t="n">
        <f aca="false">SUMPRODUCT(($C$6684:$C$6686=C6686)*$C$6680:$C$6682)</f>
        <v>0</v>
      </c>
    </row>
    <row r="6695" customFormat="false" ht="15" hidden="false" customHeight="false" outlineLevel="0" collapsed="false">
      <c r="A6695" s="23" t="s">
        <v>510</v>
      </c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</row>
    <row r="6696" customFormat="false" ht="15" hidden="false" customHeight="false" outlineLevel="0" collapsed="false">
      <c r="A6696" s="3" t="s">
        <v>499</v>
      </c>
      <c r="C6696" s="25" t="n">
        <f aca="false">IF(C6692=0,0,C6680/C6692*MAX(0,MIN(C6692,$C$6658-SUM($C$6672:$C$6674)-C6688)))</f>
        <v>1349.6193225</v>
      </c>
    </row>
    <row r="6697" customFormat="false" ht="15" hidden="false" customHeight="false" outlineLevel="0" collapsed="false">
      <c r="A6697" s="3" t="s">
        <v>500</v>
      </c>
      <c r="C6697" s="25" t="n">
        <f aca="false">IF(C6693=0,0,C6681/C6693*MAX(0,MIN(C6693,$C$6658-SUM($C$6672:$C$6674)-C6689)))</f>
        <v>0</v>
      </c>
    </row>
    <row r="6698" customFormat="false" ht="15" hidden="false" customHeight="false" outlineLevel="0" collapsed="false">
      <c r="A6698" s="3" t="s">
        <v>501</v>
      </c>
      <c r="C6698" s="25" t="n">
        <f aca="false">IF(C6694=0,0,C6682/C6694*MAX(0,MIN(C6694,$C$6658-SUM($C$6672:$C$6674)-C6690)))</f>
        <v>0</v>
      </c>
    </row>
    <row r="6699" customFormat="false" ht="15" hidden="false" customHeight="false" outlineLevel="0" collapsed="false">
      <c r="A6699" s="23" t="s">
        <v>511</v>
      </c>
      <c r="B6699" s="24"/>
      <c r="C6699" s="24"/>
      <c r="D6699" s="24"/>
      <c r="E6699" s="24"/>
      <c r="F6699" s="24"/>
      <c r="G6699" s="24"/>
      <c r="H6699" s="24"/>
      <c r="I6699" s="24"/>
      <c r="J6699" s="24"/>
      <c r="K6699" s="24"/>
    </row>
    <row r="6700" customFormat="false" ht="15" hidden="false" customHeight="false" outlineLevel="0" collapsed="false">
      <c r="A6700" s="2" t="s">
        <v>499</v>
      </c>
      <c r="C6700" s="16" t="n">
        <f aca="false">C6672+C6696</f>
        <v>1349.6193225</v>
      </c>
    </row>
    <row r="6701" customFormat="false" ht="15" hidden="false" customHeight="false" outlineLevel="0" collapsed="false">
      <c r="A6701" s="2" t="s">
        <v>500</v>
      </c>
      <c r="C6701" s="16" t="n">
        <f aca="false">C6673+C6697</f>
        <v>0</v>
      </c>
    </row>
    <row r="6702" customFormat="false" ht="15" hidden="false" customHeight="false" outlineLevel="0" collapsed="false">
      <c r="A6702" s="2" t="s">
        <v>501</v>
      </c>
      <c r="C6702" s="16" t="n">
        <f aca="false">C6674+C6698</f>
        <v>0</v>
      </c>
    </row>
    <row r="6703" customFormat="false" ht="15" hidden="false" customHeight="false" outlineLevel="0" collapsed="false">
      <c r="A6703" s="23" t="s">
        <v>512</v>
      </c>
      <c r="B6703" s="24"/>
      <c r="C6703" s="24"/>
      <c r="D6703" s="24"/>
      <c r="E6703" s="24"/>
      <c r="F6703" s="24"/>
      <c r="G6703" s="24"/>
      <c r="H6703" s="24"/>
      <c r="I6703" s="24"/>
      <c r="J6703" s="24"/>
      <c r="K6703" s="24"/>
    </row>
    <row r="6704" customFormat="false" ht="15" hidden="false" customHeight="false" outlineLevel="0" collapsed="false">
      <c r="A6704" s="3" t="s">
        <v>499</v>
      </c>
      <c r="C6704" s="21" t="n">
        <f aca="false">IF(C6660=0,1,C6700/C6660)</f>
        <v>1</v>
      </c>
    </row>
    <row r="6705" customFormat="false" ht="15" hidden="false" customHeight="false" outlineLevel="0" collapsed="false">
      <c r="A6705" s="3" t="s">
        <v>500</v>
      </c>
      <c r="C6705" s="21" t="n">
        <f aca="false">IF(C6661=0,1,C6701/C6661)</f>
        <v>1</v>
      </c>
    </row>
    <row r="6706" customFormat="false" ht="15" hidden="false" customHeight="false" outlineLevel="0" collapsed="false">
      <c r="A6706" s="3" t="s">
        <v>501</v>
      </c>
      <c r="C6706" s="21" t="n">
        <f aca="false">IF(C6662=0,1,C6702/C6662)</f>
        <v>1</v>
      </c>
    </row>
    <row r="6707" customFormat="false" ht="15" hidden="false" customHeight="false" outlineLevel="0" collapsed="false">
      <c r="A6707" s="23" t="s">
        <v>513</v>
      </c>
      <c r="B6707" s="24"/>
      <c r="C6707" s="24"/>
      <c r="D6707" s="24"/>
      <c r="E6707" s="24"/>
      <c r="F6707" s="24"/>
      <c r="G6707" s="24"/>
      <c r="H6707" s="24"/>
      <c r="I6707" s="24"/>
      <c r="J6707" s="24"/>
      <c r="K6707" s="24"/>
    </row>
    <row r="6708" customFormat="false" ht="15" hidden="false" customHeight="false" outlineLevel="0" collapsed="false">
      <c r="A6708" s="3" t="s">
        <v>499</v>
      </c>
      <c r="C6708" s="25" t="n">
        <f aca="false">C6660-C6700</f>
        <v>0</v>
      </c>
    </row>
    <row r="6709" customFormat="false" ht="15" hidden="false" customHeight="false" outlineLevel="0" collapsed="false">
      <c r="A6709" s="3" t="s">
        <v>500</v>
      </c>
      <c r="C6709" s="25" t="n">
        <f aca="false">C6661-C6701</f>
        <v>0</v>
      </c>
    </row>
    <row r="6710" customFormat="false" ht="15" hidden="false" customHeight="false" outlineLevel="0" collapsed="false">
      <c r="A6710" s="3" t="s">
        <v>501</v>
      </c>
      <c r="C6710" s="25" t="n">
        <f aca="false">C6662-C6702</f>
        <v>0</v>
      </c>
    </row>
    <row r="6711" customFormat="false" ht="15" hidden="false" customHeight="false" outlineLevel="0" collapsed="false">
      <c r="A6711" s="23" t="s">
        <v>514</v>
      </c>
      <c r="B6711" s="24"/>
      <c r="C6711" s="24"/>
      <c r="D6711" s="24"/>
      <c r="E6711" s="24"/>
      <c r="F6711" s="24"/>
      <c r="G6711" s="24"/>
      <c r="H6711" s="24"/>
      <c r="I6711" s="24"/>
      <c r="J6711" s="24"/>
      <c r="K6711" s="24"/>
    </row>
    <row r="6712" customFormat="false" ht="15" hidden="false" customHeight="false" outlineLevel="0" collapsed="false">
      <c r="A6712" s="3" t="s">
        <v>499</v>
      </c>
      <c r="C6712" s="21" t="n">
        <f aca="false">IF(C6660=0,0,C6708/C6660)</f>
        <v>0</v>
      </c>
    </row>
    <row r="6713" customFormat="false" ht="15" hidden="false" customHeight="false" outlineLevel="0" collapsed="false">
      <c r="A6713" s="3" t="s">
        <v>500</v>
      </c>
      <c r="C6713" s="21" t="n">
        <f aca="false">IF(C6661=0,0,C6709/C6661)</f>
        <v>0</v>
      </c>
    </row>
    <row r="6714" customFormat="false" ht="15" hidden="false" customHeight="false" outlineLevel="0" collapsed="false">
      <c r="A6714" s="3" t="s">
        <v>501</v>
      </c>
      <c r="C6714" s="21" t="n">
        <f aca="false">IF(C6662=0,0,C6710/C6662)</f>
        <v>0</v>
      </c>
    </row>
    <row r="6715" customFormat="false" ht="15" hidden="false" customHeight="false" outlineLevel="0" collapsed="false">
      <c r="A6715" s="2" t="s">
        <v>515</v>
      </c>
      <c r="C6715" s="16" t="n">
        <f aca="false">MAX(0,$C$6658-SUM($C$6672:$C$6674)-SUM($C$6680:$C$6682))</f>
        <v>428.177320788743</v>
      </c>
    </row>
    <row r="6716" customFormat="false" ht="15" hidden="false" customHeight="false" outlineLevel="0" collapsed="false">
      <c r="A6716" s="3" t="s">
        <v>516</v>
      </c>
      <c r="C6716" s="25" t="n">
        <f aca="false">SUM($C$6700:$C$6702)+C6715+C6657-C6656</f>
        <v>0</v>
      </c>
    </row>
    <row r="6718" customFormat="false" ht="15" hidden="false" customHeight="false" outlineLevel="0" collapsed="false">
      <c r="A6718" s="23" t="s">
        <v>519</v>
      </c>
      <c r="B6718" s="24"/>
      <c r="C6718" s="24"/>
      <c r="D6718" s="24"/>
      <c r="E6718" s="24"/>
      <c r="F6718" s="24"/>
      <c r="G6718" s="24"/>
      <c r="H6718" s="24"/>
      <c r="I6718" s="24"/>
      <c r="J6718" s="24"/>
      <c r="K6718" s="24"/>
    </row>
    <row r="6719" customFormat="false" ht="15" hidden="false" customHeight="false" outlineLevel="0" collapsed="false">
      <c r="A6719" s="3" t="s">
        <v>520</v>
      </c>
      <c r="C6719" s="27" t="n">
        <f aca="false">Assumptions!$C$33</f>
        <v>1</v>
      </c>
    </row>
    <row r="6720" customFormat="false" ht="15" hidden="false" customHeight="false" outlineLevel="0" collapsed="false">
      <c r="A6720" s="3" t="s">
        <v>521</v>
      </c>
      <c r="C6720" s="29" t="n">
        <f aca="false">Assumptions!$C$34</f>
        <v>100</v>
      </c>
    </row>
    <row r="6721" customFormat="false" ht="15" hidden="false" customHeight="false" outlineLevel="0" collapsed="false">
      <c r="A6721" s="3" t="s">
        <v>522</v>
      </c>
      <c r="C6721" s="40" t="n">
        <f aca="false">Assumptions!$C$35</f>
        <v>95</v>
      </c>
    </row>
    <row r="6722" customFormat="false" ht="15" hidden="false" customHeight="false" outlineLevel="0" collapsed="false">
      <c r="A6722" s="3" t="s">
        <v>523</v>
      </c>
      <c r="C6722" s="25" t="n">
        <f aca="false">C6720*C6721/100*(1+Assumptions!$C$36)</f>
        <v>95</v>
      </c>
    </row>
    <row r="6723" customFormat="false" ht="15" hidden="false" customHeight="false" outlineLevel="0" collapsed="false">
      <c r="A6723" s="3" t="s">
        <v>524</v>
      </c>
      <c r="C6723" s="27" t="n">
        <f aca="false">Assumptions!$C$37</f>
        <v>3</v>
      </c>
    </row>
    <row r="6724" customFormat="false" ht="15" hidden="false" customHeight="false" outlineLevel="0" collapsed="false">
      <c r="A6724" s="3" t="s">
        <v>525</v>
      </c>
      <c r="C6724" s="20" t="n">
        <f aca="false">IF(C6649=1,SUMPRODUCT($G$6601:$K$6601,$G$6494:$K$6494),0)</f>
        <v>0</v>
      </c>
    </row>
    <row r="6725" customFormat="false" ht="15" hidden="false" customHeight="false" outlineLevel="0" collapsed="false">
      <c r="A6725" s="3" t="s">
        <v>526</v>
      </c>
      <c r="C6725" s="21" t="n">
        <f aca="false">IFERROR(C6720/CHOOSE(C6719,SUMPRODUCT($G$6648:$K$6648,$G$6540:$K$6540),SUMPRODUCT($G$6648:$K$6648,$G$6553:$K$6553),SUMPRODUCT($G$6648:$K$6648,$G$6566:$K$6566)),0)</f>
        <v>0.0760399605200525</v>
      </c>
    </row>
    <row r="6726" customFormat="false" ht="15" hidden="false" customHeight="false" outlineLevel="0" collapsed="false">
      <c r="A6726" s="3" t="s">
        <v>527</v>
      </c>
      <c r="C6726" s="25" t="n">
        <f aca="false">CHOOSE(C6719,C6700,C6701,C6702)*C6725</f>
        <v>102.625</v>
      </c>
    </row>
    <row r="6727" customFormat="false" ht="15" hidden="false" customHeight="false" outlineLevel="0" collapsed="false">
      <c r="A6727" s="3" t="s">
        <v>528</v>
      </c>
      <c r="C6727" s="21" t="n">
        <f aca="false">CHOOSE(C6719,C6704,C6705,C6706)</f>
        <v>1</v>
      </c>
    </row>
    <row r="6728" customFormat="false" ht="15" hidden="false" customHeight="false" outlineLevel="0" collapsed="false">
      <c r="A6728" s="3" t="s">
        <v>529</v>
      </c>
      <c r="C6728" s="20" t="n">
        <f aca="false">IF(C6649=1,C6724,C6723)</f>
        <v>3</v>
      </c>
    </row>
    <row r="6729" customFormat="false" ht="15" hidden="false" customHeight="false" outlineLevel="0" collapsed="false">
      <c r="A6729" s="3" t="s">
        <v>530</v>
      </c>
      <c r="C6729" s="34" t="n">
        <f aca="false">CHOOSE($C$6486,Assumptions!$C$83,Assumptions!$C$102,Assumptions!$C$121)</f>
        <v>100</v>
      </c>
    </row>
    <row r="6730" customFormat="false" ht="15" hidden="false" customHeight="false" outlineLevel="0" collapsed="false">
      <c r="A6730" s="3" t="s">
        <v>531</v>
      </c>
      <c r="C6730" s="25" t="n">
        <f aca="false">INDEX($G$6503:$K$6503,C6723)*CHOOSE($C$6486,Assumptions!$C$82,Assumptions!$C$101,Assumptions!$C$120)+MAX(0,INDEX($G$6598:$K$6598,C6723))</f>
        <v>1898.86777853863</v>
      </c>
    </row>
    <row r="6731" customFormat="false" ht="15" hidden="false" customHeight="false" outlineLevel="0" collapsed="false">
      <c r="A6731" s="23" t="s">
        <v>532</v>
      </c>
      <c r="B6731" s="24"/>
      <c r="C6731" s="24"/>
      <c r="D6731" s="24"/>
      <c r="E6731" s="24"/>
      <c r="F6731" s="24"/>
      <c r="G6731" s="24"/>
      <c r="H6731" s="24"/>
      <c r="I6731" s="24"/>
      <c r="J6731" s="24"/>
      <c r="K6731" s="24"/>
    </row>
    <row r="6732" customFormat="false" ht="15" hidden="false" customHeight="false" outlineLevel="0" collapsed="false">
      <c r="A6732" s="3" t="s">
        <v>499</v>
      </c>
      <c r="C6732" s="25" t="n">
        <f aca="false">INDEX($G$6540:$K$6540,C6723)</f>
        <v>1315.098</v>
      </c>
    </row>
    <row r="6733" customFormat="false" ht="15" hidden="false" customHeight="false" outlineLevel="0" collapsed="false">
      <c r="A6733" s="3" t="s">
        <v>500</v>
      </c>
      <c r="C6733" s="25" t="n">
        <f aca="false">INDEX($G$6553:$K$6553,C6723)</f>
        <v>0</v>
      </c>
    </row>
    <row r="6734" customFormat="false" ht="15" hidden="false" customHeight="false" outlineLevel="0" collapsed="false">
      <c r="A6734" s="3" t="s">
        <v>501</v>
      </c>
      <c r="C6734" s="25" t="n">
        <f aca="false">INDEX($G$6566:$K$6566,C6723)</f>
        <v>0</v>
      </c>
    </row>
    <row r="6735" customFormat="false" ht="15" hidden="false" customHeight="false" outlineLevel="0" collapsed="false">
      <c r="A6735" s="23" t="s">
        <v>502</v>
      </c>
      <c r="B6735" s="24"/>
      <c r="C6735" s="24"/>
      <c r="D6735" s="24"/>
      <c r="E6735" s="24"/>
      <c r="F6735" s="24"/>
      <c r="G6735" s="24"/>
      <c r="H6735" s="24"/>
      <c r="I6735" s="24"/>
      <c r="J6735" s="24"/>
      <c r="K6735" s="24"/>
    </row>
    <row r="6736" customFormat="false" ht="15" hidden="false" customHeight="false" outlineLevel="0" collapsed="false">
      <c r="A6736" s="3" t="s">
        <v>499</v>
      </c>
      <c r="C6736" s="27" t="n">
        <f aca="false">Assumptions!$M$56</f>
        <v>1</v>
      </c>
    </row>
    <row r="6737" customFormat="false" ht="15" hidden="false" customHeight="false" outlineLevel="0" collapsed="false">
      <c r="A6737" s="3" t="s">
        <v>500</v>
      </c>
      <c r="C6737" s="27" t="n">
        <f aca="false">Assumptions!$M$57</f>
        <v>2</v>
      </c>
    </row>
    <row r="6738" customFormat="false" ht="15" hidden="false" customHeight="false" outlineLevel="0" collapsed="false">
      <c r="A6738" s="3" t="s">
        <v>501</v>
      </c>
      <c r="C6738" s="27" t="n">
        <f aca="false">Assumptions!$M$58</f>
        <v>2</v>
      </c>
    </row>
    <row r="6739" customFormat="false" ht="15" hidden="false" customHeight="false" outlineLevel="0" collapsed="false">
      <c r="A6739" s="23" t="s">
        <v>503</v>
      </c>
      <c r="B6739" s="24"/>
      <c r="C6739" s="24"/>
      <c r="D6739" s="24"/>
      <c r="E6739" s="24"/>
      <c r="F6739" s="24"/>
      <c r="G6739" s="24"/>
      <c r="H6739" s="24"/>
      <c r="I6739" s="24"/>
      <c r="J6739" s="24"/>
      <c r="K6739" s="24"/>
    </row>
    <row r="6740" customFormat="false" ht="15" hidden="false" customHeight="false" outlineLevel="0" collapsed="false">
      <c r="A6740" s="3" t="s">
        <v>499</v>
      </c>
      <c r="C6740" s="35" t="n">
        <f aca="false">Assumptions!$Q$56</f>
        <v>0</v>
      </c>
    </row>
    <row r="6741" customFormat="false" ht="15" hidden="false" customHeight="false" outlineLevel="0" collapsed="false">
      <c r="A6741" s="3" t="s">
        <v>500</v>
      </c>
      <c r="C6741" s="35" t="n">
        <f aca="false">Assumptions!$Q$57</f>
        <v>0</v>
      </c>
    </row>
    <row r="6742" customFormat="false" ht="15" hidden="false" customHeight="false" outlineLevel="0" collapsed="false">
      <c r="A6742" s="3" t="s">
        <v>501</v>
      </c>
      <c r="C6742" s="35" t="n">
        <f aca="false">Assumptions!$Q$58</f>
        <v>0</v>
      </c>
    </row>
    <row r="6743" customFormat="false" ht="15" hidden="false" customHeight="false" outlineLevel="0" collapsed="false">
      <c r="A6743" s="23" t="s">
        <v>504</v>
      </c>
      <c r="B6743" s="24"/>
      <c r="C6743" s="24"/>
      <c r="D6743" s="24"/>
      <c r="E6743" s="24"/>
      <c r="F6743" s="24"/>
      <c r="G6743" s="24"/>
      <c r="H6743" s="24"/>
      <c r="I6743" s="24"/>
      <c r="J6743" s="24"/>
      <c r="K6743" s="24"/>
    </row>
    <row r="6744" customFormat="false" ht="15" hidden="false" customHeight="false" outlineLevel="0" collapsed="false">
      <c r="A6744" s="3" t="s">
        <v>499</v>
      </c>
      <c r="C6744" s="25" t="n">
        <f aca="false">IF(C6740&gt;0,MIN(C6732,C6740*$C$6730),0)</f>
        <v>0</v>
      </c>
    </row>
    <row r="6745" customFormat="false" ht="15" hidden="false" customHeight="false" outlineLevel="0" collapsed="false">
      <c r="A6745" s="3" t="s">
        <v>500</v>
      </c>
      <c r="C6745" s="25" t="n">
        <f aca="false">IF(C6741&gt;0,MIN(C6733,C6741*$C$6730),0)</f>
        <v>0</v>
      </c>
    </row>
    <row r="6746" customFormat="false" ht="15" hidden="false" customHeight="false" outlineLevel="0" collapsed="false">
      <c r="A6746" s="3" t="s">
        <v>501</v>
      </c>
      <c r="C6746" s="25" t="n">
        <f aca="false">IF(C6742&gt;0,MIN(C6734,C6742*$C$6730),0)</f>
        <v>0</v>
      </c>
    </row>
    <row r="6747" customFormat="false" ht="15" hidden="false" customHeight="false" outlineLevel="0" collapsed="false">
      <c r="A6747" s="23" t="s">
        <v>505</v>
      </c>
      <c r="B6747" s="24"/>
      <c r="C6747" s="24"/>
      <c r="D6747" s="24"/>
      <c r="E6747" s="24"/>
      <c r="F6747" s="24"/>
      <c r="G6747" s="24"/>
      <c r="H6747" s="24"/>
      <c r="I6747" s="24"/>
      <c r="J6747" s="24"/>
      <c r="K6747" s="24"/>
    </row>
    <row r="6748" customFormat="false" ht="15" hidden="false" customHeight="false" outlineLevel="0" collapsed="false">
      <c r="A6748" s="3" t="s">
        <v>499</v>
      </c>
      <c r="C6748" s="25" t="n">
        <f aca="false">IF(C6740&gt;0,C6732-C6744,0)</f>
        <v>0</v>
      </c>
    </row>
    <row r="6749" customFormat="false" ht="15" hidden="false" customHeight="false" outlineLevel="0" collapsed="false">
      <c r="A6749" s="3" t="s">
        <v>500</v>
      </c>
      <c r="C6749" s="25" t="n">
        <f aca="false">IF(C6741&gt;0,C6733-C6745,0)</f>
        <v>0</v>
      </c>
    </row>
    <row r="6750" customFormat="false" ht="15" hidden="false" customHeight="false" outlineLevel="0" collapsed="false">
      <c r="A6750" s="3" t="s">
        <v>501</v>
      </c>
      <c r="C6750" s="25" t="n">
        <f aca="false">IF(C6742&gt;0,C6734-C6746,0)</f>
        <v>0</v>
      </c>
    </row>
    <row r="6751" customFormat="false" ht="15" hidden="false" customHeight="false" outlineLevel="0" collapsed="false">
      <c r="A6751" s="23" t="s">
        <v>506</v>
      </c>
      <c r="B6751" s="24"/>
      <c r="C6751" s="24"/>
      <c r="D6751" s="24"/>
      <c r="E6751" s="24"/>
      <c r="F6751" s="24"/>
      <c r="G6751" s="24"/>
      <c r="H6751" s="24"/>
      <c r="I6751" s="24"/>
      <c r="J6751" s="24"/>
      <c r="K6751" s="24"/>
    </row>
    <row r="6752" customFormat="false" ht="15" hidden="false" customHeight="false" outlineLevel="0" collapsed="false">
      <c r="A6752" s="3" t="s">
        <v>499</v>
      </c>
      <c r="C6752" s="25" t="n">
        <f aca="false">IF(C6740&gt;0,C6748,C6732)</f>
        <v>1315.098</v>
      </c>
    </row>
    <row r="6753" customFormat="false" ht="15" hidden="false" customHeight="false" outlineLevel="0" collapsed="false">
      <c r="A6753" s="3" t="s">
        <v>500</v>
      </c>
      <c r="C6753" s="25" t="n">
        <f aca="false">IF(C6741&gt;0,C6749,C6733)</f>
        <v>0</v>
      </c>
    </row>
    <row r="6754" customFormat="false" ht="15" hidden="false" customHeight="false" outlineLevel="0" collapsed="false">
      <c r="A6754" s="3" t="s">
        <v>501</v>
      </c>
      <c r="C6754" s="25" t="n">
        <f aca="false">IF(C6742&gt;0,C6750,C6734)</f>
        <v>0</v>
      </c>
    </row>
    <row r="6755" customFormat="false" ht="15" hidden="false" customHeight="false" outlineLevel="0" collapsed="false">
      <c r="A6755" s="23" t="s">
        <v>507</v>
      </c>
      <c r="B6755" s="24"/>
      <c r="C6755" s="24"/>
      <c r="D6755" s="24"/>
      <c r="E6755" s="24"/>
      <c r="F6755" s="24"/>
      <c r="G6755" s="24"/>
      <c r="H6755" s="24"/>
      <c r="I6755" s="24"/>
      <c r="J6755" s="24"/>
      <c r="K6755" s="24"/>
    </row>
    <row r="6756" customFormat="false" ht="15" hidden="false" customHeight="false" outlineLevel="0" collapsed="false">
      <c r="A6756" s="3" t="s">
        <v>499</v>
      </c>
      <c r="C6756" s="20" t="n">
        <f aca="false">IF(C6740&gt;0,Assumptions!$C$17,C6736)</f>
        <v>1</v>
      </c>
    </row>
    <row r="6757" customFormat="false" ht="15" hidden="false" customHeight="false" outlineLevel="0" collapsed="false">
      <c r="A6757" s="3" t="s">
        <v>500</v>
      </c>
      <c r="C6757" s="20" t="n">
        <f aca="false">IF(C6741&gt;0,Assumptions!$C$17,C6737)</f>
        <v>2</v>
      </c>
    </row>
    <row r="6758" customFormat="false" ht="15" hidden="false" customHeight="false" outlineLevel="0" collapsed="false">
      <c r="A6758" s="3" t="s">
        <v>501</v>
      </c>
      <c r="C6758" s="20" t="n">
        <f aca="false">IF(C6742&gt;0,Assumptions!$C$17,C6738)</f>
        <v>2</v>
      </c>
    </row>
    <row r="6759" customFormat="false" ht="15" hidden="false" customHeight="false" outlineLevel="0" collapsed="false">
      <c r="A6759" s="23" t="s">
        <v>508</v>
      </c>
      <c r="B6759" s="24"/>
      <c r="C6759" s="24"/>
      <c r="D6759" s="24"/>
      <c r="E6759" s="24"/>
      <c r="F6759" s="24"/>
      <c r="G6759" s="24"/>
      <c r="H6759" s="24"/>
      <c r="I6759" s="24"/>
      <c r="J6759" s="24"/>
      <c r="K6759" s="24"/>
    </row>
    <row r="6760" customFormat="false" ht="15" hidden="false" customHeight="false" outlineLevel="0" collapsed="false">
      <c r="A6760" s="3" t="s">
        <v>499</v>
      </c>
      <c r="C6760" s="25" t="n">
        <f aca="false">SUMPRODUCT(($C$6756:$C$6758&lt;C6756)*$C$6752:$C$6754)</f>
        <v>0</v>
      </c>
    </row>
    <row r="6761" customFormat="false" ht="15" hidden="false" customHeight="false" outlineLevel="0" collapsed="false">
      <c r="A6761" s="3" t="s">
        <v>500</v>
      </c>
      <c r="C6761" s="25" t="n">
        <f aca="false">SUMPRODUCT(($C$6756:$C$6758&lt;C6757)*$C$6752:$C$6754)</f>
        <v>1315.098</v>
      </c>
    </row>
    <row r="6762" customFormat="false" ht="15" hidden="false" customHeight="false" outlineLevel="0" collapsed="false">
      <c r="A6762" s="3" t="s">
        <v>501</v>
      </c>
      <c r="C6762" s="25" t="n">
        <f aca="false">SUMPRODUCT(($C$6756:$C$6758&lt;C6758)*$C$6752:$C$6754)</f>
        <v>1315.098</v>
      </c>
    </row>
    <row r="6763" customFormat="false" ht="15" hidden="false" customHeight="false" outlineLevel="0" collapsed="false">
      <c r="A6763" s="23" t="s">
        <v>509</v>
      </c>
      <c r="B6763" s="24"/>
      <c r="C6763" s="24"/>
      <c r="D6763" s="24"/>
      <c r="E6763" s="24"/>
      <c r="F6763" s="24"/>
      <c r="G6763" s="24"/>
      <c r="H6763" s="24"/>
      <c r="I6763" s="24"/>
      <c r="J6763" s="24"/>
      <c r="K6763" s="24"/>
    </row>
    <row r="6764" customFormat="false" ht="15" hidden="false" customHeight="false" outlineLevel="0" collapsed="false">
      <c r="A6764" s="3" t="s">
        <v>499</v>
      </c>
      <c r="C6764" s="25" t="n">
        <f aca="false">SUMPRODUCT(($C$6756:$C$6758=C6756)*$C$6752:$C$6754)</f>
        <v>1315.098</v>
      </c>
    </row>
    <row r="6765" customFormat="false" ht="15" hidden="false" customHeight="false" outlineLevel="0" collapsed="false">
      <c r="A6765" s="3" t="s">
        <v>500</v>
      </c>
      <c r="C6765" s="25" t="n">
        <f aca="false">SUMPRODUCT(($C$6756:$C$6758=C6757)*$C$6752:$C$6754)</f>
        <v>0</v>
      </c>
    </row>
    <row r="6766" customFormat="false" ht="15" hidden="false" customHeight="false" outlineLevel="0" collapsed="false">
      <c r="A6766" s="3" t="s">
        <v>501</v>
      </c>
      <c r="C6766" s="25" t="n">
        <f aca="false">SUMPRODUCT(($C$6756:$C$6758=C6758)*$C$6752:$C$6754)</f>
        <v>0</v>
      </c>
    </row>
    <row r="6767" customFormat="false" ht="15" hidden="false" customHeight="false" outlineLevel="0" collapsed="false">
      <c r="A6767" s="23" t="s">
        <v>510</v>
      </c>
      <c r="B6767" s="24"/>
      <c r="C6767" s="24"/>
      <c r="D6767" s="24"/>
      <c r="E6767" s="24"/>
      <c r="F6767" s="24"/>
      <c r="G6767" s="24"/>
      <c r="H6767" s="24"/>
      <c r="I6767" s="24"/>
      <c r="J6767" s="24"/>
      <c r="K6767" s="24"/>
    </row>
    <row r="6768" customFormat="false" ht="15" hidden="false" customHeight="false" outlineLevel="0" collapsed="false">
      <c r="A6768" s="3" t="s">
        <v>499</v>
      </c>
      <c r="C6768" s="25" t="n">
        <f aca="false">IF(C6764=0,0,C6752/C6764*MAX(0,MIN(C6764,$C$6730-SUM($C$6744:$C$6746)-C6760)))</f>
        <v>1315.098</v>
      </c>
    </row>
    <row r="6769" customFormat="false" ht="15" hidden="false" customHeight="false" outlineLevel="0" collapsed="false">
      <c r="A6769" s="3" t="s">
        <v>500</v>
      </c>
      <c r="C6769" s="25" t="n">
        <f aca="false">IF(C6765=0,0,C6753/C6765*MAX(0,MIN(C6765,$C$6730-SUM($C$6744:$C$6746)-C6761)))</f>
        <v>0</v>
      </c>
    </row>
    <row r="6770" customFormat="false" ht="15" hidden="false" customHeight="false" outlineLevel="0" collapsed="false">
      <c r="A6770" s="3" t="s">
        <v>501</v>
      </c>
      <c r="C6770" s="25" t="n">
        <f aca="false">IF(C6766=0,0,C6754/C6766*MAX(0,MIN(C6766,$C$6730-SUM($C$6744:$C$6746)-C6762)))</f>
        <v>0</v>
      </c>
    </row>
    <row r="6771" customFormat="false" ht="15" hidden="false" customHeight="false" outlineLevel="0" collapsed="false">
      <c r="A6771" s="23" t="s">
        <v>511</v>
      </c>
      <c r="B6771" s="24"/>
      <c r="C6771" s="24"/>
      <c r="D6771" s="24"/>
      <c r="E6771" s="24"/>
      <c r="F6771" s="24"/>
      <c r="G6771" s="24"/>
      <c r="H6771" s="24"/>
      <c r="I6771" s="24"/>
      <c r="J6771" s="24"/>
      <c r="K6771" s="24"/>
    </row>
    <row r="6772" customFormat="false" ht="15" hidden="false" customHeight="false" outlineLevel="0" collapsed="false">
      <c r="A6772" s="2" t="s">
        <v>499</v>
      </c>
      <c r="C6772" s="16" t="n">
        <f aca="false">C6744+C6768</f>
        <v>1315.098</v>
      </c>
    </row>
    <row r="6773" customFormat="false" ht="15" hidden="false" customHeight="false" outlineLevel="0" collapsed="false">
      <c r="A6773" s="2" t="s">
        <v>500</v>
      </c>
      <c r="C6773" s="16" t="n">
        <f aca="false">C6745+C6769</f>
        <v>0</v>
      </c>
    </row>
    <row r="6774" customFormat="false" ht="15" hidden="false" customHeight="false" outlineLevel="0" collapsed="false">
      <c r="A6774" s="2" t="s">
        <v>501</v>
      </c>
      <c r="C6774" s="16" t="n">
        <f aca="false">C6746+C6770</f>
        <v>0</v>
      </c>
    </row>
    <row r="6775" customFormat="false" ht="15" hidden="false" customHeight="false" outlineLevel="0" collapsed="false">
      <c r="A6775" s="23" t="s">
        <v>512</v>
      </c>
      <c r="B6775" s="24"/>
      <c r="C6775" s="24"/>
      <c r="D6775" s="24"/>
      <c r="E6775" s="24"/>
      <c r="F6775" s="24"/>
      <c r="G6775" s="24"/>
      <c r="H6775" s="24"/>
      <c r="I6775" s="24"/>
      <c r="J6775" s="24"/>
      <c r="K6775" s="24"/>
    </row>
    <row r="6776" customFormat="false" ht="15" hidden="false" customHeight="false" outlineLevel="0" collapsed="false">
      <c r="A6776" s="3" t="s">
        <v>499</v>
      </c>
      <c r="C6776" s="21" t="n">
        <f aca="false">IF(C6732=0,1,C6772/C6732)</f>
        <v>1</v>
      </c>
    </row>
    <row r="6777" customFormat="false" ht="15" hidden="false" customHeight="false" outlineLevel="0" collapsed="false">
      <c r="A6777" s="3" t="s">
        <v>500</v>
      </c>
      <c r="C6777" s="21" t="n">
        <f aca="false">IF(C6733=0,1,C6773/C6733)</f>
        <v>1</v>
      </c>
    </row>
    <row r="6778" customFormat="false" ht="15" hidden="false" customHeight="false" outlineLevel="0" collapsed="false">
      <c r="A6778" s="3" t="s">
        <v>501</v>
      </c>
      <c r="C6778" s="21" t="n">
        <f aca="false">IF(C6734=0,1,C6774/C6734)</f>
        <v>1</v>
      </c>
    </row>
    <row r="6779" customFormat="false" ht="15" hidden="false" customHeight="false" outlineLevel="0" collapsed="false">
      <c r="A6779" s="23" t="s">
        <v>513</v>
      </c>
      <c r="B6779" s="24"/>
      <c r="C6779" s="24"/>
      <c r="D6779" s="24"/>
      <c r="E6779" s="24"/>
      <c r="F6779" s="24"/>
      <c r="G6779" s="24"/>
      <c r="H6779" s="24"/>
      <c r="I6779" s="24"/>
      <c r="J6779" s="24"/>
      <c r="K6779" s="24"/>
    </row>
    <row r="6780" customFormat="false" ht="15" hidden="false" customHeight="false" outlineLevel="0" collapsed="false">
      <c r="A6780" s="3" t="s">
        <v>499</v>
      </c>
      <c r="C6780" s="25" t="n">
        <f aca="false">C6732-C6772</f>
        <v>0</v>
      </c>
    </row>
    <row r="6781" customFormat="false" ht="15" hidden="false" customHeight="false" outlineLevel="0" collapsed="false">
      <c r="A6781" s="3" t="s">
        <v>500</v>
      </c>
      <c r="C6781" s="25" t="n">
        <f aca="false">C6733-C6773</f>
        <v>0</v>
      </c>
    </row>
    <row r="6782" customFormat="false" ht="15" hidden="false" customHeight="false" outlineLevel="0" collapsed="false">
      <c r="A6782" s="3" t="s">
        <v>501</v>
      </c>
      <c r="C6782" s="25" t="n">
        <f aca="false">C6734-C6774</f>
        <v>0</v>
      </c>
    </row>
    <row r="6783" customFormat="false" ht="15" hidden="false" customHeight="false" outlineLevel="0" collapsed="false">
      <c r="A6783" s="23" t="s">
        <v>514</v>
      </c>
      <c r="B6783" s="24"/>
      <c r="C6783" s="24"/>
      <c r="D6783" s="24"/>
      <c r="E6783" s="24"/>
      <c r="F6783" s="24"/>
      <c r="G6783" s="24"/>
      <c r="H6783" s="24"/>
      <c r="I6783" s="24"/>
      <c r="J6783" s="24"/>
      <c r="K6783" s="24"/>
    </row>
    <row r="6784" customFormat="false" ht="15" hidden="false" customHeight="false" outlineLevel="0" collapsed="false">
      <c r="A6784" s="3" t="s">
        <v>499</v>
      </c>
      <c r="C6784" s="21" t="n">
        <f aca="false">IF(C6732=0,0,C6780/C6732)</f>
        <v>0</v>
      </c>
    </row>
    <row r="6785" customFormat="false" ht="15" hidden="false" customHeight="false" outlineLevel="0" collapsed="false">
      <c r="A6785" s="3" t="s">
        <v>500</v>
      </c>
      <c r="C6785" s="21" t="n">
        <f aca="false">IF(C6733=0,0,C6781/C6733)</f>
        <v>0</v>
      </c>
    </row>
    <row r="6786" customFormat="false" ht="15" hidden="false" customHeight="false" outlineLevel="0" collapsed="false">
      <c r="A6786" s="3" t="s">
        <v>501</v>
      </c>
      <c r="C6786" s="21" t="n">
        <f aca="false">IF(C6734=0,0,C6782/C6734)</f>
        <v>0</v>
      </c>
    </row>
    <row r="6787" customFormat="false" ht="15" hidden="false" customHeight="false" outlineLevel="0" collapsed="false">
      <c r="A6787" s="2" t="s">
        <v>515</v>
      </c>
      <c r="C6787" s="16" t="n">
        <f aca="false">MAX(0,$C$6730-SUM($C$6744:$C$6746)-SUM($C$6752:$C$6754))</f>
        <v>583.769778538632</v>
      </c>
    </row>
    <row r="6788" customFormat="false" ht="15" hidden="false" customHeight="false" outlineLevel="0" collapsed="false">
      <c r="A6788" s="3" t="s">
        <v>533</v>
      </c>
      <c r="C6788" s="34" t="n">
        <f aca="false">MIN(C6729,100*CHOOSE(C6719,C6776,C6777,C6778))</f>
        <v>100</v>
      </c>
    </row>
    <row r="6789" customFormat="false" ht="15" hidden="false" customHeight="false" outlineLevel="0" collapsed="false">
      <c r="A6789" s="3" t="s">
        <v>534</v>
      </c>
      <c r="C6789" s="20" t="n">
        <f aca="false">IF(C6649=1,C6724+Assumptions!$C$39,C6723)</f>
        <v>3</v>
      </c>
    </row>
    <row r="6790" customFormat="false" ht="15" hidden="false" customHeight="false" outlineLevel="0" collapsed="false">
      <c r="A6790" s="23" t="s">
        <v>535</v>
      </c>
      <c r="B6790" s="24"/>
      <c r="C6790" s="24"/>
      <c r="D6790" s="24"/>
      <c r="E6790" s="24"/>
      <c r="F6790" s="24"/>
      <c r="G6790" s="24"/>
      <c r="H6790" s="24"/>
      <c r="I6790" s="24"/>
      <c r="J6790" s="24"/>
      <c r="K6790" s="24"/>
    </row>
    <row r="6791" customFormat="false" ht="15" hidden="false" customHeight="false" outlineLevel="0" collapsed="false">
      <c r="A6791" s="3" t="s">
        <v>536</v>
      </c>
      <c r="C6791" s="20" t="n">
        <f aca="false">COLUMN()-COLUMN($C$1)</f>
        <v>0</v>
      </c>
      <c r="D6791" s="20" t="n">
        <f aca="false">COLUMN()-COLUMN($C$1)</f>
        <v>1</v>
      </c>
      <c r="E6791" s="20" t="n">
        <f aca="false">COLUMN()-COLUMN($C$1)</f>
        <v>2</v>
      </c>
      <c r="F6791" s="20" t="n">
        <f aca="false">COLUMN()-COLUMN($C$1)</f>
        <v>3</v>
      </c>
      <c r="G6791" s="20" t="n">
        <f aca="false">COLUMN()-COLUMN($C$1)</f>
        <v>4</v>
      </c>
      <c r="H6791" s="20" t="n">
        <f aca="false">COLUMN()-COLUMN($C$1)</f>
        <v>5</v>
      </c>
      <c r="I6791" s="20" t="n">
        <f aca="false">COLUMN()-COLUMN($C$1)</f>
        <v>6</v>
      </c>
    </row>
    <row r="6792" customFormat="false" ht="15" hidden="false" customHeight="false" outlineLevel="0" collapsed="false">
      <c r="A6792" s="3" t="s">
        <v>537</v>
      </c>
      <c r="D6792" s="31" t="n">
        <f aca="false">CHOOSE($C$6719,G6532,G6545,G6558)</f>
        <v>0.105</v>
      </c>
      <c r="E6792" s="31" t="n">
        <f aca="false">CHOOSE($C$6719,H6532,H6545,H6558)</f>
        <v>0.105</v>
      </c>
      <c r="F6792" s="31" t="n">
        <f aca="false">CHOOSE($C$6719,I6532,I6545,I6558)</f>
        <v>0.105</v>
      </c>
      <c r="G6792" s="31" t="n">
        <f aca="false">CHOOSE($C$6719,J6532,J6545,J6558)</f>
        <v>0.105</v>
      </c>
      <c r="H6792" s="31" t="n">
        <f aca="false">CHOOSE($C$6719,K6532,K6545,K6558)</f>
        <v>0.105</v>
      </c>
    </row>
    <row r="6793" customFormat="false" ht="15" hidden="false" customHeight="false" outlineLevel="0" collapsed="false">
      <c r="A6793" s="3" t="s">
        <v>538</v>
      </c>
      <c r="D6793" s="25" t="n">
        <f aca="false">IF(D6791&lt;=$C$6728,$C$6720*D6792,0)</f>
        <v>10.5</v>
      </c>
      <c r="E6793" s="25" t="n">
        <f aca="false">IF(E6791&lt;=$C$6728,$C$6720*E6792,0)</f>
        <v>10.5</v>
      </c>
      <c r="F6793" s="25" t="n">
        <f aca="false">IF(F6791&lt;=$C$6728,$C$6720*F6792,0)</f>
        <v>10.5</v>
      </c>
      <c r="G6793" s="25" t="n">
        <f aca="false">IF(G6791&lt;=$C$6728,$C$6720*G6792,0)</f>
        <v>0</v>
      </c>
      <c r="H6793" s="25" t="n">
        <f aca="false">IF(H6791&lt;=$C$6728,$C$6720*H6792,0)</f>
        <v>0</v>
      </c>
    </row>
    <row r="6794" customFormat="false" ht="15" hidden="false" customHeight="false" outlineLevel="0" collapsed="false">
      <c r="A6794" s="3" t="s">
        <v>539</v>
      </c>
      <c r="D6794" s="25" t="n">
        <f aca="false">IF(AND($C$6649=0,D6791=$C$6723),$C$6720*$C$6788/100,0)+IF(AND($C$6649=1,D6791=$C$6789),$C$6726,0)</f>
        <v>0</v>
      </c>
      <c r="E6794" s="25" t="n">
        <f aca="false">IF(AND($C$6649=0,E6791=$C$6723),$C$6720*$C$6788/100,0)+IF(AND($C$6649=1,E6791=$C$6789),$C$6726,0)</f>
        <v>0</v>
      </c>
      <c r="F6794" s="25" t="n">
        <f aca="false">IF(AND($C$6649=0,F6791=$C$6723),$C$6720*$C$6788/100,0)+IF(AND($C$6649=1,F6791=$C$6789),$C$6726,0)</f>
        <v>100</v>
      </c>
      <c r="G6794" s="25" t="n">
        <f aca="false">IF(AND($C$6649=0,G6791=$C$6723),$C$6720*$C$6788/100,0)+IF(AND($C$6649=1,G6791=$C$6789),$C$6726,0)</f>
        <v>0</v>
      </c>
      <c r="H6794" s="25" t="n">
        <f aca="false">IF(AND($C$6649=0,H6791=$C$6723),$C$6720*$C$6788/100,0)+IF(AND($C$6649=1,H6791=$C$6789),$C$6726,0)</f>
        <v>0</v>
      </c>
      <c r="I6794" s="25" t="n">
        <f aca="false">IF(AND($C$6649=0,I6791=$C$6723),$C$6720*$C$6788/100,0)+IF(AND($C$6649=1,I6791=$C$6789),$C$6726,0)</f>
        <v>0</v>
      </c>
    </row>
    <row r="6795" customFormat="false" ht="15" hidden="false" customHeight="false" outlineLevel="0" collapsed="false">
      <c r="A6795" s="2" t="s">
        <v>540</v>
      </c>
      <c r="C6795" s="16" t="n">
        <f aca="false">-$C$6722</f>
        <v>-95</v>
      </c>
      <c r="D6795" s="16" t="n">
        <f aca="false">D6793+D6794</f>
        <v>10.5</v>
      </c>
      <c r="E6795" s="16" t="n">
        <f aca="false">E6793+E6794</f>
        <v>10.5</v>
      </c>
      <c r="F6795" s="16" t="n">
        <f aca="false">F6793+F6794</f>
        <v>110.5</v>
      </c>
      <c r="G6795" s="16" t="n">
        <f aca="false">G6793+G6794</f>
        <v>0</v>
      </c>
      <c r="H6795" s="16" t="n">
        <f aca="false">H6793+H6794</f>
        <v>0</v>
      </c>
      <c r="I6795" s="16" t="n">
        <f aca="false">I6793+I6794</f>
        <v>0</v>
      </c>
    </row>
    <row r="6796" customFormat="false" ht="15" hidden="false" customHeight="false" outlineLevel="0" collapsed="false">
      <c r="A6796" s="3" t="s">
        <v>541</v>
      </c>
      <c r="C6796" s="25" t="n">
        <f aca="false">SUM($C$6793:$I$6793)</f>
        <v>31.5</v>
      </c>
    </row>
    <row r="6797" customFormat="false" ht="15" hidden="false" customHeight="false" outlineLevel="0" collapsed="false">
      <c r="A6797" s="3" t="s">
        <v>542</v>
      </c>
      <c r="C6797" s="25" t="n">
        <f aca="false">SUM($C$6794:$I$6794)</f>
        <v>100</v>
      </c>
    </row>
    <row r="6798" customFormat="false" ht="15" hidden="false" customHeight="false" outlineLevel="0" collapsed="false">
      <c r="A6798" s="3" t="s">
        <v>543</v>
      </c>
      <c r="C6798" s="25" t="n">
        <f aca="false">C6796+C6797</f>
        <v>131.5</v>
      </c>
    </row>
    <row r="6799" customFormat="false" ht="15" hidden="false" customHeight="false" outlineLevel="0" collapsed="false">
      <c r="A6799" s="3" t="s">
        <v>544</v>
      </c>
      <c r="C6799" s="25" t="n">
        <f aca="false">C6797-C6720*C6721/100</f>
        <v>5</v>
      </c>
    </row>
    <row r="6800" customFormat="false" ht="15" hidden="false" customHeight="false" outlineLevel="0" collapsed="false">
      <c r="A6800" s="3" t="s">
        <v>545</v>
      </c>
      <c r="C6800" s="25" t="n">
        <f aca="false">C6798-C6722</f>
        <v>36.5</v>
      </c>
    </row>
    <row r="6801" customFormat="false" ht="15" hidden="false" customHeight="false" outlineLevel="0" collapsed="false">
      <c r="A6801" s="2" t="s">
        <v>427</v>
      </c>
      <c r="C6801" s="44" t="n">
        <f aca="false">C6798/C6722</f>
        <v>1.38421052631579</v>
      </c>
    </row>
    <row r="6802" customFormat="false" ht="15" hidden="false" customHeight="false" outlineLevel="0" collapsed="false">
      <c r="A6802" s="2" t="s">
        <v>426</v>
      </c>
      <c r="C6802" s="42" t="n">
        <f aca="false">IF(C6798&lt;=0,-1,IFERROR(IRR($C$6795:$I$6795,MAX(-0.9,C6801^(1/C6789)-1)),IRR($C$6795:$I$6795,0.1)))</f>
        <v>0.126033624615204</v>
      </c>
    </row>
    <row r="6803" customFormat="false" ht="15" hidden="false" customHeight="false" outlineLevel="0" collapsed="false">
      <c r="A6803" s="3" t="s">
        <v>546</v>
      </c>
      <c r="C6803" s="32" t="n">
        <f aca="false">MAX($G$6609:$K$6609)</f>
        <v>3.81499621093561</v>
      </c>
    </row>
    <row r="6804" customFormat="false" ht="15" hidden="false" customHeight="false" outlineLevel="0" collapsed="false">
      <c r="A6804" s="3" t="s">
        <v>547</v>
      </c>
      <c r="C6804" s="32" t="n">
        <f aca="false">MIN($G$6610:$K$6610)</f>
        <v>1.75842750947116</v>
      </c>
    </row>
    <row r="6805" customFormat="false" ht="15" hidden="false" customHeight="false" outlineLevel="0" collapsed="false">
      <c r="A6805" s="3" t="s">
        <v>548</v>
      </c>
      <c r="C6805" s="25" t="n">
        <f aca="false">SUM($G$6516:$K$6516)</f>
        <v>555.588348849095</v>
      </c>
    </row>
    <row r="6809" customFormat="false" ht="15" hidden="false" customHeight="false" outlineLevel="0" collapsed="false">
      <c r="A6809" s="9" t="s">
        <v>1035</v>
      </c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</row>
    <row r="6810" customFormat="false" ht="15" hidden="false" customHeight="false" outlineLevel="0" collapsed="false">
      <c r="A6810" s="3" t="s">
        <v>1010</v>
      </c>
      <c r="C6810" s="11" t="n">
        <v>1</v>
      </c>
    </row>
    <row r="6811" customFormat="false" ht="15" hidden="false" customHeight="false" outlineLevel="0" collapsed="false">
      <c r="A6811" s="3" t="s">
        <v>1011</v>
      </c>
      <c r="C6811" s="30" t="n">
        <f aca="false">Sensitivities!$A$43</f>
        <v>0.05</v>
      </c>
    </row>
    <row r="6812" customFormat="false" ht="15" hidden="false" customHeight="false" outlineLevel="0" collapsed="false">
      <c r="A6812" s="3" t="s">
        <v>1012</v>
      </c>
      <c r="C6812" s="18" t="n">
        <v>0</v>
      </c>
    </row>
    <row r="6813" customFormat="false" ht="15" hidden="false" customHeight="false" outlineLevel="0" collapsed="false">
      <c r="A6813" s="3" t="s">
        <v>1013</v>
      </c>
      <c r="C6813" s="18" t="n">
        <v>0</v>
      </c>
    </row>
    <row r="6814" customFormat="false" ht="15" hidden="false" customHeight="false" outlineLevel="0" collapsed="false">
      <c r="A6814" s="3" t="s">
        <v>1014</v>
      </c>
      <c r="C6814" s="15" t="n">
        <v>0</v>
      </c>
    </row>
    <row r="6816" customFormat="false" ht="15" hidden="false" customHeight="false" outlineLevel="0" collapsed="false">
      <c r="A6816" s="23" t="s">
        <v>281</v>
      </c>
      <c r="B6816" s="24"/>
      <c r="C6816" s="24"/>
      <c r="D6816" s="24"/>
      <c r="E6816" s="24"/>
      <c r="F6816" s="24"/>
      <c r="G6816" s="24"/>
      <c r="H6816" s="24"/>
      <c r="I6816" s="24"/>
      <c r="J6816" s="24"/>
      <c r="K6816" s="24"/>
    </row>
    <row r="6817" customFormat="false" ht="15" hidden="false" customHeight="false" outlineLevel="0" collapsed="false">
      <c r="A6817" s="3" t="s">
        <v>282</v>
      </c>
      <c r="F6817" s="27" t="n">
        <f aca="false">Assumptions!$C$6</f>
        <v>2026</v>
      </c>
      <c r="G6817" s="20" t="n">
        <f aca="false">F6817+1</f>
        <v>2027</v>
      </c>
      <c r="H6817" s="20" t="n">
        <f aca="false">G6817+1</f>
        <v>2028</v>
      </c>
      <c r="I6817" s="20" t="n">
        <f aca="false">H6817+1</f>
        <v>2029</v>
      </c>
      <c r="J6817" s="20" t="n">
        <f aca="false">I6817+1</f>
        <v>2030</v>
      </c>
      <c r="K6817" s="20" t="n">
        <f aca="false">J6817+1</f>
        <v>2031</v>
      </c>
    </row>
    <row r="6818" customFormat="false" ht="15" hidden="false" customHeight="false" outlineLevel="0" collapsed="false">
      <c r="A6818" s="3" t="s">
        <v>283</v>
      </c>
      <c r="G6818" s="20" t="n">
        <f aca="false">G6817-Assumptions!$C$6</f>
        <v>1</v>
      </c>
      <c r="H6818" s="20" t="n">
        <f aca="false">H6817-Assumptions!$C$6</f>
        <v>2</v>
      </c>
      <c r="I6818" s="20" t="n">
        <f aca="false">I6817-Assumptions!$C$6</f>
        <v>3</v>
      </c>
      <c r="J6818" s="20" t="n">
        <f aca="false">J6817-Assumptions!$C$6</f>
        <v>4</v>
      </c>
      <c r="K6818" s="20" t="n">
        <f aca="false">K6817-Assumptions!$C$6</f>
        <v>5</v>
      </c>
    </row>
    <row r="6819" customFormat="false" ht="15" hidden="false" customHeight="false" outlineLevel="0" collapsed="false">
      <c r="A6819" s="3" t="s">
        <v>165</v>
      </c>
      <c r="G6819" s="21" t="n">
        <f aca="false">CHOOSE($C$6810,Assumptions!$G$71,Assumptions!$G$90,Assumptions!$G$109)+$C$6811</f>
        <v>0.005</v>
      </c>
      <c r="H6819" s="21" t="n">
        <f aca="false">CHOOSE($C$6810,Assumptions!$H$71,Assumptions!$H$90,Assumptions!$H$109)+$C$6811</f>
        <v>0.01</v>
      </c>
      <c r="I6819" s="21" t="n">
        <f aca="false">CHOOSE($C$6810,Assumptions!$I$71,Assumptions!$I$90,Assumptions!$I$109)+$C$6811</f>
        <v>0.015</v>
      </c>
      <c r="J6819" s="21" t="n">
        <f aca="false">CHOOSE($C$6810,Assumptions!$J$71,Assumptions!$J$90,Assumptions!$J$109)+$C$6811</f>
        <v>0.02</v>
      </c>
      <c r="K6819" s="21" t="n">
        <f aca="false">CHOOSE($C$6810,Assumptions!$K$71,Assumptions!$K$90,Assumptions!$K$109)+$C$6811</f>
        <v>0.02</v>
      </c>
    </row>
    <row r="6820" customFormat="false" ht="15" hidden="false" customHeight="false" outlineLevel="0" collapsed="false">
      <c r="A6820" s="3" t="s">
        <v>166</v>
      </c>
      <c r="G6820" s="21" t="n">
        <f aca="false">CHOOSE($C$6810,Assumptions!$G$72,Assumptions!$G$91,Assumptions!$G$110)</f>
        <v>0.483246670103635</v>
      </c>
      <c r="H6820" s="21" t="n">
        <f aca="false">CHOOSE($C$6810,Assumptions!$H$72,Assumptions!$H$91,Assumptions!$H$110)</f>
        <v>0.483246670103635</v>
      </c>
      <c r="I6820" s="21" t="n">
        <f aca="false">CHOOSE($C$6810,Assumptions!$I$72,Assumptions!$I$91,Assumptions!$I$110)</f>
        <v>0.481246670103635</v>
      </c>
      <c r="J6820" s="21" t="n">
        <f aca="false">CHOOSE($C$6810,Assumptions!$J$72,Assumptions!$J$91,Assumptions!$J$110)</f>
        <v>0.479246670103635</v>
      </c>
      <c r="K6820" s="21" t="n">
        <f aca="false">CHOOSE($C$6810,Assumptions!$K$72,Assumptions!$K$91,Assumptions!$K$110)</f>
        <v>0.477246670103635</v>
      </c>
    </row>
    <row r="6821" customFormat="false" ht="15" hidden="false" customHeight="false" outlineLevel="0" collapsed="false">
      <c r="A6821" s="3" t="s">
        <v>167</v>
      </c>
      <c r="G6821" s="21" t="n">
        <f aca="false">CHOOSE($C$6810,Assumptions!$G$73,Assumptions!$G$92,Assumptions!$G$111)+$C$6812</f>
        <v>0.14</v>
      </c>
      <c r="H6821" s="21" t="n">
        <f aca="false">CHOOSE($C$6810,Assumptions!$H$73,Assumptions!$H$92,Assumptions!$H$111)+$C$6812</f>
        <v>0.14</v>
      </c>
      <c r="I6821" s="21" t="n">
        <f aca="false">CHOOSE($C$6810,Assumptions!$I$73,Assumptions!$I$92,Assumptions!$I$111)+$C$6812</f>
        <v>0.138</v>
      </c>
      <c r="J6821" s="21" t="n">
        <f aca="false">CHOOSE($C$6810,Assumptions!$J$73,Assumptions!$J$92,Assumptions!$J$111)+$C$6812</f>
        <v>0.136</v>
      </c>
      <c r="K6821" s="21" t="n">
        <f aca="false">CHOOSE($C$6810,Assumptions!$K$73,Assumptions!$K$92,Assumptions!$K$111)+$C$6812</f>
        <v>0.134</v>
      </c>
    </row>
    <row r="6822" customFormat="false" ht="15" hidden="false" customHeight="false" outlineLevel="0" collapsed="false">
      <c r="A6822" s="23" t="s">
        <v>284</v>
      </c>
      <c r="B6822" s="24"/>
      <c r="C6822" s="24"/>
      <c r="D6822" s="24"/>
      <c r="E6822" s="24"/>
      <c r="F6822" s="24"/>
      <c r="G6822" s="24"/>
      <c r="H6822" s="24"/>
      <c r="I6822" s="24"/>
      <c r="J6822" s="24"/>
      <c r="K6822" s="24"/>
    </row>
    <row r="6823" customFormat="false" ht="15" hidden="false" customHeight="false" outlineLevel="0" collapsed="false">
      <c r="A6823" s="2" t="s">
        <v>256</v>
      </c>
      <c r="F6823" s="28" t="n">
        <f aca="false">'Historical Financials'!G23</f>
        <v>2246.166</v>
      </c>
      <c r="G6823" s="16" t="n">
        <f aca="false">F6823*(1+G6819)</f>
        <v>2257.39683</v>
      </c>
      <c r="H6823" s="16" t="n">
        <f aca="false">G6823*(1+H6819)</f>
        <v>2279.9707983</v>
      </c>
      <c r="I6823" s="16" t="n">
        <f aca="false">H6823*(1+I6819)</f>
        <v>2314.1703602745</v>
      </c>
      <c r="J6823" s="16" t="n">
        <f aca="false">I6823*(1+J6819)</f>
        <v>2360.45376747999</v>
      </c>
      <c r="K6823" s="16" t="n">
        <f aca="false">J6823*(1+K6819)</f>
        <v>2407.66284282959</v>
      </c>
    </row>
    <row r="6824" customFormat="false" ht="15" hidden="false" customHeight="false" outlineLevel="0" collapsed="false">
      <c r="A6824" s="3" t="s">
        <v>257</v>
      </c>
      <c r="G6824" s="25" t="n">
        <f aca="false">G6823*(1-G6820)</f>
        <v>1166.5173288</v>
      </c>
      <c r="H6824" s="25" t="n">
        <f aca="false">H6823*(1-H6820)</f>
        <v>1178.182502088</v>
      </c>
      <c r="I6824" s="25" t="n">
        <f aca="false">I6823*(1-I6820)</f>
        <v>1200.48358033987</v>
      </c>
      <c r="J6824" s="25" t="n">
        <f aca="false">J6823*(1-J6820)</f>
        <v>1229.21415948163</v>
      </c>
      <c r="K6824" s="25" t="n">
        <f aca="false">K6823*(1-K6820)</f>
        <v>1258.61376835692</v>
      </c>
    </row>
    <row r="6825" customFormat="false" ht="15" hidden="false" customHeight="false" outlineLevel="0" collapsed="false">
      <c r="A6825" s="2" t="s">
        <v>258</v>
      </c>
      <c r="G6825" s="16" t="n">
        <f aca="false">G6823-G6824</f>
        <v>1090.8795012</v>
      </c>
      <c r="H6825" s="16" t="n">
        <f aca="false">H6823-H6824</f>
        <v>1101.788296212</v>
      </c>
      <c r="I6825" s="16" t="n">
        <f aca="false">I6823-I6824</f>
        <v>1113.68677993463</v>
      </c>
      <c r="J6825" s="16" t="n">
        <f aca="false">J6823-J6824</f>
        <v>1131.23960799836</v>
      </c>
      <c r="K6825" s="16" t="n">
        <f aca="false">K6823-K6824</f>
        <v>1149.04907447267</v>
      </c>
    </row>
    <row r="6826" customFormat="false" ht="15" hidden="false" customHeight="false" outlineLevel="0" collapsed="false">
      <c r="A6826" s="3" t="s">
        <v>285</v>
      </c>
      <c r="G6826" s="25" t="n">
        <f aca="false">G6825-G6827</f>
        <v>774.843945</v>
      </c>
      <c r="H6826" s="25" t="n">
        <f aca="false">H6825-H6827</f>
        <v>782.59238445</v>
      </c>
      <c r="I6826" s="25" t="n">
        <f aca="false">I6825-I6827</f>
        <v>794.33127021675</v>
      </c>
      <c r="J6826" s="25" t="n">
        <f aca="false">J6825-J6827</f>
        <v>810.217895621085</v>
      </c>
      <c r="K6826" s="25" t="n">
        <f aca="false">K6825-K6827</f>
        <v>826.422253533507</v>
      </c>
    </row>
    <row r="6827" customFormat="false" ht="15" hidden="false" customHeight="false" outlineLevel="0" collapsed="false">
      <c r="A6827" s="2" t="s">
        <v>286</v>
      </c>
      <c r="G6827" s="16" t="n">
        <f aca="false">G6823*G6821</f>
        <v>316.0355562</v>
      </c>
      <c r="H6827" s="16" t="n">
        <f aca="false">H6823*H6821</f>
        <v>319.195911762</v>
      </c>
      <c r="I6827" s="16" t="n">
        <f aca="false">I6823*I6821</f>
        <v>319.355509717881</v>
      </c>
      <c r="J6827" s="16" t="n">
        <f aca="false">J6823*J6821</f>
        <v>321.021712377279</v>
      </c>
      <c r="K6827" s="16" t="n">
        <f aca="false">K6823*K6821</f>
        <v>322.626820939165</v>
      </c>
    </row>
    <row r="6828" customFormat="false" ht="15" hidden="false" customHeight="false" outlineLevel="0" collapsed="false">
      <c r="A6828" s="3" t="s">
        <v>287</v>
      </c>
      <c r="G6828" s="25" t="n">
        <f aca="false">G6823*'Historical Financials'!G28/'Historical Financials'!G23</f>
        <v>85.72248</v>
      </c>
      <c r="H6828" s="25" t="n">
        <f aca="false">H6823*'Historical Financials'!G28/'Historical Financials'!G23</f>
        <v>86.5797048</v>
      </c>
      <c r="I6828" s="25" t="n">
        <f aca="false">I6823*'Historical Financials'!G28/'Historical Financials'!G23</f>
        <v>87.878400372</v>
      </c>
      <c r="J6828" s="25" t="n">
        <f aca="false">J6823*'Historical Financials'!G28/'Historical Financials'!G23</f>
        <v>89.63596837944</v>
      </c>
      <c r="K6828" s="25" t="n">
        <f aca="false">K6823*'Historical Financials'!G28/'Historical Financials'!G23</f>
        <v>91.4286877470288</v>
      </c>
    </row>
    <row r="6829" customFormat="false" ht="15" hidden="false" customHeight="false" outlineLevel="0" collapsed="false">
      <c r="A6829" s="3" t="s">
        <v>288</v>
      </c>
      <c r="G6829" s="25" t="n">
        <f aca="false">G6823*'Historical Financials'!G29/'Historical Financials'!G23</f>
        <v>24.47778</v>
      </c>
      <c r="H6829" s="25" t="n">
        <f aca="false">H6823*'Historical Financials'!G29/'Historical Financials'!G23</f>
        <v>24.7225578</v>
      </c>
      <c r="I6829" s="25" t="n">
        <f aca="false">I6823*'Historical Financials'!G29/'Historical Financials'!G23</f>
        <v>25.093396167</v>
      </c>
      <c r="J6829" s="25" t="n">
        <f aca="false">J6823*'Historical Financials'!G29/'Historical Financials'!G23</f>
        <v>25.59526409034</v>
      </c>
      <c r="K6829" s="25" t="n">
        <f aca="false">K6823*'Historical Financials'!G29/'Historical Financials'!G23</f>
        <v>26.1071693721468</v>
      </c>
    </row>
    <row r="6830" customFormat="false" ht="15" hidden="false" customHeight="false" outlineLevel="0" collapsed="false">
      <c r="A6830" s="2" t="s">
        <v>289</v>
      </c>
      <c r="G6830" s="16" t="n">
        <f aca="false">G6827-G6828-G6829</f>
        <v>205.8352962</v>
      </c>
      <c r="H6830" s="16" t="n">
        <f aca="false">H6827-H6828-H6829</f>
        <v>207.893649162</v>
      </c>
      <c r="I6830" s="16" t="n">
        <f aca="false">I6827-I6828-I6829</f>
        <v>206.383713178881</v>
      </c>
      <c r="J6830" s="16" t="n">
        <f aca="false">J6827-J6828-J6829</f>
        <v>205.790479907499</v>
      </c>
      <c r="K6830" s="16" t="n">
        <f aca="false">K6827-K6828-K6829</f>
        <v>205.090963819989</v>
      </c>
    </row>
    <row r="6831" customFormat="false" ht="15" hidden="false" customHeight="false" outlineLevel="0" collapsed="false">
      <c r="A6831" s="3" t="s">
        <v>290</v>
      </c>
      <c r="G6831" s="25" t="n">
        <f aca="false">G6857+G6870+G6883</f>
        <v>155.95467</v>
      </c>
      <c r="H6831" s="25" t="n">
        <f aca="false">H6857+H6870+H6883</f>
        <v>155.95467</v>
      </c>
      <c r="I6831" s="25" t="n">
        <f aca="false">I6857+I6870+I6883</f>
        <v>155.95467</v>
      </c>
      <c r="J6831" s="25" t="n">
        <f aca="false">J6857+J6870+J6883</f>
        <v>138.08529</v>
      </c>
      <c r="K6831" s="25" t="n">
        <f aca="false">K6857+K6870+K6883</f>
        <v>138.08529</v>
      </c>
    </row>
    <row r="6832" customFormat="false" ht="15" hidden="false" customHeight="false" outlineLevel="0" collapsed="false">
      <c r="A6832" s="3" t="s">
        <v>291</v>
      </c>
      <c r="G6832" s="25" t="n">
        <f aca="false">G6858+G6871+G6884</f>
        <v>0</v>
      </c>
      <c r="H6832" s="25" t="n">
        <f aca="false">H6858+H6871+H6884</f>
        <v>0</v>
      </c>
      <c r="I6832" s="25" t="n">
        <f aca="false">I6858+I6871+I6884</f>
        <v>0</v>
      </c>
      <c r="J6832" s="25" t="n">
        <f aca="false">J6858+J6871+J6884</f>
        <v>0</v>
      </c>
      <c r="K6832" s="25" t="n">
        <f aca="false">K6858+K6871+K6884</f>
        <v>0</v>
      </c>
    </row>
    <row r="6833" customFormat="false" ht="15" hidden="false" customHeight="false" outlineLevel="0" collapsed="false">
      <c r="A6833" s="3" t="s">
        <v>239</v>
      </c>
      <c r="G6833" s="25" t="n">
        <f aca="false">G6831+G6832</f>
        <v>155.95467</v>
      </c>
      <c r="H6833" s="25" t="n">
        <f aca="false">H6831+H6832</f>
        <v>155.95467</v>
      </c>
      <c r="I6833" s="25" t="n">
        <f aca="false">I6831+I6832</f>
        <v>155.95467</v>
      </c>
      <c r="J6833" s="25" t="n">
        <f aca="false">J6831+J6832</f>
        <v>138.08529</v>
      </c>
      <c r="K6833" s="25" t="n">
        <f aca="false">K6831+K6832</f>
        <v>138.08529</v>
      </c>
    </row>
    <row r="6834" customFormat="false" ht="15" hidden="false" customHeight="false" outlineLevel="0" collapsed="false">
      <c r="A6834" s="2" t="s">
        <v>264</v>
      </c>
      <c r="G6834" s="16" t="n">
        <f aca="false">G6830-G6833</f>
        <v>49.8806262</v>
      </c>
      <c r="H6834" s="16" t="n">
        <f aca="false">H6830-H6833</f>
        <v>51.938979162</v>
      </c>
      <c r="I6834" s="16" t="n">
        <f aca="false">I6830-I6833</f>
        <v>50.429043178881</v>
      </c>
      <c r="J6834" s="16" t="n">
        <f aca="false">J6830-J6833</f>
        <v>67.7051899074987</v>
      </c>
      <c r="K6834" s="16" t="n">
        <f aca="false">K6830-K6833</f>
        <v>67.0056738199894</v>
      </c>
    </row>
    <row r="6835" customFormat="false" ht="15" hidden="false" customHeight="false" outlineLevel="0" collapsed="false">
      <c r="A6835" s="3" t="s">
        <v>292</v>
      </c>
      <c r="G6835" s="25" t="n">
        <f aca="false">MAX(0,G6834)*Assumptions!$C$9</f>
        <v>12.47015655</v>
      </c>
      <c r="H6835" s="25" t="n">
        <f aca="false">MAX(0,H6834)*Assumptions!$C$9</f>
        <v>12.9847447905</v>
      </c>
      <c r="I6835" s="25" t="n">
        <f aca="false">MAX(0,I6834)*Assumptions!$C$9</f>
        <v>12.6072607947202</v>
      </c>
      <c r="J6835" s="25" t="n">
        <f aca="false">MAX(0,J6834)*Assumptions!$C$9</f>
        <v>16.9262974768747</v>
      </c>
      <c r="K6835" s="25" t="n">
        <f aca="false">MAX(0,K6834)*Assumptions!$C$9</f>
        <v>16.7514184549974</v>
      </c>
    </row>
    <row r="6836" customFormat="false" ht="15" hidden="false" customHeight="false" outlineLevel="0" collapsed="false">
      <c r="A6836" s="2" t="s">
        <v>293</v>
      </c>
      <c r="G6836" s="16" t="n">
        <f aca="false">G6834-G6835</f>
        <v>37.41046965</v>
      </c>
      <c r="H6836" s="16" t="n">
        <f aca="false">H6834-H6835</f>
        <v>38.9542343715</v>
      </c>
      <c r="I6836" s="16" t="n">
        <f aca="false">I6834-I6835</f>
        <v>37.8217823841607</v>
      </c>
      <c r="J6836" s="16" t="n">
        <f aca="false">J6834-J6835</f>
        <v>50.778892430624</v>
      </c>
      <c r="K6836" s="16" t="n">
        <f aca="false">K6834-K6835</f>
        <v>50.2542553649921</v>
      </c>
    </row>
    <row r="6837" customFormat="false" ht="15" hidden="false" customHeight="false" outlineLevel="0" collapsed="false">
      <c r="A6837" s="23" t="s">
        <v>294</v>
      </c>
      <c r="B6837" s="24"/>
      <c r="C6837" s="24"/>
      <c r="D6837" s="24"/>
      <c r="E6837" s="24"/>
      <c r="F6837" s="24"/>
      <c r="G6837" s="24"/>
      <c r="H6837" s="24"/>
      <c r="I6837" s="24"/>
      <c r="J6837" s="24"/>
      <c r="K6837" s="24"/>
    </row>
    <row r="6838" customFormat="false" ht="15" hidden="false" customHeight="false" outlineLevel="0" collapsed="false">
      <c r="A6838" s="3" t="s">
        <v>169</v>
      </c>
      <c r="G6838" s="25" t="n">
        <f aca="false">G6823*CHOOSE($C$6810,Assumptions!$C$75,Assumptions!$C$94,Assumptions!$C$113)</f>
        <v>31.60355562</v>
      </c>
      <c r="H6838" s="25" t="n">
        <f aca="false">H6823*CHOOSE($C$6810,Assumptions!$C$75,Assumptions!$C$94,Assumptions!$C$113)</f>
        <v>31.9195911762</v>
      </c>
      <c r="I6838" s="25" t="n">
        <f aca="false">I6823*CHOOSE($C$6810,Assumptions!$C$75,Assumptions!$C$94,Assumptions!$C$113)</f>
        <v>32.398385043843</v>
      </c>
      <c r="J6838" s="25" t="n">
        <f aca="false">J6823*CHOOSE($C$6810,Assumptions!$C$75,Assumptions!$C$94,Assumptions!$C$113)</f>
        <v>33.0463527447199</v>
      </c>
      <c r="K6838" s="25" t="n">
        <f aca="false">K6823*CHOOSE($C$6810,Assumptions!$C$75,Assumptions!$C$94,Assumptions!$C$113)</f>
        <v>33.7072797996143</v>
      </c>
    </row>
    <row r="6839" customFormat="false" ht="15" hidden="false" customHeight="false" outlineLevel="0" collapsed="false">
      <c r="A6839" s="3" t="s">
        <v>295</v>
      </c>
      <c r="G6839" s="25" t="n">
        <f aca="false">CHOOSE($C$6810,Assumptions!$C$76,Assumptions!$C$95,Assumptions!$C$114)*(G6823-F6823)+CHOOSE($C$6810,Assumptions!$C$77,Assumptions!$C$96,Assumptions!$C$115)*G6823</f>
        <v>-22.5739683</v>
      </c>
      <c r="H6839" s="25" t="n">
        <f aca="false">CHOOSE($C$6810,Assumptions!$C$76,Assumptions!$C$95,Assumptions!$C$114)*(H6823-G6823)+CHOOSE($C$6810,Assumptions!$C$77,Assumptions!$C$96,Assumptions!$C$115)*H6823</f>
        <v>-22.799707983</v>
      </c>
      <c r="I6839" s="25" t="n">
        <f aca="false">CHOOSE($C$6810,Assumptions!$C$76,Assumptions!$C$95,Assumptions!$C$114)*(I6823-H6823)+CHOOSE($C$6810,Assumptions!$C$77,Assumptions!$C$96,Assumptions!$C$115)*I6823</f>
        <v>-23.141703602745</v>
      </c>
      <c r="J6839" s="25" t="n">
        <f aca="false">CHOOSE($C$6810,Assumptions!$C$76,Assumptions!$C$95,Assumptions!$C$114)*(J6823-I6823)+CHOOSE($C$6810,Assumptions!$C$77,Assumptions!$C$96,Assumptions!$C$115)*J6823</f>
        <v>-23.6045376747999</v>
      </c>
      <c r="K6839" s="25" t="n">
        <f aca="false">CHOOSE($C$6810,Assumptions!$C$76,Assumptions!$C$95,Assumptions!$C$114)*(K6823-J6823)+CHOOSE($C$6810,Assumptions!$C$77,Assumptions!$C$96,Assumptions!$C$115)*K6823</f>
        <v>-24.0766284282959</v>
      </c>
    </row>
    <row r="6840" customFormat="false" ht="15" hidden="false" customHeight="false" outlineLevel="0" collapsed="false">
      <c r="A6840" s="2" t="s">
        <v>296</v>
      </c>
      <c r="G6840" s="16" t="n">
        <f aca="false">G6836+G6828+G6829+G6832-G6838-G6839</f>
        <v>138.58114233</v>
      </c>
      <c r="H6840" s="16" t="n">
        <f aca="false">H6836+H6828+H6829+H6832-H6838-H6839</f>
        <v>141.1366137783</v>
      </c>
      <c r="I6840" s="16" t="n">
        <f aca="false">I6836+I6828+I6829+I6832-I6838-I6839</f>
        <v>141.536897482063</v>
      </c>
      <c r="J6840" s="16" t="n">
        <f aca="false">J6836+J6828+J6829+J6832-J6838-J6839</f>
        <v>156.568309830484</v>
      </c>
      <c r="K6840" s="16" t="n">
        <f aca="false">K6836+K6828+K6829+K6832-K6838-K6839</f>
        <v>158.159461112849</v>
      </c>
    </row>
    <row r="6842" customFormat="false" ht="15" hidden="false" customHeight="false" outlineLevel="0" collapsed="false">
      <c r="A6842" s="23" t="s">
        <v>298</v>
      </c>
      <c r="B6842" s="24"/>
      <c r="C6842" s="24"/>
      <c r="D6842" s="24"/>
      <c r="E6842" s="24"/>
      <c r="F6842" s="24"/>
      <c r="G6842" s="24"/>
      <c r="H6842" s="24"/>
      <c r="I6842" s="24"/>
      <c r="J6842" s="24"/>
      <c r="K6842" s="24"/>
    </row>
    <row r="6843" customFormat="false" ht="15" hidden="false" customHeight="false" outlineLevel="0" collapsed="false">
      <c r="A6843" s="3" t="s">
        <v>299</v>
      </c>
      <c r="G6843" s="30" t="n">
        <f aca="false">Assumptions!$G$52</f>
        <v>0.039</v>
      </c>
      <c r="H6843" s="30" t="n">
        <f aca="false">Assumptions!$H$52</f>
        <v>0.0375</v>
      </c>
      <c r="I6843" s="30" t="n">
        <f aca="false">Assumptions!$I$52</f>
        <v>0.035</v>
      </c>
      <c r="J6843" s="30" t="n">
        <f aca="false">Assumptions!$J$52</f>
        <v>0.035</v>
      </c>
      <c r="K6843" s="30" t="n">
        <f aca="false">Assumptions!$K$52</f>
        <v>0.035</v>
      </c>
    </row>
    <row r="6844" customFormat="false" ht="15" hidden="false" customHeight="false" outlineLevel="0" collapsed="false">
      <c r="A6844" s="3" t="s">
        <v>300</v>
      </c>
      <c r="C6844" s="31" t="n">
        <f aca="false">CHOOSE($C$6810,Assumptions!$C$78,Assumptions!$C$97,Assumptions!$C$116)+$C$6813</f>
        <v>0</v>
      </c>
    </row>
    <row r="6845" customFormat="false" ht="15" hidden="false" customHeight="false" outlineLevel="0" collapsed="false">
      <c r="A6845" s="3" t="s">
        <v>301</v>
      </c>
      <c r="C6845" s="31" t="n">
        <f aca="false">CHOOSE($C$6810,Assumptions!$C$79,Assumptions!$C$98,Assumptions!$C$117)</f>
        <v>0.11</v>
      </c>
    </row>
    <row r="6846" customFormat="false" ht="15" hidden="false" customHeight="false" outlineLevel="0" collapsed="false">
      <c r="A6846" s="3" t="s">
        <v>302</v>
      </c>
      <c r="C6846" s="32" t="n">
        <f aca="false">CHOOSE($C$6810,Assumptions!$C$80,Assumptions!$C$99,Assumptions!$C$118)</f>
        <v>6</v>
      </c>
    </row>
    <row r="6847" customFormat="false" ht="15" hidden="false" customHeight="false" outlineLevel="0" collapsed="false">
      <c r="A6847" s="3" t="s">
        <v>303</v>
      </c>
      <c r="C6847" s="32" t="n">
        <f aca="false">CHOOSE($C$6810,Assumptions!$C$81,Assumptions!$C$100,Assumptions!$C$119)</f>
        <v>1.25</v>
      </c>
    </row>
    <row r="6848" customFormat="false" ht="15" hidden="false" customHeight="false" outlineLevel="0" collapsed="false">
      <c r="A6848" s="3" t="s">
        <v>304</v>
      </c>
      <c r="G6848" s="25" t="n">
        <f aca="false">G6853+G6866+G6879</f>
        <v>1735.554</v>
      </c>
      <c r="H6848" s="25" t="n">
        <f aca="false">H6853+H6866+H6879</f>
        <v>1735.554</v>
      </c>
      <c r="I6848" s="25" t="n">
        <f aca="false">I6853+I6866+I6879</f>
        <v>1735.554</v>
      </c>
      <c r="J6848" s="25" t="n">
        <f aca="false">J6853+J6866+J6879</f>
        <v>1315.098</v>
      </c>
      <c r="K6848" s="25" t="n">
        <f aca="false">K6853+K6866+K6879</f>
        <v>1315.098</v>
      </c>
    </row>
    <row r="6849" customFormat="false" ht="15" hidden="false" customHeight="false" outlineLevel="0" collapsed="false">
      <c r="A6849" s="3" t="s">
        <v>305</v>
      </c>
      <c r="G6849" s="25" t="n">
        <f aca="false">F6922</f>
        <v>463.996</v>
      </c>
      <c r="H6849" s="25" t="n">
        <f aca="false">G6922</f>
        <v>602.57714233</v>
      </c>
      <c r="I6849" s="25" t="n">
        <f aca="false">H6922</f>
        <v>743.7137561083</v>
      </c>
      <c r="J6849" s="25" t="n">
        <f aca="false">I6922</f>
        <v>464.794653590363</v>
      </c>
      <c r="K6849" s="25" t="n">
        <f aca="false">J6922</f>
        <v>621.362963420847</v>
      </c>
    </row>
    <row r="6850" customFormat="false" ht="15" hidden="false" customHeight="false" outlineLevel="0" collapsed="false">
      <c r="A6850" s="3" t="s">
        <v>306</v>
      </c>
      <c r="G6850" s="25" t="n">
        <f aca="false">G6853*IF(G6854=1,$C$6845,IF(Assumptions!$I$56=1,MAX(G6843,Assumptions!$G$56)+Assumptions!$F$56+$C$6844,Assumptions!$E$56))+G6866*IF(G6867=1,$C$6845,IF(Assumptions!$I$57=1,MAX(G6843,Assumptions!$G$57)+Assumptions!$F$57+$C$6844,Assumptions!$E$57))+G6879*IF(G6880=1,$C$6845,IF(Assumptions!$I$58=1,MAX(G6843,Assumptions!$G$58)+Assumptions!$F$58+$C$6844,Assumptions!$E$58))</f>
        <v>155.95467</v>
      </c>
      <c r="H6850" s="25" t="n">
        <f aca="false">H6853*IF(OR(H6854=1,G7000=1),$C$6845,IF(Assumptions!$I$56=1,MAX(H6843,Assumptions!$G$56)+Assumptions!$F$56+$C$6844,Assumptions!$E$56))+H6866*IF(OR(H6867=1,G7001=1),$C$6845,IF(Assumptions!$I$57=1,MAX(H6843,Assumptions!$G$57)+Assumptions!$F$57+$C$6844,Assumptions!$E$57))+H6879*IF(OR(H6880=1,G7002=1),$C$6845,IF(Assumptions!$I$58=1,MAX(H6843,Assumptions!$G$58)+Assumptions!$F$58+$C$6844,Assumptions!$E$58))</f>
        <v>155.95467</v>
      </c>
      <c r="I6850" s="25" t="n">
        <f aca="false">I6853*IF(OR(I6854=1,H7000=1),$C$6845,IF(Assumptions!$I$56=1,MAX(I6843,Assumptions!$G$56)+Assumptions!$F$56+$C$6844,Assumptions!$E$56))+I6866*IF(OR(I6867=1,H7001=1),$C$6845,IF(Assumptions!$I$57=1,MAX(I6843,Assumptions!$G$57)+Assumptions!$F$57+$C$6844,Assumptions!$E$57))+I6879*IF(OR(I6880=1,H7002=1),$C$6845,IF(Assumptions!$I$58=1,MAX(I6843,Assumptions!$G$58)+Assumptions!$F$58+$C$6844,Assumptions!$E$58))</f>
        <v>184.33545</v>
      </c>
      <c r="J6850" s="25" t="n">
        <f aca="false">J6853*IF(OR(J6854=1,I7000=1),$C$6845,IF(Assumptions!$I$56=1,MAX(J6843,Assumptions!$G$56)+Assumptions!$F$56+$C$6844,Assumptions!$E$56))+J6866*IF(OR(J6867=1,I7001=1),$C$6845,IF(Assumptions!$I$57=1,MAX(J6843,Assumptions!$G$57)+Assumptions!$F$57+$C$6844,Assumptions!$E$57))+J6879*IF(OR(J6880=1,I7002=1),$C$6845,IF(Assumptions!$I$58=1,MAX(J6843,Assumptions!$G$58)+Assumptions!$F$58+$C$6844,Assumptions!$E$58))</f>
        <v>138.08529</v>
      </c>
      <c r="K6850" s="25" t="n">
        <f aca="false">K6853*IF(OR(K6854=1,J7000=1),$C$6845,IF(Assumptions!$I$56=1,MAX(K6843,Assumptions!$G$56)+Assumptions!$F$56+$C$6844,Assumptions!$E$56))+K6866*IF(OR(K6867=1,J7001=1),$C$6845,IF(Assumptions!$I$57=1,MAX(K6843,Assumptions!$G$57)+Assumptions!$F$57+$C$6844,Assumptions!$E$57))+K6879*IF(OR(K6880=1,J7002=1),$C$6845,IF(Assumptions!$I$58=1,MAX(K6843,Assumptions!$G$58)+Assumptions!$F$58+$C$6844,Assumptions!$E$58))</f>
        <v>138.08529</v>
      </c>
    </row>
    <row r="6851" customFormat="false" ht="15" hidden="false" customHeight="false" outlineLevel="0" collapsed="false">
      <c r="A6851" s="3" t="s">
        <v>307</v>
      </c>
      <c r="G6851" s="20" t="n">
        <f aca="false">IF(G6827&lt;=0,0,IF(AND((G6848-G6849)/G6827&lt;=$C$6846,G6827/G6850&gt;=$C$6847),1,0))</f>
        <v>1</v>
      </c>
      <c r="H6851" s="20" t="n">
        <f aca="false">IF(H6827&lt;=0,0,IF(AND((H6848-H6849)/H6827&lt;=$C$6846,H6827/H6850&gt;=$C$6847),1,0))</f>
        <v>1</v>
      </c>
      <c r="I6851" s="20" t="n">
        <f aca="false">IF(I6827&lt;=0,0,IF(AND((I6848-I6849)/I6827&lt;=$C$6846,I6827/I6850&gt;=$C$6847),1,0))</f>
        <v>1</v>
      </c>
      <c r="J6851" s="20" t="n">
        <f aca="false">IF(J6827&lt;=0,0,IF(AND((J6848-J6849)/J6827&lt;=$C$6846,J6827/J6850&gt;=$C$6847),1,0))</f>
        <v>1</v>
      </c>
      <c r="K6851" s="20" t="n">
        <f aca="false">IF(K6827&lt;=0,0,IF(AND((K6848-K6849)/K6827&lt;=$C$6846,K6827/K6850&gt;=$C$6847),1,0))</f>
        <v>1</v>
      </c>
    </row>
    <row r="6852" customFormat="false" ht="15" hidden="false" customHeight="false" outlineLevel="0" collapsed="false">
      <c r="A6852" s="23" t="s">
        <v>308</v>
      </c>
      <c r="B6852" s="24"/>
      <c r="C6852" s="24"/>
      <c r="D6852" s="24"/>
      <c r="E6852" s="24"/>
      <c r="F6852" s="24"/>
      <c r="G6852" s="24"/>
      <c r="H6852" s="24"/>
      <c r="I6852" s="24"/>
      <c r="J6852" s="24"/>
      <c r="K6852" s="24"/>
    </row>
    <row r="6853" customFormat="false" ht="15" hidden="false" customHeight="false" outlineLevel="0" collapsed="false">
      <c r="A6853" s="3" t="s">
        <v>309</v>
      </c>
      <c r="G6853" s="25" t="n">
        <f aca="false">F6864</f>
        <v>1315.098</v>
      </c>
      <c r="H6853" s="25" t="n">
        <f aca="false">G6864</f>
        <v>1315.098</v>
      </c>
      <c r="I6853" s="25" t="n">
        <f aca="false">H6864</f>
        <v>1315.098</v>
      </c>
      <c r="J6853" s="25" t="n">
        <f aca="false">I6864</f>
        <v>1315.098</v>
      </c>
      <c r="K6853" s="25" t="n">
        <f aca="false">J6864</f>
        <v>1315.098</v>
      </c>
    </row>
    <row r="6854" customFormat="false" ht="15" hidden="false" customHeight="false" outlineLevel="0" collapsed="false">
      <c r="A6854" s="3" t="s">
        <v>310</v>
      </c>
      <c r="G6854" s="20" t="n">
        <f aca="false">IF(G6817=Assumptions!$K$56,1,0)</f>
        <v>0</v>
      </c>
      <c r="H6854" s="20" t="n">
        <f aca="false">IF(H6817=Assumptions!$K$56,1,0)</f>
        <v>0</v>
      </c>
      <c r="I6854" s="20" t="n">
        <f aca="false">IF(I6817=Assumptions!$K$56,1,0)</f>
        <v>0</v>
      </c>
      <c r="J6854" s="20" t="n">
        <f aca="false">IF(J6817=Assumptions!$K$56,1,0)</f>
        <v>0</v>
      </c>
      <c r="K6854" s="20" t="n">
        <f aca="false">IF(K6817=Assumptions!$K$56,1,0)</f>
        <v>0</v>
      </c>
    </row>
    <row r="6856" customFormat="false" ht="15" hidden="false" customHeight="false" outlineLevel="0" collapsed="false">
      <c r="A6856" s="3" t="s">
        <v>311</v>
      </c>
      <c r="G6856" s="31" t="n">
        <f aca="false">IF(Assumptions!$I$56=1,MAX(G6843,Assumptions!$G$56)+Assumptions!$F$56+$C$6844,Assumptions!$E$56)</f>
        <v>0.105</v>
      </c>
      <c r="H6856" s="31" t="n">
        <f aca="false">IF(G7000=1,$C$6845,IF(Assumptions!$I$56=1,MAX(H6843,Assumptions!$G$56)+Assumptions!$F$56+$C$6844,Assumptions!$E$56))</f>
        <v>0.105</v>
      </c>
      <c r="I6856" s="31" t="n">
        <f aca="false">IF(H7000=1,$C$6845,IF(Assumptions!$I$56=1,MAX(I6843,Assumptions!$G$56)+Assumptions!$F$56+$C$6844,Assumptions!$E$56))</f>
        <v>0.105</v>
      </c>
      <c r="J6856" s="31" t="n">
        <f aca="false">IF(I7000=1,$C$6845,IF(Assumptions!$I$56=1,MAX(J6843,Assumptions!$G$56)+Assumptions!$F$56+$C$6844,Assumptions!$E$56))</f>
        <v>0.105</v>
      </c>
      <c r="K6856" s="31" t="n">
        <f aca="false">IF(J7000=1,$C$6845,IF(Assumptions!$I$56=1,MAX(K6843,Assumptions!$G$56)+Assumptions!$F$56+$C$6844,Assumptions!$E$56))</f>
        <v>0.105</v>
      </c>
    </row>
    <row r="6857" customFormat="false" ht="15" hidden="false" customHeight="false" outlineLevel="0" collapsed="false">
      <c r="A6857" s="3" t="s">
        <v>312</v>
      </c>
      <c r="G6857" s="25" t="n">
        <f aca="false">G6853*G6856</f>
        <v>138.08529</v>
      </c>
      <c r="H6857" s="25" t="n">
        <f aca="false">H6853*H6856</f>
        <v>138.08529</v>
      </c>
      <c r="I6857" s="25" t="n">
        <f aca="false">I6853*I6856</f>
        <v>138.08529</v>
      </c>
      <c r="J6857" s="25" t="n">
        <f aca="false">J6853*J6856</f>
        <v>138.08529</v>
      </c>
      <c r="K6857" s="25" t="n">
        <f aca="false">K6853*K6856</f>
        <v>138.08529</v>
      </c>
    </row>
    <row r="6858" customFormat="false" ht="15" hidden="false" customHeight="false" outlineLevel="0" collapsed="false">
      <c r="A6858" s="3" t="s">
        <v>313</v>
      </c>
      <c r="G6858" s="25" t="n">
        <f aca="false">G6853*Assumptions!$H$56</f>
        <v>0</v>
      </c>
      <c r="H6858" s="25" t="n">
        <f aca="false">H6853*Assumptions!$H$56</f>
        <v>0</v>
      </c>
      <c r="I6858" s="25" t="n">
        <f aca="false">I6853*Assumptions!$H$56</f>
        <v>0</v>
      </c>
      <c r="J6858" s="25" t="n">
        <f aca="false">J6853*Assumptions!$H$56</f>
        <v>0</v>
      </c>
      <c r="K6858" s="25" t="n">
        <f aca="false">K6853*Assumptions!$H$56</f>
        <v>0</v>
      </c>
    </row>
    <row r="6859" customFormat="false" ht="15" hidden="false" customHeight="false" outlineLevel="0" collapsed="false">
      <c r="A6859" s="3" t="s">
        <v>314</v>
      </c>
      <c r="G6859" s="25" t="n">
        <f aca="false">MIN(G6853,Assumptions!$L$56*Assumptions!$C$56)</f>
        <v>0</v>
      </c>
      <c r="H6859" s="25" t="n">
        <f aca="false">MIN(H6853,Assumptions!$L$56*Assumptions!$C$56)</f>
        <v>0</v>
      </c>
      <c r="I6859" s="25" t="n">
        <f aca="false">MIN(I6853,Assumptions!$L$56*Assumptions!$C$56)</f>
        <v>0</v>
      </c>
      <c r="J6859" s="25" t="n">
        <f aca="false">MIN(J6853,Assumptions!$L$56*Assumptions!$C$56)</f>
        <v>0</v>
      </c>
      <c r="K6859" s="25" t="n">
        <f aca="false">MIN(K6853,Assumptions!$L$56*Assumptions!$C$56)</f>
        <v>0</v>
      </c>
    </row>
    <row r="6860" customFormat="false" ht="15" hidden="false" customHeight="false" outlineLevel="0" collapsed="false">
      <c r="A6860" s="3" t="s">
        <v>315</v>
      </c>
      <c r="G6860" s="25" t="n">
        <f aca="false">IF(AND(Assumptions!$P$56=1,G6817&lt;Assumptions!$K$56),MIN(MAX(0,-G6914),MAX(0,Assumptions!$D$56-G6853)),0)</f>
        <v>0</v>
      </c>
      <c r="H6860" s="25" t="n">
        <f aca="false">IF(AND(Assumptions!$P$56=1,OR(H6817&lt;Assumptions!$K$56,G7000=1)),MIN(MAX(0,-H6914),MAX(0,Assumptions!$D$56-H6853)),0)</f>
        <v>0</v>
      </c>
      <c r="I6860" s="25" t="n">
        <f aca="false">IF(AND(Assumptions!$P$56=1,OR(I6817&lt;Assumptions!$K$56,H7000=1)),MIN(MAX(0,-I6914),MAX(0,Assumptions!$D$56-I6853)),0)</f>
        <v>0</v>
      </c>
      <c r="J6860" s="25" t="n">
        <f aca="false">IF(AND(Assumptions!$P$56=1,OR(J6817&lt;Assumptions!$K$56,I7000=1)),MIN(MAX(0,-J6914),MAX(0,Assumptions!$D$56-J6853)),0)</f>
        <v>0</v>
      </c>
      <c r="K6860" s="25" t="n">
        <f aca="false">IF(AND(Assumptions!$P$56=1,OR(K6817&lt;Assumptions!$K$56,J7000=1)),MIN(MAX(0,-K6914),MAX(0,Assumptions!$D$56-K6853)),0)</f>
        <v>0</v>
      </c>
    </row>
    <row r="6861" customFormat="false" ht="15" hidden="false" customHeight="false" outlineLevel="0" collapsed="false">
      <c r="A6861" s="3" t="s">
        <v>316</v>
      </c>
      <c r="G6861" s="25" t="n">
        <f aca="false">G6854*MIN(G6853-G6859+G6858,MAX(0,G6916-Assumptions!$C$12*G6851))</f>
        <v>0</v>
      </c>
      <c r="H6861" s="25" t="n">
        <f aca="false">H6854*MIN(H6853-H6859+H6858,MAX(0,H6916-Assumptions!$C$12*H6851))</f>
        <v>0</v>
      </c>
      <c r="I6861" s="25" t="n">
        <f aca="false">I6854*MIN(I6853-I6859+I6858,MAX(0,I6916-Assumptions!$C$12*I6851))</f>
        <v>0</v>
      </c>
      <c r="J6861" s="25" t="n">
        <f aca="false">J6854*MIN(J6853-J6859+J6858,MAX(0,J6916-Assumptions!$C$12*J6851))</f>
        <v>0</v>
      </c>
      <c r="K6861" s="25" t="n">
        <f aca="false">K6854*MIN(K6853-K6859+K6858,MAX(0,K6916-Assumptions!$C$12*K6851))</f>
        <v>0</v>
      </c>
    </row>
    <row r="6862" customFormat="false" ht="15" hidden="false" customHeight="false" outlineLevel="0" collapsed="false">
      <c r="A6862" s="3" t="s">
        <v>317</v>
      </c>
      <c r="G6862" s="25" t="n">
        <f aca="false">Assumptions!$N$56*MIN(G6853+G6860+G6858-G6859-G6861,MAX(0,G6920))</f>
        <v>0</v>
      </c>
      <c r="H6862" s="25" t="n">
        <f aca="false">Assumptions!$N$56*MIN(H6853+H6860+H6858-H6859-H6861,MAX(0,H6920))</f>
        <v>0</v>
      </c>
      <c r="I6862" s="25" t="n">
        <f aca="false">Assumptions!$N$56*MIN(I6853+I6860+I6858-I6859-I6861,MAX(0,I6920))</f>
        <v>0</v>
      </c>
      <c r="J6862" s="25" t="n">
        <f aca="false">Assumptions!$N$56*MIN(J6853+J6860+J6858-J6859-J6861,MAX(0,J6920))</f>
        <v>0</v>
      </c>
      <c r="K6862" s="25" t="n">
        <f aca="false">Assumptions!$N$56*MIN(K6853+K6860+K6858-K6859-K6861,MAX(0,K6920))</f>
        <v>0</v>
      </c>
    </row>
    <row r="6863" customFormat="false" ht="15" hidden="false" customHeight="false" outlineLevel="0" collapsed="false">
      <c r="A6863" s="3" t="s">
        <v>318</v>
      </c>
      <c r="G6863" s="25" t="n">
        <f aca="false">G6854*(1-G6851)*(G6853-G6859+G6858-G6861)</f>
        <v>0</v>
      </c>
      <c r="H6863" s="25" t="n">
        <f aca="false">H6854*(1-H6851)*(H6853-H6859+H6858-H6861)</f>
        <v>0</v>
      </c>
      <c r="I6863" s="25" t="n">
        <f aca="false">I6854*(1-I6851)*(I6853-I6859+I6858-I6861)</f>
        <v>0</v>
      </c>
      <c r="J6863" s="25" t="n">
        <f aca="false">J6854*(1-J6851)*(J6853-J6859+J6858-J6861)</f>
        <v>0</v>
      </c>
      <c r="K6863" s="25" t="n">
        <f aca="false">K6854*(1-K6851)*(K6853-K6859+K6858-K6861)</f>
        <v>0</v>
      </c>
    </row>
    <row r="6864" customFormat="false" ht="15" hidden="false" customHeight="false" outlineLevel="0" collapsed="false">
      <c r="A6864" s="2" t="s">
        <v>319</v>
      </c>
      <c r="F6864" s="28" t="n">
        <f aca="false">Assumptions!$C$56</f>
        <v>1315.098</v>
      </c>
      <c r="G6864" s="16" t="n">
        <f aca="false">G6853+G6860+G6858-G6859-G6861-G6862</f>
        <v>1315.098</v>
      </c>
      <c r="H6864" s="16" t="n">
        <f aca="false">H6853+H6860+H6858-H6859-H6861-H6862</f>
        <v>1315.098</v>
      </c>
      <c r="I6864" s="16" t="n">
        <f aca="false">I6853+I6860+I6858-I6859-I6861-I6862</f>
        <v>1315.098</v>
      </c>
      <c r="J6864" s="16" t="n">
        <f aca="false">J6853+J6860+J6858-J6859-J6861-J6862</f>
        <v>1315.098</v>
      </c>
      <c r="K6864" s="16" t="n">
        <f aca="false">K6853+K6860+K6858-K6859-K6861-K6862</f>
        <v>1315.098</v>
      </c>
    </row>
    <row r="6865" customFormat="false" ht="15" hidden="false" customHeight="false" outlineLevel="0" collapsed="false">
      <c r="A6865" s="23" t="s">
        <v>320</v>
      </c>
      <c r="B6865" s="24"/>
      <c r="C6865" s="24"/>
      <c r="D6865" s="24"/>
      <c r="E6865" s="24"/>
      <c r="F6865" s="24"/>
      <c r="G6865" s="24"/>
      <c r="H6865" s="24"/>
      <c r="I6865" s="24"/>
      <c r="J6865" s="24"/>
      <c r="K6865" s="24"/>
    </row>
    <row r="6866" customFormat="false" ht="15" hidden="false" customHeight="false" outlineLevel="0" collapsed="false">
      <c r="A6866" s="3" t="s">
        <v>309</v>
      </c>
      <c r="G6866" s="25" t="n">
        <f aca="false">F6877</f>
        <v>276.706</v>
      </c>
      <c r="H6866" s="25" t="n">
        <f aca="false">G6877</f>
        <v>276.706</v>
      </c>
      <c r="I6866" s="25" t="n">
        <f aca="false">H6877</f>
        <v>276.706</v>
      </c>
      <c r="J6866" s="25" t="n">
        <f aca="false">I6877</f>
        <v>0</v>
      </c>
      <c r="K6866" s="25" t="n">
        <f aca="false">J6877</f>
        <v>0</v>
      </c>
    </row>
    <row r="6867" customFormat="false" ht="15" hidden="false" customHeight="false" outlineLevel="0" collapsed="false">
      <c r="A6867" s="3" t="s">
        <v>310</v>
      </c>
      <c r="G6867" s="20" t="n">
        <f aca="false">IF(G6817=Assumptions!$K$57,1,0)</f>
        <v>0</v>
      </c>
      <c r="H6867" s="20" t="n">
        <f aca="false">IF(H6817=Assumptions!$K$57,1,0)</f>
        <v>0</v>
      </c>
      <c r="I6867" s="20" t="n">
        <f aca="false">IF(I6817=Assumptions!$K$57,1,0)</f>
        <v>1</v>
      </c>
      <c r="J6867" s="20" t="n">
        <f aca="false">IF(J6817=Assumptions!$K$57,1,0)</f>
        <v>0</v>
      </c>
      <c r="K6867" s="20" t="n">
        <f aca="false">IF(K6817=Assumptions!$K$57,1,0)</f>
        <v>0</v>
      </c>
    </row>
    <row r="6869" customFormat="false" ht="15" hidden="false" customHeight="false" outlineLevel="0" collapsed="false">
      <c r="A6869" s="3" t="s">
        <v>311</v>
      </c>
      <c r="G6869" s="31" t="n">
        <f aca="false">IF(Assumptions!$I$57=1,MAX(G6843,Assumptions!$G$57)+Assumptions!$F$57+$C$6844,Assumptions!$E$57)</f>
        <v>0.0425</v>
      </c>
      <c r="H6869" s="31" t="n">
        <f aca="false">IF(G7001=1,$C$6845,IF(Assumptions!$I$57=1,MAX(H6843,Assumptions!$G$57)+Assumptions!$F$57+$C$6844,Assumptions!$E$57))</f>
        <v>0.0425</v>
      </c>
      <c r="I6869" s="31" t="n">
        <f aca="false">IF(H7001=1,$C$6845,IF(Assumptions!$I$57=1,MAX(I6843,Assumptions!$G$57)+Assumptions!$F$57+$C$6844,Assumptions!$E$57))</f>
        <v>0.0425</v>
      </c>
      <c r="J6869" s="31" t="n">
        <f aca="false">IF(I7001=1,$C$6845,IF(Assumptions!$I$57=1,MAX(J6843,Assumptions!$G$57)+Assumptions!$F$57+$C$6844,Assumptions!$E$57))</f>
        <v>0.11</v>
      </c>
      <c r="K6869" s="31" t="n">
        <f aca="false">IF(J7001=1,$C$6845,IF(Assumptions!$I$57=1,MAX(K6843,Assumptions!$G$57)+Assumptions!$F$57+$C$6844,Assumptions!$E$57))</f>
        <v>0.11</v>
      </c>
    </row>
    <row r="6870" customFormat="false" ht="15" hidden="false" customHeight="false" outlineLevel="0" collapsed="false">
      <c r="A6870" s="3" t="s">
        <v>312</v>
      </c>
      <c r="G6870" s="25" t="n">
        <f aca="false">G6866*G6869</f>
        <v>11.760005</v>
      </c>
      <c r="H6870" s="25" t="n">
        <f aca="false">H6866*H6869</f>
        <v>11.760005</v>
      </c>
      <c r="I6870" s="25" t="n">
        <f aca="false">I6866*I6869</f>
        <v>11.760005</v>
      </c>
      <c r="J6870" s="25" t="n">
        <f aca="false">J6866*J6869</f>
        <v>0</v>
      </c>
      <c r="K6870" s="25" t="n">
        <f aca="false">K6866*K6869</f>
        <v>0</v>
      </c>
    </row>
    <row r="6871" customFormat="false" ht="15" hidden="false" customHeight="false" outlineLevel="0" collapsed="false">
      <c r="A6871" s="3" t="s">
        <v>313</v>
      </c>
      <c r="G6871" s="25" t="n">
        <f aca="false">G6866*Assumptions!$H$57</f>
        <v>0</v>
      </c>
      <c r="H6871" s="25" t="n">
        <f aca="false">H6866*Assumptions!$H$57</f>
        <v>0</v>
      </c>
      <c r="I6871" s="25" t="n">
        <f aca="false">I6866*Assumptions!$H$57</f>
        <v>0</v>
      </c>
      <c r="J6871" s="25" t="n">
        <f aca="false">J6866*Assumptions!$H$57</f>
        <v>0</v>
      </c>
      <c r="K6871" s="25" t="n">
        <f aca="false">K6866*Assumptions!$H$57</f>
        <v>0</v>
      </c>
    </row>
    <row r="6872" customFormat="false" ht="15" hidden="false" customHeight="false" outlineLevel="0" collapsed="false">
      <c r="A6872" s="3" t="s">
        <v>314</v>
      </c>
      <c r="G6872" s="25" t="n">
        <f aca="false">MIN(G6866,Assumptions!$L$57*Assumptions!$C$57)</f>
        <v>0</v>
      </c>
      <c r="H6872" s="25" t="n">
        <f aca="false">MIN(H6866,Assumptions!$L$57*Assumptions!$C$57)</f>
        <v>0</v>
      </c>
      <c r="I6872" s="25" t="n">
        <f aca="false">MIN(I6866,Assumptions!$L$57*Assumptions!$C$57)</f>
        <v>0</v>
      </c>
      <c r="J6872" s="25" t="n">
        <f aca="false">MIN(J6866,Assumptions!$L$57*Assumptions!$C$57)</f>
        <v>0</v>
      </c>
      <c r="K6872" s="25" t="n">
        <f aca="false">MIN(K6866,Assumptions!$L$57*Assumptions!$C$57)</f>
        <v>0</v>
      </c>
    </row>
    <row r="6873" customFormat="false" ht="15" hidden="false" customHeight="false" outlineLevel="0" collapsed="false">
      <c r="A6873" s="3" t="s">
        <v>315</v>
      </c>
      <c r="G6873" s="25" t="n">
        <f aca="false">IF(AND(Assumptions!$P$57=1,G6817&lt;Assumptions!$K$57),MIN(MAX(0,-G6914),MAX(0,Assumptions!$D$57-G6866)),0)</f>
        <v>0</v>
      </c>
      <c r="H6873" s="25" t="n">
        <f aca="false">IF(AND(Assumptions!$P$57=1,OR(H6817&lt;Assumptions!$K$57,G7001=1)),MIN(MAX(0,-H6914),MAX(0,Assumptions!$D$57-H6866)),0)</f>
        <v>0</v>
      </c>
      <c r="I6873" s="25" t="n">
        <f aca="false">IF(AND(Assumptions!$P$57=1,OR(I6817&lt;Assumptions!$K$57,H7001=1)),MIN(MAX(0,-I6914),MAX(0,Assumptions!$D$57-I6866)),0)</f>
        <v>0</v>
      </c>
      <c r="J6873" s="25" t="n">
        <f aca="false">IF(AND(Assumptions!$P$57=1,OR(J6817&lt;Assumptions!$K$57,I7001=1)),MIN(MAX(0,-J6914),MAX(0,Assumptions!$D$57-J6866)),0)</f>
        <v>0</v>
      </c>
      <c r="K6873" s="25" t="n">
        <f aca="false">IF(AND(Assumptions!$P$57=1,OR(K6817&lt;Assumptions!$K$57,J7001=1)),MIN(MAX(0,-K6914),MAX(0,Assumptions!$D$57-K6866)),0)</f>
        <v>0</v>
      </c>
    </row>
    <row r="6874" customFormat="false" ht="15" hidden="false" customHeight="false" outlineLevel="0" collapsed="false">
      <c r="A6874" s="3" t="s">
        <v>316</v>
      </c>
      <c r="G6874" s="25" t="n">
        <f aca="false">G6867*MIN(G6866-G6872+G6871,MAX(0,G6916-Assumptions!$C$12*G6851-G6861))</f>
        <v>0</v>
      </c>
      <c r="H6874" s="25" t="n">
        <f aca="false">H6867*MIN(H6866-H6872+H6871,MAX(0,H6916-Assumptions!$C$12*H6851-H6861))</f>
        <v>0</v>
      </c>
      <c r="I6874" s="25" t="n">
        <f aca="false">I6867*MIN(I6866-I6872+I6871,MAX(0,I6916-Assumptions!$C$12*I6851-I6861))</f>
        <v>276.706</v>
      </c>
      <c r="J6874" s="25" t="n">
        <f aca="false">J6867*MIN(J6866-J6872+J6871,MAX(0,J6916-Assumptions!$C$12*J6851-J6861))</f>
        <v>0</v>
      </c>
      <c r="K6874" s="25" t="n">
        <f aca="false">K6867*MIN(K6866-K6872+K6871,MAX(0,K6916-Assumptions!$C$12*K6851-K6861))</f>
        <v>0</v>
      </c>
    </row>
    <row r="6875" customFormat="false" ht="15" hidden="false" customHeight="false" outlineLevel="0" collapsed="false">
      <c r="A6875" s="3" t="s">
        <v>317</v>
      </c>
      <c r="G6875" s="25" t="n">
        <f aca="false">Assumptions!$N$57*MIN(G6866+G6873+G6871-G6872-G6874,MAX(0,G6920-G6862))</f>
        <v>0</v>
      </c>
      <c r="H6875" s="25" t="n">
        <f aca="false">Assumptions!$N$57*MIN(H6866+H6873+H6871-H6872-H6874,MAX(0,H6920-H6862))</f>
        <v>0</v>
      </c>
      <c r="I6875" s="25" t="n">
        <f aca="false">Assumptions!$N$57*MIN(I6866+I6873+I6871-I6872-I6874,MAX(0,I6920-I6862))</f>
        <v>0</v>
      </c>
      <c r="J6875" s="25" t="n">
        <f aca="false">Assumptions!$N$57*MIN(J6866+J6873+J6871-J6872-J6874,MAX(0,J6920-J6862))</f>
        <v>0</v>
      </c>
      <c r="K6875" s="25" t="n">
        <f aca="false">Assumptions!$N$57*MIN(K6866+K6873+K6871-K6872-K6874,MAX(0,K6920-K6862))</f>
        <v>0</v>
      </c>
    </row>
    <row r="6876" customFormat="false" ht="15" hidden="false" customHeight="false" outlineLevel="0" collapsed="false">
      <c r="A6876" s="3" t="s">
        <v>318</v>
      </c>
      <c r="G6876" s="25" t="n">
        <f aca="false">G6867*(1-G6851)*(G6866-G6872+G6871-G6874)</f>
        <v>0</v>
      </c>
      <c r="H6876" s="25" t="n">
        <f aca="false">H6867*(1-H6851)*(H6866-H6872+H6871-H6874)</f>
        <v>0</v>
      </c>
      <c r="I6876" s="25" t="n">
        <f aca="false">I6867*(1-I6851)*(I6866-I6872+I6871-I6874)</f>
        <v>0</v>
      </c>
      <c r="J6876" s="25" t="n">
        <f aca="false">J6867*(1-J6851)*(J6866-J6872+J6871-J6874)</f>
        <v>0</v>
      </c>
      <c r="K6876" s="25" t="n">
        <f aca="false">K6867*(1-K6851)*(K6866-K6872+K6871-K6874)</f>
        <v>0</v>
      </c>
    </row>
    <row r="6877" customFormat="false" ht="15" hidden="false" customHeight="false" outlineLevel="0" collapsed="false">
      <c r="A6877" s="2" t="s">
        <v>319</v>
      </c>
      <c r="F6877" s="28" t="n">
        <f aca="false">Assumptions!$C$57</f>
        <v>276.706</v>
      </c>
      <c r="G6877" s="16" t="n">
        <f aca="false">G6866+G6873+G6871-G6872-G6874-G6875</f>
        <v>276.706</v>
      </c>
      <c r="H6877" s="16" t="n">
        <f aca="false">H6866+H6873+H6871-H6872-H6874-H6875</f>
        <v>276.706</v>
      </c>
      <c r="I6877" s="16" t="n">
        <f aca="false">I6866+I6873+I6871-I6872-I6874-I6875</f>
        <v>0</v>
      </c>
      <c r="J6877" s="16" t="n">
        <f aca="false">J6866+J6873+J6871-J6872-J6874-J6875</f>
        <v>0</v>
      </c>
      <c r="K6877" s="16" t="n">
        <f aca="false">K6866+K6873+K6871-K6872-K6874-K6875</f>
        <v>0</v>
      </c>
    </row>
    <row r="6878" customFormat="false" ht="15" hidden="false" customHeight="false" outlineLevel="0" collapsed="false">
      <c r="A6878" s="23" t="s">
        <v>321</v>
      </c>
      <c r="B6878" s="24"/>
      <c r="C6878" s="24"/>
      <c r="D6878" s="24"/>
      <c r="E6878" s="24"/>
      <c r="F6878" s="24"/>
      <c r="G6878" s="24"/>
      <c r="H6878" s="24"/>
      <c r="I6878" s="24"/>
      <c r="J6878" s="24"/>
      <c r="K6878" s="24"/>
    </row>
    <row r="6879" customFormat="false" ht="15" hidden="false" customHeight="false" outlineLevel="0" collapsed="false">
      <c r="A6879" s="3" t="s">
        <v>309</v>
      </c>
      <c r="G6879" s="25" t="n">
        <f aca="false">F6890</f>
        <v>143.75</v>
      </c>
      <c r="H6879" s="25" t="n">
        <f aca="false">G6890</f>
        <v>143.75</v>
      </c>
      <c r="I6879" s="25" t="n">
        <f aca="false">H6890</f>
        <v>143.75</v>
      </c>
      <c r="J6879" s="25" t="n">
        <f aca="false">I6890</f>
        <v>0</v>
      </c>
      <c r="K6879" s="25" t="n">
        <f aca="false">J6890</f>
        <v>0</v>
      </c>
    </row>
    <row r="6880" customFormat="false" ht="15" hidden="false" customHeight="false" outlineLevel="0" collapsed="false">
      <c r="A6880" s="3" t="s">
        <v>310</v>
      </c>
      <c r="G6880" s="20" t="n">
        <f aca="false">IF(G6817=Assumptions!$K$58,1,0)</f>
        <v>0</v>
      </c>
      <c r="H6880" s="20" t="n">
        <f aca="false">IF(H6817=Assumptions!$K$58,1,0)</f>
        <v>0</v>
      </c>
      <c r="I6880" s="20" t="n">
        <f aca="false">IF(I6817=Assumptions!$K$58,1,0)</f>
        <v>1</v>
      </c>
      <c r="J6880" s="20" t="n">
        <f aca="false">IF(J6817=Assumptions!$K$58,1,0)</f>
        <v>0</v>
      </c>
      <c r="K6880" s="20" t="n">
        <f aca="false">IF(K6817=Assumptions!$K$58,1,0)</f>
        <v>0</v>
      </c>
    </row>
    <row r="6882" customFormat="false" ht="15" hidden="false" customHeight="false" outlineLevel="0" collapsed="false">
      <c r="A6882" s="3" t="s">
        <v>311</v>
      </c>
      <c r="G6882" s="31" t="n">
        <f aca="false">IF(Assumptions!$I$58=1,MAX(G6843,Assumptions!$G$58)+Assumptions!$F$58+$C$6844,Assumptions!$E$58)</f>
        <v>0.0425</v>
      </c>
      <c r="H6882" s="31" t="n">
        <f aca="false">IF(G7002=1,$C$6845,IF(Assumptions!$I$58=1,MAX(H6843,Assumptions!$G$58)+Assumptions!$F$58+$C$6844,Assumptions!$E$58))</f>
        <v>0.0425</v>
      </c>
      <c r="I6882" s="31" t="n">
        <f aca="false">IF(H7002=1,$C$6845,IF(Assumptions!$I$58=1,MAX(I6843,Assumptions!$G$58)+Assumptions!$F$58+$C$6844,Assumptions!$E$58))</f>
        <v>0.0425</v>
      </c>
      <c r="J6882" s="31" t="n">
        <f aca="false">IF(I7002=1,$C$6845,IF(Assumptions!$I$58=1,MAX(J6843,Assumptions!$G$58)+Assumptions!$F$58+$C$6844,Assumptions!$E$58))</f>
        <v>0.11</v>
      </c>
      <c r="K6882" s="31" t="n">
        <f aca="false">IF(J7002=1,$C$6845,IF(Assumptions!$I$58=1,MAX(K6843,Assumptions!$G$58)+Assumptions!$F$58+$C$6844,Assumptions!$E$58))</f>
        <v>0.11</v>
      </c>
    </row>
    <row r="6883" customFormat="false" ht="15" hidden="false" customHeight="false" outlineLevel="0" collapsed="false">
      <c r="A6883" s="3" t="s">
        <v>312</v>
      </c>
      <c r="G6883" s="25" t="n">
        <f aca="false">G6879*G6882</f>
        <v>6.109375</v>
      </c>
      <c r="H6883" s="25" t="n">
        <f aca="false">H6879*H6882</f>
        <v>6.109375</v>
      </c>
      <c r="I6883" s="25" t="n">
        <f aca="false">I6879*I6882</f>
        <v>6.109375</v>
      </c>
      <c r="J6883" s="25" t="n">
        <f aca="false">J6879*J6882</f>
        <v>0</v>
      </c>
      <c r="K6883" s="25" t="n">
        <f aca="false">K6879*K6882</f>
        <v>0</v>
      </c>
    </row>
    <row r="6884" customFormat="false" ht="15" hidden="false" customHeight="false" outlineLevel="0" collapsed="false">
      <c r="A6884" s="3" t="s">
        <v>313</v>
      </c>
      <c r="G6884" s="25" t="n">
        <f aca="false">G6879*Assumptions!$H$58</f>
        <v>0</v>
      </c>
      <c r="H6884" s="25" t="n">
        <f aca="false">H6879*Assumptions!$H$58</f>
        <v>0</v>
      </c>
      <c r="I6884" s="25" t="n">
        <f aca="false">I6879*Assumptions!$H$58</f>
        <v>0</v>
      </c>
      <c r="J6884" s="25" t="n">
        <f aca="false">J6879*Assumptions!$H$58</f>
        <v>0</v>
      </c>
      <c r="K6884" s="25" t="n">
        <f aca="false">K6879*Assumptions!$H$58</f>
        <v>0</v>
      </c>
    </row>
    <row r="6885" customFormat="false" ht="15" hidden="false" customHeight="false" outlineLevel="0" collapsed="false">
      <c r="A6885" s="3" t="s">
        <v>314</v>
      </c>
      <c r="G6885" s="25" t="n">
        <f aca="false">MIN(G6879,Assumptions!$L$58*Assumptions!$C$58)</f>
        <v>0</v>
      </c>
      <c r="H6885" s="25" t="n">
        <f aca="false">MIN(H6879,Assumptions!$L$58*Assumptions!$C$58)</f>
        <v>0</v>
      </c>
      <c r="I6885" s="25" t="n">
        <f aca="false">MIN(I6879,Assumptions!$L$58*Assumptions!$C$58)</f>
        <v>0</v>
      </c>
      <c r="J6885" s="25" t="n">
        <f aca="false">MIN(J6879,Assumptions!$L$58*Assumptions!$C$58)</f>
        <v>0</v>
      </c>
      <c r="K6885" s="25" t="n">
        <f aca="false">MIN(K6879,Assumptions!$L$58*Assumptions!$C$58)</f>
        <v>0</v>
      </c>
    </row>
    <row r="6886" customFormat="false" ht="15" hidden="false" customHeight="false" outlineLevel="0" collapsed="false">
      <c r="A6886" s="3" t="s">
        <v>315</v>
      </c>
      <c r="G6886" s="25" t="n">
        <f aca="false">IF(AND(Assumptions!$P$58=1,G6817&lt;Assumptions!$K$58),MIN(MAX(0,-G6914),MAX(0,Assumptions!$D$58-G6879)),0)</f>
        <v>0</v>
      </c>
      <c r="H6886" s="25" t="n">
        <f aca="false">IF(AND(Assumptions!$P$58=1,OR(H6817&lt;Assumptions!$K$58,G7002=1)),MIN(MAX(0,-H6914),MAX(0,Assumptions!$D$58-H6879)),0)</f>
        <v>0</v>
      </c>
      <c r="I6886" s="25" t="n">
        <f aca="false">IF(AND(Assumptions!$P$58=1,OR(I6817&lt;Assumptions!$K$58,H7002=1)),MIN(MAX(0,-I6914),MAX(0,Assumptions!$D$58-I6879)),0)</f>
        <v>0</v>
      </c>
      <c r="J6886" s="25" t="n">
        <f aca="false">IF(AND(Assumptions!$P$58=1,OR(J6817&lt;Assumptions!$K$58,I7002=1)),MIN(MAX(0,-J6914),MAX(0,Assumptions!$D$58-J6879)),0)</f>
        <v>0</v>
      </c>
      <c r="K6886" s="25" t="n">
        <f aca="false">IF(AND(Assumptions!$P$58=1,OR(K6817&lt;Assumptions!$K$58,J7002=1)),MIN(MAX(0,-K6914),MAX(0,Assumptions!$D$58-K6879)),0)</f>
        <v>0</v>
      </c>
    </row>
    <row r="6887" customFormat="false" ht="15" hidden="false" customHeight="false" outlineLevel="0" collapsed="false">
      <c r="A6887" s="3" t="s">
        <v>316</v>
      </c>
      <c r="G6887" s="25" t="n">
        <f aca="false">G6880*MIN(G6879-G6885+G6884,MAX(0,G6916-Assumptions!$C$12*G6851-G6861-G6874))</f>
        <v>0</v>
      </c>
      <c r="H6887" s="25" t="n">
        <f aca="false">H6880*MIN(H6879-H6885+H6884,MAX(0,H6916-Assumptions!$C$12*H6851-H6861-H6874))</f>
        <v>0</v>
      </c>
      <c r="I6887" s="25" t="n">
        <f aca="false">I6880*MIN(I6879-I6885+I6884,MAX(0,I6916-Assumptions!$C$12*I6851-I6861-I6874))</f>
        <v>143.75</v>
      </c>
      <c r="J6887" s="25" t="n">
        <f aca="false">J6880*MIN(J6879-J6885+J6884,MAX(0,J6916-Assumptions!$C$12*J6851-J6861-J6874))</f>
        <v>0</v>
      </c>
      <c r="K6887" s="25" t="n">
        <f aca="false">K6880*MIN(K6879-K6885+K6884,MAX(0,K6916-Assumptions!$C$12*K6851-K6861-K6874))</f>
        <v>0</v>
      </c>
    </row>
    <row r="6888" customFormat="false" ht="15" hidden="false" customHeight="false" outlineLevel="0" collapsed="false">
      <c r="A6888" s="3" t="s">
        <v>317</v>
      </c>
      <c r="G6888" s="25" t="n">
        <f aca="false">Assumptions!$N$58*MIN(G6879+G6886+G6884-G6885-G6887,MAX(0,G6920-G6862-G6875))</f>
        <v>0</v>
      </c>
      <c r="H6888" s="25" t="n">
        <f aca="false">Assumptions!$N$58*MIN(H6879+H6886+H6884-H6885-H6887,MAX(0,H6920-H6862-H6875))</f>
        <v>0</v>
      </c>
      <c r="I6888" s="25" t="n">
        <f aca="false">Assumptions!$N$58*MIN(I6879+I6886+I6884-I6885-I6887,MAX(0,I6920-I6862-I6875))</f>
        <v>0</v>
      </c>
      <c r="J6888" s="25" t="n">
        <f aca="false">Assumptions!$N$58*MIN(J6879+J6886+J6884-J6885-J6887,MAX(0,J6920-J6862-J6875))</f>
        <v>0</v>
      </c>
      <c r="K6888" s="25" t="n">
        <f aca="false">Assumptions!$N$58*MIN(K6879+K6886+K6884-K6885-K6887,MAX(0,K6920-K6862-K6875))</f>
        <v>0</v>
      </c>
    </row>
    <row r="6889" customFormat="false" ht="15" hidden="false" customHeight="false" outlineLevel="0" collapsed="false">
      <c r="A6889" s="3" t="s">
        <v>318</v>
      </c>
      <c r="G6889" s="25" t="n">
        <f aca="false">G6880*(1-G6851)*(G6879-G6885+G6884-G6887)</f>
        <v>0</v>
      </c>
      <c r="H6889" s="25" t="n">
        <f aca="false">H6880*(1-H6851)*(H6879-H6885+H6884-H6887)</f>
        <v>0</v>
      </c>
      <c r="I6889" s="25" t="n">
        <f aca="false">I6880*(1-I6851)*(I6879-I6885+I6884-I6887)</f>
        <v>0</v>
      </c>
      <c r="J6889" s="25" t="n">
        <f aca="false">J6880*(1-J6851)*(J6879-J6885+J6884-J6887)</f>
        <v>0</v>
      </c>
      <c r="K6889" s="25" t="n">
        <f aca="false">K6880*(1-K6851)*(K6879-K6885+K6884-K6887)</f>
        <v>0</v>
      </c>
    </row>
    <row r="6890" customFormat="false" ht="15" hidden="false" customHeight="false" outlineLevel="0" collapsed="false">
      <c r="A6890" s="2" t="s">
        <v>319</v>
      </c>
      <c r="F6890" s="28" t="n">
        <f aca="false">Assumptions!$C$58</f>
        <v>143.75</v>
      </c>
      <c r="G6890" s="16" t="n">
        <f aca="false">G6879+G6886+G6884-G6885-G6887-G6888</f>
        <v>143.75</v>
      </c>
      <c r="H6890" s="16" t="n">
        <f aca="false">H6879+H6886+H6884-H6885-H6887-H6888</f>
        <v>143.75</v>
      </c>
      <c r="I6890" s="16" t="n">
        <f aca="false">I6879+I6886+I6884-I6885-I6887-I6888</f>
        <v>0</v>
      </c>
      <c r="J6890" s="16" t="n">
        <f aca="false">J6879+J6886+J6884-J6885-J6887-J6888</f>
        <v>0</v>
      </c>
      <c r="K6890" s="16" t="n">
        <f aca="false">K6879+K6886+K6884-K6885-K6887-K6888</f>
        <v>0</v>
      </c>
    </row>
    <row r="6891" customFormat="false" ht="15" hidden="false" customHeight="false" outlineLevel="0" collapsed="false">
      <c r="A6891" s="23" t="s">
        <v>322</v>
      </c>
      <c r="B6891" s="24"/>
      <c r="C6891" s="24"/>
      <c r="D6891" s="24"/>
      <c r="E6891" s="24"/>
      <c r="F6891" s="24"/>
      <c r="G6891" s="24"/>
      <c r="H6891" s="24"/>
      <c r="I6891" s="24"/>
      <c r="J6891" s="24"/>
      <c r="K6891" s="24"/>
    </row>
    <row r="6892" customFormat="false" ht="15" hidden="false" customHeight="false" outlineLevel="0" collapsed="false">
      <c r="A6892" s="2" t="s">
        <v>323</v>
      </c>
      <c r="F6892" s="16" t="n">
        <f aca="false">F6864+F6877+F6890</f>
        <v>1735.554</v>
      </c>
      <c r="G6892" s="16" t="n">
        <f aca="false">G6864+G6877+G6890</f>
        <v>1735.554</v>
      </c>
      <c r="H6892" s="16" t="n">
        <f aca="false">H6864+H6877+H6890</f>
        <v>1735.554</v>
      </c>
      <c r="I6892" s="16" t="n">
        <f aca="false">I6864+I6877+I6890</f>
        <v>1315.098</v>
      </c>
      <c r="J6892" s="16" t="n">
        <f aca="false">J6864+J6877+J6890</f>
        <v>1315.098</v>
      </c>
      <c r="K6892" s="16" t="n">
        <f aca="false">K6864+K6877+K6890</f>
        <v>1315.098</v>
      </c>
    </row>
    <row r="6893" customFormat="false" ht="15" hidden="false" customHeight="false" outlineLevel="0" collapsed="false">
      <c r="A6893" s="3" t="s">
        <v>324</v>
      </c>
      <c r="G6893" s="25" t="n">
        <f aca="false">G6854*Assumptions!$C$56+G6867*Assumptions!$C$57+G6880*Assumptions!$C$58</f>
        <v>0</v>
      </c>
      <c r="H6893" s="25" t="n">
        <f aca="false">H6854*Assumptions!$C$56+H6867*Assumptions!$C$57+H6880*Assumptions!$C$58</f>
        <v>0</v>
      </c>
      <c r="I6893" s="25" t="n">
        <f aca="false">I6854*Assumptions!$C$56+I6867*Assumptions!$C$57+I6880*Assumptions!$C$58</f>
        <v>420.456</v>
      </c>
      <c r="J6893" s="25" t="n">
        <f aca="false">J6854*Assumptions!$C$56+J6867*Assumptions!$C$57+J6880*Assumptions!$C$58</f>
        <v>0</v>
      </c>
      <c r="K6893" s="25" t="n">
        <f aca="false">K6854*Assumptions!$C$56+K6867*Assumptions!$C$57+K6880*Assumptions!$C$58</f>
        <v>0</v>
      </c>
    </row>
    <row r="6894" customFormat="false" ht="15" hidden="false" customHeight="false" outlineLevel="0" collapsed="false">
      <c r="A6894" s="23" t="s">
        <v>325</v>
      </c>
      <c r="B6894" s="24"/>
      <c r="C6894" s="24"/>
      <c r="D6894" s="24"/>
      <c r="E6894" s="24"/>
      <c r="F6894" s="24"/>
      <c r="G6894" s="24"/>
      <c r="H6894" s="24"/>
      <c r="I6894" s="24"/>
      <c r="J6894" s="24"/>
      <c r="K6894" s="24"/>
    </row>
    <row r="6895" customFormat="false" ht="15" hidden="false" customHeight="false" outlineLevel="0" collapsed="false">
      <c r="A6895" s="3" t="s">
        <v>326</v>
      </c>
      <c r="C6895" s="25" t="n">
        <f aca="false">SUMPRODUCT($G$6854:$K$6854,$G$6853:$K$6853-$G$6859:$K$6859+$G$6858:$K$6858)</f>
        <v>0</v>
      </c>
    </row>
    <row r="6896" customFormat="false" ht="15" hidden="false" customHeight="false" outlineLevel="0" collapsed="false">
      <c r="A6896" s="3" t="s">
        <v>327</v>
      </c>
      <c r="C6896" s="25" t="n">
        <f aca="false">SUMPRODUCT($G$6854:$K$6854,$G$6861:$K$6861)</f>
        <v>0</v>
      </c>
    </row>
    <row r="6897" customFormat="false" ht="15" hidden="false" customHeight="false" outlineLevel="0" collapsed="false">
      <c r="A6897" s="3" t="s">
        <v>328</v>
      </c>
      <c r="C6897" s="3" t="str">
        <f aca="false">IF(SUM($G$6854:$K$6854)=0,"n/a (beyond horizon)",IF(SUMPRODUCT($G$6854:$K$6854,$G$6851:$K$6851)&gt;0,"REFINANCING PASS","REFINANCING FAILURE"))</f>
        <v>n/a (beyond horizon)</v>
      </c>
    </row>
    <row r="6898" customFormat="false" ht="15" hidden="false" customHeight="false" outlineLevel="0" collapsed="false">
      <c r="A6898" s="3" t="s">
        <v>329</v>
      </c>
      <c r="C6898" s="3" t="str">
        <f aca="false">IF(SUM($G$6854:$K$6854)=0,"n/a",IF(C6896&gt;=C6895-0.001,"Repaid from cash",IF(SUMPRODUCT($G$6854:$K$6854,$G$6851:$K$6851)&gt;0,IF(C6896&gt;0,"Partly repaid; remainder refinanced","Refinanced"),IF(SUM($G$6863:$K$6863)&gt;0.001,IF(C6896&gt;0,"Partial repayment; PAYMENT DEFAULT","PAYMENT DEFAULT"),"Repaid from cash"))))</f>
        <v>n/a</v>
      </c>
    </row>
    <row r="6899" customFormat="false" ht="15" hidden="false" customHeight="false" outlineLevel="0" collapsed="false">
      <c r="A6899" s="3" t="s">
        <v>330</v>
      </c>
      <c r="C6899" s="25" t="n">
        <f aca="false">SUMPRODUCT($G$6867:$K$6867,$G$6866:$K$6866-$G$6872:$K$6872+$G$6871:$K$6871)</f>
        <v>276.706</v>
      </c>
    </row>
    <row r="6900" customFormat="false" ht="15" hidden="false" customHeight="false" outlineLevel="0" collapsed="false">
      <c r="A6900" s="3" t="s">
        <v>331</v>
      </c>
      <c r="C6900" s="25" t="n">
        <f aca="false">SUMPRODUCT($G$6867:$K$6867,$G$6874:$K$6874)</f>
        <v>276.706</v>
      </c>
    </row>
    <row r="6901" customFormat="false" ht="15" hidden="false" customHeight="false" outlineLevel="0" collapsed="false">
      <c r="A6901" s="3" t="s">
        <v>332</v>
      </c>
      <c r="C6901" s="3" t="str">
        <f aca="false">IF(SUM($G$6867:$K$6867)=0,"n/a (beyond horizon)",IF(SUMPRODUCT($G$6867:$K$6867,$G$6851:$K$6851)&gt;0,"REFINANCING PASS","REFINANCING FAILURE"))</f>
        <v>REFINANCING PASS</v>
      </c>
    </row>
    <row r="6902" customFormat="false" ht="15" hidden="false" customHeight="false" outlineLevel="0" collapsed="false">
      <c r="A6902" s="3" t="s">
        <v>333</v>
      </c>
      <c r="C6902" s="3" t="str">
        <f aca="false">IF(SUM($G$6867:$K$6867)=0,"n/a",IF(C6900&gt;=C6899-0.001,"Repaid from cash",IF(SUMPRODUCT($G$6867:$K$6867,$G$6851:$K$6851)&gt;0,IF(C6900&gt;0,"Partly repaid; remainder refinanced","Refinanced"),IF(SUM($G$6876:$K$6876)&gt;0.001,IF(C6900&gt;0,"Partial repayment; PAYMENT DEFAULT","PAYMENT DEFAULT"),"Repaid from cash"))))</f>
        <v>Repaid from cash</v>
      </c>
    </row>
    <row r="6903" customFormat="false" ht="15" hidden="false" customHeight="false" outlineLevel="0" collapsed="false">
      <c r="A6903" s="3" t="s">
        <v>334</v>
      </c>
      <c r="C6903" s="25" t="n">
        <f aca="false">SUMPRODUCT($G$6880:$K$6880,$G$6879:$K$6879-$G$6885:$K$6885+$G$6884:$K$6884)</f>
        <v>143.75</v>
      </c>
    </row>
    <row r="6904" customFormat="false" ht="15" hidden="false" customHeight="false" outlineLevel="0" collapsed="false">
      <c r="A6904" s="3" t="s">
        <v>335</v>
      </c>
      <c r="C6904" s="25" t="n">
        <f aca="false">SUMPRODUCT($G$6880:$K$6880,$G$6887:$K$6887)</f>
        <v>143.75</v>
      </c>
    </row>
    <row r="6905" customFormat="false" ht="15" hidden="false" customHeight="false" outlineLevel="0" collapsed="false">
      <c r="A6905" s="3" t="s">
        <v>336</v>
      </c>
      <c r="C6905" s="3" t="str">
        <f aca="false">IF(SUM($G$6880:$K$6880)=0,"n/a (beyond horizon)",IF(SUMPRODUCT($G$6880:$K$6880,$G$6851:$K$6851)&gt;0,"REFINANCING PASS","REFINANCING FAILURE"))</f>
        <v>REFINANCING PASS</v>
      </c>
    </row>
    <row r="6906" customFormat="false" ht="15" hidden="false" customHeight="false" outlineLevel="0" collapsed="false">
      <c r="A6906" s="3" t="s">
        <v>337</v>
      </c>
      <c r="C6906" s="3" t="str">
        <f aca="false">IF(SUM($G$6880:$K$6880)=0,"n/a",IF(C6904&gt;=C6903-0.001,"Repaid from cash",IF(SUMPRODUCT($G$6880:$K$6880,$G$6851:$K$6851)&gt;0,IF(C6904&gt;0,"Partly repaid; remainder refinanced","Refinanced"),IF(SUM($G$6889:$K$6889)&gt;0.001,IF(C6904&gt;0,"Partial repayment; PAYMENT DEFAULT","PAYMENT DEFAULT"),"Repaid from cash"))))</f>
        <v>Repaid from cash</v>
      </c>
    </row>
    <row r="6907" customFormat="false" ht="15" hidden="false" customHeight="false" outlineLevel="0" collapsed="false">
      <c r="A6907" s="3" t="s">
        <v>338</v>
      </c>
      <c r="C6907" s="20" t="n">
        <f aca="false">IF(C6897="REFINANCING FAILURE",1,0)+IF(C6901="REFINANCING FAILURE",1,0)+IF(C6905="REFINANCING FAILURE",1,0)</f>
        <v>0</v>
      </c>
    </row>
    <row r="6909" customFormat="false" ht="15" hidden="false" customHeight="false" outlineLevel="0" collapsed="false">
      <c r="A6909" s="23" t="s">
        <v>340</v>
      </c>
      <c r="B6909" s="24"/>
      <c r="C6909" s="24"/>
      <c r="D6909" s="24"/>
      <c r="E6909" s="24"/>
      <c r="F6909" s="24"/>
      <c r="G6909" s="24"/>
      <c r="H6909" s="24"/>
      <c r="I6909" s="24"/>
      <c r="J6909" s="24"/>
      <c r="K6909" s="24"/>
    </row>
    <row r="6910" customFormat="false" ht="15" hidden="false" customHeight="false" outlineLevel="0" collapsed="false">
      <c r="A6910" s="3" t="s">
        <v>305</v>
      </c>
      <c r="G6910" s="25" t="n">
        <f aca="false">F6922</f>
        <v>463.996</v>
      </c>
      <c r="H6910" s="25" t="n">
        <f aca="false">G6922</f>
        <v>602.57714233</v>
      </c>
      <c r="I6910" s="25" t="n">
        <f aca="false">H6922</f>
        <v>743.7137561083</v>
      </c>
      <c r="J6910" s="25" t="n">
        <f aca="false">I6922</f>
        <v>464.794653590363</v>
      </c>
      <c r="K6910" s="25" t="n">
        <f aca="false">J6922</f>
        <v>621.362963420847</v>
      </c>
    </row>
    <row r="6911" customFormat="false" ht="15" hidden="false" customHeight="false" outlineLevel="0" collapsed="false">
      <c r="A6911" s="3" t="s">
        <v>341</v>
      </c>
      <c r="G6911" s="25" t="n">
        <f aca="false">G6840</f>
        <v>138.58114233</v>
      </c>
      <c r="H6911" s="25" t="n">
        <f aca="false">H6840</f>
        <v>141.1366137783</v>
      </c>
      <c r="I6911" s="25" t="n">
        <f aca="false">I6840</f>
        <v>141.536897482063</v>
      </c>
      <c r="J6911" s="25" t="n">
        <f aca="false">J6840</f>
        <v>156.568309830484</v>
      </c>
      <c r="K6911" s="25" t="n">
        <f aca="false">K6840</f>
        <v>158.159461112849</v>
      </c>
    </row>
    <row r="6912" customFormat="false" ht="15" hidden="false" customHeight="false" outlineLevel="0" collapsed="false">
      <c r="A6912" s="3" t="s">
        <v>342</v>
      </c>
      <c r="G6912" s="25" t="n">
        <f aca="false">CHOOSE($C$6810,Assumptions!$G$74,Assumptions!$G$93,Assumptions!$G$112)</f>
        <v>0</v>
      </c>
      <c r="H6912" s="25" t="n">
        <f aca="false">CHOOSE($C$6810,Assumptions!$H$74,Assumptions!$H$93,Assumptions!$H$112)</f>
        <v>0</v>
      </c>
      <c r="I6912" s="25" t="n">
        <f aca="false">CHOOSE($C$6810,Assumptions!$I$74,Assumptions!$I$93,Assumptions!$I$112)</f>
        <v>0</v>
      </c>
      <c r="J6912" s="25" t="n">
        <f aca="false">CHOOSE($C$6810,Assumptions!$J$74,Assumptions!$J$93,Assumptions!$J$112)</f>
        <v>0</v>
      </c>
      <c r="K6912" s="25" t="n">
        <f aca="false">CHOOSE($C$6810,Assumptions!$K$74,Assumptions!$K$93,Assumptions!$K$112)</f>
        <v>0</v>
      </c>
    </row>
    <row r="6913" customFormat="false" ht="15" hidden="false" customHeight="false" outlineLevel="0" collapsed="false">
      <c r="A6913" s="3" t="s">
        <v>343</v>
      </c>
      <c r="G6913" s="25" t="n">
        <f aca="false">G6859+G6872+G6885</f>
        <v>0</v>
      </c>
      <c r="H6913" s="25" t="n">
        <f aca="false">H6859+H6872+H6885</f>
        <v>0</v>
      </c>
      <c r="I6913" s="25" t="n">
        <f aca="false">I6859+I6872+I6885</f>
        <v>0</v>
      </c>
      <c r="J6913" s="25" t="n">
        <f aca="false">J6859+J6872+J6885</f>
        <v>0</v>
      </c>
      <c r="K6913" s="25" t="n">
        <f aca="false">K6859+K6872+K6885</f>
        <v>0</v>
      </c>
    </row>
    <row r="6914" customFormat="false" ht="15" hidden="false" customHeight="false" outlineLevel="0" collapsed="false">
      <c r="A6914" s="2" t="s">
        <v>344</v>
      </c>
      <c r="G6914" s="16" t="n">
        <f aca="false">G6910+G6911+G6912-G6913</f>
        <v>602.57714233</v>
      </c>
      <c r="H6914" s="16" t="n">
        <f aca="false">H6910+H6911+H6912-H6913</f>
        <v>743.7137561083</v>
      </c>
      <c r="I6914" s="16" t="n">
        <f aca="false">I6910+I6911+I6912-I6913</f>
        <v>885.250653590363</v>
      </c>
      <c r="J6914" s="16" t="n">
        <f aca="false">J6910+J6911+J6912-J6913</f>
        <v>621.362963420847</v>
      </c>
      <c r="K6914" s="16" t="n">
        <f aca="false">K6910+K6911+K6912-K6913</f>
        <v>779.522424533696</v>
      </c>
    </row>
    <row r="6915" customFormat="false" ht="15" hidden="false" customHeight="false" outlineLevel="0" collapsed="false">
      <c r="A6915" s="3" t="s">
        <v>345</v>
      </c>
      <c r="G6915" s="25" t="n">
        <f aca="false">G6860+G6873+G6886</f>
        <v>0</v>
      </c>
      <c r="H6915" s="25" t="n">
        <f aca="false">H6860+H6873+H6886</f>
        <v>0</v>
      </c>
      <c r="I6915" s="25" t="n">
        <f aca="false">I6860+I6873+I6886</f>
        <v>0</v>
      </c>
      <c r="J6915" s="25" t="n">
        <f aca="false">J6860+J6873+J6886</f>
        <v>0</v>
      </c>
      <c r="K6915" s="25" t="n">
        <f aca="false">K6860+K6873+K6886</f>
        <v>0</v>
      </c>
    </row>
    <row r="6916" customFormat="false" ht="15" hidden="false" customHeight="false" outlineLevel="0" collapsed="false">
      <c r="A6916" s="2" t="s">
        <v>346</v>
      </c>
      <c r="G6916" s="16" t="n">
        <f aca="false">G6914+G6915</f>
        <v>602.57714233</v>
      </c>
      <c r="H6916" s="16" t="n">
        <f aca="false">H6914+H6915</f>
        <v>743.7137561083</v>
      </c>
      <c r="I6916" s="16" t="n">
        <f aca="false">I6914+I6915</f>
        <v>885.250653590363</v>
      </c>
      <c r="J6916" s="16" t="n">
        <f aca="false">J6914+J6915</f>
        <v>621.362963420847</v>
      </c>
      <c r="K6916" s="16" t="n">
        <f aca="false">K6914+K6915</f>
        <v>779.522424533696</v>
      </c>
    </row>
    <row r="6917" customFormat="false" ht="15" hidden="false" customHeight="false" outlineLevel="0" collapsed="false">
      <c r="A6917" s="3" t="s">
        <v>347</v>
      </c>
      <c r="G6917" s="25" t="n">
        <f aca="false">G6861+G6874+G6887</f>
        <v>0</v>
      </c>
      <c r="H6917" s="25" t="n">
        <f aca="false">H6861+H6874+H6887</f>
        <v>0</v>
      </c>
      <c r="I6917" s="25" t="n">
        <f aca="false">I6861+I6874+I6887</f>
        <v>420.456</v>
      </c>
      <c r="J6917" s="25" t="n">
        <f aca="false">J6861+J6874+J6887</f>
        <v>0</v>
      </c>
      <c r="K6917" s="25" t="n">
        <f aca="false">K6861+K6874+K6887</f>
        <v>0</v>
      </c>
    </row>
    <row r="6918" customFormat="false" ht="15" hidden="false" customHeight="false" outlineLevel="0" collapsed="false">
      <c r="A6918" s="2" t="s">
        <v>348</v>
      </c>
      <c r="G6918" s="16" t="n">
        <f aca="false">G6916-G6917</f>
        <v>602.57714233</v>
      </c>
      <c r="H6918" s="16" t="n">
        <f aca="false">H6916-H6917</f>
        <v>743.7137561083</v>
      </c>
      <c r="I6918" s="16" t="n">
        <f aca="false">I6916-I6917</f>
        <v>464.794653590363</v>
      </c>
      <c r="J6918" s="16" t="n">
        <f aca="false">J6916-J6917</f>
        <v>621.362963420847</v>
      </c>
      <c r="K6918" s="16" t="n">
        <f aca="false">K6916-K6917</f>
        <v>779.522424533696</v>
      </c>
    </row>
    <row r="6919" customFormat="false" ht="15" hidden="false" customHeight="false" outlineLevel="0" collapsed="false">
      <c r="A6919" s="3" t="s">
        <v>349</v>
      </c>
      <c r="G6919" s="25" t="n">
        <f aca="false">MAX(0,-G6918)</f>
        <v>0</v>
      </c>
      <c r="H6919" s="25" t="n">
        <f aca="false">MAX(0,-H6918)</f>
        <v>0</v>
      </c>
      <c r="I6919" s="25" t="n">
        <f aca="false">MAX(0,-I6918)</f>
        <v>0</v>
      </c>
      <c r="J6919" s="25" t="n">
        <f aca="false">MAX(0,-J6918)</f>
        <v>0</v>
      </c>
      <c r="K6919" s="25" t="n">
        <f aca="false">MAX(0,-K6918)</f>
        <v>0</v>
      </c>
    </row>
    <row r="6920" customFormat="false" ht="15" hidden="false" customHeight="false" outlineLevel="0" collapsed="false">
      <c r="A6920" s="3" t="s">
        <v>350</v>
      </c>
      <c r="G6920" s="25" t="n">
        <f aca="false">MAX(0,G6918-Assumptions!$C$12)*Assumptions!$C$13</f>
        <v>0</v>
      </c>
      <c r="H6920" s="25" t="n">
        <f aca="false">MAX(0,H6918-Assumptions!$C$12)*Assumptions!$C$13</f>
        <v>0</v>
      </c>
      <c r="I6920" s="25" t="n">
        <f aca="false">MAX(0,I6918-Assumptions!$C$12)*Assumptions!$C$13</f>
        <v>0</v>
      </c>
      <c r="J6920" s="25" t="n">
        <f aca="false">MAX(0,J6918-Assumptions!$C$12)*Assumptions!$C$13</f>
        <v>0</v>
      </c>
      <c r="K6920" s="25" t="n">
        <f aca="false">MAX(0,K6918-Assumptions!$C$12)*Assumptions!$C$13</f>
        <v>0</v>
      </c>
    </row>
    <row r="6921" customFormat="false" ht="15" hidden="false" customHeight="false" outlineLevel="0" collapsed="false">
      <c r="A6921" s="3" t="s">
        <v>351</v>
      </c>
      <c r="G6921" s="25" t="n">
        <f aca="false">G6862+G6875+G6888</f>
        <v>0</v>
      </c>
      <c r="H6921" s="25" t="n">
        <f aca="false">H6862+H6875+H6888</f>
        <v>0</v>
      </c>
      <c r="I6921" s="25" t="n">
        <f aca="false">I6862+I6875+I6888</f>
        <v>0</v>
      </c>
      <c r="J6921" s="25" t="n">
        <f aca="false">J6862+J6875+J6888</f>
        <v>0</v>
      </c>
      <c r="K6921" s="25" t="n">
        <f aca="false">K6862+K6875+K6888</f>
        <v>0</v>
      </c>
    </row>
    <row r="6922" customFormat="false" ht="15" hidden="false" customHeight="false" outlineLevel="0" collapsed="false">
      <c r="A6922" s="2" t="s">
        <v>352</v>
      </c>
      <c r="F6922" s="28" t="n">
        <f aca="false">Assumptions!$C$11</f>
        <v>463.996</v>
      </c>
      <c r="G6922" s="16" t="n">
        <f aca="false">G6918-G6921</f>
        <v>602.57714233</v>
      </c>
      <c r="H6922" s="16" t="n">
        <f aca="false">H6918-H6921</f>
        <v>743.7137561083</v>
      </c>
      <c r="I6922" s="16" t="n">
        <f aca="false">I6918-I6921</f>
        <v>464.794653590363</v>
      </c>
      <c r="J6922" s="16" t="n">
        <f aca="false">J6918-J6921</f>
        <v>621.362963420847</v>
      </c>
      <c r="K6922" s="16" t="n">
        <f aca="false">K6918-K6921</f>
        <v>779.522424533696</v>
      </c>
    </row>
    <row r="6923" customFormat="false" ht="15" hidden="false" customHeight="false" outlineLevel="0" collapsed="false">
      <c r="A6923" s="3" t="s">
        <v>353</v>
      </c>
      <c r="G6923" s="25" t="n">
        <f aca="false">G6863+G6876+G6889</f>
        <v>0</v>
      </c>
      <c r="H6923" s="25" t="n">
        <f aca="false">H6863+H6876+H6889</f>
        <v>0</v>
      </c>
      <c r="I6923" s="25" t="n">
        <f aca="false">I6863+I6876+I6889</f>
        <v>0</v>
      </c>
      <c r="J6923" s="25" t="n">
        <f aca="false">J6863+J6876+J6889</f>
        <v>0</v>
      </c>
      <c r="K6923" s="25" t="n">
        <f aca="false">K6863+K6876+K6889</f>
        <v>0</v>
      </c>
    </row>
    <row r="6924" customFormat="false" ht="15" hidden="false" customHeight="false" outlineLevel="0" collapsed="false">
      <c r="A6924" s="3" t="s">
        <v>354</v>
      </c>
      <c r="G6924" s="20" t="n">
        <f aca="false">IF(OR(G6919&gt;0.001,G6923&gt;0.001),1,0)</f>
        <v>0</v>
      </c>
      <c r="H6924" s="20" t="n">
        <f aca="false">IF(OR(H6919&gt;0.001,H6923&gt;0.001),1,0)</f>
        <v>0</v>
      </c>
      <c r="I6924" s="20" t="n">
        <f aca="false">IF(OR(I6919&gt;0.001,I6923&gt;0.001),1,0)</f>
        <v>0</v>
      </c>
      <c r="J6924" s="20" t="n">
        <f aca="false">IF(OR(J6919&gt;0.001,J6923&gt;0.001),1,0)</f>
        <v>0</v>
      </c>
      <c r="K6924" s="20" t="n">
        <f aca="false">IF(OR(K6919&gt;0.001,K6923&gt;0.001),1,0)</f>
        <v>0</v>
      </c>
    </row>
    <row r="6925" customFormat="false" ht="15" hidden="false" customHeight="false" outlineLevel="0" collapsed="false">
      <c r="A6925" s="3" t="s">
        <v>355</v>
      </c>
      <c r="G6925" s="20" t="n">
        <f aca="false">IF(G6924=1,1,0)</f>
        <v>0</v>
      </c>
      <c r="H6925" s="20" t="n">
        <f aca="false">IF(AND(H6924=1,SUM($G$6924:G6924)=0),1,0)</f>
        <v>0</v>
      </c>
      <c r="I6925" s="20" t="n">
        <f aca="false">IF(AND(I6924=1,SUM($G$6924:H6924)=0),1,0)</f>
        <v>0</v>
      </c>
      <c r="J6925" s="20" t="n">
        <f aca="false">IF(AND(J6924=1,SUM($G$6924:I6924)=0),1,0)</f>
        <v>0</v>
      </c>
      <c r="K6925" s="20" t="n">
        <f aca="false">IF(AND(K6924=1,SUM($G$6924:J6924)=0),1,0)</f>
        <v>0</v>
      </c>
    </row>
    <row r="6926" customFormat="false" ht="15" hidden="false" customHeight="false" outlineLevel="0" collapsed="false">
      <c r="A6926" s="3" t="s">
        <v>356</v>
      </c>
      <c r="G6926" s="25" t="n">
        <f aca="false">(G6892-F6892)-(G6915+G6832-G6913-G6917-G6921)</f>
        <v>0</v>
      </c>
      <c r="H6926" s="25" t="n">
        <f aca="false">(H6892-G6892)-(H6915+H6832-H6913-H6917-H6921)</f>
        <v>0</v>
      </c>
      <c r="I6926" s="25" t="n">
        <f aca="false">(I6892-H6892)-(I6915+I6832-I6913-I6917-I6921)</f>
        <v>0</v>
      </c>
      <c r="J6926" s="25" t="n">
        <f aca="false">(J6892-I6892)-(J6915+J6832-J6913-J6917-J6921)</f>
        <v>0</v>
      </c>
      <c r="K6926" s="25" t="n">
        <f aca="false">(K6892-J6892)-(K6915+K6832-K6913-K6917-K6921)</f>
        <v>0</v>
      </c>
    </row>
    <row r="6928" customFormat="false" ht="15" hidden="false" customHeight="false" outlineLevel="0" collapsed="false">
      <c r="A6928" s="23" t="s">
        <v>358</v>
      </c>
      <c r="B6928" s="24"/>
      <c r="C6928" s="24"/>
      <c r="D6928" s="24"/>
      <c r="E6928" s="24"/>
      <c r="F6928" s="24"/>
      <c r="G6928" s="24"/>
      <c r="H6928" s="24"/>
      <c r="I6928" s="24"/>
      <c r="J6928" s="24"/>
      <c r="K6928" s="24"/>
    </row>
    <row r="6929" customFormat="false" ht="15" hidden="false" customHeight="false" outlineLevel="0" collapsed="false">
      <c r="A6929" s="3" t="s">
        <v>359</v>
      </c>
      <c r="G6929" s="25" t="n">
        <f aca="false">G6892</f>
        <v>1735.554</v>
      </c>
      <c r="H6929" s="25" t="n">
        <f aca="false">H6892</f>
        <v>1735.554</v>
      </c>
      <c r="I6929" s="25" t="n">
        <f aca="false">I6892</f>
        <v>1315.098</v>
      </c>
      <c r="J6929" s="25" t="n">
        <f aca="false">J6892</f>
        <v>1315.098</v>
      </c>
      <c r="K6929" s="25" t="n">
        <f aca="false">K6892</f>
        <v>1315.098</v>
      </c>
    </row>
    <row r="6930" customFormat="false" ht="15" hidden="false" customHeight="false" outlineLevel="0" collapsed="false">
      <c r="A6930" s="3" t="s">
        <v>360</v>
      </c>
      <c r="G6930" s="25" t="n">
        <f aca="false">Assumptions!$O$56*G6864+Assumptions!$O$57*G6877+Assumptions!$O$58*G6890</f>
        <v>1315.098</v>
      </c>
      <c r="H6930" s="25" t="n">
        <f aca="false">Assumptions!$O$56*H6864+Assumptions!$O$57*H6877+Assumptions!$O$58*H6890</f>
        <v>1315.098</v>
      </c>
      <c r="I6930" s="25" t="n">
        <f aca="false">Assumptions!$O$56*I6864+Assumptions!$O$57*I6877+Assumptions!$O$58*I6890</f>
        <v>1315.098</v>
      </c>
      <c r="J6930" s="25" t="n">
        <f aca="false">Assumptions!$O$56*J6864+Assumptions!$O$57*J6877+Assumptions!$O$58*J6890</f>
        <v>1315.098</v>
      </c>
      <c r="K6930" s="25" t="n">
        <f aca="false">Assumptions!$O$56*K6864+Assumptions!$O$57*K6877+Assumptions!$O$58*K6890</f>
        <v>1315.098</v>
      </c>
    </row>
    <row r="6931" customFormat="false" ht="15" hidden="false" customHeight="false" outlineLevel="0" collapsed="false">
      <c r="A6931" s="3" t="s">
        <v>361</v>
      </c>
      <c r="G6931" s="25" t="n">
        <f aca="false">G6929-G6922</f>
        <v>1132.97685767</v>
      </c>
      <c r="H6931" s="25" t="n">
        <f aca="false">H6929-H6922</f>
        <v>991.8402438917</v>
      </c>
      <c r="I6931" s="25" t="n">
        <f aca="false">I6929-I6922</f>
        <v>850.303346409637</v>
      </c>
      <c r="J6931" s="25" t="n">
        <f aca="false">J6929-J6922</f>
        <v>693.735036579153</v>
      </c>
      <c r="K6931" s="25" t="n">
        <f aca="false">K6929-K6922</f>
        <v>535.575575466304</v>
      </c>
    </row>
    <row r="6932" customFormat="false" ht="15" hidden="false" customHeight="false" outlineLevel="0" collapsed="false">
      <c r="A6932" s="3" t="s">
        <v>362</v>
      </c>
      <c r="G6932" s="32" t="n">
        <f aca="false">IF(G6827&gt;0,G6929/G6827,0)</f>
        <v>5.49164157624616</v>
      </c>
      <c r="H6932" s="32" t="n">
        <f aca="false">IF(H6827&gt;0,H6929/H6827,0)</f>
        <v>5.43726888737244</v>
      </c>
      <c r="I6932" s="32" t="n">
        <f aca="false">IF(I6827&gt;0,I6929/I6827,0)</f>
        <v>4.11797498393486</v>
      </c>
      <c r="J6932" s="32" t="n">
        <f aca="false">IF(J6827&gt;0,J6929/J6827,0)</f>
        <v>4.09660141135388</v>
      </c>
      <c r="K6932" s="32" t="n">
        <f aca="false">IF(K6827&gt;0,K6929/K6827,0)</f>
        <v>4.07622030980486</v>
      </c>
    </row>
    <row r="6933" customFormat="false" ht="15" hidden="false" customHeight="false" outlineLevel="0" collapsed="false">
      <c r="A6933" s="3" t="s">
        <v>363</v>
      </c>
      <c r="G6933" s="32" t="n">
        <f aca="false">IF(G6827&gt;0,G6931/G6827,0)</f>
        <v>3.58496642369255</v>
      </c>
      <c r="H6933" s="32" t="n">
        <f aca="false">IF(H6827&gt;0,H6931/H6827,0)</f>
        <v>3.10730873217211</v>
      </c>
      <c r="I6933" s="32" t="n">
        <f aca="false">IF(I6827&gt;0,I6931/I6827,0)</f>
        <v>2.66256043980828</v>
      </c>
      <c r="J6933" s="32" t="n">
        <f aca="false">IF(J6827&gt;0,J6931/J6827,0)</f>
        <v>2.16102216713568</v>
      </c>
      <c r="K6933" s="32" t="n">
        <f aca="false">IF(K6827&gt;0,K6931/K6827,0)</f>
        <v>1.66004665671393</v>
      </c>
    </row>
    <row r="6934" customFormat="false" ht="15" hidden="false" customHeight="false" outlineLevel="0" collapsed="false">
      <c r="A6934" s="3" t="s">
        <v>364</v>
      </c>
      <c r="G6934" s="32" t="n">
        <f aca="false">IF(G6831&gt;0,G6827/G6831,0)</f>
        <v>2.02645779186991</v>
      </c>
      <c r="H6934" s="32" t="n">
        <f aca="false">IF(H6831&gt;0,H6827/H6831,0)</f>
        <v>2.04672236978861</v>
      </c>
      <c r="I6934" s="32" t="n">
        <f aca="false">IF(I6831&gt;0,I6827/I6831,0)</f>
        <v>2.0477457309735</v>
      </c>
      <c r="J6934" s="32" t="n">
        <f aca="false">IF(J6831&gt;0,J6827/J6831,0)</f>
        <v>2.3248074604998</v>
      </c>
      <c r="K6934" s="32" t="n">
        <f aca="false">IF(K6831&gt;0,K6827/K6831,0)</f>
        <v>2.3364314978023</v>
      </c>
    </row>
    <row r="6935" customFormat="false" ht="15" hidden="false" customHeight="false" outlineLevel="0" collapsed="false">
      <c r="A6935" s="3" t="s">
        <v>365</v>
      </c>
      <c r="G6935" s="32" t="n">
        <f aca="false">IF(G6831&gt;0,G6830/G6831,0)</f>
        <v>1.31984054212676</v>
      </c>
      <c r="H6935" s="32" t="n">
        <f aca="false">IF(H6831&gt;0,H6830/H6831,0)</f>
        <v>1.33303894754803</v>
      </c>
      <c r="I6935" s="32" t="n">
        <f aca="false">IF(I6831&gt;0,I6830/I6831,0)</f>
        <v>1.32335705739931</v>
      </c>
      <c r="J6935" s="32" t="n">
        <f aca="false">IF(J6831&gt;0,J6830/J6831,0)</f>
        <v>1.49031428262561</v>
      </c>
      <c r="K6935" s="32" t="n">
        <f aca="false">IF(K6831&gt;0,K6830/K6831,0)</f>
        <v>1.48524845637062</v>
      </c>
    </row>
    <row r="6936" customFormat="false" ht="15" hidden="false" customHeight="false" outlineLevel="0" collapsed="false">
      <c r="A6936" s="3" t="s">
        <v>198</v>
      </c>
      <c r="G6936" s="21" t="n">
        <f aca="false">IF(G6929&gt;0,G6840/G6929,0)</f>
        <v>0.079848361001732</v>
      </c>
      <c r="H6936" s="21" t="n">
        <f aca="false">IF(H6929&gt;0,H6840/H6929,0)</f>
        <v>0.0813207850509405</v>
      </c>
      <c r="I6936" s="21" t="n">
        <f aca="false">IF(I6929&gt;0,I6840/I6929,0)</f>
        <v>0.107624600966668</v>
      </c>
      <c r="J6936" s="21" t="n">
        <f aca="false">IF(J6929&gt;0,J6840/J6929,0)</f>
        <v>0.119054480982014</v>
      </c>
      <c r="K6936" s="21" t="n">
        <f aca="false">IF(K6929&gt;0,K6840/K6929,0)</f>
        <v>0.120264391788938</v>
      </c>
    </row>
    <row r="6937" customFormat="false" ht="15" hidden="false" customHeight="false" outlineLevel="0" collapsed="false">
      <c r="A6937" s="3" t="s">
        <v>366</v>
      </c>
      <c r="G6937" s="32" t="n">
        <f aca="false">IF(G6831+G6913&gt;0,(G6827-G6838-G6835)/(G6831+G6913),0)</f>
        <v>1.74385187715123</v>
      </c>
      <c r="H6937" s="32" t="n">
        <f aca="false">IF(H6831+H6913&gt;0,(H6827-H6838-H6835)/(H6831+H6913),0)</f>
        <v>1.75879039592274</v>
      </c>
      <c r="I6937" s="32" t="n">
        <f aca="false">IF(I6831+I6913&gt;0,(I6827-I6838-I6835)/(I6831+I6913),0)</f>
        <v>1.75916414609013</v>
      </c>
      <c r="J6937" s="32" t="n">
        <f aca="false">IF(J6831+J6913&gt;0,(J6827-J6838-J6835)/(J6831+J6913),0)</f>
        <v>1.96291047479195</v>
      </c>
      <c r="K6937" s="32" t="n">
        <f aca="false">IF(K6831+K6913&gt;0,(K6827-K6838-K6835)/(K6831+K6913),0)</f>
        <v>1.97101460035717</v>
      </c>
    </row>
    <row r="6938" customFormat="false" ht="15" hidden="false" customHeight="false" outlineLevel="0" collapsed="false">
      <c r="A6938" s="3" t="s">
        <v>367</v>
      </c>
      <c r="G6938" s="25" t="n">
        <f aca="false">MAX(0,G6922)+Assumptions!$P$56*MAX(0,Assumptions!$D$56-G6864)+Assumptions!$P$57*MAX(0,Assumptions!$D$57-G6877)+Assumptions!$P$58*MAX(0,Assumptions!$D$58-G6890)</f>
        <v>602.57714233</v>
      </c>
      <c r="H6938" s="25" t="n">
        <f aca="false">MAX(0,H6922)+Assumptions!$P$56*MAX(0,Assumptions!$D$56-H6864)+Assumptions!$P$57*MAX(0,Assumptions!$D$57-H6877)+Assumptions!$P$58*MAX(0,Assumptions!$D$58-H6890)</f>
        <v>743.7137561083</v>
      </c>
      <c r="I6938" s="25" t="n">
        <f aca="false">MAX(0,I6922)+Assumptions!$P$56*MAX(0,Assumptions!$D$56-I6864)+Assumptions!$P$57*MAX(0,Assumptions!$D$57-I6877)+Assumptions!$P$58*MAX(0,Assumptions!$D$58-I6890)</f>
        <v>464.794653590363</v>
      </c>
      <c r="J6938" s="25" t="n">
        <f aca="false">MAX(0,J6922)+Assumptions!$P$56*MAX(0,Assumptions!$D$56-J6864)+Assumptions!$P$57*MAX(0,Assumptions!$D$57-J6877)+Assumptions!$P$58*MAX(0,Assumptions!$D$58-J6890)</f>
        <v>621.362963420847</v>
      </c>
      <c r="K6938" s="25" t="n">
        <f aca="false">MAX(0,K6922)+Assumptions!$P$56*MAX(0,Assumptions!$D$56-K6864)+Assumptions!$P$57*MAX(0,Assumptions!$D$57-K6877)+Assumptions!$P$58*MAX(0,Assumptions!$D$58-K6890)</f>
        <v>779.522424533696</v>
      </c>
    </row>
    <row r="6939" customFormat="false" ht="15" hidden="false" customHeight="false" outlineLevel="0" collapsed="false">
      <c r="A6939" s="3" t="s">
        <v>368</v>
      </c>
      <c r="G6939" s="21" t="n">
        <f aca="false">IF(G6929&gt;0,G6929/(G6929+MAX(0,G6827*CHOOSE($C$6810,Assumptions!$C$82,Assumptions!$C$101,Assumptions!$C$120)-G6931)),0)</f>
        <v>0.741444907888636</v>
      </c>
      <c r="H6939" s="21" t="n">
        <f aca="false">IF(H6929&gt;0,H6929/(H6929+MAX(0,H6827*CHOOSE($C$6810,Assumptions!$C$82,Assumptions!$C$101,Assumptions!$C$120)-H6931)),0)</f>
        <v>0.694418461856569</v>
      </c>
      <c r="I6939" s="21" t="n">
        <f aca="false">IF(I6929&gt;0,I6929/(I6929+MAX(0,I6827*CHOOSE($C$6810,Assumptions!$C$82,Assumptions!$C$101,Assumptions!$C$120)-I6931)),0)</f>
        <v>0.592053134692343</v>
      </c>
      <c r="J6939" s="21" t="n">
        <f aca="false">IF(J6929&gt;0,J6929/(J6929+MAX(0,J6827*CHOOSE($C$6810,Assumptions!$C$82,Assumptions!$C$101,Assumptions!$C$120)-J6931)),0)</f>
        <v>0.550945834453898</v>
      </c>
      <c r="K6939" s="21" t="n">
        <f aca="false">IF(K6929&gt;0,K6929/(K6929+MAX(0,K6827*CHOOSE($C$6810,Assumptions!$C$82,Assumptions!$C$101,Assumptions!$C$120)-K6931)),0)</f>
        <v>0.514923053540301</v>
      </c>
    </row>
    <row r="6940" customFormat="false" ht="15" hidden="false" customHeight="false" outlineLevel="0" collapsed="false">
      <c r="A6940" s="3" t="s">
        <v>369</v>
      </c>
      <c r="G6940" s="21" t="n">
        <f aca="false">IF(G6929&gt;0,MAX(0,G6922)/G6929,0)</f>
        <v>0.347195847740837</v>
      </c>
      <c r="H6940" s="21" t="n">
        <f aca="false">IF(H6929&gt;0,MAX(0,H6922)/H6929,0)</f>
        <v>0.428516632791777</v>
      </c>
      <c r="I6940" s="21" t="n">
        <f aca="false">IF(I6929&gt;0,MAX(0,I6922)/I6929,0)</f>
        <v>0.353429671089427</v>
      </c>
      <c r="J6940" s="21" t="n">
        <f aca="false">IF(J6929&gt;0,MAX(0,J6922)/J6929,0)</f>
        <v>0.47248415207144</v>
      </c>
      <c r="K6940" s="21" t="n">
        <f aca="false">IF(K6929&gt;0,MAX(0,K6922)/K6929,0)</f>
        <v>0.592748543860379</v>
      </c>
    </row>
    <row r="6941" customFormat="false" ht="15" hidden="false" customHeight="false" outlineLevel="0" collapsed="false">
      <c r="A6941" s="3" t="s">
        <v>370</v>
      </c>
      <c r="G6941" s="25" t="n">
        <f aca="false">Assumptions!$C$30*(1-CHOOSE($C$6810,Assumptions!$C$85,Assumptions!$C$104,Assumptions!$C$123))</f>
        <v>2454.971</v>
      </c>
      <c r="H6941" s="25" t="n">
        <f aca="false">Assumptions!$C$30*(1-CHOOSE($C$6810,Assumptions!$C$85,Assumptions!$C$104,Assumptions!$C$123))</f>
        <v>2454.971</v>
      </c>
      <c r="I6941" s="25" t="n">
        <f aca="false">Assumptions!$C$30*(1-CHOOSE($C$6810,Assumptions!$C$85,Assumptions!$C$104,Assumptions!$C$123))</f>
        <v>2454.971</v>
      </c>
      <c r="J6941" s="25" t="n">
        <f aca="false">Assumptions!$C$30*(1-CHOOSE($C$6810,Assumptions!$C$85,Assumptions!$C$104,Assumptions!$C$123))</f>
        <v>2454.971</v>
      </c>
      <c r="K6941" s="25" t="n">
        <f aca="false">Assumptions!$C$30*(1-CHOOSE($C$6810,Assumptions!$C$85,Assumptions!$C$104,Assumptions!$C$123))</f>
        <v>2454.971</v>
      </c>
    </row>
    <row r="6942" customFormat="false" ht="15" hidden="false" customHeight="false" outlineLevel="0" collapsed="false">
      <c r="A6942" s="23" t="s">
        <v>371</v>
      </c>
      <c r="B6942" s="24"/>
      <c r="C6942" s="24"/>
      <c r="D6942" s="24"/>
      <c r="E6942" s="24"/>
      <c r="F6942" s="24"/>
      <c r="G6942" s="24"/>
      <c r="H6942" s="24"/>
      <c r="I6942" s="24"/>
      <c r="J6942" s="24"/>
      <c r="K6942" s="24"/>
    </row>
    <row r="6943" customFormat="false" ht="15" hidden="false" customHeight="false" outlineLevel="0" collapsed="false">
      <c r="A6943" s="23" t="s">
        <v>372</v>
      </c>
      <c r="B6943" s="24"/>
      <c r="C6943" s="24"/>
      <c r="D6943" s="24"/>
      <c r="E6943" s="24"/>
      <c r="F6943" s="24"/>
      <c r="G6943" s="24"/>
      <c r="H6943" s="24"/>
      <c r="I6943" s="24"/>
      <c r="J6943" s="24"/>
      <c r="K6943" s="24"/>
    </row>
    <row r="6944" customFormat="false" ht="15" hidden="false" customHeight="false" outlineLevel="0" collapsed="false">
      <c r="A6944" s="3" t="s">
        <v>373</v>
      </c>
      <c r="G6944" s="32" t="n">
        <f aca="false">IF(G6827&gt;0,G6931/G6827,99)</f>
        <v>3.58496642369255</v>
      </c>
      <c r="H6944" s="32" t="n">
        <f aca="false">IF(H6827&gt;0,H6931/H6827,99)</f>
        <v>3.10730873217211</v>
      </c>
      <c r="I6944" s="32" t="n">
        <f aca="false">IF(I6827&gt;0,I6931/I6827,99)</f>
        <v>2.66256043980828</v>
      </c>
      <c r="J6944" s="32" t="n">
        <f aca="false">IF(J6827&gt;0,J6931/J6827,99)</f>
        <v>2.16102216713568</v>
      </c>
      <c r="K6944" s="32" t="n">
        <f aca="false">IF(K6827&gt;0,K6931/K6827,99)</f>
        <v>1.66004665671393</v>
      </c>
    </row>
    <row r="6945" customFormat="false" ht="15" hidden="false" customHeight="false" outlineLevel="0" collapsed="false">
      <c r="A6945" s="3" t="s">
        <v>374</v>
      </c>
      <c r="G6945" s="33" t="n">
        <f aca="false">Assumptions!$G$65</f>
        <v>5.25</v>
      </c>
      <c r="H6945" s="33" t="n">
        <f aca="false">Assumptions!$H$65</f>
        <v>5.25</v>
      </c>
      <c r="I6945" s="33" t="n">
        <f aca="false">Assumptions!$I$65</f>
        <v>5</v>
      </c>
      <c r="J6945" s="33" t="n">
        <f aca="false">Assumptions!$J$65</f>
        <v>5</v>
      </c>
      <c r="K6945" s="33" t="n">
        <f aca="false">Assumptions!$K$65</f>
        <v>5</v>
      </c>
    </row>
    <row r="6946" customFormat="false" ht="15" hidden="false" customHeight="false" outlineLevel="0" collapsed="false">
      <c r="A6946" s="3" t="s">
        <v>375</v>
      </c>
      <c r="G6946" s="32" t="n">
        <f aca="false">G6945-G6944</f>
        <v>1.66503357630745</v>
      </c>
      <c r="H6946" s="32" t="n">
        <f aca="false">H6945-H6944</f>
        <v>2.14269126782789</v>
      </c>
      <c r="I6946" s="32" t="n">
        <f aca="false">I6945-I6944</f>
        <v>2.33743956019172</v>
      </c>
      <c r="J6946" s="32" t="n">
        <f aca="false">J6945-J6944</f>
        <v>2.83897783286432</v>
      </c>
      <c r="K6946" s="32" t="n">
        <f aca="false">K6945-K6944</f>
        <v>3.33995334328607</v>
      </c>
    </row>
    <row r="6947" customFormat="false" ht="15" hidden="false" customHeight="false" outlineLevel="0" collapsed="false">
      <c r="A6947" s="3" t="s">
        <v>376</v>
      </c>
      <c r="G6947" s="21" t="n">
        <f aca="false">IF(G6945=0,0,G6946/ABS(G6945))</f>
        <v>0.31714925262999</v>
      </c>
      <c r="H6947" s="21" t="n">
        <f aca="false">IF(H6945=0,0,H6946/ABS(H6945))</f>
        <v>0.408131670062456</v>
      </c>
      <c r="I6947" s="21" t="n">
        <f aca="false">IF(I6945=0,0,I6946/ABS(I6945))</f>
        <v>0.467487912038345</v>
      </c>
      <c r="J6947" s="21" t="n">
        <f aca="false">IF(J6945=0,0,J6946/ABS(J6945))</f>
        <v>0.567795566572864</v>
      </c>
      <c r="K6947" s="21" t="n">
        <f aca="false">IF(K6945=0,0,K6946/ABS(K6945))</f>
        <v>0.667990668657215</v>
      </c>
    </row>
    <row r="6948" customFormat="false" ht="15" hidden="false" customHeight="false" outlineLevel="0" collapsed="false">
      <c r="A6948" s="3" t="s">
        <v>377</v>
      </c>
      <c r="G6948" s="20" t="n">
        <f aca="false">IF(G6946&lt;0,1,0)</f>
        <v>0</v>
      </c>
      <c r="H6948" s="20" t="n">
        <f aca="false">IF(H6946&lt;0,1,0)</f>
        <v>0</v>
      </c>
      <c r="I6948" s="20" t="n">
        <f aca="false">IF(I6946&lt;0,1,0)</f>
        <v>0</v>
      </c>
      <c r="J6948" s="20" t="n">
        <f aca="false">IF(J6946&lt;0,1,0)</f>
        <v>0</v>
      </c>
      <c r="K6948" s="20" t="n">
        <f aca="false">IF(K6946&lt;0,1,0)</f>
        <v>0</v>
      </c>
    </row>
    <row r="6949" customFormat="false" ht="15" hidden="false" customHeight="false" outlineLevel="0" collapsed="false">
      <c r="A6949" s="3" t="s">
        <v>378</v>
      </c>
      <c r="C6949" s="20" t="n">
        <f aca="false">IFERROR(INDEX($G$6817:$K$6817,MATCH(1,$G$6948:$K$6948,0)),0)</f>
        <v>0</v>
      </c>
    </row>
    <row r="6950" customFormat="false" ht="15" hidden="false" customHeight="false" outlineLevel="0" collapsed="false">
      <c r="A6950" s="3" t="s">
        <v>379</v>
      </c>
      <c r="C6950" s="21" t="n">
        <f aca="false">MIN($G$6947:$K$6947)</f>
        <v>0.31714925262999</v>
      </c>
    </row>
    <row r="6951" customFormat="false" ht="15" hidden="false" customHeight="false" outlineLevel="0" collapsed="false">
      <c r="A6951" s="23" t="s">
        <v>380</v>
      </c>
      <c r="B6951" s="24"/>
      <c r="C6951" s="24"/>
      <c r="D6951" s="24"/>
      <c r="E6951" s="24"/>
      <c r="F6951" s="24"/>
      <c r="G6951" s="24"/>
      <c r="H6951" s="24"/>
      <c r="I6951" s="24"/>
      <c r="J6951" s="24"/>
      <c r="K6951" s="24"/>
    </row>
    <row r="6952" customFormat="false" ht="15" hidden="false" customHeight="false" outlineLevel="0" collapsed="false">
      <c r="A6952" s="3" t="s">
        <v>373</v>
      </c>
      <c r="G6952" s="32" t="n">
        <f aca="false">IF(G6831&gt;0,G6827/G6831,99)</f>
        <v>2.02645779186991</v>
      </c>
      <c r="H6952" s="32" t="n">
        <f aca="false">IF(H6831&gt;0,H6827/H6831,99)</f>
        <v>2.04672236978861</v>
      </c>
      <c r="I6952" s="32" t="n">
        <f aca="false">IF(I6831&gt;0,I6827/I6831,99)</f>
        <v>2.0477457309735</v>
      </c>
      <c r="J6952" s="32" t="n">
        <f aca="false">IF(J6831&gt;0,J6827/J6831,99)</f>
        <v>2.3248074604998</v>
      </c>
      <c r="K6952" s="32" t="n">
        <f aca="false">IF(K6831&gt;0,K6827/K6831,99)</f>
        <v>2.3364314978023</v>
      </c>
    </row>
    <row r="6953" customFormat="false" ht="15" hidden="false" customHeight="false" outlineLevel="0" collapsed="false">
      <c r="A6953" s="3" t="s">
        <v>374</v>
      </c>
      <c r="G6953" s="33" t="n">
        <f aca="false">Assumptions!$G$66</f>
        <v>1.4</v>
      </c>
      <c r="H6953" s="33" t="n">
        <f aca="false">Assumptions!$H$66</f>
        <v>1.4</v>
      </c>
      <c r="I6953" s="33" t="n">
        <f aca="false">Assumptions!$I$66</f>
        <v>1.4</v>
      </c>
      <c r="J6953" s="33" t="n">
        <f aca="false">Assumptions!$J$66</f>
        <v>1.5</v>
      </c>
      <c r="K6953" s="33" t="n">
        <f aca="false">Assumptions!$K$66</f>
        <v>1.5</v>
      </c>
    </row>
    <row r="6954" customFormat="false" ht="15" hidden="false" customHeight="false" outlineLevel="0" collapsed="false">
      <c r="A6954" s="3" t="s">
        <v>375</v>
      </c>
      <c r="G6954" s="32" t="n">
        <f aca="false">G6952-G6953</f>
        <v>0.626457791869907</v>
      </c>
      <c r="H6954" s="32" t="n">
        <f aca="false">H6952-H6953</f>
        <v>0.646722369788606</v>
      </c>
      <c r="I6954" s="32" t="n">
        <f aca="false">I6952-I6953</f>
        <v>0.6477457309735</v>
      </c>
      <c r="J6954" s="32" t="n">
        <f aca="false">J6952-J6953</f>
        <v>0.824807460499802</v>
      </c>
      <c r="K6954" s="32" t="n">
        <f aca="false">K6952-K6953</f>
        <v>0.836431497802301</v>
      </c>
    </row>
    <row r="6955" customFormat="false" ht="15" hidden="false" customHeight="false" outlineLevel="0" collapsed="false">
      <c r="A6955" s="3" t="s">
        <v>376</v>
      </c>
      <c r="G6955" s="21" t="n">
        <f aca="false">IF(G6953=0,0,G6954/ABS(G6953))</f>
        <v>0.447469851335648</v>
      </c>
      <c r="H6955" s="21" t="n">
        <f aca="false">IF(H6953=0,0,H6954/ABS(H6953))</f>
        <v>0.461944549849004</v>
      </c>
      <c r="I6955" s="21" t="n">
        <f aca="false">IF(I6953=0,0,I6954/ABS(I6953))</f>
        <v>0.462675522123929</v>
      </c>
      <c r="J6955" s="21" t="n">
        <f aca="false">IF(J6953=0,0,J6954/ABS(J6953))</f>
        <v>0.549871640333202</v>
      </c>
      <c r="K6955" s="21" t="n">
        <f aca="false">IF(K6953=0,0,K6954/ABS(K6953))</f>
        <v>0.557620998534867</v>
      </c>
    </row>
    <row r="6956" customFormat="false" ht="15" hidden="false" customHeight="false" outlineLevel="0" collapsed="false">
      <c r="A6956" s="3" t="s">
        <v>377</v>
      </c>
      <c r="G6956" s="20" t="n">
        <f aca="false">IF(G6954&lt;0,1,0)</f>
        <v>0</v>
      </c>
      <c r="H6956" s="20" t="n">
        <f aca="false">IF(H6954&lt;0,1,0)</f>
        <v>0</v>
      </c>
      <c r="I6956" s="20" t="n">
        <f aca="false">IF(I6954&lt;0,1,0)</f>
        <v>0</v>
      </c>
      <c r="J6956" s="20" t="n">
        <f aca="false">IF(J6954&lt;0,1,0)</f>
        <v>0</v>
      </c>
      <c r="K6956" s="20" t="n">
        <f aca="false">IF(K6954&lt;0,1,0)</f>
        <v>0</v>
      </c>
    </row>
    <row r="6957" customFormat="false" ht="15" hidden="false" customHeight="false" outlineLevel="0" collapsed="false">
      <c r="A6957" s="3" t="s">
        <v>378</v>
      </c>
      <c r="C6957" s="20" t="n">
        <f aca="false">IFERROR(INDEX($G$6817:$K$6817,MATCH(1,$G$6956:$K$6956,0)),0)</f>
        <v>0</v>
      </c>
    </row>
    <row r="6958" customFormat="false" ht="15" hidden="false" customHeight="false" outlineLevel="0" collapsed="false">
      <c r="A6958" s="3" t="s">
        <v>379</v>
      </c>
      <c r="C6958" s="21" t="n">
        <f aca="false">MIN($G$6955:$K$6955)</f>
        <v>0.447469851335648</v>
      </c>
    </row>
    <row r="6959" customFormat="false" ht="15" hidden="false" customHeight="false" outlineLevel="0" collapsed="false">
      <c r="A6959" s="23" t="s">
        <v>381</v>
      </c>
      <c r="B6959" s="24"/>
      <c r="C6959" s="24"/>
      <c r="D6959" s="24"/>
      <c r="E6959" s="24"/>
      <c r="F6959" s="24"/>
      <c r="G6959" s="24"/>
      <c r="H6959" s="24"/>
      <c r="I6959" s="24"/>
      <c r="J6959" s="24"/>
      <c r="K6959" s="24"/>
    </row>
    <row r="6960" customFormat="false" ht="15" hidden="false" customHeight="false" outlineLevel="0" collapsed="false">
      <c r="A6960" s="3" t="s">
        <v>373</v>
      </c>
      <c r="G6960" s="25" t="n">
        <f aca="false">G6938</f>
        <v>602.57714233</v>
      </c>
      <c r="H6960" s="25" t="n">
        <f aca="false">H6938</f>
        <v>743.7137561083</v>
      </c>
      <c r="I6960" s="25" t="n">
        <f aca="false">I6938</f>
        <v>464.794653590363</v>
      </c>
      <c r="J6960" s="25" t="n">
        <f aca="false">J6938</f>
        <v>621.362963420847</v>
      </c>
      <c r="K6960" s="25" t="n">
        <f aca="false">K6938</f>
        <v>779.522424533696</v>
      </c>
    </row>
    <row r="6961" customFormat="false" ht="15" hidden="false" customHeight="false" outlineLevel="0" collapsed="false">
      <c r="A6961" s="3" t="s">
        <v>374</v>
      </c>
      <c r="G6961" s="29" t="n">
        <f aca="false">Assumptions!$G$67</f>
        <v>200</v>
      </c>
      <c r="H6961" s="29" t="n">
        <f aca="false">Assumptions!$H$67</f>
        <v>200</v>
      </c>
      <c r="I6961" s="29" t="n">
        <f aca="false">Assumptions!$I$67</f>
        <v>200</v>
      </c>
      <c r="J6961" s="29" t="n">
        <f aca="false">Assumptions!$J$67</f>
        <v>200</v>
      </c>
      <c r="K6961" s="29" t="n">
        <f aca="false">Assumptions!$K$67</f>
        <v>200</v>
      </c>
    </row>
    <row r="6962" customFormat="false" ht="15" hidden="false" customHeight="false" outlineLevel="0" collapsed="false">
      <c r="A6962" s="3" t="s">
        <v>375</v>
      </c>
      <c r="G6962" s="25" t="n">
        <f aca="false">G6960-G6961</f>
        <v>402.57714233</v>
      </c>
      <c r="H6962" s="25" t="n">
        <f aca="false">H6960-H6961</f>
        <v>543.7137561083</v>
      </c>
      <c r="I6962" s="25" t="n">
        <f aca="false">I6960-I6961</f>
        <v>264.794653590363</v>
      </c>
      <c r="J6962" s="25" t="n">
        <f aca="false">J6960-J6961</f>
        <v>421.362963420847</v>
      </c>
      <c r="K6962" s="25" t="n">
        <f aca="false">K6960-K6961</f>
        <v>579.522424533696</v>
      </c>
    </row>
    <row r="6963" customFormat="false" ht="15" hidden="false" customHeight="false" outlineLevel="0" collapsed="false">
      <c r="A6963" s="3" t="s">
        <v>376</v>
      </c>
      <c r="G6963" s="21" t="n">
        <f aca="false">IF(G6961=0,0,G6962/ABS(G6961))</f>
        <v>2.01288571165</v>
      </c>
      <c r="H6963" s="21" t="n">
        <f aca="false">IF(H6961=0,0,H6962/ABS(H6961))</f>
        <v>2.7185687805415</v>
      </c>
      <c r="I6963" s="21" t="n">
        <f aca="false">IF(I6961=0,0,I6962/ABS(I6961))</f>
        <v>1.32397326795181</v>
      </c>
      <c r="J6963" s="21" t="n">
        <f aca="false">IF(J6961=0,0,J6962/ABS(J6961))</f>
        <v>2.10681481710423</v>
      </c>
      <c r="K6963" s="21" t="n">
        <f aca="false">IF(K6961=0,0,K6962/ABS(K6961))</f>
        <v>2.89761212266848</v>
      </c>
    </row>
    <row r="6964" customFormat="false" ht="15" hidden="false" customHeight="false" outlineLevel="0" collapsed="false">
      <c r="A6964" s="3" t="s">
        <v>377</v>
      </c>
      <c r="G6964" s="20" t="n">
        <f aca="false">IF(G6962&lt;0,1,0)</f>
        <v>0</v>
      </c>
      <c r="H6964" s="20" t="n">
        <f aca="false">IF(H6962&lt;0,1,0)</f>
        <v>0</v>
      </c>
      <c r="I6964" s="20" t="n">
        <f aca="false">IF(I6962&lt;0,1,0)</f>
        <v>0</v>
      </c>
      <c r="J6964" s="20" t="n">
        <f aca="false">IF(J6962&lt;0,1,0)</f>
        <v>0</v>
      </c>
      <c r="K6964" s="20" t="n">
        <f aca="false">IF(K6962&lt;0,1,0)</f>
        <v>0</v>
      </c>
    </row>
    <row r="6965" customFormat="false" ht="15" hidden="false" customHeight="false" outlineLevel="0" collapsed="false">
      <c r="A6965" s="3" t="s">
        <v>378</v>
      </c>
      <c r="C6965" s="20" t="n">
        <f aca="false">IFERROR(INDEX($G$6817:$K$6817,MATCH(1,$G$6964:$K$6964,0)),0)</f>
        <v>0</v>
      </c>
    </row>
    <row r="6966" customFormat="false" ht="15" hidden="false" customHeight="false" outlineLevel="0" collapsed="false">
      <c r="A6966" s="3" t="s">
        <v>379</v>
      </c>
      <c r="C6966" s="21" t="n">
        <f aca="false">MIN($G$6963:$K$6963)</f>
        <v>1.32397326795181</v>
      </c>
    </row>
    <row r="6967" customFormat="false" ht="15" hidden="false" customHeight="false" outlineLevel="0" collapsed="false">
      <c r="A6967" s="3" t="s">
        <v>382</v>
      </c>
      <c r="G6967" s="20" t="n">
        <f aca="false">G6948+G6956+G6964</f>
        <v>0</v>
      </c>
      <c r="H6967" s="20" t="n">
        <f aca="false">H6948+H6956+H6964</f>
        <v>0</v>
      </c>
      <c r="I6967" s="20" t="n">
        <f aca="false">I6948+I6956+I6964</f>
        <v>0</v>
      </c>
      <c r="J6967" s="20" t="n">
        <f aca="false">J6948+J6956+J6964</f>
        <v>0</v>
      </c>
      <c r="K6967" s="20" t="n">
        <f aca="false">K6948+K6956+K6964</f>
        <v>0</v>
      </c>
    </row>
    <row r="6968" customFormat="false" ht="15" hidden="false" customHeight="false" outlineLevel="0" collapsed="false">
      <c r="A6968" s="3" t="s">
        <v>383</v>
      </c>
      <c r="C6968" s="20" t="n">
        <f aca="false">SUM($G$6967:$K$6967)</f>
        <v>0</v>
      </c>
    </row>
    <row r="6969" customFormat="false" ht="15" hidden="false" customHeight="false" outlineLevel="0" collapsed="false">
      <c r="A6969" s="3" t="s">
        <v>384</v>
      </c>
      <c r="C6969" s="21" t="n">
        <f aca="false">MIN(C6950,C6958,C6966)</f>
        <v>0.31714925262999</v>
      </c>
    </row>
    <row r="6971" customFormat="false" ht="15" hidden="false" customHeight="false" outlineLevel="0" collapsed="false">
      <c r="A6971" s="23" t="s">
        <v>486</v>
      </c>
      <c r="B6971" s="24"/>
      <c r="C6971" s="24"/>
      <c r="D6971" s="24"/>
      <c r="E6971" s="24"/>
      <c r="F6971" s="24"/>
      <c r="G6971" s="24"/>
      <c r="H6971" s="24"/>
      <c r="I6971" s="24"/>
      <c r="J6971" s="24"/>
      <c r="K6971" s="24"/>
    </row>
    <row r="6972" customFormat="false" ht="15" hidden="false" customHeight="false" outlineLevel="0" collapsed="false">
      <c r="A6972" s="3" t="s">
        <v>487</v>
      </c>
      <c r="G6972" s="20" t="n">
        <f aca="false">IF($C$6973=1,G6925,IF(G6827=MIN($G$6827:$K$6827),1,0))</f>
        <v>1</v>
      </c>
      <c r="H6972" s="20" t="n">
        <f aca="false">IF($C$6973=1,H6925,IF(AND(H6827=MIN($G$6827:$K$6827),SUM($G$6972:G6972)=0),1,0))</f>
        <v>0</v>
      </c>
      <c r="I6972" s="20" t="n">
        <f aca="false">IF($C$6973=1,I6925,IF(AND(I6827=MIN($G$6827:$K$6827),SUM($G$6972:H6972)=0),1,0))</f>
        <v>0</v>
      </c>
      <c r="J6972" s="20" t="n">
        <f aca="false">IF($C$6973=1,J6925,IF(AND(J6827=MIN($G$6827:$K$6827),SUM($G$6972:I6972)=0),1,0))</f>
        <v>0</v>
      </c>
      <c r="K6972" s="20" t="n">
        <f aca="false">IF($C$6973=1,K6925,IF(AND(K6827=MIN($G$6827:$K$6827),SUM($G$6972:J6972)=0),1,0))</f>
        <v>0</v>
      </c>
    </row>
    <row r="6973" customFormat="false" ht="15" hidden="false" customHeight="false" outlineLevel="0" collapsed="false">
      <c r="A6973" s="3" t="s">
        <v>488</v>
      </c>
      <c r="C6973" s="20" t="n">
        <f aca="false">IF(SUM($G$6925:$K$6925)&gt;0,1,0)</f>
        <v>0</v>
      </c>
    </row>
    <row r="6974" customFormat="false" ht="15" hidden="false" customHeight="false" outlineLevel="0" collapsed="false">
      <c r="A6974" s="3" t="s">
        <v>489</v>
      </c>
      <c r="C6974" s="20" t="n">
        <f aca="false">SUMPRODUCT($G$6972:$K$6972,$G$6817:$K$6817)</f>
        <v>2027</v>
      </c>
    </row>
    <row r="6975" customFormat="false" ht="15" hidden="false" customHeight="false" outlineLevel="0" collapsed="false">
      <c r="A6975" s="3" t="s">
        <v>490</v>
      </c>
      <c r="C6975" s="25" t="n">
        <f aca="false">SUMPRODUCT($G$6972:$K$6972,$G$6827:$K$6827)</f>
        <v>316.0355562</v>
      </c>
    </row>
    <row r="6976" customFormat="false" ht="15" hidden="false" customHeight="false" outlineLevel="0" collapsed="false">
      <c r="A6976" s="3" t="s">
        <v>491</v>
      </c>
      <c r="C6976" s="25" t="n">
        <f aca="false">MAX(0,SUMPRODUCT($G$6972:$K$6972,$G$6922:$K$6922))</f>
        <v>602.57714233</v>
      </c>
    </row>
    <row r="6977" customFormat="false" ht="15" hidden="false" customHeight="false" outlineLevel="0" collapsed="false">
      <c r="A6977" s="3" t="s">
        <v>492</v>
      </c>
      <c r="C6977" s="25" t="n">
        <f aca="false">(CHOOSE($C$6810,Assumptions!$C$84,Assumptions!$C$103,Assumptions!$C$122)+$C$6814)*C6975</f>
        <v>1580.177781</v>
      </c>
    </row>
    <row r="6978" customFormat="false" ht="15" hidden="false" customHeight="false" outlineLevel="0" collapsed="false">
      <c r="A6978" s="3" t="s">
        <v>493</v>
      </c>
      <c r="C6978" s="25" t="n">
        <f aca="false">Assumptions!$C$30*(1-CHOOSE($C$6810,Assumptions!$C$85,Assumptions!$C$104,Assumptions!$C$123))*CHOOSE($C$6810,Assumptions!$C$86,Assumptions!$C$105,Assumptions!$C$124)</f>
        <v>736.4913</v>
      </c>
    </row>
    <row r="6979" customFormat="false" ht="15" hidden="false" customHeight="false" outlineLevel="0" collapsed="false">
      <c r="A6979" s="3" t="s">
        <v>494</v>
      </c>
      <c r="C6979" s="25" t="n">
        <f aca="false">MAX(C6977,C6978)+C6976</f>
        <v>2182.75492333</v>
      </c>
    </row>
    <row r="6980" customFormat="false" ht="15" hidden="false" customHeight="false" outlineLevel="0" collapsed="false">
      <c r="A6980" s="2" t="s">
        <v>495</v>
      </c>
      <c r="C6980" s="16" t="n">
        <f aca="false">IF(ISNUMBER(Assumptions!$C$14),Assumptions!$C$14,C6979)</f>
        <v>2182.75492333</v>
      </c>
    </row>
    <row r="6981" customFormat="false" ht="15" hidden="false" customHeight="false" outlineLevel="0" collapsed="false">
      <c r="A6981" s="3" t="s">
        <v>496</v>
      </c>
      <c r="C6981" s="25" t="n">
        <f aca="false">C6980*Assumptions!$C$15</f>
        <v>87.3101969332</v>
      </c>
    </row>
    <row r="6982" customFormat="false" ht="15" hidden="false" customHeight="false" outlineLevel="0" collapsed="false">
      <c r="A6982" s="2" t="s">
        <v>497</v>
      </c>
      <c r="C6982" s="16" t="n">
        <f aca="false">C6980-C6981</f>
        <v>2095.4447263968</v>
      </c>
    </row>
    <row r="6983" customFormat="false" ht="15" hidden="false" customHeight="false" outlineLevel="0" collapsed="false">
      <c r="A6983" s="23" t="s">
        <v>498</v>
      </c>
      <c r="B6983" s="24"/>
      <c r="C6983" s="24"/>
      <c r="D6983" s="24"/>
      <c r="E6983" s="24"/>
      <c r="F6983" s="24"/>
      <c r="G6983" s="24"/>
      <c r="H6983" s="24"/>
      <c r="I6983" s="24"/>
      <c r="J6983" s="24"/>
      <c r="K6983" s="24"/>
    </row>
    <row r="6984" customFormat="false" ht="15" hidden="false" customHeight="false" outlineLevel="0" collapsed="false">
      <c r="A6984" s="3" t="s">
        <v>499</v>
      </c>
      <c r="C6984" s="25" t="n">
        <f aca="false">SUMPRODUCT($G$6972:$K$6972,$G$6864:$K$6864)*(1+SUMPRODUCT($G$6972:$K$6972,$G$6856:$K$6856)*Assumptions!$C$16/12)</f>
        <v>1349.6193225</v>
      </c>
    </row>
    <row r="6985" customFormat="false" ht="15" hidden="false" customHeight="false" outlineLevel="0" collapsed="false">
      <c r="A6985" s="3" t="s">
        <v>500</v>
      </c>
      <c r="C6985" s="25" t="n">
        <f aca="false">SUMPRODUCT($G$6972:$K$6972,$G$6877:$K$6877)*(1+SUMPRODUCT($G$6972:$K$6972,$G$6869:$K$6869)*Assumptions!$C$16/12)</f>
        <v>279.64600125</v>
      </c>
    </row>
    <row r="6986" customFormat="false" ht="15" hidden="false" customHeight="false" outlineLevel="0" collapsed="false">
      <c r="A6986" s="3" t="s">
        <v>501</v>
      </c>
      <c r="C6986" s="25" t="n">
        <f aca="false">SUMPRODUCT($G$6972:$K$6972,$G$6890:$K$6890)*(1+SUMPRODUCT($G$6972:$K$6972,$G$6882:$K$6882)*Assumptions!$C$16/12)</f>
        <v>145.27734375</v>
      </c>
    </row>
    <row r="6987" customFormat="false" ht="15" hidden="false" customHeight="false" outlineLevel="0" collapsed="false">
      <c r="A6987" s="23" t="s">
        <v>502</v>
      </c>
      <c r="B6987" s="24"/>
      <c r="C6987" s="24"/>
      <c r="D6987" s="24"/>
      <c r="E6987" s="24"/>
      <c r="F6987" s="24"/>
      <c r="G6987" s="24"/>
      <c r="H6987" s="24"/>
      <c r="I6987" s="24"/>
      <c r="J6987" s="24"/>
      <c r="K6987" s="24"/>
    </row>
    <row r="6988" customFormat="false" ht="15" hidden="false" customHeight="false" outlineLevel="0" collapsed="false">
      <c r="A6988" s="3" t="s">
        <v>499</v>
      </c>
      <c r="C6988" s="27" t="n">
        <f aca="false">Assumptions!$M$56</f>
        <v>1</v>
      </c>
    </row>
    <row r="6989" customFormat="false" ht="15" hidden="false" customHeight="false" outlineLevel="0" collapsed="false">
      <c r="A6989" s="3" t="s">
        <v>500</v>
      </c>
      <c r="C6989" s="27" t="n">
        <f aca="false">Assumptions!$M$57</f>
        <v>2</v>
      </c>
    </row>
    <row r="6990" customFormat="false" ht="15" hidden="false" customHeight="false" outlineLevel="0" collapsed="false">
      <c r="A6990" s="3" t="s">
        <v>501</v>
      </c>
      <c r="C6990" s="27" t="n">
        <f aca="false">Assumptions!$M$58</f>
        <v>2</v>
      </c>
    </row>
    <row r="6991" customFormat="false" ht="15" hidden="false" customHeight="false" outlineLevel="0" collapsed="false">
      <c r="A6991" s="23" t="s">
        <v>503</v>
      </c>
      <c r="B6991" s="24"/>
      <c r="C6991" s="24"/>
      <c r="D6991" s="24"/>
      <c r="E6991" s="24"/>
      <c r="F6991" s="24"/>
      <c r="G6991" s="24"/>
      <c r="H6991" s="24"/>
      <c r="I6991" s="24"/>
      <c r="J6991" s="24"/>
      <c r="K6991" s="24"/>
    </row>
    <row r="6992" customFormat="false" ht="15" hidden="false" customHeight="false" outlineLevel="0" collapsed="false">
      <c r="A6992" s="3" t="s">
        <v>499</v>
      </c>
      <c r="C6992" s="35" t="n">
        <f aca="false">Assumptions!$Q$56</f>
        <v>0</v>
      </c>
    </row>
    <row r="6993" customFormat="false" ht="15" hidden="false" customHeight="false" outlineLevel="0" collapsed="false">
      <c r="A6993" s="3" t="s">
        <v>500</v>
      </c>
      <c r="C6993" s="35" t="n">
        <f aca="false">Assumptions!$Q$57</f>
        <v>0</v>
      </c>
    </row>
    <row r="6994" customFormat="false" ht="15" hidden="false" customHeight="false" outlineLevel="0" collapsed="false">
      <c r="A6994" s="3" t="s">
        <v>501</v>
      </c>
      <c r="C6994" s="35" t="n">
        <f aca="false">Assumptions!$Q$58</f>
        <v>0</v>
      </c>
    </row>
    <row r="6995" customFormat="false" ht="15" hidden="false" customHeight="false" outlineLevel="0" collapsed="false">
      <c r="A6995" s="23" t="s">
        <v>504</v>
      </c>
      <c r="B6995" s="24"/>
      <c r="C6995" s="24"/>
      <c r="D6995" s="24"/>
      <c r="E6995" s="24"/>
      <c r="F6995" s="24"/>
      <c r="G6995" s="24"/>
      <c r="H6995" s="24"/>
      <c r="I6995" s="24"/>
      <c r="J6995" s="24"/>
      <c r="K6995" s="24"/>
    </row>
    <row r="6996" customFormat="false" ht="15" hidden="false" customHeight="false" outlineLevel="0" collapsed="false">
      <c r="A6996" s="3" t="s">
        <v>499</v>
      </c>
      <c r="C6996" s="25" t="n">
        <f aca="false">IF(C6992&gt;0,MIN(C6984,C6992*$C$6982),0)</f>
        <v>0</v>
      </c>
    </row>
    <row r="6997" customFormat="false" ht="15" hidden="false" customHeight="false" outlineLevel="0" collapsed="false">
      <c r="A6997" s="3" t="s">
        <v>500</v>
      </c>
      <c r="C6997" s="25" t="n">
        <f aca="false">IF(C6993&gt;0,MIN(C6985,C6993*$C$6982),0)</f>
        <v>0</v>
      </c>
    </row>
    <row r="6998" customFormat="false" ht="15" hidden="false" customHeight="false" outlineLevel="0" collapsed="false">
      <c r="A6998" s="3" t="s">
        <v>501</v>
      </c>
      <c r="C6998" s="25" t="n">
        <f aca="false">IF(C6994&gt;0,MIN(C6986,C6994*$C$6982),0)</f>
        <v>0</v>
      </c>
    </row>
    <row r="6999" customFormat="false" ht="15" hidden="false" customHeight="false" outlineLevel="0" collapsed="false">
      <c r="A6999" s="23" t="s">
        <v>505</v>
      </c>
      <c r="B6999" s="24"/>
      <c r="C6999" s="24"/>
      <c r="D6999" s="24"/>
      <c r="E6999" s="24"/>
      <c r="F6999" s="24"/>
      <c r="G6999" s="24"/>
      <c r="H6999" s="24"/>
      <c r="I6999" s="24"/>
      <c r="J6999" s="24"/>
      <c r="K6999" s="24"/>
    </row>
    <row r="7000" customFormat="false" ht="15" hidden="false" customHeight="false" outlineLevel="0" collapsed="false">
      <c r="A7000" s="3" t="s">
        <v>499</v>
      </c>
      <c r="C7000" s="25" t="n">
        <f aca="false">IF(C6992&gt;0,C6984-C6996,0)</f>
        <v>0</v>
      </c>
      <c r="G7000" s="20" t="n">
        <f aca="false">IF(AND(G6854=1,G6851=1),1,0)</f>
        <v>0</v>
      </c>
      <c r="H7000" s="20" t="n">
        <f aca="false">IF(G7000=1,1,IF(AND(H6854=1,H6851=1),1,0))</f>
        <v>0</v>
      </c>
      <c r="I7000" s="20" t="n">
        <f aca="false">IF(H7000=1,1,IF(AND(I6854=1,I6851=1),1,0))</f>
        <v>0</v>
      </c>
      <c r="J7000" s="20" t="n">
        <f aca="false">IF(I7000=1,1,IF(AND(J6854=1,J6851=1),1,0))</f>
        <v>0</v>
      </c>
      <c r="K7000" s="20" t="n">
        <f aca="false">IF(J7000=1,1,IF(AND(K6854=1,K6851=1),1,0))</f>
        <v>0</v>
      </c>
    </row>
    <row r="7001" customFormat="false" ht="15" hidden="false" customHeight="false" outlineLevel="0" collapsed="false">
      <c r="A7001" s="3" t="s">
        <v>500</v>
      </c>
      <c r="C7001" s="25" t="n">
        <f aca="false">IF(C6993&gt;0,C6985-C6997,0)</f>
        <v>0</v>
      </c>
      <c r="G7001" s="20" t="n">
        <f aca="false">IF(AND(G6867=1,G6851=1),1,0)</f>
        <v>0</v>
      </c>
      <c r="H7001" s="20" t="n">
        <f aca="false">IF(G7001=1,1,IF(AND(H6867=1,H6851=1),1,0))</f>
        <v>0</v>
      </c>
      <c r="I7001" s="20" t="n">
        <f aca="false">IF(H7001=1,1,IF(AND(I6867=1,I6851=1),1,0))</f>
        <v>1</v>
      </c>
      <c r="J7001" s="20" t="n">
        <f aca="false">IF(I7001=1,1,IF(AND(J6867=1,J6851=1),1,0))</f>
        <v>1</v>
      </c>
      <c r="K7001" s="20" t="n">
        <f aca="false">IF(J7001=1,1,IF(AND(K6867=1,K6851=1),1,0))</f>
        <v>1</v>
      </c>
    </row>
    <row r="7002" customFormat="false" ht="15" hidden="false" customHeight="false" outlineLevel="0" collapsed="false">
      <c r="A7002" s="3" t="s">
        <v>501</v>
      </c>
      <c r="C7002" s="25" t="n">
        <f aca="false">IF(C6994&gt;0,C6986-C6998,0)</f>
        <v>0</v>
      </c>
      <c r="G7002" s="20" t="n">
        <f aca="false">IF(AND(G6880=1,G6851=1),1,0)</f>
        <v>0</v>
      </c>
      <c r="H7002" s="20" t="n">
        <f aca="false">IF(G7002=1,1,IF(AND(H6880=1,H6851=1),1,0))</f>
        <v>0</v>
      </c>
      <c r="I7002" s="20" t="n">
        <f aca="false">IF(H7002=1,1,IF(AND(I6880=1,I6851=1),1,0))</f>
        <v>1</v>
      </c>
      <c r="J7002" s="20" t="n">
        <f aca="false">IF(I7002=1,1,IF(AND(J6880=1,J6851=1),1,0))</f>
        <v>1</v>
      </c>
      <c r="K7002" s="20" t="n">
        <f aca="false">IF(J7002=1,1,IF(AND(K6880=1,K6851=1),1,0))</f>
        <v>1</v>
      </c>
    </row>
    <row r="7003" customFormat="false" ht="15" hidden="false" customHeight="false" outlineLevel="0" collapsed="false">
      <c r="A7003" s="23" t="s">
        <v>506</v>
      </c>
      <c r="B7003" s="24"/>
      <c r="C7003" s="24"/>
      <c r="D7003" s="24"/>
      <c r="E7003" s="24"/>
      <c r="F7003" s="24"/>
      <c r="G7003" s="24"/>
      <c r="H7003" s="24"/>
      <c r="I7003" s="24"/>
      <c r="J7003" s="24"/>
      <c r="K7003" s="24"/>
    </row>
    <row r="7004" customFormat="false" ht="15" hidden="false" customHeight="false" outlineLevel="0" collapsed="false">
      <c r="A7004" s="3" t="s">
        <v>499</v>
      </c>
      <c r="C7004" s="25" t="n">
        <f aca="false">IF(C6992&gt;0,C7000,C6984)</f>
        <v>1349.6193225</v>
      </c>
    </row>
    <row r="7005" customFormat="false" ht="15" hidden="false" customHeight="false" outlineLevel="0" collapsed="false">
      <c r="A7005" s="3" t="s">
        <v>500</v>
      </c>
      <c r="C7005" s="25" t="n">
        <f aca="false">IF(C6993&gt;0,C7001,C6985)</f>
        <v>279.64600125</v>
      </c>
    </row>
    <row r="7006" customFormat="false" ht="15" hidden="false" customHeight="false" outlineLevel="0" collapsed="false">
      <c r="A7006" s="3" t="s">
        <v>501</v>
      </c>
      <c r="C7006" s="25" t="n">
        <f aca="false">IF(C6994&gt;0,C7002,C6986)</f>
        <v>145.27734375</v>
      </c>
    </row>
    <row r="7007" customFormat="false" ht="15" hidden="false" customHeight="false" outlineLevel="0" collapsed="false">
      <c r="A7007" s="23" t="s">
        <v>507</v>
      </c>
      <c r="B7007" s="24"/>
      <c r="C7007" s="24"/>
      <c r="D7007" s="24"/>
      <c r="E7007" s="24"/>
      <c r="F7007" s="24"/>
      <c r="G7007" s="24"/>
      <c r="H7007" s="24"/>
      <c r="I7007" s="24"/>
      <c r="J7007" s="24"/>
      <c r="K7007" s="24"/>
    </row>
    <row r="7008" customFormat="false" ht="15" hidden="false" customHeight="false" outlineLevel="0" collapsed="false">
      <c r="A7008" s="3" t="s">
        <v>499</v>
      </c>
      <c r="C7008" s="20" t="n">
        <f aca="false">IF(C6992&gt;0,Assumptions!$C$17,C6988)</f>
        <v>1</v>
      </c>
    </row>
    <row r="7009" customFormat="false" ht="15" hidden="false" customHeight="false" outlineLevel="0" collapsed="false">
      <c r="A7009" s="3" t="s">
        <v>500</v>
      </c>
      <c r="C7009" s="20" t="n">
        <f aca="false">IF(C6993&gt;0,Assumptions!$C$17,C6989)</f>
        <v>2</v>
      </c>
    </row>
    <row r="7010" customFormat="false" ht="15" hidden="false" customHeight="false" outlineLevel="0" collapsed="false">
      <c r="A7010" s="3" t="s">
        <v>501</v>
      </c>
      <c r="C7010" s="20" t="n">
        <f aca="false">IF(C6994&gt;0,Assumptions!$C$17,C6990)</f>
        <v>2</v>
      </c>
    </row>
    <row r="7011" customFormat="false" ht="15" hidden="false" customHeight="false" outlineLevel="0" collapsed="false">
      <c r="A7011" s="23" t="s">
        <v>508</v>
      </c>
      <c r="B7011" s="24"/>
      <c r="C7011" s="24"/>
      <c r="D7011" s="24"/>
      <c r="E7011" s="24"/>
      <c r="F7011" s="24"/>
      <c r="G7011" s="24"/>
      <c r="H7011" s="24"/>
      <c r="I7011" s="24"/>
      <c r="J7011" s="24"/>
      <c r="K7011" s="24"/>
    </row>
    <row r="7012" customFormat="false" ht="15" hidden="false" customHeight="false" outlineLevel="0" collapsed="false">
      <c r="A7012" s="3" t="s">
        <v>499</v>
      </c>
      <c r="C7012" s="25" t="n">
        <f aca="false">SUMPRODUCT(($C$7008:$C$7010&lt;C7008)*$C$7004:$C$7006)</f>
        <v>0</v>
      </c>
    </row>
    <row r="7013" customFormat="false" ht="15" hidden="false" customHeight="false" outlineLevel="0" collapsed="false">
      <c r="A7013" s="3" t="s">
        <v>500</v>
      </c>
      <c r="C7013" s="25" t="n">
        <f aca="false">SUMPRODUCT(($C$7008:$C$7010&lt;C7009)*$C$7004:$C$7006)</f>
        <v>1349.6193225</v>
      </c>
    </row>
    <row r="7014" customFormat="false" ht="15" hidden="false" customHeight="false" outlineLevel="0" collapsed="false">
      <c r="A7014" s="3" t="s">
        <v>501</v>
      </c>
      <c r="C7014" s="25" t="n">
        <f aca="false">SUMPRODUCT(($C$7008:$C$7010&lt;C7010)*$C$7004:$C$7006)</f>
        <v>1349.6193225</v>
      </c>
    </row>
    <row r="7015" customFormat="false" ht="15" hidden="false" customHeight="false" outlineLevel="0" collapsed="false">
      <c r="A7015" s="23" t="s">
        <v>509</v>
      </c>
      <c r="B7015" s="24"/>
      <c r="C7015" s="24"/>
      <c r="D7015" s="24"/>
      <c r="E7015" s="24"/>
      <c r="F7015" s="24"/>
      <c r="G7015" s="24"/>
      <c r="H7015" s="24"/>
      <c r="I7015" s="24"/>
      <c r="J7015" s="24"/>
      <c r="K7015" s="24"/>
    </row>
    <row r="7016" customFormat="false" ht="15" hidden="false" customHeight="false" outlineLevel="0" collapsed="false">
      <c r="A7016" s="3" t="s">
        <v>499</v>
      </c>
      <c r="C7016" s="25" t="n">
        <f aca="false">SUMPRODUCT(($C$7008:$C$7010=C7008)*$C$7004:$C$7006)</f>
        <v>1349.6193225</v>
      </c>
    </row>
    <row r="7017" customFormat="false" ht="15" hidden="false" customHeight="false" outlineLevel="0" collapsed="false">
      <c r="A7017" s="3" t="s">
        <v>500</v>
      </c>
      <c r="C7017" s="25" t="n">
        <f aca="false">SUMPRODUCT(($C$7008:$C$7010=C7009)*$C$7004:$C$7006)</f>
        <v>424.923345</v>
      </c>
    </row>
    <row r="7018" customFormat="false" ht="15" hidden="false" customHeight="false" outlineLevel="0" collapsed="false">
      <c r="A7018" s="3" t="s">
        <v>501</v>
      </c>
      <c r="C7018" s="25" t="n">
        <f aca="false">SUMPRODUCT(($C$7008:$C$7010=C7010)*$C$7004:$C$7006)</f>
        <v>424.923345</v>
      </c>
    </row>
    <row r="7019" customFormat="false" ht="15" hidden="false" customHeight="false" outlineLevel="0" collapsed="false">
      <c r="A7019" s="23" t="s">
        <v>510</v>
      </c>
      <c r="B7019" s="24"/>
      <c r="C7019" s="24"/>
      <c r="D7019" s="24"/>
      <c r="E7019" s="24"/>
      <c r="F7019" s="24"/>
      <c r="G7019" s="24"/>
      <c r="H7019" s="24"/>
      <c r="I7019" s="24"/>
      <c r="J7019" s="24"/>
      <c r="K7019" s="24"/>
    </row>
    <row r="7020" customFormat="false" ht="15" hidden="false" customHeight="false" outlineLevel="0" collapsed="false">
      <c r="A7020" s="3" t="s">
        <v>499</v>
      </c>
      <c r="C7020" s="25" t="n">
        <f aca="false">IF(C7016=0,0,C7004/C7016*MAX(0,MIN(C7016,$C$6982-SUM($C$6996:$C$6998)-C7012)))</f>
        <v>1349.6193225</v>
      </c>
    </row>
    <row r="7021" customFormat="false" ht="15" hidden="false" customHeight="false" outlineLevel="0" collapsed="false">
      <c r="A7021" s="3" t="s">
        <v>500</v>
      </c>
      <c r="C7021" s="25" t="n">
        <f aca="false">IF(C7017=0,0,C7005/C7017*MAX(0,MIN(C7017,$C$6982-SUM($C$6996:$C$6998)-C7013)))</f>
        <v>279.64600125</v>
      </c>
    </row>
    <row r="7022" customFormat="false" ht="15" hidden="false" customHeight="false" outlineLevel="0" collapsed="false">
      <c r="A7022" s="3" t="s">
        <v>501</v>
      </c>
      <c r="C7022" s="25" t="n">
        <f aca="false">IF(C7018=0,0,C7006/C7018*MAX(0,MIN(C7018,$C$6982-SUM($C$6996:$C$6998)-C7014)))</f>
        <v>145.27734375</v>
      </c>
    </row>
    <row r="7023" customFormat="false" ht="15" hidden="false" customHeight="false" outlineLevel="0" collapsed="false">
      <c r="A7023" s="23" t="s">
        <v>511</v>
      </c>
      <c r="B7023" s="24"/>
      <c r="C7023" s="24"/>
      <c r="D7023" s="24"/>
      <c r="E7023" s="24"/>
      <c r="F7023" s="24"/>
      <c r="G7023" s="24"/>
      <c r="H7023" s="24"/>
      <c r="I7023" s="24"/>
      <c r="J7023" s="24"/>
      <c r="K7023" s="24"/>
    </row>
    <row r="7024" customFormat="false" ht="15" hidden="false" customHeight="false" outlineLevel="0" collapsed="false">
      <c r="A7024" s="2" t="s">
        <v>499</v>
      </c>
      <c r="C7024" s="16" t="n">
        <f aca="false">C6996+C7020</f>
        <v>1349.6193225</v>
      </c>
    </row>
    <row r="7025" customFormat="false" ht="15" hidden="false" customHeight="false" outlineLevel="0" collapsed="false">
      <c r="A7025" s="2" t="s">
        <v>500</v>
      </c>
      <c r="C7025" s="16" t="n">
        <f aca="false">C6997+C7021</f>
        <v>279.64600125</v>
      </c>
    </row>
    <row r="7026" customFormat="false" ht="15" hidden="false" customHeight="false" outlineLevel="0" collapsed="false">
      <c r="A7026" s="2" t="s">
        <v>501</v>
      </c>
      <c r="C7026" s="16" t="n">
        <f aca="false">C6998+C7022</f>
        <v>145.27734375</v>
      </c>
    </row>
    <row r="7027" customFormat="false" ht="15" hidden="false" customHeight="false" outlineLevel="0" collapsed="false">
      <c r="A7027" s="23" t="s">
        <v>512</v>
      </c>
      <c r="B7027" s="24"/>
      <c r="C7027" s="24"/>
      <c r="D7027" s="24"/>
      <c r="E7027" s="24"/>
      <c r="F7027" s="24"/>
      <c r="G7027" s="24"/>
      <c r="H7027" s="24"/>
      <c r="I7027" s="24"/>
      <c r="J7027" s="24"/>
      <c r="K7027" s="24"/>
    </row>
    <row r="7028" customFormat="false" ht="15" hidden="false" customHeight="false" outlineLevel="0" collapsed="false">
      <c r="A7028" s="3" t="s">
        <v>499</v>
      </c>
      <c r="C7028" s="21" t="n">
        <f aca="false">IF(C6984=0,1,C7024/C6984)</f>
        <v>1</v>
      </c>
    </row>
    <row r="7029" customFormat="false" ht="15" hidden="false" customHeight="false" outlineLevel="0" collapsed="false">
      <c r="A7029" s="3" t="s">
        <v>500</v>
      </c>
      <c r="C7029" s="21" t="n">
        <f aca="false">IF(C6985=0,1,C7025/C6985)</f>
        <v>1</v>
      </c>
    </row>
    <row r="7030" customFormat="false" ht="15" hidden="false" customHeight="false" outlineLevel="0" collapsed="false">
      <c r="A7030" s="3" t="s">
        <v>501</v>
      </c>
      <c r="C7030" s="21" t="n">
        <f aca="false">IF(C6986=0,1,C7026/C6986)</f>
        <v>1</v>
      </c>
    </row>
    <row r="7031" customFormat="false" ht="15" hidden="false" customHeight="false" outlineLevel="0" collapsed="false">
      <c r="A7031" s="23" t="s">
        <v>513</v>
      </c>
      <c r="B7031" s="24"/>
      <c r="C7031" s="24"/>
      <c r="D7031" s="24"/>
      <c r="E7031" s="24"/>
      <c r="F7031" s="24"/>
      <c r="G7031" s="24"/>
      <c r="H7031" s="24"/>
      <c r="I7031" s="24"/>
      <c r="J7031" s="24"/>
      <c r="K7031" s="24"/>
    </row>
    <row r="7032" customFormat="false" ht="15" hidden="false" customHeight="false" outlineLevel="0" collapsed="false">
      <c r="A7032" s="3" t="s">
        <v>499</v>
      </c>
      <c r="C7032" s="25" t="n">
        <f aca="false">C6984-C7024</f>
        <v>0</v>
      </c>
    </row>
    <row r="7033" customFormat="false" ht="15" hidden="false" customHeight="false" outlineLevel="0" collapsed="false">
      <c r="A7033" s="3" t="s">
        <v>500</v>
      </c>
      <c r="C7033" s="25" t="n">
        <f aca="false">C6985-C7025</f>
        <v>0</v>
      </c>
    </row>
    <row r="7034" customFormat="false" ht="15" hidden="false" customHeight="false" outlineLevel="0" collapsed="false">
      <c r="A7034" s="3" t="s">
        <v>501</v>
      </c>
      <c r="C7034" s="25" t="n">
        <f aca="false">C6986-C7026</f>
        <v>0</v>
      </c>
    </row>
    <row r="7035" customFormat="false" ht="15" hidden="false" customHeight="false" outlineLevel="0" collapsed="false">
      <c r="A7035" s="23" t="s">
        <v>514</v>
      </c>
      <c r="B7035" s="24"/>
      <c r="C7035" s="24"/>
      <c r="D7035" s="24"/>
      <c r="E7035" s="24"/>
      <c r="F7035" s="24"/>
      <c r="G7035" s="24"/>
      <c r="H7035" s="24"/>
      <c r="I7035" s="24"/>
      <c r="J7035" s="24"/>
      <c r="K7035" s="24"/>
    </row>
    <row r="7036" customFormat="false" ht="15" hidden="false" customHeight="false" outlineLevel="0" collapsed="false">
      <c r="A7036" s="3" t="s">
        <v>499</v>
      </c>
      <c r="C7036" s="21" t="n">
        <f aca="false">IF(C6984=0,0,C7032/C6984)</f>
        <v>0</v>
      </c>
    </row>
    <row r="7037" customFormat="false" ht="15" hidden="false" customHeight="false" outlineLevel="0" collapsed="false">
      <c r="A7037" s="3" t="s">
        <v>500</v>
      </c>
      <c r="C7037" s="21" t="n">
        <f aca="false">IF(C6985=0,0,C7033/C6985)</f>
        <v>0</v>
      </c>
    </row>
    <row r="7038" customFormat="false" ht="15" hidden="false" customHeight="false" outlineLevel="0" collapsed="false">
      <c r="A7038" s="3" t="s">
        <v>501</v>
      </c>
      <c r="C7038" s="21" t="n">
        <f aca="false">IF(C6986=0,0,C7034/C6986)</f>
        <v>0</v>
      </c>
    </row>
    <row r="7039" customFormat="false" ht="15" hidden="false" customHeight="false" outlineLevel="0" collapsed="false">
      <c r="A7039" s="2" t="s">
        <v>515</v>
      </c>
      <c r="C7039" s="16" t="n">
        <f aca="false">MAX(0,$C$6982-SUM($C$6996:$C$6998)-SUM($C$7004:$C$7006))</f>
        <v>320.902058896799</v>
      </c>
    </row>
    <row r="7040" customFormat="false" ht="15" hidden="false" customHeight="false" outlineLevel="0" collapsed="false">
      <c r="A7040" s="3" t="s">
        <v>516</v>
      </c>
      <c r="C7040" s="25" t="n">
        <f aca="false">SUM($C$7024:$C$7026)+C7039+C6981-C6980</f>
        <v>0</v>
      </c>
    </row>
    <row r="7042" customFormat="false" ht="15" hidden="false" customHeight="false" outlineLevel="0" collapsed="false">
      <c r="A7042" s="23" t="s">
        <v>519</v>
      </c>
      <c r="B7042" s="24"/>
      <c r="C7042" s="24"/>
      <c r="D7042" s="24"/>
      <c r="E7042" s="24"/>
      <c r="F7042" s="24"/>
      <c r="G7042" s="24"/>
      <c r="H7042" s="24"/>
      <c r="I7042" s="24"/>
      <c r="J7042" s="24"/>
      <c r="K7042" s="24"/>
    </row>
    <row r="7043" customFormat="false" ht="15" hidden="false" customHeight="false" outlineLevel="0" collapsed="false">
      <c r="A7043" s="3" t="s">
        <v>520</v>
      </c>
      <c r="C7043" s="27" t="n">
        <f aca="false">Assumptions!$C$33</f>
        <v>1</v>
      </c>
    </row>
    <row r="7044" customFormat="false" ht="15" hidden="false" customHeight="false" outlineLevel="0" collapsed="false">
      <c r="A7044" s="3" t="s">
        <v>521</v>
      </c>
      <c r="C7044" s="29" t="n">
        <f aca="false">Assumptions!$C$34</f>
        <v>100</v>
      </c>
    </row>
    <row r="7045" customFormat="false" ht="15" hidden="false" customHeight="false" outlineLevel="0" collapsed="false">
      <c r="A7045" s="3" t="s">
        <v>522</v>
      </c>
      <c r="C7045" s="40" t="n">
        <f aca="false">Assumptions!$C$35</f>
        <v>95</v>
      </c>
    </row>
    <row r="7046" customFormat="false" ht="15" hidden="false" customHeight="false" outlineLevel="0" collapsed="false">
      <c r="A7046" s="3" t="s">
        <v>523</v>
      </c>
      <c r="C7046" s="25" t="n">
        <f aca="false">C7044*C7045/100*(1+Assumptions!$C$36)</f>
        <v>95</v>
      </c>
    </row>
    <row r="7047" customFormat="false" ht="15" hidden="false" customHeight="false" outlineLevel="0" collapsed="false">
      <c r="A7047" s="3" t="s">
        <v>524</v>
      </c>
      <c r="C7047" s="27" t="n">
        <f aca="false">Assumptions!$C$37</f>
        <v>3</v>
      </c>
    </row>
    <row r="7048" customFormat="false" ht="15" hidden="false" customHeight="false" outlineLevel="0" collapsed="false">
      <c r="A7048" s="3" t="s">
        <v>525</v>
      </c>
      <c r="C7048" s="20" t="n">
        <f aca="false">IF(C6973=1,SUMPRODUCT($G$6925:$K$6925,$G$6818:$K$6818),0)</f>
        <v>0</v>
      </c>
    </row>
    <row r="7049" customFormat="false" ht="15" hidden="false" customHeight="false" outlineLevel="0" collapsed="false">
      <c r="A7049" s="3" t="s">
        <v>526</v>
      </c>
      <c r="C7049" s="21" t="n">
        <f aca="false">IFERROR(C7044/CHOOSE(C7043,SUMPRODUCT($G$6972:$K$6972,$G$6864:$K$6864),SUMPRODUCT($G$6972:$K$6972,$G$6877:$K$6877),SUMPRODUCT($G$6972:$K$6972,$G$6890:$K$6890)),0)</f>
        <v>0.0760399605200525</v>
      </c>
    </row>
    <row r="7050" customFormat="false" ht="15" hidden="false" customHeight="false" outlineLevel="0" collapsed="false">
      <c r="A7050" s="3" t="s">
        <v>527</v>
      </c>
      <c r="C7050" s="25" t="n">
        <f aca="false">CHOOSE(C7043,C7024,C7025,C7026)*C7049</f>
        <v>102.625</v>
      </c>
    </row>
    <row r="7051" customFormat="false" ht="15" hidden="false" customHeight="false" outlineLevel="0" collapsed="false">
      <c r="A7051" s="3" t="s">
        <v>528</v>
      </c>
      <c r="C7051" s="21" t="n">
        <f aca="false">CHOOSE(C7043,C7028,C7029,C7030)</f>
        <v>1</v>
      </c>
    </row>
    <row r="7052" customFormat="false" ht="15" hidden="false" customHeight="false" outlineLevel="0" collapsed="false">
      <c r="A7052" s="3" t="s">
        <v>529</v>
      </c>
      <c r="C7052" s="20" t="n">
        <f aca="false">IF(C6973=1,C7048,C7047)</f>
        <v>3</v>
      </c>
    </row>
    <row r="7053" customFormat="false" ht="15" hidden="false" customHeight="false" outlineLevel="0" collapsed="false">
      <c r="A7053" s="3" t="s">
        <v>530</v>
      </c>
      <c r="C7053" s="34" t="n">
        <f aca="false">CHOOSE($C$6810,Assumptions!$C$83,Assumptions!$C$102,Assumptions!$C$121)</f>
        <v>100</v>
      </c>
    </row>
    <row r="7054" customFormat="false" ht="15" hidden="false" customHeight="false" outlineLevel="0" collapsed="false">
      <c r="A7054" s="3" t="s">
        <v>531</v>
      </c>
      <c r="C7054" s="25" t="n">
        <f aca="false">INDEX($G$6827:$K$6827,C7047)*CHOOSE($C$6810,Assumptions!$C$82,Assumptions!$C$101,Assumptions!$C$120)+MAX(0,INDEX($G$6922:$K$6922,C7047))</f>
        <v>2221.24995703871</v>
      </c>
    </row>
    <row r="7055" customFormat="false" ht="15" hidden="false" customHeight="false" outlineLevel="0" collapsed="false">
      <c r="A7055" s="23" t="s">
        <v>532</v>
      </c>
      <c r="B7055" s="24"/>
      <c r="C7055" s="24"/>
      <c r="D7055" s="24"/>
      <c r="E7055" s="24"/>
      <c r="F7055" s="24"/>
      <c r="G7055" s="24"/>
      <c r="H7055" s="24"/>
      <c r="I7055" s="24"/>
      <c r="J7055" s="24"/>
      <c r="K7055" s="24"/>
    </row>
    <row r="7056" customFormat="false" ht="15" hidden="false" customHeight="false" outlineLevel="0" collapsed="false">
      <c r="A7056" s="3" t="s">
        <v>499</v>
      </c>
      <c r="C7056" s="25" t="n">
        <f aca="false">INDEX($G$6864:$K$6864,C7047)</f>
        <v>1315.098</v>
      </c>
    </row>
    <row r="7057" customFormat="false" ht="15" hidden="false" customHeight="false" outlineLevel="0" collapsed="false">
      <c r="A7057" s="3" t="s">
        <v>500</v>
      </c>
      <c r="C7057" s="25" t="n">
        <f aca="false">INDEX($G$6877:$K$6877,C7047)</f>
        <v>0</v>
      </c>
    </row>
    <row r="7058" customFormat="false" ht="15" hidden="false" customHeight="false" outlineLevel="0" collapsed="false">
      <c r="A7058" s="3" t="s">
        <v>501</v>
      </c>
      <c r="C7058" s="25" t="n">
        <f aca="false">INDEX($G$6890:$K$6890,C7047)</f>
        <v>0</v>
      </c>
    </row>
    <row r="7059" customFormat="false" ht="15" hidden="false" customHeight="false" outlineLevel="0" collapsed="false">
      <c r="A7059" s="23" t="s">
        <v>502</v>
      </c>
      <c r="B7059" s="24"/>
      <c r="C7059" s="24"/>
      <c r="D7059" s="24"/>
      <c r="E7059" s="24"/>
      <c r="F7059" s="24"/>
      <c r="G7059" s="24"/>
      <c r="H7059" s="24"/>
      <c r="I7059" s="24"/>
      <c r="J7059" s="24"/>
      <c r="K7059" s="24"/>
    </row>
    <row r="7060" customFormat="false" ht="15" hidden="false" customHeight="false" outlineLevel="0" collapsed="false">
      <c r="A7060" s="3" t="s">
        <v>499</v>
      </c>
      <c r="C7060" s="27" t="n">
        <f aca="false">Assumptions!$M$56</f>
        <v>1</v>
      </c>
    </row>
    <row r="7061" customFormat="false" ht="15" hidden="false" customHeight="false" outlineLevel="0" collapsed="false">
      <c r="A7061" s="3" t="s">
        <v>500</v>
      </c>
      <c r="C7061" s="27" t="n">
        <f aca="false">Assumptions!$M$57</f>
        <v>2</v>
      </c>
    </row>
    <row r="7062" customFormat="false" ht="15" hidden="false" customHeight="false" outlineLevel="0" collapsed="false">
      <c r="A7062" s="3" t="s">
        <v>501</v>
      </c>
      <c r="C7062" s="27" t="n">
        <f aca="false">Assumptions!$M$58</f>
        <v>2</v>
      </c>
    </row>
    <row r="7063" customFormat="false" ht="15" hidden="false" customHeight="false" outlineLevel="0" collapsed="false">
      <c r="A7063" s="23" t="s">
        <v>503</v>
      </c>
      <c r="B7063" s="24"/>
      <c r="C7063" s="24"/>
      <c r="D7063" s="24"/>
      <c r="E7063" s="24"/>
      <c r="F7063" s="24"/>
      <c r="G7063" s="24"/>
      <c r="H7063" s="24"/>
      <c r="I7063" s="24"/>
      <c r="J7063" s="24"/>
      <c r="K7063" s="24"/>
    </row>
    <row r="7064" customFormat="false" ht="15" hidden="false" customHeight="false" outlineLevel="0" collapsed="false">
      <c r="A7064" s="3" t="s">
        <v>499</v>
      </c>
      <c r="C7064" s="35" t="n">
        <f aca="false">Assumptions!$Q$56</f>
        <v>0</v>
      </c>
    </row>
    <row r="7065" customFormat="false" ht="15" hidden="false" customHeight="false" outlineLevel="0" collapsed="false">
      <c r="A7065" s="3" t="s">
        <v>500</v>
      </c>
      <c r="C7065" s="35" t="n">
        <f aca="false">Assumptions!$Q$57</f>
        <v>0</v>
      </c>
    </row>
    <row r="7066" customFormat="false" ht="15" hidden="false" customHeight="false" outlineLevel="0" collapsed="false">
      <c r="A7066" s="3" t="s">
        <v>501</v>
      </c>
      <c r="C7066" s="35" t="n">
        <f aca="false">Assumptions!$Q$58</f>
        <v>0</v>
      </c>
    </row>
    <row r="7067" customFormat="false" ht="15" hidden="false" customHeight="false" outlineLevel="0" collapsed="false">
      <c r="A7067" s="23" t="s">
        <v>504</v>
      </c>
      <c r="B7067" s="24"/>
      <c r="C7067" s="24"/>
      <c r="D7067" s="24"/>
      <c r="E7067" s="24"/>
      <c r="F7067" s="24"/>
      <c r="G7067" s="24"/>
      <c r="H7067" s="24"/>
      <c r="I7067" s="24"/>
      <c r="J7067" s="24"/>
      <c r="K7067" s="24"/>
    </row>
    <row r="7068" customFormat="false" ht="15" hidden="false" customHeight="false" outlineLevel="0" collapsed="false">
      <c r="A7068" s="3" t="s">
        <v>499</v>
      </c>
      <c r="C7068" s="25" t="n">
        <f aca="false">IF(C7064&gt;0,MIN(C7056,C7064*$C$7054),0)</f>
        <v>0</v>
      </c>
    </row>
    <row r="7069" customFormat="false" ht="15" hidden="false" customHeight="false" outlineLevel="0" collapsed="false">
      <c r="A7069" s="3" t="s">
        <v>500</v>
      </c>
      <c r="C7069" s="25" t="n">
        <f aca="false">IF(C7065&gt;0,MIN(C7057,C7065*$C$7054),0)</f>
        <v>0</v>
      </c>
    </row>
    <row r="7070" customFormat="false" ht="15" hidden="false" customHeight="false" outlineLevel="0" collapsed="false">
      <c r="A7070" s="3" t="s">
        <v>501</v>
      </c>
      <c r="C7070" s="25" t="n">
        <f aca="false">IF(C7066&gt;0,MIN(C7058,C7066*$C$7054),0)</f>
        <v>0</v>
      </c>
    </row>
    <row r="7071" customFormat="false" ht="15" hidden="false" customHeight="false" outlineLevel="0" collapsed="false">
      <c r="A7071" s="23" t="s">
        <v>505</v>
      </c>
      <c r="B7071" s="24"/>
      <c r="C7071" s="24"/>
      <c r="D7071" s="24"/>
      <c r="E7071" s="24"/>
      <c r="F7071" s="24"/>
      <c r="G7071" s="24"/>
      <c r="H7071" s="24"/>
      <c r="I7071" s="24"/>
      <c r="J7071" s="24"/>
      <c r="K7071" s="24"/>
    </row>
    <row r="7072" customFormat="false" ht="15" hidden="false" customHeight="false" outlineLevel="0" collapsed="false">
      <c r="A7072" s="3" t="s">
        <v>499</v>
      </c>
      <c r="C7072" s="25" t="n">
        <f aca="false">IF(C7064&gt;0,C7056-C7068,0)</f>
        <v>0</v>
      </c>
    </row>
    <row r="7073" customFormat="false" ht="15" hidden="false" customHeight="false" outlineLevel="0" collapsed="false">
      <c r="A7073" s="3" t="s">
        <v>500</v>
      </c>
      <c r="C7073" s="25" t="n">
        <f aca="false">IF(C7065&gt;0,C7057-C7069,0)</f>
        <v>0</v>
      </c>
    </row>
    <row r="7074" customFormat="false" ht="15" hidden="false" customHeight="false" outlineLevel="0" collapsed="false">
      <c r="A7074" s="3" t="s">
        <v>501</v>
      </c>
      <c r="C7074" s="25" t="n">
        <f aca="false">IF(C7066&gt;0,C7058-C7070,0)</f>
        <v>0</v>
      </c>
    </row>
    <row r="7075" customFormat="false" ht="15" hidden="false" customHeight="false" outlineLevel="0" collapsed="false">
      <c r="A7075" s="23" t="s">
        <v>506</v>
      </c>
      <c r="B7075" s="24"/>
      <c r="C7075" s="24"/>
      <c r="D7075" s="24"/>
      <c r="E7075" s="24"/>
      <c r="F7075" s="24"/>
      <c r="G7075" s="24"/>
      <c r="H7075" s="24"/>
      <c r="I7075" s="24"/>
      <c r="J7075" s="24"/>
      <c r="K7075" s="24"/>
    </row>
    <row r="7076" customFormat="false" ht="15" hidden="false" customHeight="false" outlineLevel="0" collapsed="false">
      <c r="A7076" s="3" t="s">
        <v>499</v>
      </c>
      <c r="C7076" s="25" t="n">
        <f aca="false">IF(C7064&gt;0,C7072,C7056)</f>
        <v>1315.098</v>
      </c>
    </row>
    <row r="7077" customFormat="false" ht="15" hidden="false" customHeight="false" outlineLevel="0" collapsed="false">
      <c r="A7077" s="3" t="s">
        <v>500</v>
      </c>
      <c r="C7077" s="25" t="n">
        <f aca="false">IF(C7065&gt;0,C7073,C7057)</f>
        <v>0</v>
      </c>
    </row>
    <row r="7078" customFormat="false" ht="15" hidden="false" customHeight="false" outlineLevel="0" collapsed="false">
      <c r="A7078" s="3" t="s">
        <v>501</v>
      </c>
      <c r="C7078" s="25" t="n">
        <f aca="false">IF(C7066&gt;0,C7074,C7058)</f>
        <v>0</v>
      </c>
    </row>
    <row r="7079" customFormat="false" ht="15" hidden="false" customHeight="false" outlineLevel="0" collapsed="false">
      <c r="A7079" s="23" t="s">
        <v>507</v>
      </c>
      <c r="B7079" s="24"/>
      <c r="C7079" s="24"/>
      <c r="D7079" s="24"/>
      <c r="E7079" s="24"/>
      <c r="F7079" s="24"/>
      <c r="G7079" s="24"/>
      <c r="H7079" s="24"/>
      <c r="I7079" s="24"/>
      <c r="J7079" s="24"/>
      <c r="K7079" s="24"/>
    </row>
    <row r="7080" customFormat="false" ht="15" hidden="false" customHeight="false" outlineLevel="0" collapsed="false">
      <c r="A7080" s="3" t="s">
        <v>499</v>
      </c>
      <c r="C7080" s="20" t="n">
        <f aca="false">IF(C7064&gt;0,Assumptions!$C$17,C7060)</f>
        <v>1</v>
      </c>
    </row>
    <row r="7081" customFormat="false" ht="15" hidden="false" customHeight="false" outlineLevel="0" collapsed="false">
      <c r="A7081" s="3" t="s">
        <v>500</v>
      </c>
      <c r="C7081" s="20" t="n">
        <f aca="false">IF(C7065&gt;0,Assumptions!$C$17,C7061)</f>
        <v>2</v>
      </c>
    </row>
    <row r="7082" customFormat="false" ht="15" hidden="false" customHeight="false" outlineLevel="0" collapsed="false">
      <c r="A7082" s="3" t="s">
        <v>501</v>
      </c>
      <c r="C7082" s="20" t="n">
        <f aca="false">IF(C7066&gt;0,Assumptions!$C$17,C7062)</f>
        <v>2</v>
      </c>
    </row>
    <row r="7083" customFormat="false" ht="15" hidden="false" customHeight="false" outlineLevel="0" collapsed="false">
      <c r="A7083" s="23" t="s">
        <v>508</v>
      </c>
      <c r="B7083" s="24"/>
      <c r="C7083" s="24"/>
      <c r="D7083" s="24"/>
      <c r="E7083" s="24"/>
      <c r="F7083" s="24"/>
      <c r="G7083" s="24"/>
      <c r="H7083" s="24"/>
      <c r="I7083" s="24"/>
      <c r="J7083" s="24"/>
      <c r="K7083" s="24"/>
    </row>
    <row r="7084" customFormat="false" ht="15" hidden="false" customHeight="false" outlineLevel="0" collapsed="false">
      <c r="A7084" s="3" t="s">
        <v>499</v>
      </c>
      <c r="C7084" s="25" t="n">
        <f aca="false">SUMPRODUCT(($C$7080:$C$7082&lt;C7080)*$C$7076:$C$7078)</f>
        <v>0</v>
      </c>
    </row>
    <row r="7085" customFormat="false" ht="15" hidden="false" customHeight="false" outlineLevel="0" collapsed="false">
      <c r="A7085" s="3" t="s">
        <v>500</v>
      </c>
      <c r="C7085" s="25" t="n">
        <f aca="false">SUMPRODUCT(($C$7080:$C$7082&lt;C7081)*$C$7076:$C$7078)</f>
        <v>1315.098</v>
      </c>
    </row>
    <row r="7086" customFormat="false" ht="15" hidden="false" customHeight="false" outlineLevel="0" collapsed="false">
      <c r="A7086" s="3" t="s">
        <v>501</v>
      </c>
      <c r="C7086" s="25" t="n">
        <f aca="false">SUMPRODUCT(($C$7080:$C$7082&lt;C7082)*$C$7076:$C$7078)</f>
        <v>1315.098</v>
      </c>
    </row>
    <row r="7087" customFormat="false" ht="15" hidden="false" customHeight="false" outlineLevel="0" collapsed="false">
      <c r="A7087" s="23" t="s">
        <v>509</v>
      </c>
      <c r="B7087" s="24"/>
      <c r="C7087" s="24"/>
      <c r="D7087" s="24"/>
      <c r="E7087" s="24"/>
      <c r="F7087" s="24"/>
      <c r="G7087" s="24"/>
      <c r="H7087" s="24"/>
      <c r="I7087" s="24"/>
      <c r="J7087" s="24"/>
      <c r="K7087" s="24"/>
    </row>
    <row r="7088" customFormat="false" ht="15" hidden="false" customHeight="false" outlineLevel="0" collapsed="false">
      <c r="A7088" s="3" t="s">
        <v>499</v>
      </c>
      <c r="C7088" s="25" t="n">
        <f aca="false">SUMPRODUCT(($C$7080:$C$7082=C7080)*$C$7076:$C$7078)</f>
        <v>1315.098</v>
      </c>
    </row>
    <row r="7089" customFormat="false" ht="15" hidden="false" customHeight="false" outlineLevel="0" collapsed="false">
      <c r="A7089" s="3" t="s">
        <v>500</v>
      </c>
      <c r="C7089" s="25" t="n">
        <f aca="false">SUMPRODUCT(($C$7080:$C$7082=C7081)*$C$7076:$C$7078)</f>
        <v>0</v>
      </c>
    </row>
    <row r="7090" customFormat="false" ht="15" hidden="false" customHeight="false" outlineLevel="0" collapsed="false">
      <c r="A7090" s="3" t="s">
        <v>501</v>
      </c>
      <c r="C7090" s="25" t="n">
        <f aca="false">SUMPRODUCT(($C$7080:$C$7082=C7082)*$C$7076:$C$7078)</f>
        <v>0</v>
      </c>
    </row>
    <row r="7091" customFormat="false" ht="15" hidden="false" customHeight="false" outlineLevel="0" collapsed="false">
      <c r="A7091" s="23" t="s">
        <v>510</v>
      </c>
      <c r="B7091" s="24"/>
      <c r="C7091" s="24"/>
      <c r="D7091" s="24"/>
      <c r="E7091" s="24"/>
      <c r="F7091" s="24"/>
      <c r="G7091" s="24"/>
      <c r="H7091" s="24"/>
      <c r="I7091" s="24"/>
      <c r="J7091" s="24"/>
      <c r="K7091" s="24"/>
    </row>
    <row r="7092" customFormat="false" ht="15" hidden="false" customHeight="false" outlineLevel="0" collapsed="false">
      <c r="A7092" s="3" t="s">
        <v>499</v>
      </c>
      <c r="C7092" s="25" t="n">
        <f aca="false">IF(C7088=0,0,C7076/C7088*MAX(0,MIN(C7088,$C$7054-SUM($C$7068:$C$7070)-C7084)))</f>
        <v>1315.098</v>
      </c>
    </row>
    <row r="7093" customFormat="false" ht="15" hidden="false" customHeight="false" outlineLevel="0" collapsed="false">
      <c r="A7093" s="3" t="s">
        <v>500</v>
      </c>
      <c r="C7093" s="25" t="n">
        <f aca="false">IF(C7089=0,0,C7077/C7089*MAX(0,MIN(C7089,$C$7054-SUM($C$7068:$C$7070)-C7085)))</f>
        <v>0</v>
      </c>
    </row>
    <row r="7094" customFormat="false" ht="15" hidden="false" customHeight="false" outlineLevel="0" collapsed="false">
      <c r="A7094" s="3" t="s">
        <v>501</v>
      </c>
      <c r="C7094" s="25" t="n">
        <f aca="false">IF(C7090=0,0,C7078/C7090*MAX(0,MIN(C7090,$C$7054-SUM($C$7068:$C$7070)-C7086)))</f>
        <v>0</v>
      </c>
    </row>
    <row r="7095" customFormat="false" ht="15" hidden="false" customHeight="false" outlineLevel="0" collapsed="false">
      <c r="A7095" s="23" t="s">
        <v>511</v>
      </c>
      <c r="B7095" s="24"/>
      <c r="C7095" s="24"/>
      <c r="D7095" s="24"/>
      <c r="E7095" s="24"/>
      <c r="F7095" s="24"/>
      <c r="G7095" s="24"/>
      <c r="H7095" s="24"/>
      <c r="I7095" s="24"/>
      <c r="J7095" s="24"/>
      <c r="K7095" s="24"/>
    </row>
    <row r="7096" customFormat="false" ht="15" hidden="false" customHeight="false" outlineLevel="0" collapsed="false">
      <c r="A7096" s="2" t="s">
        <v>499</v>
      </c>
      <c r="C7096" s="16" t="n">
        <f aca="false">C7068+C7092</f>
        <v>1315.098</v>
      </c>
    </row>
    <row r="7097" customFormat="false" ht="15" hidden="false" customHeight="false" outlineLevel="0" collapsed="false">
      <c r="A7097" s="2" t="s">
        <v>500</v>
      </c>
      <c r="C7097" s="16" t="n">
        <f aca="false">C7069+C7093</f>
        <v>0</v>
      </c>
    </row>
    <row r="7098" customFormat="false" ht="15" hidden="false" customHeight="false" outlineLevel="0" collapsed="false">
      <c r="A7098" s="2" t="s">
        <v>501</v>
      </c>
      <c r="C7098" s="16" t="n">
        <f aca="false">C7070+C7094</f>
        <v>0</v>
      </c>
    </row>
    <row r="7099" customFormat="false" ht="15" hidden="false" customHeight="false" outlineLevel="0" collapsed="false">
      <c r="A7099" s="23" t="s">
        <v>512</v>
      </c>
      <c r="B7099" s="24"/>
      <c r="C7099" s="24"/>
      <c r="D7099" s="24"/>
      <c r="E7099" s="24"/>
      <c r="F7099" s="24"/>
      <c r="G7099" s="24"/>
      <c r="H7099" s="24"/>
      <c r="I7099" s="24"/>
      <c r="J7099" s="24"/>
      <c r="K7099" s="24"/>
    </row>
    <row r="7100" customFormat="false" ht="15" hidden="false" customHeight="false" outlineLevel="0" collapsed="false">
      <c r="A7100" s="3" t="s">
        <v>499</v>
      </c>
      <c r="C7100" s="21" t="n">
        <f aca="false">IF(C7056=0,1,C7096/C7056)</f>
        <v>1</v>
      </c>
    </row>
    <row r="7101" customFormat="false" ht="15" hidden="false" customHeight="false" outlineLevel="0" collapsed="false">
      <c r="A7101" s="3" t="s">
        <v>500</v>
      </c>
      <c r="C7101" s="21" t="n">
        <f aca="false">IF(C7057=0,1,C7097/C7057)</f>
        <v>1</v>
      </c>
    </row>
    <row r="7102" customFormat="false" ht="15" hidden="false" customHeight="false" outlineLevel="0" collapsed="false">
      <c r="A7102" s="3" t="s">
        <v>501</v>
      </c>
      <c r="C7102" s="21" t="n">
        <f aca="false">IF(C7058=0,1,C7098/C7058)</f>
        <v>1</v>
      </c>
    </row>
    <row r="7103" customFormat="false" ht="15" hidden="false" customHeight="false" outlineLevel="0" collapsed="false">
      <c r="A7103" s="23" t="s">
        <v>513</v>
      </c>
      <c r="B7103" s="24"/>
      <c r="C7103" s="24"/>
      <c r="D7103" s="24"/>
      <c r="E7103" s="24"/>
      <c r="F7103" s="24"/>
      <c r="G7103" s="24"/>
      <c r="H7103" s="24"/>
      <c r="I7103" s="24"/>
      <c r="J7103" s="24"/>
      <c r="K7103" s="24"/>
    </row>
    <row r="7104" customFormat="false" ht="15" hidden="false" customHeight="false" outlineLevel="0" collapsed="false">
      <c r="A7104" s="3" t="s">
        <v>499</v>
      </c>
      <c r="C7104" s="25" t="n">
        <f aca="false">C7056-C7096</f>
        <v>0</v>
      </c>
    </row>
    <row r="7105" customFormat="false" ht="15" hidden="false" customHeight="false" outlineLevel="0" collapsed="false">
      <c r="A7105" s="3" t="s">
        <v>500</v>
      </c>
      <c r="C7105" s="25" t="n">
        <f aca="false">C7057-C7097</f>
        <v>0</v>
      </c>
    </row>
    <row r="7106" customFormat="false" ht="15" hidden="false" customHeight="false" outlineLevel="0" collapsed="false">
      <c r="A7106" s="3" t="s">
        <v>501</v>
      </c>
      <c r="C7106" s="25" t="n">
        <f aca="false">C7058-C7098</f>
        <v>0</v>
      </c>
    </row>
    <row r="7107" customFormat="false" ht="15" hidden="false" customHeight="false" outlineLevel="0" collapsed="false">
      <c r="A7107" s="23" t="s">
        <v>514</v>
      </c>
      <c r="B7107" s="24"/>
      <c r="C7107" s="24"/>
      <c r="D7107" s="24"/>
      <c r="E7107" s="24"/>
      <c r="F7107" s="24"/>
      <c r="G7107" s="24"/>
      <c r="H7107" s="24"/>
      <c r="I7107" s="24"/>
      <c r="J7107" s="24"/>
      <c r="K7107" s="24"/>
    </row>
    <row r="7108" customFormat="false" ht="15" hidden="false" customHeight="false" outlineLevel="0" collapsed="false">
      <c r="A7108" s="3" t="s">
        <v>499</v>
      </c>
      <c r="C7108" s="21" t="n">
        <f aca="false">IF(C7056=0,0,C7104/C7056)</f>
        <v>0</v>
      </c>
    </row>
    <row r="7109" customFormat="false" ht="15" hidden="false" customHeight="false" outlineLevel="0" collapsed="false">
      <c r="A7109" s="3" t="s">
        <v>500</v>
      </c>
      <c r="C7109" s="21" t="n">
        <f aca="false">IF(C7057=0,0,C7105/C7057)</f>
        <v>0</v>
      </c>
    </row>
    <row r="7110" customFormat="false" ht="15" hidden="false" customHeight="false" outlineLevel="0" collapsed="false">
      <c r="A7110" s="3" t="s">
        <v>501</v>
      </c>
      <c r="C7110" s="21" t="n">
        <f aca="false">IF(C7058=0,0,C7106/C7058)</f>
        <v>0</v>
      </c>
    </row>
    <row r="7111" customFormat="false" ht="15" hidden="false" customHeight="false" outlineLevel="0" collapsed="false">
      <c r="A7111" s="2" t="s">
        <v>515</v>
      </c>
      <c r="C7111" s="16" t="n">
        <f aca="false">MAX(0,$C$7054-SUM($C$7068:$C$7070)-SUM($C$7076:$C$7078))</f>
        <v>906.151957038708</v>
      </c>
    </row>
    <row r="7112" customFormat="false" ht="15" hidden="false" customHeight="false" outlineLevel="0" collapsed="false">
      <c r="A7112" s="3" t="s">
        <v>533</v>
      </c>
      <c r="C7112" s="34" t="n">
        <f aca="false">MIN(C7053,100*CHOOSE(C7043,C7100,C7101,C7102))</f>
        <v>100</v>
      </c>
    </row>
    <row r="7113" customFormat="false" ht="15" hidden="false" customHeight="false" outlineLevel="0" collapsed="false">
      <c r="A7113" s="3" t="s">
        <v>534</v>
      </c>
      <c r="C7113" s="20" t="n">
        <f aca="false">IF(C6973=1,C7048+Assumptions!$C$39,C7047)</f>
        <v>3</v>
      </c>
    </row>
    <row r="7114" customFormat="false" ht="15" hidden="false" customHeight="false" outlineLevel="0" collapsed="false">
      <c r="A7114" s="23" t="s">
        <v>535</v>
      </c>
      <c r="B7114" s="24"/>
      <c r="C7114" s="24"/>
      <c r="D7114" s="24"/>
      <c r="E7114" s="24"/>
      <c r="F7114" s="24"/>
      <c r="G7114" s="24"/>
      <c r="H7114" s="24"/>
      <c r="I7114" s="24"/>
      <c r="J7114" s="24"/>
      <c r="K7114" s="24"/>
    </row>
    <row r="7115" customFormat="false" ht="15" hidden="false" customHeight="false" outlineLevel="0" collapsed="false">
      <c r="A7115" s="3" t="s">
        <v>536</v>
      </c>
      <c r="C7115" s="20" t="n">
        <f aca="false">COLUMN()-COLUMN($C$1)</f>
        <v>0</v>
      </c>
      <c r="D7115" s="20" t="n">
        <f aca="false">COLUMN()-COLUMN($C$1)</f>
        <v>1</v>
      </c>
      <c r="E7115" s="20" t="n">
        <f aca="false">COLUMN()-COLUMN($C$1)</f>
        <v>2</v>
      </c>
      <c r="F7115" s="20" t="n">
        <f aca="false">COLUMN()-COLUMN($C$1)</f>
        <v>3</v>
      </c>
      <c r="G7115" s="20" t="n">
        <f aca="false">COLUMN()-COLUMN($C$1)</f>
        <v>4</v>
      </c>
      <c r="H7115" s="20" t="n">
        <f aca="false">COLUMN()-COLUMN($C$1)</f>
        <v>5</v>
      </c>
      <c r="I7115" s="20" t="n">
        <f aca="false">COLUMN()-COLUMN($C$1)</f>
        <v>6</v>
      </c>
    </row>
    <row r="7116" customFormat="false" ht="15" hidden="false" customHeight="false" outlineLevel="0" collapsed="false">
      <c r="A7116" s="3" t="s">
        <v>537</v>
      </c>
      <c r="D7116" s="31" t="n">
        <f aca="false">CHOOSE($C$7043,G6856,G6869,G6882)</f>
        <v>0.105</v>
      </c>
      <c r="E7116" s="31" t="n">
        <f aca="false">CHOOSE($C$7043,H6856,H6869,H6882)</f>
        <v>0.105</v>
      </c>
      <c r="F7116" s="31" t="n">
        <f aca="false">CHOOSE($C$7043,I6856,I6869,I6882)</f>
        <v>0.105</v>
      </c>
      <c r="G7116" s="31" t="n">
        <f aca="false">CHOOSE($C$7043,J6856,J6869,J6882)</f>
        <v>0.105</v>
      </c>
      <c r="H7116" s="31" t="n">
        <f aca="false">CHOOSE($C$7043,K6856,K6869,K6882)</f>
        <v>0.105</v>
      </c>
    </row>
    <row r="7117" customFormat="false" ht="15" hidden="false" customHeight="false" outlineLevel="0" collapsed="false">
      <c r="A7117" s="3" t="s">
        <v>538</v>
      </c>
      <c r="D7117" s="25" t="n">
        <f aca="false">IF(D7115&lt;=$C$7052,$C$7044*D7116,0)</f>
        <v>10.5</v>
      </c>
      <c r="E7117" s="25" t="n">
        <f aca="false">IF(E7115&lt;=$C$7052,$C$7044*E7116,0)</f>
        <v>10.5</v>
      </c>
      <c r="F7117" s="25" t="n">
        <f aca="false">IF(F7115&lt;=$C$7052,$C$7044*F7116,0)</f>
        <v>10.5</v>
      </c>
      <c r="G7117" s="25" t="n">
        <f aca="false">IF(G7115&lt;=$C$7052,$C$7044*G7116,0)</f>
        <v>0</v>
      </c>
      <c r="H7117" s="25" t="n">
        <f aca="false">IF(H7115&lt;=$C$7052,$C$7044*H7116,0)</f>
        <v>0</v>
      </c>
    </row>
    <row r="7118" customFormat="false" ht="15" hidden="false" customHeight="false" outlineLevel="0" collapsed="false">
      <c r="A7118" s="3" t="s">
        <v>539</v>
      </c>
      <c r="D7118" s="25" t="n">
        <f aca="false">IF(AND($C$6973=0,D7115=$C$7047),$C$7044*$C$7112/100,0)+IF(AND($C$6973=1,D7115=$C$7113),$C$7050,0)</f>
        <v>0</v>
      </c>
      <c r="E7118" s="25" t="n">
        <f aca="false">IF(AND($C$6973=0,E7115=$C$7047),$C$7044*$C$7112/100,0)+IF(AND($C$6973=1,E7115=$C$7113),$C$7050,0)</f>
        <v>0</v>
      </c>
      <c r="F7118" s="25" t="n">
        <f aca="false">IF(AND($C$6973=0,F7115=$C$7047),$C$7044*$C$7112/100,0)+IF(AND($C$6973=1,F7115=$C$7113),$C$7050,0)</f>
        <v>100</v>
      </c>
      <c r="G7118" s="25" t="n">
        <f aca="false">IF(AND($C$6973=0,G7115=$C$7047),$C$7044*$C$7112/100,0)+IF(AND($C$6973=1,G7115=$C$7113),$C$7050,0)</f>
        <v>0</v>
      </c>
      <c r="H7118" s="25" t="n">
        <f aca="false">IF(AND($C$6973=0,H7115=$C$7047),$C$7044*$C$7112/100,0)+IF(AND($C$6973=1,H7115=$C$7113),$C$7050,0)</f>
        <v>0</v>
      </c>
      <c r="I7118" s="25" t="n">
        <f aca="false">IF(AND($C$6973=0,I7115=$C$7047),$C$7044*$C$7112/100,0)+IF(AND($C$6973=1,I7115=$C$7113),$C$7050,0)</f>
        <v>0</v>
      </c>
    </row>
    <row r="7119" customFormat="false" ht="15" hidden="false" customHeight="false" outlineLevel="0" collapsed="false">
      <c r="A7119" s="2" t="s">
        <v>540</v>
      </c>
      <c r="C7119" s="16" t="n">
        <f aca="false">-$C$7046</f>
        <v>-95</v>
      </c>
      <c r="D7119" s="16" t="n">
        <f aca="false">D7117+D7118</f>
        <v>10.5</v>
      </c>
      <c r="E7119" s="16" t="n">
        <f aca="false">E7117+E7118</f>
        <v>10.5</v>
      </c>
      <c r="F7119" s="16" t="n">
        <f aca="false">F7117+F7118</f>
        <v>110.5</v>
      </c>
      <c r="G7119" s="16" t="n">
        <f aca="false">G7117+G7118</f>
        <v>0</v>
      </c>
      <c r="H7119" s="16" t="n">
        <f aca="false">H7117+H7118</f>
        <v>0</v>
      </c>
      <c r="I7119" s="16" t="n">
        <f aca="false">I7117+I7118</f>
        <v>0</v>
      </c>
    </row>
    <row r="7120" customFormat="false" ht="15" hidden="false" customHeight="false" outlineLevel="0" collapsed="false">
      <c r="A7120" s="3" t="s">
        <v>541</v>
      </c>
      <c r="C7120" s="25" t="n">
        <f aca="false">SUM($C$7117:$I$7117)</f>
        <v>31.5</v>
      </c>
    </row>
    <row r="7121" customFormat="false" ht="15" hidden="false" customHeight="false" outlineLevel="0" collapsed="false">
      <c r="A7121" s="3" t="s">
        <v>542</v>
      </c>
      <c r="C7121" s="25" t="n">
        <f aca="false">SUM($C$7118:$I$7118)</f>
        <v>100</v>
      </c>
    </row>
    <row r="7122" customFormat="false" ht="15" hidden="false" customHeight="false" outlineLevel="0" collapsed="false">
      <c r="A7122" s="3" t="s">
        <v>543</v>
      </c>
      <c r="C7122" s="25" t="n">
        <f aca="false">C7120+C7121</f>
        <v>131.5</v>
      </c>
    </row>
    <row r="7123" customFormat="false" ht="15" hidden="false" customHeight="false" outlineLevel="0" collapsed="false">
      <c r="A7123" s="3" t="s">
        <v>544</v>
      </c>
      <c r="C7123" s="25" t="n">
        <f aca="false">C7121-C7044*C7045/100</f>
        <v>5</v>
      </c>
    </row>
    <row r="7124" customFormat="false" ht="15" hidden="false" customHeight="false" outlineLevel="0" collapsed="false">
      <c r="A7124" s="3" t="s">
        <v>545</v>
      </c>
      <c r="C7124" s="25" t="n">
        <f aca="false">C7122-C7046</f>
        <v>36.5</v>
      </c>
    </row>
    <row r="7125" customFormat="false" ht="15" hidden="false" customHeight="false" outlineLevel="0" collapsed="false">
      <c r="A7125" s="2" t="s">
        <v>427</v>
      </c>
      <c r="C7125" s="44" t="n">
        <f aca="false">C7122/C7046</f>
        <v>1.38421052631579</v>
      </c>
    </row>
    <row r="7126" customFormat="false" ht="15" hidden="false" customHeight="false" outlineLevel="0" collapsed="false">
      <c r="A7126" s="2" t="s">
        <v>426</v>
      </c>
      <c r="C7126" s="42" t="n">
        <f aca="false">IF(C7122&lt;=0,-1,IFERROR(IRR($C$7119:$I$7119,MAX(-0.9,C7125^(1/C7113)-1)),IRR($C$7119:$I$7119,0.1)))</f>
        <v>0.126033624615204</v>
      </c>
    </row>
    <row r="7127" customFormat="false" ht="15" hidden="false" customHeight="false" outlineLevel="0" collapsed="false">
      <c r="A7127" s="3" t="s">
        <v>546</v>
      </c>
      <c r="C7127" s="32" t="n">
        <f aca="false">MAX($G$6933:$K$6933)</f>
        <v>3.58496642369255</v>
      </c>
    </row>
    <row r="7128" customFormat="false" ht="15" hidden="false" customHeight="false" outlineLevel="0" collapsed="false">
      <c r="A7128" s="3" t="s">
        <v>547</v>
      </c>
      <c r="C7128" s="32" t="n">
        <f aca="false">MIN($G$6934:$K$6934)</f>
        <v>2.02645779186991</v>
      </c>
    </row>
    <row r="7129" customFormat="false" ht="15" hidden="false" customHeight="false" outlineLevel="0" collapsed="false">
      <c r="A7129" s="3" t="s">
        <v>548</v>
      </c>
      <c r="C7129" s="25" t="n">
        <f aca="false">SUM($G$6840:$K$6840)</f>
        <v>735.982424533696</v>
      </c>
    </row>
    <row r="7133" customFormat="false" ht="15" hidden="false" customHeight="false" outlineLevel="0" collapsed="false">
      <c r="A7133" s="9" t="s">
        <v>1036</v>
      </c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</row>
    <row r="7134" customFormat="false" ht="15" hidden="false" customHeight="false" outlineLevel="0" collapsed="false">
      <c r="A7134" s="3" t="s">
        <v>1010</v>
      </c>
      <c r="C7134" s="11" t="n">
        <v>1</v>
      </c>
    </row>
    <row r="7135" customFormat="false" ht="15" hidden="false" customHeight="false" outlineLevel="0" collapsed="false">
      <c r="A7135" s="3" t="s">
        <v>1011</v>
      </c>
      <c r="C7135" s="30" t="n">
        <f aca="false">Sensitivities!$A$44</f>
        <v>0.1</v>
      </c>
    </row>
    <row r="7136" customFormat="false" ht="15" hidden="false" customHeight="false" outlineLevel="0" collapsed="false">
      <c r="A7136" s="3" t="s">
        <v>1012</v>
      </c>
      <c r="C7136" s="18" t="n">
        <v>0</v>
      </c>
    </row>
    <row r="7137" customFormat="false" ht="15" hidden="false" customHeight="false" outlineLevel="0" collapsed="false">
      <c r="A7137" s="3" t="s">
        <v>1013</v>
      </c>
      <c r="C7137" s="18" t="n">
        <v>0</v>
      </c>
    </row>
    <row r="7138" customFormat="false" ht="15" hidden="false" customHeight="false" outlineLevel="0" collapsed="false">
      <c r="A7138" s="3" t="s">
        <v>1014</v>
      </c>
      <c r="C7138" s="15" t="n">
        <v>0</v>
      </c>
    </row>
    <row r="7140" customFormat="false" ht="15" hidden="false" customHeight="false" outlineLevel="0" collapsed="false">
      <c r="A7140" s="23" t="s">
        <v>281</v>
      </c>
      <c r="B7140" s="24"/>
      <c r="C7140" s="24"/>
      <c r="D7140" s="24"/>
      <c r="E7140" s="24"/>
      <c r="F7140" s="24"/>
      <c r="G7140" s="24"/>
      <c r="H7140" s="24"/>
      <c r="I7140" s="24"/>
      <c r="J7140" s="24"/>
      <c r="K7140" s="24"/>
    </row>
    <row r="7141" customFormat="false" ht="15" hidden="false" customHeight="false" outlineLevel="0" collapsed="false">
      <c r="A7141" s="3" t="s">
        <v>282</v>
      </c>
      <c r="F7141" s="27" t="n">
        <f aca="false">Assumptions!$C$6</f>
        <v>2026</v>
      </c>
      <c r="G7141" s="20" t="n">
        <f aca="false">F7141+1</f>
        <v>2027</v>
      </c>
      <c r="H7141" s="20" t="n">
        <f aca="false">G7141+1</f>
        <v>2028</v>
      </c>
      <c r="I7141" s="20" t="n">
        <f aca="false">H7141+1</f>
        <v>2029</v>
      </c>
      <c r="J7141" s="20" t="n">
        <f aca="false">I7141+1</f>
        <v>2030</v>
      </c>
      <c r="K7141" s="20" t="n">
        <f aca="false">J7141+1</f>
        <v>2031</v>
      </c>
    </row>
    <row r="7142" customFormat="false" ht="15" hidden="false" customHeight="false" outlineLevel="0" collapsed="false">
      <c r="A7142" s="3" t="s">
        <v>283</v>
      </c>
      <c r="G7142" s="20" t="n">
        <f aca="false">G7141-Assumptions!$C$6</f>
        <v>1</v>
      </c>
      <c r="H7142" s="20" t="n">
        <f aca="false">H7141-Assumptions!$C$6</f>
        <v>2</v>
      </c>
      <c r="I7142" s="20" t="n">
        <f aca="false">I7141-Assumptions!$C$6</f>
        <v>3</v>
      </c>
      <c r="J7142" s="20" t="n">
        <f aca="false">J7141-Assumptions!$C$6</f>
        <v>4</v>
      </c>
      <c r="K7142" s="20" t="n">
        <f aca="false">K7141-Assumptions!$C$6</f>
        <v>5</v>
      </c>
    </row>
    <row r="7143" customFormat="false" ht="15" hidden="false" customHeight="false" outlineLevel="0" collapsed="false">
      <c r="A7143" s="3" t="s">
        <v>165</v>
      </c>
      <c r="G7143" s="21" t="n">
        <f aca="false">CHOOSE($C$7134,Assumptions!$G$71,Assumptions!$G$90,Assumptions!$G$109)+$C$7135</f>
        <v>0.055</v>
      </c>
      <c r="H7143" s="21" t="n">
        <f aca="false">CHOOSE($C$7134,Assumptions!$H$71,Assumptions!$H$90,Assumptions!$H$109)+$C$7135</f>
        <v>0.06</v>
      </c>
      <c r="I7143" s="21" t="n">
        <f aca="false">CHOOSE($C$7134,Assumptions!$I$71,Assumptions!$I$90,Assumptions!$I$109)+$C$7135</f>
        <v>0.065</v>
      </c>
      <c r="J7143" s="21" t="n">
        <f aca="false">CHOOSE($C$7134,Assumptions!$J$71,Assumptions!$J$90,Assumptions!$J$109)+$C$7135</f>
        <v>0.07</v>
      </c>
      <c r="K7143" s="21" t="n">
        <f aca="false">CHOOSE($C$7134,Assumptions!$K$71,Assumptions!$K$90,Assumptions!$K$109)+$C$7135</f>
        <v>0.07</v>
      </c>
    </row>
    <row r="7144" customFormat="false" ht="15" hidden="false" customHeight="false" outlineLevel="0" collapsed="false">
      <c r="A7144" s="3" t="s">
        <v>166</v>
      </c>
      <c r="G7144" s="21" t="n">
        <f aca="false">CHOOSE($C$7134,Assumptions!$G$72,Assumptions!$G$91,Assumptions!$G$110)</f>
        <v>0.483246670103635</v>
      </c>
      <c r="H7144" s="21" t="n">
        <f aca="false">CHOOSE($C$7134,Assumptions!$H$72,Assumptions!$H$91,Assumptions!$H$110)</f>
        <v>0.483246670103635</v>
      </c>
      <c r="I7144" s="21" t="n">
        <f aca="false">CHOOSE($C$7134,Assumptions!$I$72,Assumptions!$I$91,Assumptions!$I$110)</f>
        <v>0.481246670103635</v>
      </c>
      <c r="J7144" s="21" t="n">
        <f aca="false">CHOOSE($C$7134,Assumptions!$J$72,Assumptions!$J$91,Assumptions!$J$110)</f>
        <v>0.479246670103635</v>
      </c>
      <c r="K7144" s="21" t="n">
        <f aca="false">CHOOSE($C$7134,Assumptions!$K$72,Assumptions!$K$91,Assumptions!$K$110)</f>
        <v>0.477246670103635</v>
      </c>
    </row>
    <row r="7145" customFormat="false" ht="15" hidden="false" customHeight="false" outlineLevel="0" collapsed="false">
      <c r="A7145" s="3" t="s">
        <v>167</v>
      </c>
      <c r="G7145" s="21" t="n">
        <f aca="false">CHOOSE($C$7134,Assumptions!$G$73,Assumptions!$G$92,Assumptions!$G$111)+$C$7136</f>
        <v>0.14</v>
      </c>
      <c r="H7145" s="21" t="n">
        <f aca="false">CHOOSE($C$7134,Assumptions!$H$73,Assumptions!$H$92,Assumptions!$H$111)+$C$7136</f>
        <v>0.14</v>
      </c>
      <c r="I7145" s="21" t="n">
        <f aca="false">CHOOSE($C$7134,Assumptions!$I$73,Assumptions!$I$92,Assumptions!$I$111)+$C$7136</f>
        <v>0.138</v>
      </c>
      <c r="J7145" s="21" t="n">
        <f aca="false">CHOOSE($C$7134,Assumptions!$J$73,Assumptions!$J$92,Assumptions!$J$111)+$C$7136</f>
        <v>0.136</v>
      </c>
      <c r="K7145" s="21" t="n">
        <f aca="false">CHOOSE($C$7134,Assumptions!$K$73,Assumptions!$K$92,Assumptions!$K$111)+$C$7136</f>
        <v>0.134</v>
      </c>
    </row>
    <row r="7146" customFormat="false" ht="15" hidden="false" customHeight="false" outlineLevel="0" collapsed="false">
      <c r="A7146" s="23" t="s">
        <v>284</v>
      </c>
      <c r="B7146" s="24"/>
      <c r="C7146" s="24"/>
      <c r="D7146" s="24"/>
      <c r="E7146" s="24"/>
      <c r="F7146" s="24"/>
      <c r="G7146" s="24"/>
      <c r="H7146" s="24"/>
      <c r="I7146" s="24"/>
      <c r="J7146" s="24"/>
      <c r="K7146" s="24"/>
    </row>
    <row r="7147" customFormat="false" ht="15" hidden="false" customHeight="false" outlineLevel="0" collapsed="false">
      <c r="A7147" s="2" t="s">
        <v>256</v>
      </c>
      <c r="F7147" s="28" t="n">
        <f aca="false">'Historical Financials'!G23</f>
        <v>2246.166</v>
      </c>
      <c r="G7147" s="16" t="n">
        <f aca="false">F7147*(1+G7143)</f>
        <v>2369.70513</v>
      </c>
      <c r="H7147" s="16" t="n">
        <f aca="false">G7147*(1+H7143)</f>
        <v>2511.8874378</v>
      </c>
      <c r="I7147" s="16" t="n">
        <f aca="false">H7147*(1+I7143)</f>
        <v>2675.160121257</v>
      </c>
      <c r="J7147" s="16" t="n">
        <f aca="false">I7147*(1+J7143)</f>
        <v>2862.42132974499</v>
      </c>
      <c r="K7147" s="16" t="n">
        <f aca="false">J7147*(1+K7143)</f>
        <v>3062.79082282714</v>
      </c>
    </row>
    <row r="7148" customFormat="false" ht="15" hidden="false" customHeight="false" outlineLevel="0" collapsed="false">
      <c r="A7148" s="3" t="s">
        <v>257</v>
      </c>
      <c r="G7148" s="25" t="n">
        <f aca="false">G7147*(1-G7144)</f>
        <v>1224.5530168</v>
      </c>
      <c r="H7148" s="25" t="n">
        <f aca="false">H7147*(1-H7144)</f>
        <v>1298.026197808</v>
      </c>
      <c r="I7148" s="25" t="n">
        <f aca="false">I7147*(1-I7144)</f>
        <v>1387.74822090803</v>
      </c>
      <c r="J7148" s="25" t="n">
        <f aca="false">J7147*(1-J7144)</f>
        <v>1490.61543903109</v>
      </c>
      <c r="K7148" s="25" t="n">
        <f aca="false">K7147*(1-K7144)</f>
        <v>1601.08410140892</v>
      </c>
    </row>
    <row r="7149" customFormat="false" ht="15" hidden="false" customHeight="false" outlineLevel="0" collapsed="false">
      <c r="A7149" s="2" t="s">
        <v>258</v>
      </c>
      <c r="G7149" s="16" t="n">
        <f aca="false">G7147-G7148</f>
        <v>1145.1521132</v>
      </c>
      <c r="H7149" s="16" t="n">
        <f aca="false">H7147-H7148</f>
        <v>1213.861239992</v>
      </c>
      <c r="I7149" s="16" t="n">
        <f aca="false">I7147-I7148</f>
        <v>1287.41190034897</v>
      </c>
      <c r="J7149" s="16" t="n">
        <f aca="false">J7147-J7148</f>
        <v>1371.8058907139</v>
      </c>
      <c r="K7149" s="16" t="n">
        <f aca="false">K7147-K7148</f>
        <v>1461.70672141822</v>
      </c>
    </row>
    <row r="7150" customFormat="false" ht="15" hidden="false" customHeight="false" outlineLevel="0" collapsed="false">
      <c r="A7150" s="3" t="s">
        <v>285</v>
      </c>
      <c r="G7150" s="25" t="n">
        <f aca="false">G7149-G7151</f>
        <v>813.393395</v>
      </c>
      <c r="H7150" s="25" t="n">
        <f aca="false">H7149-H7151</f>
        <v>862.1969987</v>
      </c>
      <c r="I7150" s="25" t="n">
        <f aca="false">I7149-I7151</f>
        <v>918.2398036155</v>
      </c>
      <c r="J7150" s="25" t="n">
        <f aca="false">J7149-J7151</f>
        <v>982.516589868585</v>
      </c>
      <c r="K7150" s="25" t="n">
        <f aca="false">K7149-K7151</f>
        <v>1051.29275115939</v>
      </c>
    </row>
    <row r="7151" customFormat="false" ht="15" hidden="false" customHeight="false" outlineLevel="0" collapsed="false">
      <c r="A7151" s="2" t="s">
        <v>286</v>
      </c>
      <c r="G7151" s="16" t="n">
        <f aca="false">G7147*G7145</f>
        <v>331.7587182</v>
      </c>
      <c r="H7151" s="16" t="n">
        <f aca="false">H7147*H7145</f>
        <v>351.664241292</v>
      </c>
      <c r="I7151" s="16" t="n">
        <f aca="false">I7147*I7145</f>
        <v>369.172096733466</v>
      </c>
      <c r="J7151" s="16" t="n">
        <f aca="false">J7147*J7145</f>
        <v>389.289300845319</v>
      </c>
      <c r="K7151" s="16" t="n">
        <f aca="false">K7147*K7145</f>
        <v>410.413970258837</v>
      </c>
    </row>
    <row r="7152" customFormat="false" ht="15" hidden="false" customHeight="false" outlineLevel="0" collapsed="false">
      <c r="A7152" s="3" t="s">
        <v>287</v>
      </c>
      <c r="G7152" s="25" t="n">
        <f aca="false">G7147*'Historical Financials'!G28/'Historical Financials'!G23</f>
        <v>89.98728</v>
      </c>
      <c r="H7152" s="25" t="n">
        <f aca="false">H7147*'Historical Financials'!G28/'Historical Financials'!G23</f>
        <v>95.3865168</v>
      </c>
      <c r="I7152" s="25" t="n">
        <f aca="false">I7147*'Historical Financials'!G28/'Historical Financials'!G23</f>
        <v>101.586640392</v>
      </c>
      <c r="J7152" s="25" t="n">
        <f aca="false">J7147*'Historical Financials'!G28/'Historical Financials'!G23</f>
        <v>108.69770521944</v>
      </c>
      <c r="K7152" s="25" t="n">
        <f aca="false">K7147*'Historical Financials'!G28/'Historical Financials'!G23</f>
        <v>116.306544584801</v>
      </c>
    </row>
    <row r="7153" customFormat="false" ht="15" hidden="false" customHeight="false" outlineLevel="0" collapsed="false">
      <c r="A7153" s="3" t="s">
        <v>288</v>
      </c>
      <c r="G7153" s="25" t="n">
        <f aca="false">G7147*'Historical Financials'!G29/'Historical Financials'!G23</f>
        <v>25.69558</v>
      </c>
      <c r="H7153" s="25" t="n">
        <f aca="false">H7147*'Historical Financials'!G29/'Historical Financials'!G23</f>
        <v>27.2373148</v>
      </c>
      <c r="I7153" s="25" t="n">
        <f aca="false">I7147*'Historical Financials'!G29/'Historical Financials'!G23</f>
        <v>29.007740262</v>
      </c>
      <c r="J7153" s="25" t="n">
        <f aca="false">J7147*'Historical Financials'!G29/'Historical Financials'!G23</f>
        <v>31.03828208034</v>
      </c>
      <c r="K7153" s="25" t="n">
        <f aca="false">K7147*'Historical Financials'!G29/'Historical Financials'!G23</f>
        <v>33.2109618259638</v>
      </c>
    </row>
    <row r="7154" customFormat="false" ht="15" hidden="false" customHeight="false" outlineLevel="0" collapsed="false">
      <c r="A7154" s="2" t="s">
        <v>289</v>
      </c>
      <c r="G7154" s="16" t="n">
        <f aca="false">G7151-G7152-G7153</f>
        <v>216.0758582</v>
      </c>
      <c r="H7154" s="16" t="n">
        <f aca="false">H7151-H7152-H7153</f>
        <v>229.040409692</v>
      </c>
      <c r="I7154" s="16" t="n">
        <f aca="false">I7151-I7152-I7153</f>
        <v>238.577716079466</v>
      </c>
      <c r="J7154" s="16" t="n">
        <f aca="false">J7151-J7152-J7153</f>
        <v>249.553313545539</v>
      </c>
      <c r="K7154" s="16" t="n">
        <f aca="false">K7151-K7152-K7153</f>
        <v>260.896463848072</v>
      </c>
    </row>
    <row r="7155" customFormat="false" ht="15" hidden="false" customHeight="false" outlineLevel="0" collapsed="false">
      <c r="A7155" s="3" t="s">
        <v>290</v>
      </c>
      <c r="G7155" s="25" t="n">
        <f aca="false">G7181+G7194+G7207</f>
        <v>155.95467</v>
      </c>
      <c r="H7155" s="25" t="n">
        <f aca="false">H7181+H7194+H7207</f>
        <v>155.95467</v>
      </c>
      <c r="I7155" s="25" t="n">
        <f aca="false">I7181+I7194+I7207</f>
        <v>155.95467</v>
      </c>
      <c r="J7155" s="25" t="n">
        <f aca="false">J7181+J7194+J7207</f>
        <v>138.08529</v>
      </c>
      <c r="K7155" s="25" t="n">
        <f aca="false">K7181+K7194+K7207</f>
        <v>138.08529</v>
      </c>
    </row>
    <row r="7156" customFormat="false" ht="15" hidden="false" customHeight="false" outlineLevel="0" collapsed="false">
      <c r="A7156" s="3" t="s">
        <v>291</v>
      </c>
      <c r="G7156" s="25" t="n">
        <f aca="false">G7182+G7195+G7208</f>
        <v>0</v>
      </c>
      <c r="H7156" s="25" t="n">
        <f aca="false">H7182+H7195+H7208</f>
        <v>0</v>
      </c>
      <c r="I7156" s="25" t="n">
        <f aca="false">I7182+I7195+I7208</f>
        <v>0</v>
      </c>
      <c r="J7156" s="25" t="n">
        <f aca="false">J7182+J7195+J7208</f>
        <v>0</v>
      </c>
      <c r="K7156" s="25" t="n">
        <f aca="false">K7182+K7195+K7208</f>
        <v>0</v>
      </c>
    </row>
    <row r="7157" customFormat="false" ht="15" hidden="false" customHeight="false" outlineLevel="0" collapsed="false">
      <c r="A7157" s="3" t="s">
        <v>239</v>
      </c>
      <c r="G7157" s="25" t="n">
        <f aca="false">G7155+G7156</f>
        <v>155.95467</v>
      </c>
      <c r="H7157" s="25" t="n">
        <f aca="false">H7155+H7156</f>
        <v>155.95467</v>
      </c>
      <c r="I7157" s="25" t="n">
        <f aca="false">I7155+I7156</f>
        <v>155.95467</v>
      </c>
      <c r="J7157" s="25" t="n">
        <f aca="false">J7155+J7156</f>
        <v>138.08529</v>
      </c>
      <c r="K7157" s="25" t="n">
        <f aca="false">K7155+K7156</f>
        <v>138.08529</v>
      </c>
    </row>
    <row r="7158" customFormat="false" ht="15" hidden="false" customHeight="false" outlineLevel="0" collapsed="false">
      <c r="A7158" s="2" t="s">
        <v>264</v>
      </c>
      <c r="G7158" s="16" t="n">
        <f aca="false">G7154-G7157</f>
        <v>60.1211881999999</v>
      </c>
      <c r="H7158" s="16" t="n">
        <f aca="false">H7154-H7157</f>
        <v>73.085739692</v>
      </c>
      <c r="I7158" s="16" t="n">
        <f aca="false">I7154-I7157</f>
        <v>82.623046079466</v>
      </c>
      <c r="J7158" s="16" t="n">
        <f aca="false">J7154-J7157</f>
        <v>111.468023545539</v>
      </c>
      <c r="K7158" s="16" t="n">
        <f aca="false">K7154-K7157</f>
        <v>122.811173848072</v>
      </c>
    </row>
    <row r="7159" customFormat="false" ht="15" hidden="false" customHeight="false" outlineLevel="0" collapsed="false">
      <c r="A7159" s="3" t="s">
        <v>292</v>
      </c>
      <c r="G7159" s="25" t="n">
        <f aca="false">MAX(0,G7158)*Assumptions!$C$9</f>
        <v>15.03029705</v>
      </c>
      <c r="H7159" s="25" t="n">
        <f aca="false">MAX(0,H7158)*Assumptions!$C$9</f>
        <v>18.271434923</v>
      </c>
      <c r="I7159" s="25" t="n">
        <f aca="false">MAX(0,I7158)*Assumptions!$C$9</f>
        <v>20.6557615198665</v>
      </c>
      <c r="J7159" s="25" t="n">
        <f aca="false">MAX(0,J7158)*Assumptions!$C$9</f>
        <v>27.8670058863847</v>
      </c>
      <c r="K7159" s="25" t="n">
        <f aca="false">MAX(0,K7158)*Assumptions!$C$9</f>
        <v>30.702793462018</v>
      </c>
    </row>
    <row r="7160" customFormat="false" ht="15" hidden="false" customHeight="false" outlineLevel="0" collapsed="false">
      <c r="A7160" s="2" t="s">
        <v>293</v>
      </c>
      <c r="G7160" s="16" t="n">
        <f aca="false">G7158-G7159</f>
        <v>45.0908911499999</v>
      </c>
      <c r="H7160" s="16" t="n">
        <f aca="false">H7158-H7159</f>
        <v>54.814304769</v>
      </c>
      <c r="I7160" s="16" t="n">
        <f aca="false">I7158-I7159</f>
        <v>61.9672845595995</v>
      </c>
      <c r="J7160" s="16" t="n">
        <f aca="false">J7158-J7159</f>
        <v>83.601017659154</v>
      </c>
      <c r="K7160" s="16" t="n">
        <f aca="false">K7158-K7159</f>
        <v>92.108380386054</v>
      </c>
    </row>
    <row r="7161" customFormat="false" ht="15" hidden="false" customHeight="false" outlineLevel="0" collapsed="false">
      <c r="A7161" s="23" t="s">
        <v>294</v>
      </c>
      <c r="B7161" s="24"/>
      <c r="C7161" s="24"/>
      <c r="D7161" s="24"/>
      <c r="E7161" s="24"/>
      <c r="F7161" s="24"/>
      <c r="G7161" s="24"/>
      <c r="H7161" s="24"/>
      <c r="I7161" s="24"/>
      <c r="J7161" s="24"/>
      <c r="K7161" s="24"/>
    </row>
    <row r="7162" customFormat="false" ht="15" hidden="false" customHeight="false" outlineLevel="0" collapsed="false">
      <c r="A7162" s="3" t="s">
        <v>169</v>
      </c>
      <c r="G7162" s="25" t="n">
        <f aca="false">G7147*CHOOSE($C$7134,Assumptions!$C$75,Assumptions!$C$94,Assumptions!$C$113)</f>
        <v>33.17587182</v>
      </c>
      <c r="H7162" s="25" t="n">
        <f aca="false">H7147*CHOOSE($C$7134,Assumptions!$C$75,Assumptions!$C$94,Assumptions!$C$113)</f>
        <v>35.1664241292</v>
      </c>
      <c r="I7162" s="25" t="n">
        <f aca="false">I7147*CHOOSE($C$7134,Assumptions!$C$75,Assumptions!$C$94,Assumptions!$C$113)</f>
        <v>37.452241697598</v>
      </c>
      <c r="J7162" s="25" t="n">
        <f aca="false">J7147*CHOOSE($C$7134,Assumptions!$C$75,Assumptions!$C$94,Assumptions!$C$113)</f>
        <v>40.0738986164299</v>
      </c>
      <c r="K7162" s="25" t="n">
        <f aca="false">K7147*CHOOSE($C$7134,Assumptions!$C$75,Assumptions!$C$94,Assumptions!$C$113)</f>
        <v>42.8790715195799</v>
      </c>
    </row>
    <row r="7163" customFormat="false" ht="15" hidden="false" customHeight="false" outlineLevel="0" collapsed="false">
      <c r="A7163" s="3" t="s">
        <v>295</v>
      </c>
      <c r="G7163" s="25" t="n">
        <f aca="false">CHOOSE($C$7134,Assumptions!$C$76,Assumptions!$C$95,Assumptions!$C$114)*(G7147-F7147)+CHOOSE($C$7134,Assumptions!$C$77,Assumptions!$C$96,Assumptions!$C$115)*G7147</f>
        <v>-23.6970513</v>
      </c>
      <c r="H7163" s="25" t="n">
        <f aca="false">CHOOSE($C$7134,Assumptions!$C$76,Assumptions!$C$95,Assumptions!$C$114)*(H7147-G7147)+CHOOSE($C$7134,Assumptions!$C$77,Assumptions!$C$96,Assumptions!$C$115)*H7147</f>
        <v>-25.118874378</v>
      </c>
      <c r="I7163" s="25" t="n">
        <f aca="false">CHOOSE($C$7134,Assumptions!$C$76,Assumptions!$C$95,Assumptions!$C$114)*(I7147-H7147)+CHOOSE($C$7134,Assumptions!$C$77,Assumptions!$C$96,Assumptions!$C$115)*I7147</f>
        <v>-26.75160121257</v>
      </c>
      <c r="J7163" s="25" t="n">
        <f aca="false">CHOOSE($C$7134,Assumptions!$C$76,Assumptions!$C$95,Assumptions!$C$114)*(J7147-I7147)+CHOOSE($C$7134,Assumptions!$C$77,Assumptions!$C$96,Assumptions!$C$115)*J7147</f>
        <v>-28.6242132974499</v>
      </c>
      <c r="K7163" s="25" t="n">
        <f aca="false">CHOOSE($C$7134,Assumptions!$C$76,Assumptions!$C$95,Assumptions!$C$114)*(K7147-J7147)+CHOOSE($C$7134,Assumptions!$C$77,Assumptions!$C$96,Assumptions!$C$115)*K7147</f>
        <v>-30.6279082282714</v>
      </c>
    </row>
    <row r="7164" customFormat="false" ht="15" hidden="false" customHeight="false" outlineLevel="0" collapsed="false">
      <c r="A7164" s="2" t="s">
        <v>296</v>
      </c>
      <c r="G7164" s="16" t="n">
        <f aca="false">G7160+G7152+G7153+G7156-G7162-G7163</f>
        <v>151.29493063</v>
      </c>
      <c r="H7164" s="16" t="n">
        <f aca="false">H7160+H7152+H7153+H7156-H7162-H7163</f>
        <v>167.3905866178</v>
      </c>
      <c r="I7164" s="16" t="n">
        <f aca="false">I7160+I7152+I7153+I7156-I7162-I7163</f>
        <v>181.861024728571</v>
      </c>
      <c r="J7164" s="16" t="n">
        <f aca="false">J7160+J7152+J7153+J7156-J7162-J7163</f>
        <v>211.887319639954</v>
      </c>
      <c r="K7164" s="16" t="n">
        <f aca="false">K7160+K7152+K7153+K7156-K7162-K7163</f>
        <v>229.37472350551</v>
      </c>
    </row>
    <row r="7166" customFormat="false" ht="15" hidden="false" customHeight="false" outlineLevel="0" collapsed="false">
      <c r="A7166" s="23" t="s">
        <v>298</v>
      </c>
      <c r="B7166" s="24"/>
      <c r="C7166" s="24"/>
      <c r="D7166" s="24"/>
      <c r="E7166" s="24"/>
      <c r="F7166" s="24"/>
      <c r="G7166" s="24"/>
      <c r="H7166" s="24"/>
      <c r="I7166" s="24"/>
      <c r="J7166" s="24"/>
      <c r="K7166" s="24"/>
    </row>
    <row r="7167" customFormat="false" ht="15" hidden="false" customHeight="false" outlineLevel="0" collapsed="false">
      <c r="A7167" s="3" t="s">
        <v>299</v>
      </c>
      <c r="G7167" s="30" t="n">
        <f aca="false">Assumptions!$G$52</f>
        <v>0.039</v>
      </c>
      <c r="H7167" s="30" t="n">
        <f aca="false">Assumptions!$H$52</f>
        <v>0.0375</v>
      </c>
      <c r="I7167" s="30" t="n">
        <f aca="false">Assumptions!$I$52</f>
        <v>0.035</v>
      </c>
      <c r="J7167" s="30" t="n">
        <f aca="false">Assumptions!$J$52</f>
        <v>0.035</v>
      </c>
      <c r="K7167" s="30" t="n">
        <f aca="false">Assumptions!$K$52</f>
        <v>0.035</v>
      </c>
    </row>
    <row r="7168" customFormat="false" ht="15" hidden="false" customHeight="false" outlineLevel="0" collapsed="false">
      <c r="A7168" s="3" t="s">
        <v>300</v>
      </c>
      <c r="C7168" s="31" t="n">
        <f aca="false">CHOOSE($C$7134,Assumptions!$C$78,Assumptions!$C$97,Assumptions!$C$116)+$C$7137</f>
        <v>0</v>
      </c>
    </row>
    <row r="7169" customFormat="false" ht="15" hidden="false" customHeight="false" outlineLevel="0" collapsed="false">
      <c r="A7169" s="3" t="s">
        <v>301</v>
      </c>
      <c r="C7169" s="31" t="n">
        <f aca="false">CHOOSE($C$7134,Assumptions!$C$79,Assumptions!$C$98,Assumptions!$C$117)</f>
        <v>0.11</v>
      </c>
    </row>
    <row r="7170" customFormat="false" ht="15" hidden="false" customHeight="false" outlineLevel="0" collapsed="false">
      <c r="A7170" s="3" t="s">
        <v>302</v>
      </c>
      <c r="C7170" s="32" t="n">
        <f aca="false">CHOOSE($C$7134,Assumptions!$C$80,Assumptions!$C$99,Assumptions!$C$118)</f>
        <v>6</v>
      </c>
    </row>
    <row r="7171" customFormat="false" ht="15" hidden="false" customHeight="false" outlineLevel="0" collapsed="false">
      <c r="A7171" s="3" t="s">
        <v>303</v>
      </c>
      <c r="C7171" s="32" t="n">
        <f aca="false">CHOOSE($C$7134,Assumptions!$C$81,Assumptions!$C$100,Assumptions!$C$119)</f>
        <v>1.25</v>
      </c>
    </row>
    <row r="7172" customFormat="false" ht="15" hidden="false" customHeight="false" outlineLevel="0" collapsed="false">
      <c r="A7172" s="3" t="s">
        <v>304</v>
      </c>
      <c r="G7172" s="25" t="n">
        <f aca="false">G7177+G7190+G7203</f>
        <v>1735.554</v>
      </c>
      <c r="H7172" s="25" t="n">
        <f aca="false">H7177+H7190+H7203</f>
        <v>1735.554</v>
      </c>
      <c r="I7172" s="25" t="n">
        <f aca="false">I7177+I7190+I7203</f>
        <v>1735.554</v>
      </c>
      <c r="J7172" s="25" t="n">
        <f aca="false">J7177+J7190+J7203</f>
        <v>1315.098</v>
      </c>
      <c r="K7172" s="25" t="n">
        <f aca="false">K7177+K7190+K7203</f>
        <v>1315.098</v>
      </c>
    </row>
    <row r="7173" customFormat="false" ht="15" hidden="false" customHeight="false" outlineLevel="0" collapsed="false">
      <c r="A7173" s="3" t="s">
        <v>305</v>
      </c>
      <c r="G7173" s="25" t="n">
        <f aca="false">F7246</f>
        <v>463.996</v>
      </c>
      <c r="H7173" s="25" t="n">
        <f aca="false">G7246</f>
        <v>615.29093063</v>
      </c>
      <c r="I7173" s="25" t="n">
        <f aca="false">H7246</f>
        <v>782.6815172478</v>
      </c>
      <c r="J7173" s="25" t="n">
        <f aca="false">I7246</f>
        <v>544.086541976371</v>
      </c>
      <c r="K7173" s="25" t="n">
        <f aca="false">J7246</f>
        <v>755.973861616325</v>
      </c>
    </row>
    <row r="7174" customFormat="false" ht="15" hidden="false" customHeight="false" outlineLevel="0" collapsed="false">
      <c r="A7174" s="3" t="s">
        <v>306</v>
      </c>
      <c r="G7174" s="25" t="n">
        <f aca="false">G7177*IF(G7178=1,$C$7169,IF(Assumptions!$I$56=1,MAX(G7167,Assumptions!$G$56)+Assumptions!$F$56+$C$7168,Assumptions!$E$56))+G7190*IF(G7191=1,$C$7169,IF(Assumptions!$I$57=1,MAX(G7167,Assumptions!$G$57)+Assumptions!$F$57+$C$7168,Assumptions!$E$57))+G7203*IF(G7204=1,$C$7169,IF(Assumptions!$I$58=1,MAX(G7167,Assumptions!$G$58)+Assumptions!$F$58+$C$7168,Assumptions!$E$58))</f>
        <v>155.95467</v>
      </c>
      <c r="H7174" s="25" t="n">
        <f aca="false">H7177*IF(OR(H7178=1,G7324=1),$C$7169,IF(Assumptions!$I$56=1,MAX(H7167,Assumptions!$G$56)+Assumptions!$F$56+$C$7168,Assumptions!$E$56))+H7190*IF(OR(H7191=1,G7325=1),$C$7169,IF(Assumptions!$I$57=1,MAX(H7167,Assumptions!$G$57)+Assumptions!$F$57+$C$7168,Assumptions!$E$57))+H7203*IF(OR(H7204=1,G7326=1),$C$7169,IF(Assumptions!$I$58=1,MAX(H7167,Assumptions!$G$58)+Assumptions!$F$58+$C$7168,Assumptions!$E$58))</f>
        <v>155.95467</v>
      </c>
      <c r="I7174" s="25" t="n">
        <f aca="false">I7177*IF(OR(I7178=1,H7324=1),$C$7169,IF(Assumptions!$I$56=1,MAX(I7167,Assumptions!$G$56)+Assumptions!$F$56+$C$7168,Assumptions!$E$56))+I7190*IF(OR(I7191=1,H7325=1),$C$7169,IF(Assumptions!$I$57=1,MAX(I7167,Assumptions!$G$57)+Assumptions!$F$57+$C$7168,Assumptions!$E$57))+I7203*IF(OR(I7204=1,H7326=1),$C$7169,IF(Assumptions!$I$58=1,MAX(I7167,Assumptions!$G$58)+Assumptions!$F$58+$C$7168,Assumptions!$E$58))</f>
        <v>184.33545</v>
      </c>
      <c r="J7174" s="25" t="n">
        <f aca="false">J7177*IF(OR(J7178=1,I7324=1),$C$7169,IF(Assumptions!$I$56=1,MAX(J7167,Assumptions!$G$56)+Assumptions!$F$56+$C$7168,Assumptions!$E$56))+J7190*IF(OR(J7191=1,I7325=1),$C$7169,IF(Assumptions!$I$57=1,MAX(J7167,Assumptions!$G$57)+Assumptions!$F$57+$C$7168,Assumptions!$E$57))+J7203*IF(OR(J7204=1,I7326=1),$C$7169,IF(Assumptions!$I$58=1,MAX(J7167,Assumptions!$G$58)+Assumptions!$F$58+$C$7168,Assumptions!$E$58))</f>
        <v>138.08529</v>
      </c>
      <c r="K7174" s="25" t="n">
        <f aca="false">K7177*IF(OR(K7178=1,J7324=1),$C$7169,IF(Assumptions!$I$56=1,MAX(K7167,Assumptions!$G$56)+Assumptions!$F$56+$C$7168,Assumptions!$E$56))+K7190*IF(OR(K7191=1,J7325=1),$C$7169,IF(Assumptions!$I$57=1,MAX(K7167,Assumptions!$G$57)+Assumptions!$F$57+$C$7168,Assumptions!$E$57))+K7203*IF(OR(K7204=1,J7326=1),$C$7169,IF(Assumptions!$I$58=1,MAX(K7167,Assumptions!$G$58)+Assumptions!$F$58+$C$7168,Assumptions!$E$58))</f>
        <v>138.08529</v>
      </c>
    </row>
    <row r="7175" customFormat="false" ht="15" hidden="false" customHeight="false" outlineLevel="0" collapsed="false">
      <c r="A7175" s="3" t="s">
        <v>307</v>
      </c>
      <c r="G7175" s="20" t="n">
        <f aca="false">IF(G7151&lt;=0,0,IF(AND((G7172-G7173)/G7151&lt;=$C$7170,G7151/G7174&gt;=$C$7171),1,0))</f>
        <v>1</v>
      </c>
      <c r="H7175" s="20" t="n">
        <f aca="false">IF(H7151&lt;=0,0,IF(AND((H7172-H7173)/H7151&lt;=$C$7170,H7151/H7174&gt;=$C$7171),1,0))</f>
        <v>1</v>
      </c>
      <c r="I7175" s="20" t="n">
        <f aca="false">IF(I7151&lt;=0,0,IF(AND((I7172-I7173)/I7151&lt;=$C$7170,I7151/I7174&gt;=$C$7171),1,0))</f>
        <v>1</v>
      </c>
      <c r="J7175" s="20" t="n">
        <f aca="false">IF(J7151&lt;=0,0,IF(AND((J7172-J7173)/J7151&lt;=$C$7170,J7151/J7174&gt;=$C$7171),1,0))</f>
        <v>1</v>
      </c>
      <c r="K7175" s="20" t="n">
        <f aca="false">IF(K7151&lt;=0,0,IF(AND((K7172-K7173)/K7151&lt;=$C$7170,K7151/K7174&gt;=$C$7171),1,0))</f>
        <v>1</v>
      </c>
    </row>
    <row r="7176" customFormat="false" ht="15" hidden="false" customHeight="false" outlineLevel="0" collapsed="false">
      <c r="A7176" s="23" t="s">
        <v>308</v>
      </c>
      <c r="B7176" s="24"/>
      <c r="C7176" s="24"/>
      <c r="D7176" s="24"/>
      <c r="E7176" s="24"/>
      <c r="F7176" s="24"/>
      <c r="G7176" s="24"/>
      <c r="H7176" s="24"/>
      <c r="I7176" s="24"/>
      <c r="J7176" s="24"/>
      <c r="K7176" s="24"/>
    </row>
    <row r="7177" customFormat="false" ht="15" hidden="false" customHeight="false" outlineLevel="0" collapsed="false">
      <c r="A7177" s="3" t="s">
        <v>309</v>
      </c>
      <c r="G7177" s="25" t="n">
        <f aca="false">F7188</f>
        <v>1315.098</v>
      </c>
      <c r="H7177" s="25" t="n">
        <f aca="false">G7188</f>
        <v>1315.098</v>
      </c>
      <c r="I7177" s="25" t="n">
        <f aca="false">H7188</f>
        <v>1315.098</v>
      </c>
      <c r="J7177" s="25" t="n">
        <f aca="false">I7188</f>
        <v>1315.098</v>
      </c>
      <c r="K7177" s="25" t="n">
        <f aca="false">J7188</f>
        <v>1315.098</v>
      </c>
    </row>
    <row r="7178" customFormat="false" ht="15" hidden="false" customHeight="false" outlineLevel="0" collapsed="false">
      <c r="A7178" s="3" t="s">
        <v>310</v>
      </c>
      <c r="G7178" s="20" t="n">
        <f aca="false">IF(G7141=Assumptions!$K$56,1,0)</f>
        <v>0</v>
      </c>
      <c r="H7178" s="20" t="n">
        <f aca="false">IF(H7141=Assumptions!$K$56,1,0)</f>
        <v>0</v>
      </c>
      <c r="I7178" s="20" t="n">
        <f aca="false">IF(I7141=Assumptions!$K$56,1,0)</f>
        <v>0</v>
      </c>
      <c r="J7178" s="20" t="n">
        <f aca="false">IF(J7141=Assumptions!$K$56,1,0)</f>
        <v>0</v>
      </c>
      <c r="K7178" s="20" t="n">
        <f aca="false">IF(K7141=Assumptions!$K$56,1,0)</f>
        <v>0</v>
      </c>
    </row>
    <row r="7180" customFormat="false" ht="15" hidden="false" customHeight="false" outlineLevel="0" collapsed="false">
      <c r="A7180" s="3" t="s">
        <v>311</v>
      </c>
      <c r="G7180" s="31" t="n">
        <f aca="false">IF(Assumptions!$I$56=1,MAX(G7167,Assumptions!$G$56)+Assumptions!$F$56+$C$7168,Assumptions!$E$56)</f>
        <v>0.105</v>
      </c>
      <c r="H7180" s="31" t="n">
        <f aca="false">IF(G7324=1,$C$7169,IF(Assumptions!$I$56=1,MAX(H7167,Assumptions!$G$56)+Assumptions!$F$56+$C$7168,Assumptions!$E$56))</f>
        <v>0.105</v>
      </c>
      <c r="I7180" s="31" t="n">
        <f aca="false">IF(H7324=1,$C$7169,IF(Assumptions!$I$56=1,MAX(I7167,Assumptions!$G$56)+Assumptions!$F$56+$C$7168,Assumptions!$E$56))</f>
        <v>0.105</v>
      </c>
      <c r="J7180" s="31" t="n">
        <f aca="false">IF(I7324=1,$C$7169,IF(Assumptions!$I$56=1,MAX(J7167,Assumptions!$G$56)+Assumptions!$F$56+$C$7168,Assumptions!$E$56))</f>
        <v>0.105</v>
      </c>
      <c r="K7180" s="31" t="n">
        <f aca="false">IF(J7324=1,$C$7169,IF(Assumptions!$I$56=1,MAX(K7167,Assumptions!$G$56)+Assumptions!$F$56+$C$7168,Assumptions!$E$56))</f>
        <v>0.105</v>
      </c>
    </row>
    <row r="7181" customFormat="false" ht="15" hidden="false" customHeight="false" outlineLevel="0" collapsed="false">
      <c r="A7181" s="3" t="s">
        <v>312</v>
      </c>
      <c r="G7181" s="25" t="n">
        <f aca="false">G7177*G7180</f>
        <v>138.08529</v>
      </c>
      <c r="H7181" s="25" t="n">
        <f aca="false">H7177*H7180</f>
        <v>138.08529</v>
      </c>
      <c r="I7181" s="25" t="n">
        <f aca="false">I7177*I7180</f>
        <v>138.08529</v>
      </c>
      <c r="J7181" s="25" t="n">
        <f aca="false">J7177*J7180</f>
        <v>138.08529</v>
      </c>
      <c r="K7181" s="25" t="n">
        <f aca="false">K7177*K7180</f>
        <v>138.08529</v>
      </c>
    </row>
    <row r="7182" customFormat="false" ht="15" hidden="false" customHeight="false" outlineLevel="0" collapsed="false">
      <c r="A7182" s="3" t="s">
        <v>313</v>
      </c>
      <c r="G7182" s="25" t="n">
        <f aca="false">G7177*Assumptions!$H$56</f>
        <v>0</v>
      </c>
      <c r="H7182" s="25" t="n">
        <f aca="false">H7177*Assumptions!$H$56</f>
        <v>0</v>
      </c>
      <c r="I7182" s="25" t="n">
        <f aca="false">I7177*Assumptions!$H$56</f>
        <v>0</v>
      </c>
      <c r="J7182" s="25" t="n">
        <f aca="false">J7177*Assumptions!$H$56</f>
        <v>0</v>
      </c>
      <c r="K7182" s="25" t="n">
        <f aca="false">K7177*Assumptions!$H$56</f>
        <v>0</v>
      </c>
    </row>
    <row r="7183" customFormat="false" ht="15" hidden="false" customHeight="false" outlineLevel="0" collapsed="false">
      <c r="A7183" s="3" t="s">
        <v>314</v>
      </c>
      <c r="G7183" s="25" t="n">
        <f aca="false">MIN(G7177,Assumptions!$L$56*Assumptions!$C$56)</f>
        <v>0</v>
      </c>
      <c r="H7183" s="25" t="n">
        <f aca="false">MIN(H7177,Assumptions!$L$56*Assumptions!$C$56)</f>
        <v>0</v>
      </c>
      <c r="I7183" s="25" t="n">
        <f aca="false">MIN(I7177,Assumptions!$L$56*Assumptions!$C$56)</f>
        <v>0</v>
      </c>
      <c r="J7183" s="25" t="n">
        <f aca="false">MIN(J7177,Assumptions!$L$56*Assumptions!$C$56)</f>
        <v>0</v>
      </c>
      <c r="K7183" s="25" t="n">
        <f aca="false">MIN(K7177,Assumptions!$L$56*Assumptions!$C$56)</f>
        <v>0</v>
      </c>
    </row>
    <row r="7184" customFormat="false" ht="15" hidden="false" customHeight="false" outlineLevel="0" collapsed="false">
      <c r="A7184" s="3" t="s">
        <v>315</v>
      </c>
      <c r="G7184" s="25" t="n">
        <f aca="false">IF(AND(Assumptions!$P$56=1,G7141&lt;Assumptions!$K$56),MIN(MAX(0,-G7238),MAX(0,Assumptions!$D$56-G7177)),0)</f>
        <v>0</v>
      </c>
      <c r="H7184" s="25" t="n">
        <f aca="false">IF(AND(Assumptions!$P$56=1,OR(H7141&lt;Assumptions!$K$56,G7324=1)),MIN(MAX(0,-H7238),MAX(0,Assumptions!$D$56-H7177)),0)</f>
        <v>0</v>
      </c>
      <c r="I7184" s="25" t="n">
        <f aca="false">IF(AND(Assumptions!$P$56=1,OR(I7141&lt;Assumptions!$K$56,H7324=1)),MIN(MAX(0,-I7238),MAX(0,Assumptions!$D$56-I7177)),0)</f>
        <v>0</v>
      </c>
      <c r="J7184" s="25" t="n">
        <f aca="false">IF(AND(Assumptions!$P$56=1,OR(J7141&lt;Assumptions!$K$56,I7324=1)),MIN(MAX(0,-J7238),MAX(0,Assumptions!$D$56-J7177)),0)</f>
        <v>0</v>
      </c>
      <c r="K7184" s="25" t="n">
        <f aca="false">IF(AND(Assumptions!$P$56=1,OR(K7141&lt;Assumptions!$K$56,J7324=1)),MIN(MAX(0,-K7238),MAX(0,Assumptions!$D$56-K7177)),0)</f>
        <v>0</v>
      </c>
    </row>
    <row r="7185" customFormat="false" ht="15" hidden="false" customHeight="false" outlineLevel="0" collapsed="false">
      <c r="A7185" s="3" t="s">
        <v>316</v>
      </c>
      <c r="G7185" s="25" t="n">
        <f aca="false">G7178*MIN(G7177-G7183+G7182,MAX(0,G7240-Assumptions!$C$12*G7175))</f>
        <v>0</v>
      </c>
      <c r="H7185" s="25" t="n">
        <f aca="false">H7178*MIN(H7177-H7183+H7182,MAX(0,H7240-Assumptions!$C$12*H7175))</f>
        <v>0</v>
      </c>
      <c r="I7185" s="25" t="n">
        <f aca="false">I7178*MIN(I7177-I7183+I7182,MAX(0,I7240-Assumptions!$C$12*I7175))</f>
        <v>0</v>
      </c>
      <c r="J7185" s="25" t="n">
        <f aca="false">J7178*MIN(J7177-J7183+J7182,MAX(0,J7240-Assumptions!$C$12*J7175))</f>
        <v>0</v>
      </c>
      <c r="K7185" s="25" t="n">
        <f aca="false">K7178*MIN(K7177-K7183+K7182,MAX(0,K7240-Assumptions!$C$12*K7175))</f>
        <v>0</v>
      </c>
    </row>
    <row r="7186" customFormat="false" ht="15" hidden="false" customHeight="false" outlineLevel="0" collapsed="false">
      <c r="A7186" s="3" t="s">
        <v>317</v>
      </c>
      <c r="G7186" s="25" t="n">
        <f aca="false">Assumptions!$N$56*MIN(G7177+G7184+G7182-G7183-G7185,MAX(0,G7244))</f>
        <v>0</v>
      </c>
      <c r="H7186" s="25" t="n">
        <f aca="false">Assumptions!$N$56*MIN(H7177+H7184+H7182-H7183-H7185,MAX(0,H7244))</f>
        <v>0</v>
      </c>
      <c r="I7186" s="25" t="n">
        <f aca="false">Assumptions!$N$56*MIN(I7177+I7184+I7182-I7183-I7185,MAX(0,I7244))</f>
        <v>0</v>
      </c>
      <c r="J7186" s="25" t="n">
        <f aca="false">Assumptions!$N$56*MIN(J7177+J7184+J7182-J7183-J7185,MAX(0,J7244))</f>
        <v>0</v>
      </c>
      <c r="K7186" s="25" t="n">
        <f aca="false">Assumptions!$N$56*MIN(K7177+K7184+K7182-K7183-K7185,MAX(0,K7244))</f>
        <v>0</v>
      </c>
    </row>
    <row r="7187" customFormat="false" ht="15" hidden="false" customHeight="false" outlineLevel="0" collapsed="false">
      <c r="A7187" s="3" t="s">
        <v>318</v>
      </c>
      <c r="G7187" s="25" t="n">
        <f aca="false">G7178*(1-G7175)*(G7177-G7183+G7182-G7185)</f>
        <v>0</v>
      </c>
      <c r="H7187" s="25" t="n">
        <f aca="false">H7178*(1-H7175)*(H7177-H7183+H7182-H7185)</f>
        <v>0</v>
      </c>
      <c r="I7187" s="25" t="n">
        <f aca="false">I7178*(1-I7175)*(I7177-I7183+I7182-I7185)</f>
        <v>0</v>
      </c>
      <c r="J7187" s="25" t="n">
        <f aca="false">J7178*(1-J7175)*(J7177-J7183+J7182-J7185)</f>
        <v>0</v>
      </c>
      <c r="K7187" s="25" t="n">
        <f aca="false">K7178*(1-K7175)*(K7177-K7183+K7182-K7185)</f>
        <v>0</v>
      </c>
    </row>
    <row r="7188" customFormat="false" ht="15" hidden="false" customHeight="false" outlineLevel="0" collapsed="false">
      <c r="A7188" s="2" t="s">
        <v>319</v>
      </c>
      <c r="F7188" s="28" t="n">
        <f aca="false">Assumptions!$C$56</f>
        <v>1315.098</v>
      </c>
      <c r="G7188" s="16" t="n">
        <f aca="false">G7177+G7184+G7182-G7183-G7185-G7186</f>
        <v>1315.098</v>
      </c>
      <c r="H7188" s="16" t="n">
        <f aca="false">H7177+H7184+H7182-H7183-H7185-H7186</f>
        <v>1315.098</v>
      </c>
      <c r="I7188" s="16" t="n">
        <f aca="false">I7177+I7184+I7182-I7183-I7185-I7186</f>
        <v>1315.098</v>
      </c>
      <c r="J7188" s="16" t="n">
        <f aca="false">J7177+J7184+J7182-J7183-J7185-J7186</f>
        <v>1315.098</v>
      </c>
      <c r="K7188" s="16" t="n">
        <f aca="false">K7177+K7184+K7182-K7183-K7185-K7186</f>
        <v>1315.098</v>
      </c>
    </row>
    <row r="7189" customFormat="false" ht="15" hidden="false" customHeight="false" outlineLevel="0" collapsed="false">
      <c r="A7189" s="23" t="s">
        <v>320</v>
      </c>
      <c r="B7189" s="24"/>
      <c r="C7189" s="24"/>
      <c r="D7189" s="24"/>
      <c r="E7189" s="24"/>
      <c r="F7189" s="24"/>
      <c r="G7189" s="24"/>
      <c r="H7189" s="24"/>
      <c r="I7189" s="24"/>
      <c r="J7189" s="24"/>
      <c r="K7189" s="24"/>
    </row>
    <row r="7190" customFormat="false" ht="15" hidden="false" customHeight="false" outlineLevel="0" collapsed="false">
      <c r="A7190" s="3" t="s">
        <v>309</v>
      </c>
      <c r="G7190" s="25" t="n">
        <f aca="false">F7201</f>
        <v>276.706</v>
      </c>
      <c r="H7190" s="25" t="n">
        <f aca="false">G7201</f>
        <v>276.706</v>
      </c>
      <c r="I7190" s="25" t="n">
        <f aca="false">H7201</f>
        <v>276.706</v>
      </c>
      <c r="J7190" s="25" t="n">
        <f aca="false">I7201</f>
        <v>0</v>
      </c>
      <c r="K7190" s="25" t="n">
        <f aca="false">J7201</f>
        <v>0</v>
      </c>
    </row>
    <row r="7191" customFormat="false" ht="15" hidden="false" customHeight="false" outlineLevel="0" collapsed="false">
      <c r="A7191" s="3" t="s">
        <v>310</v>
      </c>
      <c r="G7191" s="20" t="n">
        <f aca="false">IF(G7141=Assumptions!$K$57,1,0)</f>
        <v>0</v>
      </c>
      <c r="H7191" s="20" t="n">
        <f aca="false">IF(H7141=Assumptions!$K$57,1,0)</f>
        <v>0</v>
      </c>
      <c r="I7191" s="20" t="n">
        <f aca="false">IF(I7141=Assumptions!$K$57,1,0)</f>
        <v>1</v>
      </c>
      <c r="J7191" s="20" t="n">
        <f aca="false">IF(J7141=Assumptions!$K$57,1,0)</f>
        <v>0</v>
      </c>
      <c r="K7191" s="20" t="n">
        <f aca="false">IF(K7141=Assumptions!$K$57,1,0)</f>
        <v>0</v>
      </c>
    </row>
    <row r="7193" customFormat="false" ht="15" hidden="false" customHeight="false" outlineLevel="0" collapsed="false">
      <c r="A7193" s="3" t="s">
        <v>311</v>
      </c>
      <c r="G7193" s="31" t="n">
        <f aca="false">IF(Assumptions!$I$57=1,MAX(G7167,Assumptions!$G$57)+Assumptions!$F$57+$C$7168,Assumptions!$E$57)</f>
        <v>0.0425</v>
      </c>
      <c r="H7193" s="31" t="n">
        <f aca="false">IF(G7325=1,$C$7169,IF(Assumptions!$I$57=1,MAX(H7167,Assumptions!$G$57)+Assumptions!$F$57+$C$7168,Assumptions!$E$57))</f>
        <v>0.0425</v>
      </c>
      <c r="I7193" s="31" t="n">
        <f aca="false">IF(H7325=1,$C$7169,IF(Assumptions!$I$57=1,MAX(I7167,Assumptions!$G$57)+Assumptions!$F$57+$C$7168,Assumptions!$E$57))</f>
        <v>0.0425</v>
      </c>
      <c r="J7193" s="31" t="n">
        <f aca="false">IF(I7325=1,$C$7169,IF(Assumptions!$I$57=1,MAX(J7167,Assumptions!$G$57)+Assumptions!$F$57+$C$7168,Assumptions!$E$57))</f>
        <v>0.11</v>
      </c>
      <c r="K7193" s="31" t="n">
        <f aca="false">IF(J7325=1,$C$7169,IF(Assumptions!$I$57=1,MAX(K7167,Assumptions!$G$57)+Assumptions!$F$57+$C$7168,Assumptions!$E$57))</f>
        <v>0.11</v>
      </c>
    </row>
    <row r="7194" customFormat="false" ht="15" hidden="false" customHeight="false" outlineLevel="0" collapsed="false">
      <c r="A7194" s="3" t="s">
        <v>312</v>
      </c>
      <c r="G7194" s="25" t="n">
        <f aca="false">G7190*G7193</f>
        <v>11.760005</v>
      </c>
      <c r="H7194" s="25" t="n">
        <f aca="false">H7190*H7193</f>
        <v>11.760005</v>
      </c>
      <c r="I7194" s="25" t="n">
        <f aca="false">I7190*I7193</f>
        <v>11.760005</v>
      </c>
      <c r="J7194" s="25" t="n">
        <f aca="false">J7190*J7193</f>
        <v>0</v>
      </c>
      <c r="K7194" s="25" t="n">
        <f aca="false">K7190*K7193</f>
        <v>0</v>
      </c>
    </row>
    <row r="7195" customFormat="false" ht="15" hidden="false" customHeight="false" outlineLevel="0" collapsed="false">
      <c r="A7195" s="3" t="s">
        <v>313</v>
      </c>
      <c r="G7195" s="25" t="n">
        <f aca="false">G7190*Assumptions!$H$57</f>
        <v>0</v>
      </c>
      <c r="H7195" s="25" t="n">
        <f aca="false">H7190*Assumptions!$H$57</f>
        <v>0</v>
      </c>
      <c r="I7195" s="25" t="n">
        <f aca="false">I7190*Assumptions!$H$57</f>
        <v>0</v>
      </c>
      <c r="J7195" s="25" t="n">
        <f aca="false">J7190*Assumptions!$H$57</f>
        <v>0</v>
      </c>
      <c r="K7195" s="25" t="n">
        <f aca="false">K7190*Assumptions!$H$57</f>
        <v>0</v>
      </c>
    </row>
    <row r="7196" customFormat="false" ht="15" hidden="false" customHeight="false" outlineLevel="0" collapsed="false">
      <c r="A7196" s="3" t="s">
        <v>314</v>
      </c>
      <c r="G7196" s="25" t="n">
        <f aca="false">MIN(G7190,Assumptions!$L$57*Assumptions!$C$57)</f>
        <v>0</v>
      </c>
      <c r="H7196" s="25" t="n">
        <f aca="false">MIN(H7190,Assumptions!$L$57*Assumptions!$C$57)</f>
        <v>0</v>
      </c>
      <c r="I7196" s="25" t="n">
        <f aca="false">MIN(I7190,Assumptions!$L$57*Assumptions!$C$57)</f>
        <v>0</v>
      </c>
      <c r="J7196" s="25" t="n">
        <f aca="false">MIN(J7190,Assumptions!$L$57*Assumptions!$C$57)</f>
        <v>0</v>
      </c>
      <c r="K7196" s="25" t="n">
        <f aca="false">MIN(K7190,Assumptions!$L$57*Assumptions!$C$57)</f>
        <v>0</v>
      </c>
    </row>
    <row r="7197" customFormat="false" ht="15" hidden="false" customHeight="false" outlineLevel="0" collapsed="false">
      <c r="A7197" s="3" t="s">
        <v>315</v>
      </c>
      <c r="G7197" s="25" t="n">
        <f aca="false">IF(AND(Assumptions!$P$57=1,G7141&lt;Assumptions!$K$57),MIN(MAX(0,-G7238),MAX(0,Assumptions!$D$57-G7190)),0)</f>
        <v>0</v>
      </c>
      <c r="H7197" s="25" t="n">
        <f aca="false">IF(AND(Assumptions!$P$57=1,OR(H7141&lt;Assumptions!$K$57,G7325=1)),MIN(MAX(0,-H7238),MAX(0,Assumptions!$D$57-H7190)),0)</f>
        <v>0</v>
      </c>
      <c r="I7197" s="25" t="n">
        <f aca="false">IF(AND(Assumptions!$P$57=1,OR(I7141&lt;Assumptions!$K$57,H7325=1)),MIN(MAX(0,-I7238),MAX(0,Assumptions!$D$57-I7190)),0)</f>
        <v>0</v>
      </c>
      <c r="J7197" s="25" t="n">
        <f aca="false">IF(AND(Assumptions!$P$57=1,OR(J7141&lt;Assumptions!$K$57,I7325=1)),MIN(MAX(0,-J7238),MAX(0,Assumptions!$D$57-J7190)),0)</f>
        <v>0</v>
      </c>
      <c r="K7197" s="25" t="n">
        <f aca="false">IF(AND(Assumptions!$P$57=1,OR(K7141&lt;Assumptions!$K$57,J7325=1)),MIN(MAX(0,-K7238),MAX(0,Assumptions!$D$57-K7190)),0)</f>
        <v>0</v>
      </c>
    </row>
    <row r="7198" customFormat="false" ht="15" hidden="false" customHeight="false" outlineLevel="0" collapsed="false">
      <c r="A7198" s="3" t="s">
        <v>316</v>
      </c>
      <c r="G7198" s="25" t="n">
        <f aca="false">G7191*MIN(G7190-G7196+G7195,MAX(0,G7240-Assumptions!$C$12*G7175-G7185))</f>
        <v>0</v>
      </c>
      <c r="H7198" s="25" t="n">
        <f aca="false">H7191*MIN(H7190-H7196+H7195,MAX(0,H7240-Assumptions!$C$12*H7175-H7185))</f>
        <v>0</v>
      </c>
      <c r="I7198" s="25" t="n">
        <f aca="false">I7191*MIN(I7190-I7196+I7195,MAX(0,I7240-Assumptions!$C$12*I7175-I7185))</f>
        <v>276.706</v>
      </c>
      <c r="J7198" s="25" t="n">
        <f aca="false">J7191*MIN(J7190-J7196+J7195,MAX(0,J7240-Assumptions!$C$12*J7175-J7185))</f>
        <v>0</v>
      </c>
      <c r="K7198" s="25" t="n">
        <f aca="false">K7191*MIN(K7190-K7196+K7195,MAX(0,K7240-Assumptions!$C$12*K7175-K7185))</f>
        <v>0</v>
      </c>
    </row>
    <row r="7199" customFormat="false" ht="15" hidden="false" customHeight="false" outlineLevel="0" collapsed="false">
      <c r="A7199" s="3" t="s">
        <v>317</v>
      </c>
      <c r="G7199" s="25" t="n">
        <f aca="false">Assumptions!$N$57*MIN(G7190+G7197+G7195-G7196-G7198,MAX(0,G7244-G7186))</f>
        <v>0</v>
      </c>
      <c r="H7199" s="25" t="n">
        <f aca="false">Assumptions!$N$57*MIN(H7190+H7197+H7195-H7196-H7198,MAX(0,H7244-H7186))</f>
        <v>0</v>
      </c>
      <c r="I7199" s="25" t="n">
        <f aca="false">Assumptions!$N$57*MIN(I7190+I7197+I7195-I7196-I7198,MAX(0,I7244-I7186))</f>
        <v>0</v>
      </c>
      <c r="J7199" s="25" t="n">
        <f aca="false">Assumptions!$N$57*MIN(J7190+J7197+J7195-J7196-J7198,MAX(0,J7244-J7186))</f>
        <v>0</v>
      </c>
      <c r="K7199" s="25" t="n">
        <f aca="false">Assumptions!$N$57*MIN(K7190+K7197+K7195-K7196-K7198,MAX(0,K7244-K7186))</f>
        <v>0</v>
      </c>
    </row>
    <row r="7200" customFormat="false" ht="15" hidden="false" customHeight="false" outlineLevel="0" collapsed="false">
      <c r="A7200" s="3" t="s">
        <v>318</v>
      </c>
      <c r="G7200" s="25" t="n">
        <f aca="false">G7191*(1-G7175)*(G7190-G7196+G7195-G7198)</f>
        <v>0</v>
      </c>
      <c r="H7200" s="25" t="n">
        <f aca="false">H7191*(1-H7175)*(H7190-H7196+H7195-H7198)</f>
        <v>0</v>
      </c>
      <c r="I7200" s="25" t="n">
        <f aca="false">I7191*(1-I7175)*(I7190-I7196+I7195-I7198)</f>
        <v>0</v>
      </c>
      <c r="J7200" s="25" t="n">
        <f aca="false">J7191*(1-J7175)*(J7190-J7196+J7195-J7198)</f>
        <v>0</v>
      </c>
      <c r="K7200" s="25" t="n">
        <f aca="false">K7191*(1-K7175)*(K7190-K7196+K7195-K7198)</f>
        <v>0</v>
      </c>
    </row>
    <row r="7201" customFormat="false" ht="15" hidden="false" customHeight="false" outlineLevel="0" collapsed="false">
      <c r="A7201" s="2" t="s">
        <v>319</v>
      </c>
      <c r="F7201" s="28" t="n">
        <f aca="false">Assumptions!$C$57</f>
        <v>276.706</v>
      </c>
      <c r="G7201" s="16" t="n">
        <f aca="false">G7190+G7197+G7195-G7196-G7198-G7199</f>
        <v>276.706</v>
      </c>
      <c r="H7201" s="16" t="n">
        <f aca="false">H7190+H7197+H7195-H7196-H7198-H7199</f>
        <v>276.706</v>
      </c>
      <c r="I7201" s="16" t="n">
        <f aca="false">I7190+I7197+I7195-I7196-I7198-I7199</f>
        <v>0</v>
      </c>
      <c r="J7201" s="16" t="n">
        <f aca="false">J7190+J7197+J7195-J7196-J7198-J7199</f>
        <v>0</v>
      </c>
      <c r="K7201" s="16" t="n">
        <f aca="false">K7190+K7197+K7195-K7196-K7198-K7199</f>
        <v>0</v>
      </c>
    </row>
    <row r="7202" customFormat="false" ht="15" hidden="false" customHeight="false" outlineLevel="0" collapsed="false">
      <c r="A7202" s="23" t="s">
        <v>321</v>
      </c>
      <c r="B7202" s="24"/>
      <c r="C7202" s="24"/>
      <c r="D7202" s="24"/>
      <c r="E7202" s="24"/>
      <c r="F7202" s="24"/>
      <c r="G7202" s="24"/>
      <c r="H7202" s="24"/>
      <c r="I7202" s="24"/>
      <c r="J7202" s="24"/>
      <c r="K7202" s="24"/>
    </row>
    <row r="7203" customFormat="false" ht="15" hidden="false" customHeight="false" outlineLevel="0" collapsed="false">
      <c r="A7203" s="3" t="s">
        <v>309</v>
      </c>
      <c r="G7203" s="25" t="n">
        <f aca="false">F7214</f>
        <v>143.75</v>
      </c>
      <c r="H7203" s="25" t="n">
        <f aca="false">G7214</f>
        <v>143.75</v>
      </c>
      <c r="I7203" s="25" t="n">
        <f aca="false">H7214</f>
        <v>143.75</v>
      </c>
      <c r="J7203" s="25" t="n">
        <f aca="false">I7214</f>
        <v>0</v>
      </c>
      <c r="K7203" s="25" t="n">
        <f aca="false">J7214</f>
        <v>0</v>
      </c>
    </row>
    <row r="7204" customFormat="false" ht="15" hidden="false" customHeight="false" outlineLevel="0" collapsed="false">
      <c r="A7204" s="3" t="s">
        <v>310</v>
      </c>
      <c r="G7204" s="20" t="n">
        <f aca="false">IF(G7141=Assumptions!$K$58,1,0)</f>
        <v>0</v>
      </c>
      <c r="H7204" s="20" t="n">
        <f aca="false">IF(H7141=Assumptions!$K$58,1,0)</f>
        <v>0</v>
      </c>
      <c r="I7204" s="20" t="n">
        <f aca="false">IF(I7141=Assumptions!$K$58,1,0)</f>
        <v>1</v>
      </c>
      <c r="J7204" s="20" t="n">
        <f aca="false">IF(J7141=Assumptions!$K$58,1,0)</f>
        <v>0</v>
      </c>
      <c r="K7204" s="20" t="n">
        <f aca="false">IF(K7141=Assumptions!$K$58,1,0)</f>
        <v>0</v>
      </c>
    </row>
    <row r="7206" customFormat="false" ht="15" hidden="false" customHeight="false" outlineLevel="0" collapsed="false">
      <c r="A7206" s="3" t="s">
        <v>311</v>
      </c>
      <c r="G7206" s="31" t="n">
        <f aca="false">IF(Assumptions!$I$58=1,MAX(G7167,Assumptions!$G$58)+Assumptions!$F$58+$C$7168,Assumptions!$E$58)</f>
        <v>0.0425</v>
      </c>
      <c r="H7206" s="31" t="n">
        <f aca="false">IF(G7326=1,$C$7169,IF(Assumptions!$I$58=1,MAX(H7167,Assumptions!$G$58)+Assumptions!$F$58+$C$7168,Assumptions!$E$58))</f>
        <v>0.0425</v>
      </c>
      <c r="I7206" s="31" t="n">
        <f aca="false">IF(H7326=1,$C$7169,IF(Assumptions!$I$58=1,MAX(I7167,Assumptions!$G$58)+Assumptions!$F$58+$C$7168,Assumptions!$E$58))</f>
        <v>0.0425</v>
      </c>
      <c r="J7206" s="31" t="n">
        <f aca="false">IF(I7326=1,$C$7169,IF(Assumptions!$I$58=1,MAX(J7167,Assumptions!$G$58)+Assumptions!$F$58+$C$7168,Assumptions!$E$58))</f>
        <v>0.11</v>
      </c>
      <c r="K7206" s="31" t="n">
        <f aca="false">IF(J7326=1,$C$7169,IF(Assumptions!$I$58=1,MAX(K7167,Assumptions!$G$58)+Assumptions!$F$58+$C$7168,Assumptions!$E$58))</f>
        <v>0.11</v>
      </c>
    </row>
    <row r="7207" customFormat="false" ht="15" hidden="false" customHeight="false" outlineLevel="0" collapsed="false">
      <c r="A7207" s="3" t="s">
        <v>312</v>
      </c>
      <c r="G7207" s="25" t="n">
        <f aca="false">G7203*G7206</f>
        <v>6.109375</v>
      </c>
      <c r="H7207" s="25" t="n">
        <f aca="false">H7203*H7206</f>
        <v>6.109375</v>
      </c>
      <c r="I7207" s="25" t="n">
        <f aca="false">I7203*I7206</f>
        <v>6.109375</v>
      </c>
      <c r="J7207" s="25" t="n">
        <f aca="false">J7203*J7206</f>
        <v>0</v>
      </c>
      <c r="K7207" s="25" t="n">
        <f aca="false">K7203*K7206</f>
        <v>0</v>
      </c>
    </row>
    <row r="7208" customFormat="false" ht="15" hidden="false" customHeight="false" outlineLevel="0" collapsed="false">
      <c r="A7208" s="3" t="s">
        <v>313</v>
      </c>
      <c r="G7208" s="25" t="n">
        <f aca="false">G7203*Assumptions!$H$58</f>
        <v>0</v>
      </c>
      <c r="H7208" s="25" t="n">
        <f aca="false">H7203*Assumptions!$H$58</f>
        <v>0</v>
      </c>
      <c r="I7208" s="25" t="n">
        <f aca="false">I7203*Assumptions!$H$58</f>
        <v>0</v>
      </c>
      <c r="J7208" s="25" t="n">
        <f aca="false">J7203*Assumptions!$H$58</f>
        <v>0</v>
      </c>
      <c r="K7208" s="25" t="n">
        <f aca="false">K7203*Assumptions!$H$58</f>
        <v>0</v>
      </c>
    </row>
    <row r="7209" customFormat="false" ht="15" hidden="false" customHeight="false" outlineLevel="0" collapsed="false">
      <c r="A7209" s="3" t="s">
        <v>314</v>
      </c>
      <c r="G7209" s="25" t="n">
        <f aca="false">MIN(G7203,Assumptions!$L$58*Assumptions!$C$58)</f>
        <v>0</v>
      </c>
      <c r="H7209" s="25" t="n">
        <f aca="false">MIN(H7203,Assumptions!$L$58*Assumptions!$C$58)</f>
        <v>0</v>
      </c>
      <c r="I7209" s="25" t="n">
        <f aca="false">MIN(I7203,Assumptions!$L$58*Assumptions!$C$58)</f>
        <v>0</v>
      </c>
      <c r="J7209" s="25" t="n">
        <f aca="false">MIN(J7203,Assumptions!$L$58*Assumptions!$C$58)</f>
        <v>0</v>
      </c>
      <c r="K7209" s="25" t="n">
        <f aca="false">MIN(K7203,Assumptions!$L$58*Assumptions!$C$58)</f>
        <v>0</v>
      </c>
    </row>
    <row r="7210" customFormat="false" ht="15" hidden="false" customHeight="false" outlineLevel="0" collapsed="false">
      <c r="A7210" s="3" t="s">
        <v>315</v>
      </c>
      <c r="G7210" s="25" t="n">
        <f aca="false">IF(AND(Assumptions!$P$58=1,G7141&lt;Assumptions!$K$58),MIN(MAX(0,-G7238),MAX(0,Assumptions!$D$58-G7203)),0)</f>
        <v>0</v>
      </c>
      <c r="H7210" s="25" t="n">
        <f aca="false">IF(AND(Assumptions!$P$58=1,OR(H7141&lt;Assumptions!$K$58,G7326=1)),MIN(MAX(0,-H7238),MAX(0,Assumptions!$D$58-H7203)),0)</f>
        <v>0</v>
      </c>
      <c r="I7210" s="25" t="n">
        <f aca="false">IF(AND(Assumptions!$P$58=1,OR(I7141&lt;Assumptions!$K$58,H7326=1)),MIN(MAX(0,-I7238),MAX(0,Assumptions!$D$58-I7203)),0)</f>
        <v>0</v>
      </c>
      <c r="J7210" s="25" t="n">
        <f aca="false">IF(AND(Assumptions!$P$58=1,OR(J7141&lt;Assumptions!$K$58,I7326=1)),MIN(MAX(0,-J7238),MAX(0,Assumptions!$D$58-J7203)),0)</f>
        <v>0</v>
      </c>
      <c r="K7210" s="25" t="n">
        <f aca="false">IF(AND(Assumptions!$P$58=1,OR(K7141&lt;Assumptions!$K$58,J7326=1)),MIN(MAX(0,-K7238),MAX(0,Assumptions!$D$58-K7203)),0)</f>
        <v>0</v>
      </c>
    </row>
    <row r="7211" customFormat="false" ht="15" hidden="false" customHeight="false" outlineLevel="0" collapsed="false">
      <c r="A7211" s="3" t="s">
        <v>316</v>
      </c>
      <c r="G7211" s="25" t="n">
        <f aca="false">G7204*MIN(G7203-G7209+G7208,MAX(0,G7240-Assumptions!$C$12*G7175-G7185-G7198))</f>
        <v>0</v>
      </c>
      <c r="H7211" s="25" t="n">
        <f aca="false">H7204*MIN(H7203-H7209+H7208,MAX(0,H7240-Assumptions!$C$12*H7175-H7185-H7198))</f>
        <v>0</v>
      </c>
      <c r="I7211" s="25" t="n">
        <f aca="false">I7204*MIN(I7203-I7209+I7208,MAX(0,I7240-Assumptions!$C$12*I7175-I7185-I7198))</f>
        <v>143.75</v>
      </c>
      <c r="J7211" s="25" t="n">
        <f aca="false">J7204*MIN(J7203-J7209+J7208,MAX(0,J7240-Assumptions!$C$12*J7175-J7185-J7198))</f>
        <v>0</v>
      </c>
      <c r="K7211" s="25" t="n">
        <f aca="false">K7204*MIN(K7203-K7209+K7208,MAX(0,K7240-Assumptions!$C$12*K7175-K7185-K7198))</f>
        <v>0</v>
      </c>
    </row>
    <row r="7212" customFormat="false" ht="15" hidden="false" customHeight="false" outlineLevel="0" collapsed="false">
      <c r="A7212" s="3" t="s">
        <v>317</v>
      </c>
      <c r="G7212" s="25" t="n">
        <f aca="false">Assumptions!$N$58*MIN(G7203+G7210+G7208-G7209-G7211,MAX(0,G7244-G7186-G7199))</f>
        <v>0</v>
      </c>
      <c r="H7212" s="25" t="n">
        <f aca="false">Assumptions!$N$58*MIN(H7203+H7210+H7208-H7209-H7211,MAX(0,H7244-H7186-H7199))</f>
        <v>0</v>
      </c>
      <c r="I7212" s="25" t="n">
        <f aca="false">Assumptions!$N$58*MIN(I7203+I7210+I7208-I7209-I7211,MAX(0,I7244-I7186-I7199))</f>
        <v>0</v>
      </c>
      <c r="J7212" s="25" t="n">
        <f aca="false">Assumptions!$N$58*MIN(J7203+J7210+J7208-J7209-J7211,MAX(0,J7244-J7186-J7199))</f>
        <v>0</v>
      </c>
      <c r="K7212" s="25" t="n">
        <f aca="false">Assumptions!$N$58*MIN(K7203+K7210+K7208-K7209-K7211,MAX(0,K7244-K7186-K7199))</f>
        <v>0</v>
      </c>
    </row>
    <row r="7213" customFormat="false" ht="15" hidden="false" customHeight="false" outlineLevel="0" collapsed="false">
      <c r="A7213" s="3" t="s">
        <v>318</v>
      </c>
      <c r="G7213" s="25" t="n">
        <f aca="false">G7204*(1-G7175)*(G7203-G7209+G7208-G7211)</f>
        <v>0</v>
      </c>
      <c r="H7213" s="25" t="n">
        <f aca="false">H7204*(1-H7175)*(H7203-H7209+H7208-H7211)</f>
        <v>0</v>
      </c>
      <c r="I7213" s="25" t="n">
        <f aca="false">I7204*(1-I7175)*(I7203-I7209+I7208-I7211)</f>
        <v>0</v>
      </c>
      <c r="J7213" s="25" t="n">
        <f aca="false">J7204*(1-J7175)*(J7203-J7209+J7208-J7211)</f>
        <v>0</v>
      </c>
      <c r="K7213" s="25" t="n">
        <f aca="false">K7204*(1-K7175)*(K7203-K7209+K7208-K7211)</f>
        <v>0</v>
      </c>
    </row>
    <row r="7214" customFormat="false" ht="15" hidden="false" customHeight="false" outlineLevel="0" collapsed="false">
      <c r="A7214" s="2" t="s">
        <v>319</v>
      </c>
      <c r="F7214" s="28" t="n">
        <f aca="false">Assumptions!$C$58</f>
        <v>143.75</v>
      </c>
      <c r="G7214" s="16" t="n">
        <f aca="false">G7203+G7210+G7208-G7209-G7211-G7212</f>
        <v>143.75</v>
      </c>
      <c r="H7214" s="16" t="n">
        <f aca="false">H7203+H7210+H7208-H7209-H7211-H7212</f>
        <v>143.75</v>
      </c>
      <c r="I7214" s="16" t="n">
        <f aca="false">I7203+I7210+I7208-I7209-I7211-I7212</f>
        <v>0</v>
      </c>
      <c r="J7214" s="16" t="n">
        <f aca="false">J7203+J7210+J7208-J7209-J7211-J7212</f>
        <v>0</v>
      </c>
      <c r="K7214" s="16" t="n">
        <f aca="false">K7203+K7210+K7208-K7209-K7211-K7212</f>
        <v>0</v>
      </c>
    </row>
    <row r="7215" customFormat="false" ht="15" hidden="false" customHeight="false" outlineLevel="0" collapsed="false">
      <c r="A7215" s="23" t="s">
        <v>322</v>
      </c>
      <c r="B7215" s="24"/>
      <c r="C7215" s="24"/>
      <c r="D7215" s="24"/>
      <c r="E7215" s="24"/>
      <c r="F7215" s="24"/>
      <c r="G7215" s="24"/>
      <c r="H7215" s="24"/>
      <c r="I7215" s="24"/>
      <c r="J7215" s="24"/>
      <c r="K7215" s="24"/>
    </row>
    <row r="7216" customFormat="false" ht="15" hidden="false" customHeight="false" outlineLevel="0" collapsed="false">
      <c r="A7216" s="2" t="s">
        <v>323</v>
      </c>
      <c r="F7216" s="16" t="n">
        <f aca="false">F7188+F7201+F7214</f>
        <v>1735.554</v>
      </c>
      <c r="G7216" s="16" t="n">
        <f aca="false">G7188+G7201+G7214</f>
        <v>1735.554</v>
      </c>
      <c r="H7216" s="16" t="n">
        <f aca="false">H7188+H7201+H7214</f>
        <v>1735.554</v>
      </c>
      <c r="I7216" s="16" t="n">
        <f aca="false">I7188+I7201+I7214</f>
        <v>1315.098</v>
      </c>
      <c r="J7216" s="16" t="n">
        <f aca="false">J7188+J7201+J7214</f>
        <v>1315.098</v>
      </c>
      <c r="K7216" s="16" t="n">
        <f aca="false">K7188+K7201+K7214</f>
        <v>1315.098</v>
      </c>
    </row>
    <row r="7217" customFormat="false" ht="15" hidden="false" customHeight="false" outlineLevel="0" collapsed="false">
      <c r="A7217" s="3" t="s">
        <v>324</v>
      </c>
      <c r="G7217" s="25" t="n">
        <f aca="false">G7178*Assumptions!$C$56+G7191*Assumptions!$C$57+G7204*Assumptions!$C$58</f>
        <v>0</v>
      </c>
      <c r="H7217" s="25" t="n">
        <f aca="false">H7178*Assumptions!$C$56+H7191*Assumptions!$C$57+H7204*Assumptions!$C$58</f>
        <v>0</v>
      </c>
      <c r="I7217" s="25" t="n">
        <f aca="false">I7178*Assumptions!$C$56+I7191*Assumptions!$C$57+I7204*Assumptions!$C$58</f>
        <v>420.456</v>
      </c>
      <c r="J7217" s="25" t="n">
        <f aca="false">J7178*Assumptions!$C$56+J7191*Assumptions!$C$57+J7204*Assumptions!$C$58</f>
        <v>0</v>
      </c>
      <c r="K7217" s="25" t="n">
        <f aca="false">K7178*Assumptions!$C$56+K7191*Assumptions!$C$57+K7204*Assumptions!$C$58</f>
        <v>0</v>
      </c>
    </row>
    <row r="7218" customFormat="false" ht="15" hidden="false" customHeight="false" outlineLevel="0" collapsed="false">
      <c r="A7218" s="23" t="s">
        <v>325</v>
      </c>
      <c r="B7218" s="24"/>
      <c r="C7218" s="24"/>
      <c r="D7218" s="24"/>
      <c r="E7218" s="24"/>
      <c r="F7218" s="24"/>
      <c r="G7218" s="24"/>
      <c r="H7218" s="24"/>
      <c r="I7218" s="24"/>
      <c r="J7218" s="24"/>
      <c r="K7218" s="24"/>
    </row>
    <row r="7219" customFormat="false" ht="15" hidden="false" customHeight="false" outlineLevel="0" collapsed="false">
      <c r="A7219" s="3" t="s">
        <v>326</v>
      </c>
      <c r="C7219" s="25" t="n">
        <f aca="false">SUMPRODUCT($G$7178:$K$7178,$G$7177:$K$7177-$G$7183:$K$7183+$G$7182:$K$7182)</f>
        <v>0</v>
      </c>
    </row>
    <row r="7220" customFormat="false" ht="15" hidden="false" customHeight="false" outlineLevel="0" collapsed="false">
      <c r="A7220" s="3" t="s">
        <v>327</v>
      </c>
      <c r="C7220" s="25" t="n">
        <f aca="false">SUMPRODUCT($G$7178:$K$7178,$G$7185:$K$7185)</f>
        <v>0</v>
      </c>
    </row>
    <row r="7221" customFormat="false" ht="15" hidden="false" customHeight="false" outlineLevel="0" collapsed="false">
      <c r="A7221" s="3" t="s">
        <v>328</v>
      </c>
      <c r="C7221" s="3" t="str">
        <f aca="false">IF(SUM($G$7178:$K$7178)=0,"n/a (beyond horizon)",IF(SUMPRODUCT($G$7178:$K$7178,$G$7175:$K$7175)&gt;0,"REFINANCING PASS","REFINANCING FAILURE"))</f>
        <v>n/a (beyond horizon)</v>
      </c>
    </row>
    <row r="7222" customFormat="false" ht="15" hidden="false" customHeight="false" outlineLevel="0" collapsed="false">
      <c r="A7222" s="3" t="s">
        <v>329</v>
      </c>
      <c r="C7222" s="3" t="str">
        <f aca="false">IF(SUM($G$7178:$K$7178)=0,"n/a",IF(C7220&gt;=C7219-0.001,"Repaid from cash",IF(SUMPRODUCT($G$7178:$K$7178,$G$7175:$K$7175)&gt;0,IF(C7220&gt;0,"Partly repaid; remainder refinanced","Refinanced"),IF(SUM($G$7187:$K$7187)&gt;0.001,IF(C7220&gt;0,"Partial repayment; PAYMENT DEFAULT","PAYMENT DEFAULT"),"Repaid from cash"))))</f>
        <v>n/a</v>
      </c>
    </row>
    <row r="7223" customFormat="false" ht="15" hidden="false" customHeight="false" outlineLevel="0" collapsed="false">
      <c r="A7223" s="3" t="s">
        <v>330</v>
      </c>
      <c r="C7223" s="25" t="n">
        <f aca="false">SUMPRODUCT($G$7191:$K$7191,$G$7190:$K$7190-$G$7196:$K$7196+$G$7195:$K$7195)</f>
        <v>276.706</v>
      </c>
    </row>
    <row r="7224" customFormat="false" ht="15" hidden="false" customHeight="false" outlineLevel="0" collapsed="false">
      <c r="A7224" s="3" t="s">
        <v>331</v>
      </c>
      <c r="C7224" s="25" t="n">
        <f aca="false">SUMPRODUCT($G$7191:$K$7191,$G$7198:$K$7198)</f>
        <v>276.706</v>
      </c>
    </row>
    <row r="7225" customFormat="false" ht="15" hidden="false" customHeight="false" outlineLevel="0" collapsed="false">
      <c r="A7225" s="3" t="s">
        <v>332</v>
      </c>
      <c r="C7225" s="3" t="str">
        <f aca="false">IF(SUM($G$7191:$K$7191)=0,"n/a (beyond horizon)",IF(SUMPRODUCT($G$7191:$K$7191,$G$7175:$K$7175)&gt;0,"REFINANCING PASS","REFINANCING FAILURE"))</f>
        <v>REFINANCING PASS</v>
      </c>
    </row>
    <row r="7226" customFormat="false" ht="15" hidden="false" customHeight="false" outlineLevel="0" collapsed="false">
      <c r="A7226" s="3" t="s">
        <v>333</v>
      </c>
      <c r="C7226" s="3" t="str">
        <f aca="false">IF(SUM($G$7191:$K$7191)=0,"n/a",IF(C7224&gt;=C7223-0.001,"Repaid from cash",IF(SUMPRODUCT($G$7191:$K$7191,$G$7175:$K$7175)&gt;0,IF(C7224&gt;0,"Partly repaid; remainder refinanced","Refinanced"),IF(SUM($G$7200:$K$7200)&gt;0.001,IF(C7224&gt;0,"Partial repayment; PAYMENT DEFAULT","PAYMENT DEFAULT"),"Repaid from cash"))))</f>
        <v>Repaid from cash</v>
      </c>
    </row>
    <row r="7227" customFormat="false" ht="15" hidden="false" customHeight="false" outlineLevel="0" collapsed="false">
      <c r="A7227" s="3" t="s">
        <v>334</v>
      </c>
      <c r="C7227" s="25" t="n">
        <f aca="false">SUMPRODUCT($G$7204:$K$7204,$G$7203:$K$7203-$G$7209:$K$7209+$G$7208:$K$7208)</f>
        <v>143.75</v>
      </c>
    </row>
    <row r="7228" customFormat="false" ht="15" hidden="false" customHeight="false" outlineLevel="0" collapsed="false">
      <c r="A7228" s="3" t="s">
        <v>335</v>
      </c>
      <c r="C7228" s="25" t="n">
        <f aca="false">SUMPRODUCT($G$7204:$K$7204,$G$7211:$K$7211)</f>
        <v>143.75</v>
      </c>
    </row>
    <row r="7229" customFormat="false" ht="15" hidden="false" customHeight="false" outlineLevel="0" collapsed="false">
      <c r="A7229" s="3" t="s">
        <v>336</v>
      </c>
      <c r="C7229" s="3" t="str">
        <f aca="false">IF(SUM($G$7204:$K$7204)=0,"n/a (beyond horizon)",IF(SUMPRODUCT($G$7204:$K$7204,$G$7175:$K$7175)&gt;0,"REFINANCING PASS","REFINANCING FAILURE"))</f>
        <v>REFINANCING PASS</v>
      </c>
    </row>
    <row r="7230" customFormat="false" ht="15" hidden="false" customHeight="false" outlineLevel="0" collapsed="false">
      <c r="A7230" s="3" t="s">
        <v>337</v>
      </c>
      <c r="C7230" s="3" t="str">
        <f aca="false">IF(SUM($G$7204:$K$7204)=0,"n/a",IF(C7228&gt;=C7227-0.001,"Repaid from cash",IF(SUMPRODUCT($G$7204:$K$7204,$G$7175:$K$7175)&gt;0,IF(C7228&gt;0,"Partly repaid; remainder refinanced","Refinanced"),IF(SUM($G$7213:$K$7213)&gt;0.001,IF(C7228&gt;0,"Partial repayment; PAYMENT DEFAULT","PAYMENT DEFAULT"),"Repaid from cash"))))</f>
        <v>Repaid from cash</v>
      </c>
    </row>
    <row r="7231" customFormat="false" ht="15" hidden="false" customHeight="false" outlineLevel="0" collapsed="false">
      <c r="A7231" s="3" t="s">
        <v>338</v>
      </c>
      <c r="C7231" s="20" t="n">
        <f aca="false">IF(C7221="REFINANCING FAILURE",1,0)+IF(C7225="REFINANCING FAILURE",1,0)+IF(C7229="REFINANCING FAILURE",1,0)</f>
        <v>0</v>
      </c>
    </row>
    <row r="7233" customFormat="false" ht="15" hidden="false" customHeight="false" outlineLevel="0" collapsed="false">
      <c r="A7233" s="23" t="s">
        <v>340</v>
      </c>
      <c r="B7233" s="24"/>
      <c r="C7233" s="24"/>
      <c r="D7233" s="24"/>
      <c r="E7233" s="24"/>
      <c r="F7233" s="24"/>
      <c r="G7233" s="24"/>
      <c r="H7233" s="24"/>
      <c r="I7233" s="24"/>
      <c r="J7233" s="24"/>
      <c r="K7233" s="24"/>
    </row>
    <row r="7234" customFormat="false" ht="15" hidden="false" customHeight="false" outlineLevel="0" collapsed="false">
      <c r="A7234" s="3" t="s">
        <v>305</v>
      </c>
      <c r="G7234" s="25" t="n">
        <f aca="false">F7246</f>
        <v>463.996</v>
      </c>
      <c r="H7234" s="25" t="n">
        <f aca="false">G7246</f>
        <v>615.29093063</v>
      </c>
      <c r="I7234" s="25" t="n">
        <f aca="false">H7246</f>
        <v>782.6815172478</v>
      </c>
      <c r="J7234" s="25" t="n">
        <f aca="false">I7246</f>
        <v>544.086541976371</v>
      </c>
      <c r="K7234" s="25" t="n">
        <f aca="false">J7246</f>
        <v>755.973861616325</v>
      </c>
    </row>
    <row r="7235" customFormat="false" ht="15" hidden="false" customHeight="false" outlineLevel="0" collapsed="false">
      <c r="A7235" s="3" t="s">
        <v>341</v>
      </c>
      <c r="G7235" s="25" t="n">
        <f aca="false">G7164</f>
        <v>151.29493063</v>
      </c>
      <c r="H7235" s="25" t="n">
        <f aca="false">H7164</f>
        <v>167.3905866178</v>
      </c>
      <c r="I7235" s="25" t="n">
        <f aca="false">I7164</f>
        <v>181.861024728571</v>
      </c>
      <c r="J7235" s="25" t="n">
        <f aca="false">J7164</f>
        <v>211.887319639954</v>
      </c>
      <c r="K7235" s="25" t="n">
        <f aca="false">K7164</f>
        <v>229.37472350551</v>
      </c>
    </row>
    <row r="7236" customFormat="false" ht="15" hidden="false" customHeight="false" outlineLevel="0" collapsed="false">
      <c r="A7236" s="3" t="s">
        <v>342</v>
      </c>
      <c r="G7236" s="25" t="n">
        <f aca="false">CHOOSE($C$7134,Assumptions!$G$74,Assumptions!$G$93,Assumptions!$G$112)</f>
        <v>0</v>
      </c>
      <c r="H7236" s="25" t="n">
        <f aca="false">CHOOSE($C$7134,Assumptions!$H$74,Assumptions!$H$93,Assumptions!$H$112)</f>
        <v>0</v>
      </c>
      <c r="I7236" s="25" t="n">
        <f aca="false">CHOOSE($C$7134,Assumptions!$I$74,Assumptions!$I$93,Assumptions!$I$112)</f>
        <v>0</v>
      </c>
      <c r="J7236" s="25" t="n">
        <f aca="false">CHOOSE($C$7134,Assumptions!$J$74,Assumptions!$J$93,Assumptions!$J$112)</f>
        <v>0</v>
      </c>
      <c r="K7236" s="25" t="n">
        <f aca="false">CHOOSE($C$7134,Assumptions!$K$74,Assumptions!$K$93,Assumptions!$K$112)</f>
        <v>0</v>
      </c>
    </row>
    <row r="7237" customFormat="false" ht="15" hidden="false" customHeight="false" outlineLevel="0" collapsed="false">
      <c r="A7237" s="3" t="s">
        <v>343</v>
      </c>
      <c r="G7237" s="25" t="n">
        <f aca="false">G7183+G7196+G7209</f>
        <v>0</v>
      </c>
      <c r="H7237" s="25" t="n">
        <f aca="false">H7183+H7196+H7209</f>
        <v>0</v>
      </c>
      <c r="I7237" s="25" t="n">
        <f aca="false">I7183+I7196+I7209</f>
        <v>0</v>
      </c>
      <c r="J7237" s="25" t="n">
        <f aca="false">J7183+J7196+J7209</f>
        <v>0</v>
      </c>
      <c r="K7237" s="25" t="n">
        <f aca="false">K7183+K7196+K7209</f>
        <v>0</v>
      </c>
    </row>
    <row r="7238" customFormat="false" ht="15" hidden="false" customHeight="false" outlineLevel="0" collapsed="false">
      <c r="A7238" s="2" t="s">
        <v>344</v>
      </c>
      <c r="G7238" s="16" t="n">
        <f aca="false">G7234+G7235+G7236-G7237</f>
        <v>615.29093063</v>
      </c>
      <c r="H7238" s="16" t="n">
        <f aca="false">H7234+H7235+H7236-H7237</f>
        <v>782.6815172478</v>
      </c>
      <c r="I7238" s="16" t="n">
        <f aca="false">I7234+I7235+I7236-I7237</f>
        <v>964.542541976371</v>
      </c>
      <c r="J7238" s="16" t="n">
        <f aca="false">J7234+J7235+J7236-J7237</f>
        <v>755.973861616325</v>
      </c>
      <c r="K7238" s="16" t="n">
        <f aca="false">K7234+K7235+K7236-K7237</f>
        <v>985.348585121835</v>
      </c>
    </row>
    <row r="7239" customFormat="false" ht="15" hidden="false" customHeight="false" outlineLevel="0" collapsed="false">
      <c r="A7239" s="3" t="s">
        <v>345</v>
      </c>
      <c r="G7239" s="25" t="n">
        <f aca="false">G7184+G7197+G7210</f>
        <v>0</v>
      </c>
      <c r="H7239" s="25" t="n">
        <f aca="false">H7184+H7197+H7210</f>
        <v>0</v>
      </c>
      <c r="I7239" s="25" t="n">
        <f aca="false">I7184+I7197+I7210</f>
        <v>0</v>
      </c>
      <c r="J7239" s="25" t="n">
        <f aca="false">J7184+J7197+J7210</f>
        <v>0</v>
      </c>
      <c r="K7239" s="25" t="n">
        <f aca="false">K7184+K7197+K7210</f>
        <v>0</v>
      </c>
    </row>
    <row r="7240" customFormat="false" ht="15" hidden="false" customHeight="false" outlineLevel="0" collapsed="false">
      <c r="A7240" s="2" t="s">
        <v>346</v>
      </c>
      <c r="G7240" s="16" t="n">
        <f aca="false">G7238+G7239</f>
        <v>615.29093063</v>
      </c>
      <c r="H7240" s="16" t="n">
        <f aca="false">H7238+H7239</f>
        <v>782.6815172478</v>
      </c>
      <c r="I7240" s="16" t="n">
        <f aca="false">I7238+I7239</f>
        <v>964.542541976371</v>
      </c>
      <c r="J7240" s="16" t="n">
        <f aca="false">J7238+J7239</f>
        <v>755.973861616325</v>
      </c>
      <c r="K7240" s="16" t="n">
        <f aca="false">K7238+K7239</f>
        <v>985.348585121835</v>
      </c>
    </row>
    <row r="7241" customFormat="false" ht="15" hidden="false" customHeight="false" outlineLevel="0" collapsed="false">
      <c r="A7241" s="3" t="s">
        <v>347</v>
      </c>
      <c r="G7241" s="25" t="n">
        <f aca="false">G7185+G7198+G7211</f>
        <v>0</v>
      </c>
      <c r="H7241" s="25" t="n">
        <f aca="false">H7185+H7198+H7211</f>
        <v>0</v>
      </c>
      <c r="I7241" s="25" t="n">
        <f aca="false">I7185+I7198+I7211</f>
        <v>420.456</v>
      </c>
      <c r="J7241" s="25" t="n">
        <f aca="false">J7185+J7198+J7211</f>
        <v>0</v>
      </c>
      <c r="K7241" s="25" t="n">
        <f aca="false">K7185+K7198+K7211</f>
        <v>0</v>
      </c>
    </row>
    <row r="7242" customFormat="false" ht="15" hidden="false" customHeight="false" outlineLevel="0" collapsed="false">
      <c r="A7242" s="2" t="s">
        <v>348</v>
      </c>
      <c r="G7242" s="16" t="n">
        <f aca="false">G7240-G7241</f>
        <v>615.29093063</v>
      </c>
      <c r="H7242" s="16" t="n">
        <f aca="false">H7240-H7241</f>
        <v>782.6815172478</v>
      </c>
      <c r="I7242" s="16" t="n">
        <f aca="false">I7240-I7241</f>
        <v>544.086541976371</v>
      </c>
      <c r="J7242" s="16" t="n">
        <f aca="false">J7240-J7241</f>
        <v>755.973861616325</v>
      </c>
      <c r="K7242" s="16" t="n">
        <f aca="false">K7240-K7241</f>
        <v>985.348585121835</v>
      </c>
    </row>
    <row r="7243" customFormat="false" ht="15" hidden="false" customHeight="false" outlineLevel="0" collapsed="false">
      <c r="A7243" s="3" t="s">
        <v>349</v>
      </c>
      <c r="G7243" s="25" t="n">
        <f aca="false">MAX(0,-G7242)</f>
        <v>0</v>
      </c>
      <c r="H7243" s="25" t="n">
        <f aca="false">MAX(0,-H7242)</f>
        <v>0</v>
      </c>
      <c r="I7243" s="25" t="n">
        <f aca="false">MAX(0,-I7242)</f>
        <v>0</v>
      </c>
      <c r="J7243" s="25" t="n">
        <f aca="false">MAX(0,-J7242)</f>
        <v>0</v>
      </c>
      <c r="K7243" s="25" t="n">
        <f aca="false">MAX(0,-K7242)</f>
        <v>0</v>
      </c>
    </row>
    <row r="7244" customFormat="false" ht="15" hidden="false" customHeight="false" outlineLevel="0" collapsed="false">
      <c r="A7244" s="3" t="s">
        <v>350</v>
      </c>
      <c r="G7244" s="25" t="n">
        <f aca="false">MAX(0,G7242-Assumptions!$C$12)*Assumptions!$C$13</f>
        <v>0</v>
      </c>
      <c r="H7244" s="25" t="n">
        <f aca="false">MAX(0,H7242-Assumptions!$C$12)*Assumptions!$C$13</f>
        <v>0</v>
      </c>
      <c r="I7244" s="25" t="n">
        <f aca="false">MAX(0,I7242-Assumptions!$C$12)*Assumptions!$C$13</f>
        <v>0</v>
      </c>
      <c r="J7244" s="25" t="n">
        <f aca="false">MAX(0,J7242-Assumptions!$C$12)*Assumptions!$C$13</f>
        <v>0</v>
      </c>
      <c r="K7244" s="25" t="n">
        <f aca="false">MAX(0,K7242-Assumptions!$C$12)*Assumptions!$C$13</f>
        <v>0</v>
      </c>
    </row>
    <row r="7245" customFormat="false" ht="15" hidden="false" customHeight="false" outlineLevel="0" collapsed="false">
      <c r="A7245" s="3" t="s">
        <v>351</v>
      </c>
      <c r="G7245" s="25" t="n">
        <f aca="false">G7186+G7199+G7212</f>
        <v>0</v>
      </c>
      <c r="H7245" s="25" t="n">
        <f aca="false">H7186+H7199+H7212</f>
        <v>0</v>
      </c>
      <c r="I7245" s="25" t="n">
        <f aca="false">I7186+I7199+I7212</f>
        <v>0</v>
      </c>
      <c r="J7245" s="25" t="n">
        <f aca="false">J7186+J7199+J7212</f>
        <v>0</v>
      </c>
      <c r="K7245" s="25" t="n">
        <f aca="false">K7186+K7199+K7212</f>
        <v>0</v>
      </c>
    </row>
    <row r="7246" customFormat="false" ht="15" hidden="false" customHeight="false" outlineLevel="0" collapsed="false">
      <c r="A7246" s="2" t="s">
        <v>352</v>
      </c>
      <c r="F7246" s="28" t="n">
        <f aca="false">Assumptions!$C$11</f>
        <v>463.996</v>
      </c>
      <c r="G7246" s="16" t="n">
        <f aca="false">G7242-G7245</f>
        <v>615.29093063</v>
      </c>
      <c r="H7246" s="16" t="n">
        <f aca="false">H7242-H7245</f>
        <v>782.6815172478</v>
      </c>
      <c r="I7246" s="16" t="n">
        <f aca="false">I7242-I7245</f>
        <v>544.086541976371</v>
      </c>
      <c r="J7246" s="16" t="n">
        <f aca="false">J7242-J7245</f>
        <v>755.973861616325</v>
      </c>
      <c r="K7246" s="16" t="n">
        <f aca="false">K7242-K7245</f>
        <v>985.348585121835</v>
      </c>
    </row>
    <row r="7247" customFormat="false" ht="15" hidden="false" customHeight="false" outlineLevel="0" collapsed="false">
      <c r="A7247" s="3" t="s">
        <v>353</v>
      </c>
      <c r="G7247" s="25" t="n">
        <f aca="false">G7187+G7200+G7213</f>
        <v>0</v>
      </c>
      <c r="H7247" s="25" t="n">
        <f aca="false">H7187+H7200+H7213</f>
        <v>0</v>
      </c>
      <c r="I7247" s="25" t="n">
        <f aca="false">I7187+I7200+I7213</f>
        <v>0</v>
      </c>
      <c r="J7247" s="25" t="n">
        <f aca="false">J7187+J7200+J7213</f>
        <v>0</v>
      </c>
      <c r="K7247" s="25" t="n">
        <f aca="false">K7187+K7200+K7213</f>
        <v>0</v>
      </c>
    </row>
    <row r="7248" customFormat="false" ht="15" hidden="false" customHeight="false" outlineLevel="0" collapsed="false">
      <c r="A7248" s="3" t="s">
        <v>354</v>
      </c>
      <c r="G7248" s="20" t="n">
        <f aca="false">IF(OR(G7243&gt;0.001,G7247&gt;0.001),1,0)</f>
        <v>0</v>
      </c>
      <c r="H7248" s="20" t="n">
        <f aca="false">IF(OR(H7243&gt;0.001,H7247&gt;0.001),1,0)</f>
        <v>0</v>
      </c>
      <c r="I7248" s="20" t="n">
        <f aca="false">IF(OR(I7243&gt;0.001,I7247&gt;0.001),1,0)</f>
        <v>0</v>
      </c>
      <c r="J7248" s="20" t="n">
        <f aca="false">IF(OR(J7243&gt;0.001,J7247&gt;0.001),1,0)</f>
        <v>0</v>
      </c>
      <c r="K7248" s="20" t="n">
        <f aca="false">IF(OR(K7243&gt;0.001,K7247&gt;0.001),1,0)</f>
        <v>0</v>
      </c>
    </row>
    <row r="7249" customFormat="false" ht="15" hidden="false" customHeight="false" outlineLevel="0" collapsed="false">
      <c r="A7249" s="3" t="s">
        <v>355</v>
      </c>
      <c r="G7249" s="20" t="n">
        <f aca="false">IF(G7248=1,1,0)</f>
        <v>0</v>
      </c>
      <c r="H7249" s="20" t="n">
        <f aca="false">IF(AND(H7248=1,SUM($G$7248:G7248)=0),1,0)</f>
        <v>0</v>
      </c>
      <c r="I7249" s="20" t="n">
        <f aca="false">IF(AND(I7248=1,SUM($G$7248:H7248)=0),1,0)</f>
        <v>0</v>
      </c>
      <c r="J7249" s="20" t="n">
        <f aca="false">IF(AND(J7248=1,SUM($G$7248:I7248)=0),1,0)</f>
        <v>0</v>
      </c>
      <c r="K7249" s="20" t="n">
        <f aca="false">IF(AND(K7248=1,SUM($G$7248:J7248)=0),1,0)</f>
        <v>0</v>
      </c>
    </row>
    <row r="7250" customFormat="false" ht="15" hidden="false" customHeight="false" outlineLevel="0" collapsed="false">
      <c r="A7250" s="3" t="s">
        <v>356</v>
      </c>
      <c r="G7250" s="25" t="n">
        <f aca="false">(G7216-F7216)-(G7239+G7156-G7237-G7241-G7245)</f>
        <v>0</v>
      </c>
      <c r="H7250" s="25" t="n">
        <f aca="false">(H7216-G7216)-(H7239+H7156-H7237-H7241-H7245)</f>
        <v>0</v>
      </c>
      <c r="I7250" s="25" t="n">
        <f aca="false">(I7216-H7216)-(I7239+I7156-I7237-I7241-I7245)</f>
        <v>0</v>
      </c>
      <c r="J7250" s="25" t="n">
        <f aca="false">(J7216-I7216)-(J7239+J7156-J7237-J7241-J7245)</f>
        <v>0</v>
      </c>
      <c r="K7250" s="25" t="n">
        <f aca="false">(K7216-J7216)-(K7239+K7156-K7237-K7241-K7245)</f>
        <v>0</v>
      </c>
    </row>
    <row r="7252" customFormat="false" ht="15" hidden="false" customHeight="false" outlineLevel="0" collapsed="false">
      <c r="A7252" s="23" t="s">
        <v>358</v>
      </c>
      <c r="B7252" s="24"/>
      <c r="C7252" s="24"/>
      <c r="D7252" s="24"/>
      <c r="E7252" s="24"/>
      <c r="F7252" s="24"/>
      <c r="G7252" s="24"/>
      <c r="H7252" s="24"/>
      <c r="I7252" s="24"/>
      <c r="J7252" s="24"/>
      <c r="K7252" s="24"/>
    </row>
    <row r="7253" customFormat="false" ht="15" hidden="false" customHeight="false" outlineLevel="0" collapsed="false">
      <c r="A7253" s="3" t="s">
        <v>359</v>
      </c>
      <c r="G7253" s="25" t="n">
        <f aca="false">G7216</f>
        <v>1735.554</v>
      </c>
      <c r="H7253" s="25" t="n">
        <f aca="false">H7216</f>
        <v>1735.554</v>
      </c>
      <c r="I7253" s="25" t="n">
        <f aca="false">I7216</f>
        <v>1315.098</v>
      </c>
      <c r="J7253" s="25" t="n">
        <f aca="false">J7216</f>
        <v>1315.098</v>
      </c>
      <c r="K7253" s="25" t="n">
        <f aca="false">K7216</f>
        <v>1315.098</v>
      </c>
    </row>
    <row r="7254" customFormat="false" ht="15" hidden="false" customHeight="false" outlineLevel="0" collapsed="false">
      <c r="A7254" s="3" t="s">
        <v>360</v>
      </c>
      <c r="G7254" s="25" t="n">
        <f aca="false">Assumptions!$O$56*G7188+Assumptions!$O$57*G7201+Assumptions!$O$58*G7214</f>
        <v>1315.098</v>
      </c>
      <c r="H7254" s="25" t="n">
        <f aca="false">Assumptions!$O$56*H7188+Assumptions!$O$57*H7201+Assumptions!$O$58*H7214</f>
        <v>1315.098</v>
      </c>
      <c r="I7254" s="25" t="n">
        <f aca="false">Assumptions!$O$56*I7188+Assumptions!$O$57*I7201+Assumptions!$O$58*I7214</f>
        <v>1315.098</v>
      </c>
      <c r="J7254" s="25" t="n">
        <f aca="false">Assumptions!$O$56*J7188+Assumptions!$O$57*J7201+Assumptions!$O$58*J7214</f>
        <v>1315.098</v>
      </c>
      <c r="K7254" s="25" t="n">
        <f aca="false">Assumptions!$O$56*K7188+Assumptions!$O$57*K7201+Assumptions!$O$58*K7214</f>
        <v>1315.098</v>
      </c>
    </row>
    <row r="7255" customFormat="false" ht="15" hidden="false" customHeight="false" outlineLevel="0" collapsed="false">
      <c r="A7255" s="3" t="s">
        <v>361</v>
      </c>
      <c r="G7255" s="25" t="n">
        <f aca="false">G7253-G7246</f>
        <v>1120.26306937</v>
      </c>
      <c r="H7255" s="25" t="n">
        <f aca="false">H7253-H7246</f>
        <v>952.8724827522</v>
      </c>
      <c r="I7255" s="25" t="n">
        <f aca="false">I7253-I7246</f>
        <v>771.011458023629</v>
      </c>
      <c r="J7255" s="25" t="n">
        <f aca="false">J7253-J7246</f>
        <v>559.124138383675</v>
      </c>
      <c r="K7255" s="25" t="n">
        <f aca="false">K7253-K7246</f>
        <v>329.749414878165</v>
      </c>
    </row>
    <row r="7256" customFormat="false" ht="15" hidden="false" customHeight="false" outlineLevel="0" collapsed="false">
      <c r="A7256" s="3" t="s">
        <v>362</v>
      </c>
      <c r="G7256" s="32" t="n">
        <f aca="false">IF(G7151&gt;0,G7253/G7151,0)</f>
        <v>5.23137420296435</v>
      </c>
      <c r="H7256" s="32" t="n">
        <f aca="false">IF(H7151&gt;0,H7253/H7151,0)</f>
        <v>4.93525868204184</v>
      </c>
      <c r="I7256" s="32" t="n">
        <f aca="false">IF(I7151&gt;0,I7253/I7151,0)</f>
        <v>3.56228981452374</v>
      </c>
      <c r="J7256" s="32" t="n">
        <f aca="false">IF(J7151&gt;0,J7253/J7151,0)</f>
        <v>3.37820227050767</v>
      </c>
      <c r="K7256" s="32" t="n">
        <f aca="false">IF(K7151&gt;0,K7253/K7151,0)</f>
        <v>3.20432074758714</v>
      </c>
    </row>
    <row r="7257" customFormat="false" ht="15" hidden="false" customHeight="false" outlineLevel="0" collapsed="false">
      <c r="A7257" s="3" t="s">
        <v>363</v>
      </c>
      <c r="G7257" s="32" t="n">
        <f aca="false">IF(G7151&gt;0,G7255/G7151,0)</f>
        <v>3.37674040775216</v>
      </c>
      <c r="H7257" s="32" t="n">
        <f aca="false">IF(H7151&gt;0,H7255/H7151,0)</f>
        <v>2.70960868597667</v>
      </c>
      <c r="I7257" s="32" t="n">
        <f aca="false">IF(I7151&gt;0,I7255/I7151,0)</f>
        <v>2.08848790264959</v>
      </c>
      <c r="J7257" s="32" t="n">
        <f aca="false">IF(J7151&gt;0,J7255/J7151,0)</f>
        <v>1.43626895773804</v>
      </c>
      <c r="K7257" s="32" t="n">
        <f aca="false">IF(K7151&gt;0,K7255/K7151,0)</f>
        <v>0.803455629617581</v>
      </c>
    </row>
    <row r="7258" customFormat="false" ht="15" hidden="false" customHeight="false" outlineLevel="0" collapsed="false">
      <c r="A7258" s="3" t="s">
        <v>364</v>
      </c>
      <c r="G7258" s="32" t="n">
        <f aca="false">IF(G7155&gt;0,G7151/G7155,0)</f>
        <v>2.12727658748532</v>
      </c>
      <c r="H7258" s="32" t="n">
        <f aca="false">IF(H7155&gt;0,H7151/H7155,0)</f>
        <v>2.25491318273444</v>
      </c>
      <c r="I7258" s="32" t="n">
        <f aca="false">IF(I7155&gt;0,I7151/I7155,0)</f>
        <v>2.36717564618915</v>
      </c>
      <c r="J7258" s="32" t="n">
        <f aca="false">IF(J7155&gt;0,J7151/J7155,0)</f>
        <v>2.81919457782446</v>
      </c>
      <c r="K7258" s="32" t="n">
        <f aca="false">IF(K7155&gt;0,K7151/K7155,0)</f>
        <v>2.97217734241523</v>
      </c>
    </row>
    <row r="7259" customFormat="false" ht="15" hidden="false" customHeight="false" outlineLevel="0" collapsed="false">
      <c r="A7259" s="3" t="s">
        <v>365</v>
      </c>
      <c r="G7259" s="32" t="n">
        <f aca="false">IF(G7155&gt;0,G7154/G7155,0)</f>
        <v>1.38550425069028</v>
      </c>
      <c r="H7259" s="32" t="n">
        <f aca="false">IF(H7155&gt;0,H7154/H7155,0)</f>
        <v>1.4686345057317</v>
      </c>
      <c r="I7259" s="32" t="n">
        <f aca="false">IF(I7155&gt;0,I7154/I7155,0)</f>
        <v>1.52978885518123</v>
      </c>
      <c r="J7259" s="32" t="n">
        <f aca="false">IF(J7155&gt;0,J7154/J7155,0)</f>
        <v>1.80724039139534</v>
      </c>
      <c r="K7259" s="32" t="n">
        <f aca="false">IF(K7155&gt;0,K7154/K7155,0)</f>
        <v>1.88938636293607</v>
      </c>
    </row>
    <row r="7260" customFormat="false" ht="15" hidden="false" customHeight="false" outlineLevel="0" collapsed="false">
      <c r="A7260" s="3" t="s">
        <v>198</v>
      </c>
      <c r="G7260" s="21" t="n">
        <f aca="false">IF(G7253&gt;0,G7164/G7253,0)</f>
        <v>0.0871738537838638</v>
      </c>
      <c r="H7260" s="21" t="n">
        <f aca="false">IF(H7253&gt;0,H7164/H7253,0)</f>
        <v>0.0964479276460427</v>
      </c>
      <c r="I7260" s="21" t="n">
        <f aca="false">IF(I7253&gt;0,I7164/I7253,0)</f>
        <v>0.138287051404969</v>
      </c>
      <c r="J7260" s="21" t="n">
        <f aca="false">IF(J7253&gt;0,J7164/J7253,0)</f>
        <v>0.161119034201218</v>
      </c>
      <c r="K7260" s="21" t="n">
        <f aca="false">IF(K7253&gt;0,K7164/K7253,0)</f>
        <v>0.174416449196569</v>
      </c>
    </row>
    <row r="7261" customFormat="false" ht="15" hidden="false" customHeight="false" outlineLevel="0" collapsed="false">
      <c r="A7261" s="3" t="s">
        <v>366</v>
      </c>
      <c r="G7261" s="32" t="n">
        <f aca="false">IF(G7155+G7237&gt;0,(G7151-G7162-G7159)/(G7155+G7237),0)</f>
        <v>1.81817286606422</v>
      </c>
      <c r="H7261" s="32" t="n">
        <f aca="false">IF(H7155+H7237&gt;0,(H7151-H7162-H7159)/(H7155+H7237),0)</f>
        <v>1.91226323802808</v>
      </c>
      <c r="I7261" s="32" t="n">
        <f aca="false">IF(I7155+I7237&gt;0,(I7151-I7162-I7159)/(I7155+I7237),0)</f>
        <v>1.99458017843263</v>
      </c>
      <c r="J7261" s="32" t="n">
        <f aca="false">IF(J7155+J7237&gt;0,(J7151-J7162-J7159)/(J7155+J7237),0)</f>
        <v>2.32717327343488</v>
      </c>
      <c r="K7261" s="32" t="n">
        <f aca="false">IF(K7155+K7237&gt;0,(K7151-K7162-K7159)/(K7155+K7237),0)</f>
        <v>2.43930476068261</v>
      </c>
    </row>
    <row r="7262" customFormat="false" ht="15" hidden="false" customHeight="false" outlineLevel="0" collapsed="false">
      <c r="A7262" s="3" t="s">
        <v>367</v>
      </c>
      <c r="G7262" s="25" t="n">
        <f aca="false">MAX(0,G7246)+Assumptions!$P$56*MAX(0,Assumptions!$D$56-G7188)+Assumptions!$P$57*MAX(0,Assumptions!$D$57-G7201)+Assumptions!$P$58*MAX(0,Assumptions!$D$58-G7214)</f>
        <v>615.29093063</v>
      </c>
      <c r="H7262" s="25" t="n">
        <f aca="false">MAX(0,H7246)+Assumptions!$P$56*MAX(0,Assumptions!$D$56-H7188)+Assumptions!$P$57*MAX(0,Assumptions!$D$57-H7201)+Assumptions!$P$58*MAX(0,Assumptions!$D$58-H7214)</f>
        <v>782.6815172478</v>
      </c>
      <c r="I7262" s="25" t="n">
        <f aca="false">MAX(0,I7246)+Assumptions!$P$56*MAX(0,Assumptions!$D$56-I7188)+Assumptions!$P$57*MAX(0,Assumptions!$D$57-I7201)+Assumptions!$P$58*MAX(0,Assumptions!$D$58-I7214)</f>
        <v>544.086541976371</v>
      </c>
      <c r="J7262" s="25" t="n">
        <f aca="false">MAX(0,J7246)+Assumptions!$P$56*MAX(0,Assumptions!$D$56-J7188)+Assumptions!$P$57*MAX(0,Assumptions!$D$57-J7201)+Assumptions!$P$58*MAX(0,Assumptions!$D$58-J7214)</f>
        <v>755.973861616325</v>
      </c>
      <c r="K7262" s="25" t="n">
        <f aca="false">MAX(0,K7246)+Assumptions!$P$56*MAX(0,Assumptions!$D$56-K7188)+Assumptions!$P$57*MAX(0,Assumptions!$D$57-K7201)+Assumptions!$P$58*MAX(0,Assumptions!$D$58-K7214)</f>
        <v>985.348585121835</v>
      </c>
    </row>
    <row r="7263" customFormat="false" ht="15" hidden="false" customHeight="false" outlineLevel="0" collapsed="false">
      <c r="A7263" s="3" t="s">
        <v>368</v>
      </c>
      <c r="G7263" s="21" t="n">
        <f aca="false">IF(G7253&gt;0,G7253/(G7253+MAX(0,G7151*CHOOSE($C$7134,Assumptions!$C$82,Assumptions!$C$101,Assumptions!$C$120)-G7255)),0)</f>
        <v>0.711303152356808</v>
      </c>
      <c r="H7263" s="21" t="n">
        <f aca="false">IF(H7253&gt;0,H7253/(H7253+MAX(0,H7151*CHOOSE($C$7134,Assumptions!$C$82,Assumptions!$C$101,Assumptions!$C$120)-H7255)),0)</f>
        <v>0.638814686732569</v>
      </c>
      <c r="I7263" s="21" t="n">
        <f aca="false">IF(I7253&gt;0,I7253/(I7253+MAX(0,I7151*CHOOSE($C$7134,Assumptions!$C$82,Assumptions!$C$101,Assumptions!$C$120)-I7255)),0)</f>
        <v>0.51081029537967</v>
      </c>
      <c r="J7263" s="21" t="n">
        <f aca="false">IF(J7253&gt;0,J7253/(J7253+MAX(0,J7151*CHOOSE($C$7134,Assumptions!$C$82,Assumptions!$C$101,Assumptions!$C$120)-J7255)),0)</f>
        <v>0.453941486510099</v>
      </c>
      <c r="K7263" s="21" t="n">
        <f aca="false">IF(K7253&gt;0,K7253/(K7253+MAX(0,K7151*CHOOSE($C$7134,Assumptions!$C$82,Assumptions!$C$101,Assumptions!$C$120)-K7255)),0)</f>
        <v>0.405565808268173</v>
      </c>
    </row>
    <row r="7264" customFormat="false" ht="15" hidden="false" customHeight="false" outlineLevel="0" collapsed="false">
      <c r="A7264" s="3" t="s">
        <v>369</v>
      </c>
      <c r="G7264" s="21" t="n">
        <f aca="false">IF(G7253&gt;0,MAX(0,G7246)/G7253,0)</f>
        <v>0.354521340522968</v>
      </c>
      <c r="H7264" s="21" t="n">
        <f aca="false">IF(H7253&gt;0,MAX(0,H7246)/H7253,0)</f>
        <v>0.450969268169011</v>
      </c>
      <c r="I7264" s="21" t="n">
        <f aca="false">IF(I7253&gt;0,MAX(0,I7246)/I7253,0)</f>
        <v>0.413723191713752</v>
      </c>
      <c r="J7264" s="21" t="n">
        <f aca="false">IF(J7253&gt;0,MAX(0,J7246)/J7253,0)</f>
        <v>0.57484222591497</v>
      </c>
      <c r="K7264" s="21" t="n">
        <f aca="false">IF(K7253&gt;0,MAX(0,K7246)/K7253,0)</f>
        <v>0.74925867511154</v>
      </c>
    </row>
    <row r="7265" customFormat="false" ht="15" hidden="false" customHeight="false" outlineLevel="0" collapsed="false">
      <c r="A7265" s="3" t="s">
        <v>370</v>
      </c>
      <c r="G7265" s="25" t="n">
        <f aca="false">Assumptions!$C$30*(1-CHOOSE($C$7134,Assumptions!$C$85,Assumptions!$C$104,Assumptions!$C$123))</f>
        <v>2454.971</v>
      </c>
      <c r="H7265" s="25" t="n">
        <f aca="false">Assumptions!$C$30*(1-CHOOSE($C$7134,Assumptions!$C$85,Assumptions!$C$104,Assumptions!$C$123))</f>
        <v>2454.971</v>
      </c>
      <c r="I7265" s="25" t="n">
        <f aca="false">Assumptions!$C$30*(1-CHOOSE($C$7134,Assumptions!$C$85,Assumptions!$C$104,Assumptions!$C$123))</f>
        <v>2454.971</v>
      </c>
      <c r="J7265" s="25" t="n">
        <f aca="false">Assumptions!$C$30*(1-CHOOSE($C$7134,Assumptions!$C$85,Assumptions!$C$104,Assumptions!$C$123))</f>
        <v>2454.971</v>
      </c>
      <c r="K7265" s="25" t="n">
        <f aca="false">Assumptions!$C$30*(1-CHOOSE($C$7134,Assumptions!$C$85,Assumptions!$C$104,Assumptions!$C$123))</f>
        <v>2454.971</v>
      </c>
    </row>
    <row r="7266" customFormat="false" ht="15" hidden="false" customHeight="false" outlineLevel="0" collapsed="false">
      <c r="A7266" s="23" t="s">
        <v>371</v>
      </c>
      <c r="B7266" s="24"/>
      <c r="C7266" s="24"/>
      <c r="D7266" s="24"/>
      <c r="E7266" s="24"/>
      <c r="F7266" s="24"/>
      <c r="G7266" s="24"/>
      <c r="H7266" s="24"/>
      <c r="I7266" s="24"/>
      <c r="J7266" s="24"/>
      <c r="K7266" s="24"/>
    </row>
    <row r="7267" customFormat="false" ht="15" hidden="false" customHeight="false" outlineLevel="0" collapsed="false">
      <c r="A7267" s="23" t="s">
        <v>372</v>
      </c>
      <c r="B7267" s="24"/>
      <c r="C7267" s="24"/>
      <c r="D7267" s="24"/>
      <c r="E7267" s="24"/>
      <c r="F7267" s="24"/>
      <c r="G7267" s="24"/>
      <c r="H7267" s="24"/>
      <c r="I7267" s="24"/>
      <c r="J7267" s="24"/>
      <c r="K7267" s="24"/>
    </row>
    <row r="7268" customFormat="false" ht="15" hidden="false" customHeight="false" outlineLevel="0" collapsed="false">
      <c r="A7268" s="3" t="s">
        <v>373</v>
      </c>
      <c r="G7268" s="32" t="n">
        <f aca="false">IF(G7151&gt;0,G7255/G7151,99)</f>
        <v>3.37674040775216</v>
      </c>
      <c r="H7268" s="32" t="n">
        <f aca="false">IF(H7151&gt;0,H7255/H7151,99)</f>
        <v>2.70960868597667</v>
      </c>
      <c r="I7268" s="32" t="n">
        <f aca="false">IF(I7151&gt;0,I7255/I7151,99)</f>
        <v>2.08848790264959</v>
      </c>
      <c r="J7268" s="32" t="n">
        <f aca="false">IF(J7151&gt;0,J7255/J7151,99)</f>
        <v>1.43626895773804</v>
      </c>
      <c r="K7268" s="32" t="n">
        <f aca="false">IF(K7151&gt;0,K7255/K7151,99)</f>
        <v>0.803455629617581</v>
      </c>
    </row>
    <row r="7269" customFormat="false" ht="15" hidden="false" customHeight="false" outlineLevel="0" collapsed="false">
      <c r="A7269" s="3" t="s">
        <v>374</v>
      </c>
      <c r="G7269" s="33" t="n">
        <f aca="false">Assumptions!$G$65</f>
        <v>5.25</v>
      </c>
      <c r="H7269" s="33" t="n">
        <f aca="false">Assumptions!$H$65</f>
        <v>5.25</v>
      </c>
      <c r="I7269" s="33" t="n">
        <f aca="false">Assumptions!$I$65</f>
        <v>5</v>
      </c>
      <c r="J7269" s="33" t="n">
        <f aca="false">Assumptions!$J$65</f>
        <v>5</v>
      </c>
      <c r="K7269" s="33" t="n">
        <f aca="false">Assumptions!$K$65</f>
        <v>5</v>
      </c>
    </row>
    <row r="7270" customFormat="false" ht="15" hidden="false" customHeight="false" outlineLevel="0" collapsed="false">
      <c r="A7270" s="3" t="s">
        <v>375</v>
      </c>
      <c r="G7270" s="32" t="n">
        <f aca="false">G7269-G7268</f>
        <v>1.87325959224784</v>
      </c>
      <c r="H7270" s="32" t="n">
        <f aca="false">H7269-H7268</f>
        <v>2.54039131402333</v>
      </c>
      <c r="I7270" s="32" t="n">
        <f aca="false">I7269-I7268</f>
        <v>2.91151209735041</v>
      </c>
      <c r="J7270" s="32" t="n">
        <f aca="false">J7269-J7268</f>
        <v>3.56373104226196</v>
      </c>
      <c r="K7270" s="32" t="n">
        <f aca="false">K7269-K7268</f>
        <v>4.19654437038242</v>
      </c>
    </row>
    <row r="7271" customFormat="false" ht="15" hidden="false" customHeight="false" outlineLevel="0" collapsed="false">
      <c r="A7271" s="3" t="s">
        <v>376</v>
      </c>
      <c r="G7271" s="21" t="n">
        <f aca="false">IF(G7269=0,0,G7270/ABS(G7269))</f>
        <v>0.356811350904351</v>
      </c>
      <c r="H7271" s="21" t="n">
        <f aca="false">IF(H7269=0,0,H7270/ABS(H7269))</f>
        <v>0.483884059813967</v>
      </c>
      <c r="I7271" s="21" t="n">
        <f aca="false">IF(I7269=0,0,I7270/ABS(I7269))</f>
        <v>0.582302419470082</v>
      </c>
      <c r="J7271" s="21" t="n">
        <f aca="false">IF(J7269=0,0,J7270/ABS(J7269))</f>
        <v>0.712746208452393</v>
      </c>
      <c r="K7271" s="21" t="n">
        <f aca="false">IF(K7269=0,0,K7270/ABS(K7269))</f>
        <v>0.839308874076484</v>
      </c>
    </row>
    <row r="7272" customFormat="false" ht="15" hidden="false" customHeight="false" outlineLevel="0" collapsed="false">
      <c r="A7272" s="3" t="s">
        <v>377</v>
      </c>
      <c r="G7272" s="20" t="n">
        <f aca="false">IF(G7270&lt;0,1,0)</f>
        <v>0</v>
      </c>
      <c r="H7272" s="20" t="n">
        <f aca="false">IF(H7270&lt;0,1,0)</f>
        <v>0</v>
      </c>
      <c r="I7272" s="20" t="n">
        <f aca="false">IF(I7270&lt;0,1,0)</f>
        <v>0</v>
      </c>
      <c r="J7272" s="20" t="n">
        <f aca="false">IF(J7270&lt;0,1,0)</f>
        <v>0</v>
      </c>
      <c r="K7272" s="20" t="n">
        <f aca="false">IF(K7270&lt;0,1,0)</f>
        <v>0</v>
      </c>
    </row>
    <row r="7273" customFormat="false" ht="15" hidden="false" customHeight="false" outlineLevel="0" collapsed="false">
      <c r="A7273" s="3" t="s">
        <v>378</v>
      </c>
      <c r="C7273" s="20" t="n">
        <f aca="false">IFERROR(INDEX($G$7141:$K$7141,MATCH(1,$G$7272:$K$7272,0)),0)</f>
        <v>0</v>
      </c>
    </row>
    <row r="7274" customFormat="false" ht="15" hidden="false" customHeight="false" outlineLevel="0" collapsed="false">
      <c r="A7274" s="3" t="s">
        <v>379</v>
      </c>
      <c r="C7274" s="21" t="n">
        <f aca="false">MIN($G$7271:$K$7271)</f>
        <v>0.356811350904351</v>
      </c>
    </row>
    <row r="7275" customFormat="false" ht="15" hidden="false" customHeight="false" outlineLevel="0" collapsed="false">
      <c r="A7275" s="23" t="s">
        <v>380</v>
      </c>
      <c r="B7275" s="24"/>
      <c r="C7275" s="24"/>
      <c r="D7275" s="24"/>
      <c r="E7275" s="24"/>
      <c r="F7275" s="24"/>
      <c r="G7275" s="24"/>
      <c r="H7275" s="24"/>
      <c r="I7275" s="24"/>
      <c r="J7275" s="24"/>
      <c r="K7275" s="24"/>
    </row>
    <row r="7276" customFormat="false" ht="15" hidden="false" customHeight="false" outlineLevel="0" collapsed="false">
      <c r="A7276" s="3" t="s">
        <v>373</v>
      </c>
      <c r="G7276" s="32" t="n">
        <f aca="false">IF(G7155&gt;0,G7151/G7155,99)</f>
        <v>2.12727658748532</v>
      </c>
      <c r="H7276" s="32" t="n">
        <f aca="false">IF(H7155&gt;0,H7151/H7155,99)</f>
        <v>2.25491318273444</v>
      </c>
      <c r="I7276" s="32" t="n">
        <f aca="false">IF(I7155&gt;0,I7151/I7155,99)</f>
        <v>2.36717564618915</v>
      </c>
      <c r="J7276" s="32" t="n">
        <f aca="false">IF(J7155&gt;0,J7151/J7155,99)</f>
        <v>2.81919457782446</v>
      </c>
      <c r="K7276" s="32" t="n">
        <f aca="false">IF(K7155&gt;0,K7151/K7155,99)</f>
        <v>2.97217734241523</v>
      </c>
    </row>
    <row r="7277" customFormat="false" ht="15" hidden="false" customHeight="false" outlineLevel="0" collapsed="false">
      <c r="A7277" s="3" t="s">
        <v>374</v>
      </c>
      <c r="G7277" s="33" t="n">
        <f aca="false">Assumptions!$G$66</f>
        <v>1.4</v>
      </c>
      <c r="H7277" s="33" t="n">
        <f aca="false">Assumptions!$H$66</f>
        <v>1.4</v>
      </c>
      <c r="I7277" s="33" t="n">
        <f aca="false">Assumptions!$I$66</f>
        <v>1.4</v>
      </c>
      <c r="J7277" s="33" t="n">
        <f aca="false">Assumptions!$J$66</f>
        <v>1.5</v>
      </c>
      <c r="K7277" s="33" t="n">
        <f aca="false">Assumptions!$K$66</f>
        <v>1.5</v>
      </c>
    </row>
    <row r="7278" customFormat="false" ht="15" hidden="false" customHeight="false" outlineLevel="0" collapsed="false">
      <c r="A7278" s="3" t="s">
        <v>375</v>
      </c>
      <c r="G7278" s="32" t="n">
        <f aca="false">G7276-G7277</f>
        <v>0.727276587485325</v>
      </c>
      <c r="H7278" s="32" t="n">
        <f aca="false">H7276-H7277</f>
        <v>0.854913182734445</v>
      </c>
      <c r="I7278" s="32" t="n">
        <f aca="false">I7276-I7277</f>
        <v>0.967175646189152</v>
      </c>
      <c r="J7278" s="32" t="n">
        <f aca="false">J7276-J7277</f>
        <v>1.31919457782446</v>
      </c>
      <c r="K7278" s="32" t="n">
        <f aca="false">K7276-K7277</f>
        <v>1.47217734241523</v>
      </c>
    </row>
    <row r="7279" customFormat="false" ht="15" hidden="false" customHeight="false" outlineLevel="0" collapsed="false">
      <c r="A7279" s="3" t="s">
        <v>376</v>
      </c>
      <c r="G7279" s="21" t="n">
        <f aca="false">IF(G7277=0,0,G7278/ABS(G7277))</f>
        <v>0.519483276775232</v>
      </c>
      <c r="H7279" s="21" t="n">
        <f aca="false">IF(H7277=0,0,H7278/ABS(H7277))</f>
        <v>0.610652273381746</v>
      </c>
      <c r="I7279" s="21" t="n">
        <f aca="false">IF(I7277=0,0,I7278/ABS(I7277))</f>
        <v>0.690839747277966</v>
      </c>
      <c r="J7279" s="21" t="n">
        <f aca="false">IF(J7277=0,0,J7278/ABS(J7277))</f>
        <v>0.879463051882976</v>
      </c>
      <c r="K7279" s="21" t="n">
        <f aca="false">IF(K7277=0,0,K7278/ABS(K7277))</f>
        <v>0.981451561610155</v>
      </c>
    </row>
    <row r="7280" customFormat="false" ht="15" hidden="false" customHeight="false" outlineLevel="0" collapsed="false">
      <c r="A7280" s="3" t="s">
        <v>377</v>
      </c>
      <c r="G7280" s="20" t="n">
        <f aca="false">IF(G7278&lt;0,1,0)</f>
        <v>0</v>
      </c>
      <c r="H7280" s="20" t="n">
        <f aca="false">IF(H7278&lt;0,1,0)</f>
        <v>0</v>
      </c>
      <c r="I7280" s="20" t="n">
        <f aca="false">IF(I7278&lt;0,1,0)</f>
        <v>0</v>
      </c>
      <c r="J7280" s="20" t="n">
        <f aca="false">IF(J7278&lt;0,1,0)</f>
        <v>0</v>
      </c>
      <c r="K7280" s="20" t="n">
        <f aca="false">IF(K7278&lt;0,1,0)</f>
        <v>0</v>
      </c>
    </row>
    <row r="7281" customFormat="false" ht="15" hidden="false" customHeight="false" outlineLevel="0" collapsed="false">
      <c r="A7281" s="3" t="s">
        <v>378</v>
      </c>
      <c r="C7281" s="20" t="n">
        <f aca="false">IFERROR(INDEX($G$7141:$K$7141,MATCH(1,$G$7280:$K$7280,0)),0)</f>
        <v>0</v>
      </c>
    </row>
    <row r="7282" customFormat="false" ht="15" hidden="false" customHeight="false" outlineLevel="0" collapsed="false">
      <c r="A7282" s="3" t="s">
        <v>379</v>
      </c>
      <c r="C7282" s="21" t="n">
        <f aca="false">MIN($G$7279:$K$7279)</f>
        <v>0.519483276775232</v>
      </c>
    </row>
    <row r="7283" customFormat="false" ht="15" hidden="false" customHeight="false" outlineLevel="0" collapsed="false">
      <c r="A7283" s="23" t="s">
        <v>381</v>
      </c>
      <c r="B7283" s="24"/>
      <c r="C7283" s="24"/>
      <c r="D7283" s="24"/>
      <c r="E7283" s="24"/>
      <c r="F7283" s="24"/>
      <c r="G7283" s="24"/>
      <c r="H7283" s="24"/>
      <c r="I7283" s="24"/>
      <c r="J7283" s="24"/>
      <c r="K7283" s="24"/>
    </row>
    <row r="7284" customFormat="false" ht="15" hidden="false" customHeight="false" outlineLevel="0" collapsed="false">
      <c r="A7284" s="3" t="s">
        <v>373</v>
      </c>
      <c r="G7284" s="25" t="n">
        <f aca="false">G7262</f>
        <v>615.29093063</v>
      </c>
      <c r="H7284" s="25" t="n">
        <f aca="false">H7262</f>
        <v>782.6815172478</v>
      </c>
      <c r="I7284" s="25" t="n">
        <f aca="false">I7262</f>
        <v>544.086541976371</v>
      </c>
      <c r="J7284" s="25" t="n">
        <f aca="false">J7262</f>
        <v>755.973861616325</v>
      </c>
      <c r="K7284" s="25" t="n">
        <f aca="false">K7262</f>
        <v>985.348585121835</v>
      </c>
    </row>
    <row r="7285" customFormat="false" ht="15" hidden="false" customHeight="false" outlineLevel="0" collapsed="false">
      <c r="A7285" s="3" t="s">
        <v>374</v>
      </c>
      <c r="G7285" s="29" t="n">
        <f aca="false">Assumptions!$G$67</f>
        <v>200</v>
      </c>
      <c r="H7285" s="29" t="n">
        <f aca="false">Assumptions!$H$67</f>
        <v>200</v>
      </c>
      <c r="I7285" s="29" t="n">
        <f aca="false">Assumptions!$I$67</f>
        <v>200</v>
      </c>
      <c r="J7285" s="29" t="n">
        <f aca="false">Assumptions!$J$67</f>
        <v>200</v>
      </c>
      <c r="K7285" s="29" t="n">
        <f aca="false">Assumptions!$K$67</f>
        <v>200</v>
      </c>
    </row>
    <row r="7286" customFormat="false" ht="15" hidden="false" customHeight="false" outlineLevel="0" collapsed="false">
      <c r="A7286" s="3" t="s">
        <v>375</v>
      </c>
      <c r="G7286" s="25" t="n">
        <f aca="false">G7284-G7285</f>
        <v>415.29093063</v>
      </c>
      <c r="H7286" s="25" t="n">
        <f aca="false">H7284-H7285</f>
        <v>582.6815172478</v>
      </c>
      <c r="I7286" s="25" t="n">
        <f aca="false">I7284-I7285</f>
        <v>344.086541976371</v>
      </c>
      <c r="J7286" s="25" t="n">
        <f aca="false">J7284-J7285</f>
        <v>555.973861616325</v>
      </c>
      <c r="K7286" s="25" t="n">
        <f aca="false">K7284-K7285</f>
        <v>785.348585121835</v>
      </c>
    </row>
    <row r="7287" customFormat="false" ht="15" hidden="false" customHeight="false" outlineLevel="0" collapsed="false">
      <c r="A7287" s="3" t="s">
        <v>376</v>
      </c>
      <c r="G7287" s="21" t="n">
        <f aca="false">IF(G7285=0,0,G7286/ABS(G7285))</f>
        <v>2.07645465315</v>
      </c>
      <c r="H7287" s="21" t="n">
        <f aca="false">IF(H7285=0,0,H7286/ABS(H7285))</f>
        <v>2.913407586239</v>
      </c>
      <c r="I7287" s="21" t="n">
        <f aca="false">IF(I7285=0,0,I7286/ABS(I7285))</f>
        <v>1.72043270988186</v>
      </c>
      <c r="J7287" s="21" t="n">
        <f aca="false">IF(J7285=0,0,J7286/ABS(J7285))</f>
        <v>2.77986930808163</v>
      </c>
      <c r="K7287" s="21" t="n">
        <f aca="false">IF(K7285=0,0,K7286/ABS(K7285))</f>
        <v>3.92674292560918</v>
      </c>
    </row>
    <row r="7288" customFormat="false" ht="15" hidden="false" customHeight="false" outlineLevel="0" collapsed="false">
      <c r="A7288" s="3" t="s">
        <v>377</v>
      </c>
      <c r="G7288" s="20" t="n">
        <f aca="false">IF(G7286&lt;0,1,0)</f>
        <v>0</v>
      </c>
      <c r="H7288" s="20" t="n">
        <f aca="false">IF(H7286&lt;0,1,0)</f>
        <v>0</v>
      </c>
      <c r="I7288" s="20" t="n">
        <f aca="false">IF(I7286&lt;0,1,0)</f>
        <v>0</v>
      </c>
      <c r="J7288" s="20" t="n">
        <f aca="false">IF(J7286&lt;0,1,0)</f>
        <v>0</v>
      </c>
      <c r="K7288" s="20" t="n">
        <f aca="false">IF(K7286&lt;0,1,0)</f>
        <v>0</v>
      </c>
    </row>
    <row r="7289" customFormat="false" ht="15" hidden="false" customHeight="false" outlineLevel="0" collapsed="false">
      <c r="A7289" s="3" t="s">
        <v>378</v>
      </c>
      <c r="C7289" s="20" t="n">
        <f aca="false">IFERROR(INDEX($G$7141:$K$7141,MATCH(1,$G$7288:$K$7288,0)),0)</f>
        <v>0</v>
      </c>
    </row>
    <row r="7290" customFormat="false" ht="15" hidden="false" customHeight="false" outlineLevel="0" collapsed="false">
      <c r="A7290" s="3" t="s">
        <v>379</v>
      </c>
      <c r="C7290" s="21" t="n">
        <f aca="false">MIN($G$7287:$K$7287)</f>
        <v>1.72043270988186</v>
      </c>
    </row>
    <row r="7291" customFormat="false" ht="15" hidden="false" customHeight="false" outlineLevel="0" collapsed="false">
      <c r="A7291" s="3" t="s">
        <v>382</v>
      </c>
      <c r="G7291" s="20" t="n">
        <f aca="false">G7272+G7280+G7288</f>
        <v>0</v>
      </c>
      <c r="H7291" s="20" t="n">
        <f aca="false">H7272+H7280+H7288</f>
        <v>0</v>
      </c>
      <c r="I7291" s="20" t="n">
        <f aca="false">I7272+I7280+I7288</f>
        <v>0</v>
      </c>
      <c r="J7291" s="20" t="n">
        <f aca="false">J7272+J7280+J7288</f>
        <v>0</v>
      </c>
      <c r="K7291" s="20" t="n">
        <f aca="false">K7272+K7280+K7288</f>
        <v>0</v>
      </c>
    </row>
    <row r="7292" customFormat="false" ht="15" hidden="false" customHeight="false" outlineLevel="0" collapsed="false">
      <c r="A7292" s="3" t="s">
        <v>383</v>
      </c>
      <c r="C7292" s="20" t="n">
        <f aca="false">SUM($G$7291:$K$7291)</f>
        <v>0</v>
      </c>
    </row>
    <row r="7293" customFormat="false" ht="15" hidden="false" customHeight="false" outlineLevel="0" collapsed="false">
      <c r="A7293" s="3" t="s">
        <v>384</v>
      </c>
      <c r="C7293" s="21" t="n">
        <f aca="false">MIN(C7274,C7282,C7290)</f>
        <v>0.356811350904351</v>
      </c>
    </row>
    <row r="7295" customFormat="false" ht="15" hidden="false" customHeight="false" outlineLevel="0" collapsed="false">
      <c r="A7295" s="23" t="s">
        <v>486</v>
      </c>
      <c r="B7295" s="24"/>
      <c r="C7295" s="24"/>
      <c r="D7295" s="24"/>
      <c r="E7295" s="24"/>
      <c r="F7295" s="24"/>
      <c r="G7295" s="24"/>
      <c r="H7295" s="24"/>
      <c r="I7295" s="24"/>
      <c r="J7295" s="24"/>
      <c r="K7295" s="24"/>
    </row>
    <row r="7296" customFormat="false" ht="15" hidden="false" customHeight="false" outlineLevel="0" collapsed="false">
      <c r="A7296" s="3" t="s">
        <v>487</v>
      </c>
      <c r="G7296" s="20" t="n">
        <f aca="false">IF($C$7297=1,G7249,IF(G7151=MIN($G$7151:$K$7151),1,0))</f>
        <v>1</v>
      </c>
      <c r="H7296" s="20" t="n">
        <f aca="false">IF($C$7297=1,H7249,IF(AND(H7151=MIN($G$7151:$K$7151),SUM($G$7296:G7296)=0),1,0))</f>
        <v>0</v>
      </c>
      <c r="I7296" s="20" t="n">
        <f aca="false">IF($C$7297=1,I7249,IF(AND(I7151=MIN($G$7151:$K$7151),SUM($G$7296:H7296)=0),1,0))</f>
        <v>0</v>
      </c>
      <c r="J7296" s="20" t="n">
        <f aca="false">IF($C$7297=1,J7249,IF(AND(J7151=MIN($G$7151:$K$7151),SUM($G$7296:I7296)=0),1,0))</f>
        <v>0</v>
      </c>
      <c r="K7296" s="20" t="n">
        <f aca="false">IF($C$7297=1,K7249,IF(AND(K7151=MIN($G$7151:$K$7151),SUM($G$7296:J7296)=0),1,0))</f>
        <v>0</v>
      </c>
    </row>
    <row r="7297" customFormat="false" ht="15" hidden="false" customHeight="false" outlineLevel="0" collapsed="false">
      <c r="A7297" s="3" t="s">
        <v>488</v>
      </c>
      <c r="C7297" s="20" t="n">
        <f aca="false">IF(SUM($G$7249:$K$7249)&gt;0,1,0)</f>
        <v>0</v>
      </c>
    </row>
    <row r="7298" customFormat="false" ht="15" hidden="false" customHeight="false" outlineLevel="0" collapsed="false">
      <c r="A7298" s="3" t="s">
        <v>489</v>
      </c>
      <c r="C7298" s="20" t="n">
        <f aca="false">SUMPRODUCT($G$7296:$K$7296,$G$7141:$K$7141)</f>
        <v>2027</v>
      </c>
    </row>
    <row r="7299" customFormat="false" ht="15" hidden="false" customHeight="false" outlineLevel="0" collapsed="false">
      <c r="A7299" s="3" t="s">
        <v>490</v>
      </c>
      <c r="C7299" s="25" t="n">
        <f aca="false">SUMPRODUCT($G$7296:$K$7296,$G$7151:$K$7151)</f>
        <v>331.7587182</v>
      </c>
    </row>
    <row r="7300" customFormat="false" ht="15" hidden="false" customHeight="false" outlineLevel="0" collapsed="false">
      <c r="A7300" s="3" t="s">
        <v>491</v>
      </c>
      <c r="C7300" s="25" t="n">
        <f aca="false">MAX(0,SUMPRODUCT($G$7296:$K$7296,$G$7246:$K$7246))</f>
        <v>615.29093063</v>
      </c>
    </row>
    <row r="7301" customFormat="false" ht="15" hidden="false" customHeight="false" outlineLevel="0" collapsed="false">
      <c r="A7301" s="3" t="s">
        <v>492</v>
      </c>
      <c r="C7301" s="25" t="n">
        <f aca="false">(CHOOSE($C$7134,Assumptions!$C$84,Assumptions!$C$103,Assumptions!$C$122)+$C$7138)*C7299</f>
        <v>1658.793591</v>
      </c>
    </row>
    <row r="7302" customFormat="false" ht="15" hidden="false" customHeight="false" outlineLevel="0" collapsed="false">
      <c r="A7302" s="3" t="s">
        <v>493</v>
      </c>
      <c r="C7302" s="25" t="n">
        <f aca="false">Assumptions!$C$30*(1-CHOOSE($C$7134,Assumptions!$C$85,Assumptions!$C$104,Assumptions!$C$123))*CHOOSE($C$7134,Assumptions!$C$86,Assumptions!$C$105,Assumptions!$C$124)</f>
        <v>736.4913</v>
      </c>
    </row>
    <row r="7303" customFormat="false" ht="15" hidden="false" customHeight="false" outlineLevel="0" collapsed="false">
      <c r="A7303" s="3" t="s">
        <v>494</v>
      </c>
      <c r="C7303" s="25" t="n">
        <f aca="false">MAX(C7301,C7302)+C7300</f>
        <v>2274.08452163</v>
      </c>
    </row>
    <row r="7304" customFormat="false" ht="15" hidden="false" customHeight="false" outlineLevel="0" collapsed="false">
      <c r="A7304" s="2" t="s">
        <v>495</v>
      </c>
      <c r="C7304" s="16" t="n">
        <f aca="false">IF(ISNUMBER(Assumptions!$C$14),Assumptions!$C$14,C7303)</f>
        <v>2274.08452163</v>
      </c>
    </row>
    <row r="7305" customFormat="false" ht="15" hidden="false" customHeight="false" outlineLevel="0" collapsed="false">
      <c r="A7305" s="3" t="s">
        <v>496</v>
      </c>
      <c r="C7305" s="25" t="n">
        <f aca="false">C7304*Assumptions!$C$15</f>
        <v>90.9633808652</v>
      </c>
    </row>
    <row r="7306" customFormat="false" ht="15" hidden="false" customHeight="false" outlineLevel="0" collapsed="false">
      <c r="A7306" s="2" t="s">
        <v>497</v>
      </c>
      <c r="C7306" s="16" t="n">
        <f aca="false">C7304-C7305</f>
        <v>2183.1211407648</v>
      </c>
    </row>
    <row r="7307" customFormat="false" ht="15" hidden="false" customHeight="false" outlineLevel="0" collapsed="false">
      <c r="A7307" s="23" t="s">
        <v>498</v>
      </c>
      <c r="B7307" s="24"/>
      <c r="C7307" s="24"/>
      <c r="D7307" s="24"/>
      <c r="E7307" s="24"/>
      <c r="F7307" s="24"/>
      <c r="G7307" s="24"/>
      <c r="H7307" s="24"/>
      <c r="I7307" s="24"/>
      <c r="J7307" s="24"/>
      <c r="K7307" s="24"/>
    </row>
    <row r="7308" customFormat="false" ht="15" hidden="false" customHeight="false" outlineLevel="0" collapsed="false">
      <c r="A7308" s="3" t="s">
        <v>499</v>
      </c>
      <c r="C7308" s="25" t="n">
        <f aca="false">SUMPRODUCT($G$7296:$K$7296,$G$7188:$K$7188)*(1+SUMPRODUCT($G$7296:$K$7296,$G$7180:$K$7180)*Assumptions!$C$16/12)</f>
        <v>1349.6193225</v>
      </c>
    </row>
    <row r="7309" customFormat="false" ht="15" hidden="false" customHeight="false" outlineLevel="0" collapsed="false">
      <c r="A7309" s="3" t="s">
        <v>500</v>
      </c>
      <c r="C7309" s="25" t="n">
        <f aca="false">SUMPRODUCT($G$7296:$K$7296,$G$7201:$K$7201)*(1+SUMPRODUCT($G$7296:$K$7296,$G$7193:$K$7193)*Assumptions!$C$16/12)</f>
        <v>279.64600125</v>
      </c>
    </row>
    <row r="7310" customFormat="false" ht="15" hidden="false" customHeight="false" outlineLevel="0" collapsed="false">
      <c r="A7310" s="3" t="s">
        <v>501</v>
      </c>
      <c r="C7310" s="25" t="n">
        <f aca="false">SUMPRODUCT($G$7296:$K$7296,$G$7214:$K$7214)*(1+SUMPRODUCT($G$7296:$K$7296,$G$7206:$K$7206)*Assumptions!$C$16/12)</f>
        <v>145.27734375</v>
      </c>
    </row>
    <row r="7311" customFormat="false" ht="15" hidden="false" customHeight="false" outlineLevel="0" collapsed="false">
      <c r="A7311" s="23" t="s">
        <v>502</v>
      </c>
      <c r="B7311" s="24"/>
      <c r="C7311" s="24"/>
      <c r="D7311" s="24"/>
      <c r="E7311" s="24"/>
      <c r="F7311" s="24"/>
      <c r="G7311" s="24"/>
      <c r="H7311" s="24"/>
      <c r="I7311" s="24"/>
      <c r="J7311" s="24"/>
      <c r="K7311" s="24"/>
    </row>
    <row r="7312" customFormat="false" ht="15" hidden="false" customHeight="false" outlineLevel="0" collapsed="false">
      <c r="A7312" s="3" t="s">
        <v>499</v>
      </c>
      <c r="C7312" s="27" t="n">
        <f aca="false">Assumptions!$M$56</f>
        <v>1</v>
      </c>
    </row>
    <row r="7313" customFormat="false" ht="15" hidden="false" customHeight="false" outlineLevel="0" collapsed="false">
      <c r="A7313" s="3" t="s">
        <v>500</v>
      </c>
      <c r="C7313" s="27" t="n">
        <f aca="false">Assumptions!$M$57</f>
        <v>2</v>
      </c>
    </row>
    <row r="7314" customFormat="false" ht="15" hidden="false" customHeight="false" outlineLevel="0" collapsed="false">
      <c r="A7314" s="3" t="s">
        <v>501</v>
      </c>
      <c r="C7314" s="27" t="n">
        <f aca="false">Assumptions!$M$58</f>
        <v>2</v>
      </c>
    </row>
    <row r="7315" customFormat="false" ht="15" hidden="false" customHeight="false" outlineLevel="0" collapsed="false">
      <c r="A7315" s="23" t="s">
        <v>503</v>
      </c>
      <c r="B7315" s="24"/>
      <c r="C7315" s="24"/>
      <c r="D7315" s="24"/>
      <c r="E7315" s="24"/>
      <c r="F7315" s="24"/>
      <c r="G7315" s="24"/>
      <c r="H7315" s="24"/>
      <c r="I7315" s="24"/>
      <c r="J7315" s="24"/>
      <c r="K7315" s="24"/>
    </row>
    <row r="7316" customFormat="false" ht="15" hidden="false" customHeight="false" outlineLevel="0" collapsed="false">
      <c r="A7316" s="3" t="s">
        <v>499</v>
      </c>
      <c r="C7316" s="35" t="n">
        <f aca="false">Assumptions!$Q$56</f>
        <v>0</v>
      </c>
    </row>
    <row r="7317" customFormat="false" ht="15" hidden="false" customHeight="false" outlineLevel="0" collapsed="false">
      <c r="A7317" s="3" t="s">
        <v>500</v>
      </c>
      <c r="C7317" s="35" t="n">
        <f aca="false">Assumptions!$Q$57</f>
        <v>0</v>
      </c>
    </row>
    <row r="7318" customFormat="false" ht="15" hidden="false" customHeight="false" outlineLevel="0" collapsed="false">
      <c r="A7318" s="3" t="s">
        <v>501</v>
      </c>
      <c r="C7318" s="35" t="n">
        <f aca="false">Assumptions!$Q$58</f>
        <v>0</v>
      </c>
    </row>
    <row r="7319" customFormat="false" ht="15" hidden="false" customHeight="false" outlineLevel="0" collapsed="false">
      <c r="A7319" s="23" t="s">
        <v>504</v>
      </c>
      <c r="B7319" s="24"/>
      <c r="C7319" s="24"/>
      <c r="D7319" s="24"/>
      <c r="E7319" s="24"/>
      <c r="F7319" s="24"/>
      <c r="G7319" s="24"/>
      <c r="H7319" s="24"/>
      <c r="I7319" s="24"/>
      <c r="J7319" s="24"/>
      <c r="K7319" s="24"/>
    </row>
    <row r="7320" customFormat="false" ht="15" hidden="false" customHeight="false" outlineLevel="0" collapsed="false">
      <c r="A7320" s="3" t="s">
        <v>499</v>
      </c>
      <c r="C7320" s="25" t="n">
        <f aca="false">IF(C7316&gt;0,MIN(C7308,C7316*$C$7306),0)</f>
        <v>0</v>
      </c>
    </row>
    <row r="7321" customFormat="false" ht="15" hidden="false" customHeight="false" outlineLevel="0" collapsed="false">
      <c r="A7321" s="3" t="s">
        <v>500</v>
      </c>
      <c r="C7321" s="25" t="n">
        <f aca="false">IF(C7317&gt;0,MIN(C7309,C7317*$C$7306),0)</f>
        <v>0</v>
      </c>
    </row>
    <row r="7322" customFormat="false" ht="15" hidden="false" customHeight="false" outlineLevel="0" collapsed="false">
      <c r="A7322" s="3" t="s">
        <v>501</v>
      </c>
      <c r="C7322" s="25" t="n">
        <f aca="false">IF(C7318&gt;0,MIN(C7310,C7318*$C$7306),0)</f>
        <v>0</v>
      </c>
    </row>
    <row r="7323" customFormat="false" ht="15" hidden="false" customHeight="false" outlineLevel="0" collapsed="false">
      <c r="A7323" s="23" t="s">
        <v>505</v>
      </c>
      <c r="B7323" s="24"/>
      <c r="C7323" s="24"/>
      <c r="D7323" s="24"/>
      <c r="E7323" s="24"/>
      <c r="F7323" s="24"/>
      <c r="G7323" s="24"/>
      <c r="H7323" s="24"/>
      <c r="I7323" s="24"/>
      <c r="J7323" s="24"/>
      <c r="K7323" s="24"/>
    </row>
    <row r="7324" customFormat="false" ht="15" hidden="false" customHeight="false" outlineLevel="0" collapsed="false">
      <c r="A7324" s="3" t="s">
        <v>499</v>
      </c>
      <c r="C7324" s="25" t="n">
        <f aca="false">IF(C7316&gt;0,C7308-C7320,0)</f>
        <v>0</v>
      </c>
      <c r="G7324" s="20" t="n">
        <f aca="false">IF(AND(G7178=1,G7175=1),1,0)</f>
        <v>0</v>
      </c>
      <c r="H7324" s="20" t="n">
        <f aca="false">IF(G7324=1,1,IF(AND(H7178=1,H7175=1),1,0))</f>
        <v>0</v>
      </c>
      <c r="I7324" s="20" t="n">
        <f aca="false">IF(H7324=1,1,IF(AND(I7178=1,I7175=1),1,0))</f>
        <v>0</v>
      </c>
      <c r="J7324" s="20" t="n">
        <f aca="false">IF(I7324=1,1,IF(AND(J7178=1,J7175=1),1,0))</f>
        <v>0</v>
      </c>
      <c r="K7324" s="20" t="n">
        <f aca="false">IF(J7324=1,1,IF(AND(K7178=1,K7175=1),1,0))</f>
        <v>0</v>
      </c>
    </row>
    <row r="7325" customFormat="false" ht="15" hidden="false" customHeight="false" outlineLevel="0" collapsed="false">
      <c r="A7325" s="3" t="s">
        <v>500</v>
      </c>
      <c r="C7325" s="25" t="n">
        <f aca="false">IF(C7317&gt;0,C7309-C7321,0)</f>
        <v>0</v>
      </c>
      <c r="G7325" s="20" t="n">
        <f aca="false">IF(AND(G7191=1,G7175=1),1,0)</f>
        <v>0</v>
      </c>
      <c r="H7325" s="20" t="n">
        <f aca="false">IF(G7325=1,1,IF(AND(H7191=1,H7175=1),1,0))</f>
        <v>0</v>
      </c>
      <c r="I7325" s="20" t="n">
        <f aca="false">IF(H7325=1,1,IF(AND(I7191=1,I7175=1),1,0))</f>
        <v>1</v>
      </c>
      <c r="J7325" s="20" t="n">
        <f aca="false">IF(I7325=1,1,IF(AND(J7191=1,J7175=1),1,0))</f>
        <v>1</v>
      </c>
      <c r="K7325" s="20" t="n">
        <f aca="false">IF(J7325=1,1,IF(AND(K7191=1,K7175=1),1,0))</f>
        <v>1</v>
      </c>
    </row>
    <row r="7326" customFormat="false" ht="15" hidden="false" customHeight="false" outlineLevel="0" collapsed="false">
      <c r="A7326" s="3" t="s">
        <v>501</v>
      </c>
      <c r="C7326" s="25" t="n">
        <f aca="false">IF(C7318&gt;0,C7310-C7322,0)</f>
        <v>0</v>
      </c>
      <c r="G7326" s="20" t="n">
        <f aca="false">IF(AND(G7204=1,G7175=1),1,0)</f>
        <v>0</v>
      </c>
      <c r="H7326" s="20" t="n">
        <f aca="false">IF(G7326=1,1,IF(AND(H7204=1,H7175=1),1,0))</f>
        <v>0</v>
      </c>
      <c r="I7326" s="20" t="n">
        <f aca="false">IF(H7326=1,1,IF(AND(I7204=1,I7175=1),1,0))</f>
        <v>1</v>
      </c>
      <c r="J7326" s="20" t="n">
        <f aca="false">IF(I7326=1,1,IF(AND(J7204=1,J7175=1),1,0))</f>
        <v>1</v>
      </c>
      <c r="K7326" s="20" t="n">
        <f aca="false">IF(J7326=1,1,IF(AND(K7204=1,K7175=1),1,0))</f>
        <v>1</v>
      </c>
    </row>
    <row r="7327" customFormat="false" ht="15" hidden="false" customHeight="false" outlineLevel="0" collapsed="false">
      <c r="A7327" s="23" t="s">
        <v>506</v>
      </c>
      <c r="B7327" s="24"/>
      <c r="C7327" s="24"/>
      <c r="D7327" s="24"/>
      <c r="E7327" s="24"/>
      <c r="F7327" s="24"/>
      <c r="G7327" s="24"/>
      <c r="H7327" s="24"/>
      <c r="I7327" s="24"/>
      <c r="J7327" s="24"/>
      <c r="K7327" s="24"/>
    </row>
    <row r="7328" customFormat="false" ht="15" hidden="false" customHeight="false" outlineLevel="0" collapsed="false">
      <c r="A7328" s="3" t="s">
        <v>499</v>
      </c>
      <c r="C7328" s="25" t="n">
        <f aca="false">IF(C7316&gt;0,C7324,C7308)</f>
        <v>1349.6193225</v>
      </c>
    </row>
    <row r="7329" customFormat="false" ht="15" hidden="false" customHeight="false" outlineLevel="0" collapsed="false">
      <c r="A7329" s="3" t="s">
        <v>500</v>
      </c>
      <c r="C7329" s="25" t="n">
        <f aca="false">IF(C7317&gt;0,C7325,C7309)</f>
        <v>279.64600125</v>
      </c>
    </row>
    <row r="7330" customFormat="false" ht="15" hidden="false" customHeight="false" outlineLevel="0" collapsed="false">
      <c r="A7330" s="3" t="s">
        <v>501</v>
      </c>
      <c r="C7330" s="25" t="n">
        <f aca="false">IF(C7318&gt;0,C7326,C7310)</f>
        <v>145.27734375</v>
      </c>
    </row>
    <row r="7331" customFormat="false" ht="15" hidden="false" customHeight="false" outlineLevel="0" collapsed="false">
      <c r="A7331" s="23" t="s">
        <v>507</v>
      </c>
      <c r="B7331" s="24"/>
      <c r="C7331" s="24"/>
      <c r="D7331" s="24"/>
      <c r="E7331" s="24"/>
      <c r="F7331" s="24"/>
      <c r="G7331" s="24"/>
      <c r="H7331" s="24"/>
      <c r="I7331" s="24"/>
      <c r="J7331" s="24"/>
      <c r="K7331" s="24"/>
    </row>
    <row r="7332" customFormat="false" ht="15" hidden="false" customHeight="false" outlineLevel="0" collapsed="false">
      <c r="A7332" s="3" t="s">
        <v>499</v>
      </c>
      <c r="C7332" s="20" t="n">
        <f aca="false">IF(C7316&gt;0,Assumptions!$C$17,C7312)</f>
        <v>1</v>
      </c>
    </row>
    <row r="7333" customFormat="false" ht="15" hidden="false" customHeight="false" outlineLevel="0" collapsed="false">
      <c r="A7333" s="3" t="s">
        <v>500</v>
      </c>
      <c r="C7333" s="20" t="n">
        <f aca="false">IF(C7317&gt;0,Assumptions!$C$17,C7313)</f>
        <v>2</v>
      </c>
    </row>
    <row r="7334" customFormat="false" ht="15" hidden="false" customHeight="false" outlineLevel="0" collapsed="false">
      <c r="A7334" s="3" t="s">
        <v>501</v>
      </c>
      <c r="C7334" s="20" t="n">
        <f aca="false">IF(C7318&gt;0,Assumptions!$C$17,C7314)</f>
        <v>2</v>
      </c>
    </row>
    <row r="7335" customFormat="false" ht="15" hidden="false" customHeight="false" outlineLevel="0" collapsed="false">
      <c r="A7335" s="23" t="s">
        <v>508</v>
      </c>
      <c r="B7335" s="24"/>
      <c r="C7335" s="24"/>
      <c r="D7335" s="24"/>
      <c r="E7335" s="24"/>
      <c r="F7335" s="24"/>
      <c r="G7335" s="24"/>
      <c r="H7335" s="24"/>
      <c r="I7335" s="24"/>
      <c r="J7335" s="24"/>
      <c r="K7335" s="24"/>
    </row>
    <row r="7336" customFormat="false" ht="15" hidden="false" customHeight="false" outlineLevel="0" collapsed="false">
      <c r="A7336" s="3" t="s">
        <v>499</v>
      </c>
      <c r="C7336" s="25" t="n">
        <f aca="false">SUMPRODUCT(($C$7332:$C$7334&lt;C7332)*$C$7328:$C$7330)</f>
        <v>0</v>
      </c>
    </row>
    <row r="7337" customFormat="false" ht="15" hidden="false" customHeight="false" outlineLevel="0" collapsed="false">
      <c r="A7337" s="3" t="s">
        <v>500</v>
      </c>
      <c r="C7337" s="25" t="n">
        <f aca="false">SUMPRODUCT(($C$7332:$C$7334&lt;C7333)*$C$7328:$C$7330)</f>
        <v>1349.6193225</v>
      </c>
    </row>
    <row r="7338" customFormat="false" ht="15" hidden="false" customHeight="false" outlineLevel="0" collapsed="false">
      <c r="A7338" s="3" t="s">
        <v>501</v>
      </c>
      <c r="C7338" s="25" t="n">
        <f aca="false">SUMPRODUCT(($C$7332:$C$7334&lt;C7334)*$C$7328:$C$7330)</f>
        <v>1349.6193225</v>
      </c>
    </row>
    <row r="7339" customFormat="false" ht="15" hidden="false" customHeight="false" outlineLevel="0" collapsed="false">
      <c r="A7339" s="23" t="s">
        <v>509</v>
      </c>
      <c r="B7339" s="24"/>
      <c r="C7339" s="24"/>
      <c r="D7339" s="24"/>
      <c r="E7339" s="24"/>
      <c r="F7339" s="24"/>
      <c r="G7339" s="24"/>
      <c r="H7339" s="24"/>
      <c r="I7339" s="24"/>
      <c r="J7339" s="24"/>
      <c r="K7339" s="24"/>
    </row>
    <row r="7340" customFormat="false" ht="15" hidden="false" customHeight="false" outlineLevel="0" collapsed="false">
      <c r="A7340" s="3" t="s">
        <v>499</v>
      </c>
      <c r="C7340" s="25" t="n">
        <f aca="false">SUMPRODUCT(($C$7332:$C$7334=C7332)*$C$7328:$C$7330)</f>
        <v>1349.6193225</v>
      </c>
    </row>
    <row r="7341" customFormat="false" ht="15" hidden="false" customHeight="false" outlineLevel="0" collapsed="false">
      <c r="A7341" s="3" t="s">
        <v>500</v>
      </c>
      <c r="C7341" s="25" t="n">
        <f aca="false">SUMPRODUCT(($C$7332:$C$7334=C7333)*$C$7328:$C$7330)</f>
        <v>424.923345</v>
      </c>
    </row>
    <row r="7342" customFormat="false" ht="15" hidden="false" customHeight="false" outlineLevel="0" collapsed="false">
      <c r="A7342" s="3" t="s">
        <v>501</v>
      </c>
      <c r="C7342" s="25" t="n">
        <f aca="false">SUMPRODUCT(($C$7332:$C$7334=C7334)*$C$7328:$C$7330)</f>
        <v>424.923345</v>
      </c>
    </row>
    <row r="7343" customFormat="false" ht="15" hidden="false" customHeight="false" outlineLevel="0" collapsed="false">
      <c r="A7343" s="23" t="s">
        <v>510</v>
      </c>
      <c r="B7343" s="24"/>
      <c r="C7343" s="24"/>
      <c r="D7343" s="24"/>
      <c r="E7343" s="24"/>
      <c r="F7343" s="24"/>
      <c r="G7343" s="24"/>
      <c r="H7343" s="24"/>
      <c r="I7343" s="24"/>
      <c r="J7343" s="24"/>
      <c r="K7343" s="24"/>
    </row>
    <row r="7344" customFormat="false" ht="15" hidden="false" customHeight="false" outlineLevel="0" collapsed="false">
      <c r="A7344" s="3" t="s">
        <v>499</v>
      </c>
      <c r="C7344" s="25" t="n">
        <f aca="false">IF(C7340=0,0,C7328/C7340*MAX(0,MIN(C7340,$C$7306-SUM($C$7320:$C$7322)-C7336)))</f>
        <v>1349.6193225</v>
      </c>
    </row>
    <row r="7345" customFormat="false" ht="15" hidden="false" customHeight="false" outlineLevel="0" collapsed="false">
      <c r="A7345" s="3" t="s">
        <v>500</v>
      </c>
      <c r="C7345" s="25" t="n">
        <f aca="false">IF(C7341=0,0,C7329/C7341*MAX(0,MIN(C7341,$C$7306-SUM($C$7320:$C$7322)-C7337)))</f>
        <v>279.64600125</v>
      </c>
    </row>
    <row r="7346" customFormat="false" ht="15" hidden="false" customHeight="false" outlineLevel="0" collapsed="false">
      <c r="A7346" s="3" t="s">
        <v>501</v>
      </c>
      <c r="C7346" s="25" t="n">
        <f aca="false">IF(C7342=0,0,C7330/C7342*MAX(0,MIN(C7342,$C$7306-SUM($C$7320:$C$7322)-C7338)))</f>
        <v>145.27734375</v>
      </c>
    </row>
    <row r="7347" customFormat="false" ht="15" hidden="false" customHeight="false" outlineLevel="0" collapsed="false">
      <c r="A7347" s="23" t="s">
        <v>511</v>
      </c>
      <c r="B7347" s="24"/>
      <c r="C7347" s="24"/>
      <c r="D7347" s="24"/>
      <c r="E7347" s="24"/>
      <c r="F7347" s="24"/>
      <c r="G7347" s="24"/>
      <c r="H7347" s="24"/>
      <c r="I7347" s="24"/>
      <c r="J7347" s="24"/>
      <c r="K7347" s="24"/>
    </row>
    <row r="7348" customFormat="false" ht="15" hidden="false" customHeight="false" outlineLevel="0" collapsed="false">
      <c r="A7348" s="2" t="s">
        <v>499</v>
      </c>
      <c r="C7348" s="16" t="n">
        <f aca="false">C7320+C7344</f>
        <v>1349.6193225</v>
      </c>
    </row>
    <row r="7349" customFormat="false" ht="15" hidden="false" customHeight="false" outlineLevel="0" collapsed="false">
      <c r="A7349" s="2" t="s">
        <v>500</v>
      </c>
      <c r="C7349" s="16" t="n">
        <f aca="false">C7321+C7345</f>
        <v>279.64600125</v>
      </c>
    </row>
    <row r="7350" customFormat="false" ht="15" hidden="false" customHeight="false" outlineLevel="0" collapsed="false">
      <c r="A7350" s="2" t="s">
        <v>501</v>
      </c>
      <c r="C7350" s="16" t="n">
        <f aca="false">C7322+C7346</f>
        <v>145.27734375</v>
      </c>
    </row>
    <row r="7351" customFormat="false" ht="15" hidden="false" customHeight="false" outlineLevel="0" collapsed="false">
      <c r="A7351" s="23" t="s">
        <v>512</v>
      </c>
      <c r="B7351" s="24"/>
      <c r="C7351" s="24"/>
      <c r="D7351" s="24"/>
      <c r="E7351" s="24"/>
      <c r="F7351" s="24"/>
      <c r="G7351" s="24"/>
      <c r="H7351" s="24"/>
      <c r="I7351" s="24"/>
      <c r="J7351" s="24"/>
      <c r="K7351" s="24"/>
    </row>
    <row r="7352" customFormat="false" ht="15" hidden="false" customHeight="false" outlineLevel="0" collapsed="false">
      <c r="A7352" s="3" t="s">
        <v>499</v>
      </c>
      <c r="C7352" s="21" t="n">
        <f aca="false">IF(C7308=0,1,C7348/C7308)</f>
        <v>1</v>
      </c>
    </row>
    <row r="7353" customFormat="false" ht="15" hidden="false" customHeight="false" outlineLevel="0" collapsed="false">
      <c r="A7353" s="3" t="s">
        <v>500</v>
      </c>
      <c r="C7353" s="21" t="n">
        <f aca="false">IF(C7309=0,1,C7349/C7309)</f>
        <v>1</v>
      </c>
    </row>
    <row r="7354" customFormat="false" ht="15" hidden="false" customHeight="false" outlineLevel="0" collapsed="false">
      <c r="A7354" s="3" t="s">
        <v>501</v>
      </c>
      <c r="C7354" s="21" t="n">
        <f aca="false">IF(C7310=0,1,C7350/C7310)</f>
        <v>1</v>
      </c>
    </row>
    <row r="7355" customFormat="false" ht="15" hidden="false" customHeight="false" outlineLevel="0" collapsed="false">
      <c r="A7355" s="23" t="s">
        <v>513</v>
      </c>
      <c r="B7355" s="24"/>
      <c r="C7355" s="24"/>
      <c r="D7355" s="24"/>
      <c r="E7355" s="24"/>
      <c r="F7355" s="24"/>
      <c r="G7355" s="24"/>
      <c r="H7355" s="24"/>
      <c r="I7355" s="24"/>
      <c r="J7355" s="24"/>
      <c r="K7355" s="24"/>
    </row>
    <row r="7356" customFormat="false" ht="15" hidden="false" customHeight="false" outlineLevel="0" collapsed="false">
      <c r="A7356" s="3" t="s">
        <v>499</v>
      </c>
      <c r="C7356" s="25" t="n">
        <f aca="false">C7308-C7348</f>
        <v>0</v>
      </c>
    </row>
    <row r="7357" customFormat="false" ht="15" hidden="false" customHeight="false" outlineLevel="0" collapsed="false">
      <c r="A7357" s="3" t="s">
        <v>500</v>
      </c>
      <c r="C7357" s="25" t="n">
        <f aca="false">C7309-C7349</f>
        <v>0</v>
      </c>
    </row>
    <row r="7358" customFormat="false" ht="15" hidden="false" customHeight="false" outlineLevel="0" collapsed="false">
      <c r="A7358" s="3" t="s">
        <v>501</v>
      </c>
      <c r="C7358" s="25" t="n">
        <f aca="false">C7310-C7350</f>
        <v>0</v>
      </c>
    </row>
    <row r="7359" customFormat="false" ht="15" hidden="false" customHeight="false" outlineLevel="0" collapsed="false">
      <c r="A7359" s="23" t="s">
        <v>514</v>
      </c>
      <c r="B7359" s="24"/>
      <c r="C7359" s="24"/>
      <c r="D7359" s="24"/>
      <c r="E7359" s="24"/>
      <c r="F7359" s="24"/>
      <c r="G7359" s="24"/>
      <c r="H7359" s="24"/>
      <c r="I7359" s="24"/>
      <c r="J7359" s="24"/>
      <c r="K7359" s="24"/>
    </row>
    <row r="7360" customFormat="false" ht="15" hidden="false" customHeight="false" outlineLevel="0" collapsed="false">
      <c r="A7360" s="3" t="s">
        <v>499</v>
      </c>
      <c r="C7360" s="21" t="n">
        <f aca="false">IF(C7308=0,0,C7356/C7308)</f>
        <v>0</v>
      </c>
    </row>
    <row r="7361" customFormat="false" ht="15" hidden="false" customHeight="false" outlineLevel="0" collapsed="false">
      <c r="A7361" s="3" t="s">
        <v>500</v>
      </c>
      <c r="C7361" s="21" t="n">
        <f aca="false">IF(C7309=0,0,C7357/C7309)</f>
        <v>0</v>
      </c>
    </row>
    <row r="7362" customFormat="false" ht="15" hidden="false" customHeight="false" outlineLevel="0" collapsed="false">
      <c r="A7362" s="3" t="s">
        <v>501</v>
      </c>
      <c r="C7362" s="21" t="n">
        <f aca="false">IF(C7310=0,0,C7358/C7310)</f>
        <v>0</v>
      </c>
    </row>
    <row r="7363" customFormat="false" ht="15" hidden="false" customHeight="false" outlineLevel="0" collapsed="false">
      <c r="A7363" s="2" t="s">
        <v>515</v>
      </c>
      <c r="C7363" s="16" t="n">
        <f aca="false">MAX(0,$C$7306-SUM($C$7320:$C$7322)-SUM($C$7328:$C$7330))</f>
        <v>408.578473264799</v>
      </c>
    </row>
    <row r="7364" customFormat="false" ht="15" hidden="false" customHeight="false" outlineLevel="0" collapsed="false">
      <c r="A7364" s="3" t="s">
        <v>516</v>
      </c>
      <c r="C7364" s="25" t="n">
        <f aca="false">SUM($C$7348:$C$7350)+C7363+C7305-C7304</f>
        <v>0</v>
      </c>
    </row>
    <row r="7366" customFormat="false" ht="15" hidden="false" customHeight="false" outlineLevel="0" collapsed="false">
      <c r="A7366" s="23" t="s">
        <v>519</v>
      </c>
      <c r="B7366" s="24"/>
      <c r="C7366" s="24"/>
      <c r="D7366" s="24"/>
      <c r="E7366" s="24"/>
      <c r="F7366" s="24"/>
      <c r="G7366" s="24"/>
      <c r="H7366" s="24"/>
      <c r="I7366" s="24"/>
      <c r="J7366" s="24"/>
      <c r="K7366" s="24"/>
    </row>
    <row r="7367" customFormat="false" ht="15" hidden="false" customHeight="false" outlineLevel="0" collapsed="false">
      <c r="A7367" s="3" t="s">
        <v>520</v>
      </c>
      <c r="C7367" s="27" t="n">
        <f aca="false">Assumptions!$C$33</f>
        <v>1</v>
      </c>
    </row>
    <row r="7368" customFormat="false" ht="15" hidden="false" customHeight="false" outlineLevel="0" collapsed="false">
      <c r="A7368" s="3" t="s">
        <v>521</v>
      </c>
      <c r="C7368" s="29" t="n">
        <f aca="false">Assumptions!$C$34</f>
        <v>100</v>
      </c>
    </row>
    <row r="7369" customFormat="false" ht="15" hidden="false" customHeight="false" outlineLevel="0" collapsed="false">
      <c r="A7369" s="3" t="s">
        <v>522</v>
      </c>
      <c r="C7369" s="40" t="n">
        <f aca="false">Assumptions!$C$35</f>
        <v>95</v>
      </c>
    </row>
    <row r="7370" customFormat="false" ht="15" hidden="false" customHeight="false" outlineLevel="0" collapsed="false">
      <c r="A7370" s="3" t="s">
        <v>523</v>
      </c>
      <c r="C7370" s="25" t="n">
        <f aca="false">C7368*C7369/100*(1+Assumptions!$C$36)</f>
        <v>95</v>
      </c>
    </row>
    <row r="7371" customFormat="false" ht="15" hidden="false" customHeight="false" outlineLevel="0" collapsed="false">
      <c r="A7371" s="3" t="s">
        <v>524</v>
      </c>
      <c r="C7371" s="27" t="n">
        <f aca="false">Assumptions!$C$37</f>
        <v>3</v>
      </c>
    </row>
    <row r="7372" customFormat="false" ht="15" hidden="false" customHeight="false" outlineLevel="0" collapsed="false">
      <c r="A7372" s="3" t="s">
        <v>525</v>
      </c>
      <c r="C7372" s="20" t="n">
        <f aca="false">IF(C7297=1,SUMPRODUCT($G$7249:$K$7249,$G$7142:$K$7142),0)</f>
        <v>0</v>
      </c>
    </row>
    <row r="7373" customFormat="false" ht="15" hidden="false" customHeight="false" outlineLevel="0" collapsed="false">
      <c r="A7373" s="3" t="s">
        <v>526</v>
      </c>
      <c r="C7373" s="21" t="n">
        <f aca="false">IFERROR(C7368/CHOOSE(C7367,SUMPRODUCT($G$7296:$K$7296,$G$7188:$K$7188),SUMPRODUCT($G$7296:$K$7296,$G$7201:$K$7201),SUMPRODUCT($G$7296:$K$7296,$G$7214:$K$7214)),0)</f>
        <v>0.0760399605200525</v>
      </c>
    </row>
    <row r="7374" customFormat="false" ht="15" hidden="false" customHeight="false" outlineLevel="0" collapsed="false">
      <c r="A7374" s="3" t="s">
        <v>527</v>
      </c>
      <c r="C7374" s="25" t="n">
        <f aca="false">CHOOSE(C7367,C7348,C7349,C7350)*C7373</f>
        <v>102.625</v>
      </c>
    </row>
    <row r="7375" customFormat="false" ht="15" hidden="false" customHeight="false" outlineLevel="0" collapsed="false">
      <c r="A7375" s="3" t="s">
        <v>528</v>
      </c>
      <c r="C7375" s="21" t="n">
        <f aca="false">CHOOSE(C7367,C7352,C7353,C7354)</f>
        <v>1</v>
      </c>
    </row>
    <row r="7376" customFormat="false" ht="15" hidden="false" customHeight="false" outlineLevel="0" collapsed="false">
      <c r="A7376" s="3" t="s">
        <v>529</v>
      </c>
      <c r="C7376" s="20" t="n">
        <f aca="false">IF(C7297=1,C7372,C7371)</f>
        <v>3</v>
      </c>
    </row>
    <row r="7377" customFormat="false" ht="15" hidden="false" customHeight="false" outlineLevel="0" collapsed="false">
      <c r="A7377" s="3" t="s">
        <v>530</v>
      </c>
      <c r="C7377" s="34" t="n">
        <f aca="false">CHOOSE($C$7134,Assumptions!$C$83,Assumptions!$C$102,Assumptions!$C$121)</f>
        <v>100</v>
      </c>
    </row>
    <row r="7378" customFormat="false" ht="15" hidden="false" customHeight="false" outlineLevel="0" collapsed="false">
      <c r="A7378" s="3" t="s">
        <v>531</v>
      </c>
      <c r="C7378" s="25" t="n">
        <f aca="false">INDEX($G$7151:$K$7151,C7371)*CHOOSE($C$7134,Assumptions!$C$82,Assumptions!$C$101,Assumptions!$C$120)+MAX(0,INDEX($G$7246:$K$7246,C7371))</f>
        <v>2574.53307401043</v>
      </c>
    </row>
    <row r="7379" customFormat="false" ht="15" hidden="false" customHeight="false" outlineLevel="0" collapsed="false">
      <c r="A7379" s="23" t="s">
        <v>532</v>
      </c>
      <c r="B7379" s="24"/>
      <c r="C7379" s="24"/>
      <c r="D7379" s="24"/>
      <c r="E7379" s="24"/>
      <c r="F7379" s="24"/>
      <c r="G7379" s="24"/>
      <c r="H7379" s="24"/>
      <c r="I7379" s="24"/>
      <c r="J7379" s="24"/>
      <c r="K7379" s="24"/>
    </row>
    <row r="7380" customFormat="false" ht="15" hidden="false" customHeight="false" outlineLevel="0" collapsed="false">
      <c r="A7380" s="3" t="s">
        <v>499</v>
      </c>
      <c r="C7380" s="25" t="n">
        <f aca="false">INDEX($G$7188:$K$7188,C7371)</f>
        <v>1315.098</v>
      </c>
    </row>
    <row r="7381" customFormat="false" ht="15" hidden="false" customHeight="false" outlineLevel="0" collapsed="false">
      <c r="A7381" s="3" t="s">
        <v>500</v>
      </c>
      <c r="C7381" s="25" t="n">
        <f aca="false">INDEX($G$7201:$K$7201,C7371)</f>
        <v>0</v>
      </c>
    </row>
    <row r="7382" customFormat="false" ht="15" hidden="false" customHeight="false" outlineLevel="0" collapsed="false">
      <c r="A7382" s="3" t="s">
        <v>501</v>
      </c>
      <c r="C7382" s="25" t="n">
        <f aca="false">INDEX($G$7214:$K$7214,C7371)</f>
        <v>0</v>
      </c>
    </row>
    <row r="7383" customFormat="false" ht="15" hidden="false" customHeight="false" outlineLevel="0" collapsed="false">
      <c r="A7383" s="23" t="s">
        <v>502</v>
      </c>
      <c r="B7383" s="24"/>
      <c r="C7383" s="24"/>
      <c r="D7383" s="24"/>
      <c r="E7383" s="24"/>
      <c r="F7383" s="24"/>
      <c r="G7383" s="24"/>
      <c r="H7383" s="24"/>
      <c r="I7383" s="24"/>
      <c r="J7383" s="24"/>
      <c r="K7383" s="24"/>
    </row>
    <row r="7384" customFormat="false" ht="15" hidden="false" customHeight="false" outlineLevel="0" collapsed="false">
      <c r="A7384" s="3" t="s">
        <v>499</v>
      </c>
      <c r="C7384" s="27" t="n">
        <f aca="false">Assumptions!$M$56</f>
        <v>1</v>
      </c>
    </row>
    <row r="7385" customFormat="false" ht="15" hidden="false" customHeight="false" outlineLevel="0" collapsed="false">
      <c r="A7385" s="3" t="s">
        <v>500</v>
      </c>
      <c r="C7385" s="27" t="n">
        <f aca="false">Assumptions!$M$57</f>
        <v>2</v>
      </c>
    </row>
    <row r="7386" customFormat="false" ht="15" hidden="false" customHeight="false" outlineLevel="0" collapsed="false">
      <c r="A7386" s="3" t="s">
        <v>501</v>
      </c>
      <c r="C7386" s="27" t="n">
        <f aca="false">Assumptions!$M$58</f>
        <v>2</v>
      </c>
    </row>
    <row r="7387" customFormat="false" ht="15" hidden="false" customHeight="false" outlineLevel="0" collapsed="false">
      <c r="A7387" s="23" t="s">
        <v>503</v>
      </c>
      <c r="B7387" s="24"/>
      <c r="C7387" s="24"/>
      <c r="D7387" s="24"/>
      <c r="E7387" s="24"/>
      <c r="F7387" s="24"/>
      <c r="G7387" s="24"/>
      <c r="H7387" s="24"/>
      <c r="I7387" s="24"/>
      <c r="J7387" s="24"/>
      <c r="K7387" s="24"/>
    </row>
    <row r="7388" customFormat="false" ht="15" hidden="false" customHeight="false" outlineLevel="0" collapsed="false">
      <c r="A7388" s="3" t="s">
        <v>499</v>
      </c>
      <c r="C7388" s="35" t="n">
        <f aca="false">Assumptions!$Q$56</f>
        <v>0</v>
      </c>
    </row>
    <row r="7389" customFormat="false" ht="15" hidden="false" customHeight="false" outlineLevel="0" collapsed="false">
      <c r="A7389" s="3" t="s">
        <v>500</v>
      </c>
      <c r="C7389" s="35" t="n">
        <f aca="false">Assumptions!$Q$57</f>
        <v>0</v>
      </c>
    </row>
    <row r="7390" customFormat="false" ht="15" hidden="false" customHeight="false" outlineLevel="0" collapsed="false">
      <c r="A7390" s="3" t="s">
        <v>501</v>
      </c>
      <c r="C7390" s="35" t="n">
        <f aca="false">Assumptions!$Q$58</f>
        <v>0</v>
      </c>
    </row>
    <row r="7391" customFormat="false" ht="15" hidden="false" customHeight="false" outlineLevel="0" collapsed="false">
      <c r="A7391" s="23" t="s">
        <v>504</v>
      </c>
      <c r="B7391" s="24"/>
      <c r="C7391" s="24"/>
      <c r="D7391" s="24"/>
      <c r="E7391" s="24"/>
      <c r="F7391" s="24"/>
      <c r="G7391" s="24"/>
      <c r="H7391" s="24"/>
      <c r="I7391" s="24"/>
      <c r="J7391" s="24"/>
      <c r="K7391" s="24"/>
    </row>
    <row r="7392" customFormat="false" ht="15" hidden="false" customHeight="false" outlineLevel="0" collapsed="false">
      <c r="A7392" s="3" t="s">
        <v>499</v>
      </c>
      <c r="C7392" s="25" t="n">
        <f aca="false">IF(C7388&gt;0,MIN(C7380,C7388*$C$7378),0)</f>
        <v>0</v>
      </c>
    </row>
    <row r="7393" customFormat="false" ht="15" hidden="false" customHeight="false" outlineLevel="0" collapsed="false">
      <c r="A7393" s="3" t="s">
        <v>500</v>
      </c>
      <c r="C7393" s="25" t="n">
        <f aca="false">IF(C7389&gt;0,MIN(C7381,C7389*$C$7378),0)</f>
        <v>0</v>
      </c>
    </row>
    <row r="7394" customFormat="false" ht="15" hidden="false" customHeight="false" outlineLevel="0" collapsed="false">
      <c r="A7394" s="3" t="s">
        <v>501</v>
      </c>
      <c r="C7394" s="25" t="n">
        <f aca="false">IF(C7390&gt;0,MIN(C7382,C7390*$C$7378),0)</f>
        <v>0</v>
      </c>
    </row>
    <row r="7395" customFormat="false" ht="15" hidden="false" customHeight="false" outlineLevel="0" collapsed="false">
      <c r="A7395" s="23" t="s">
        <v>505</v>
      </c>
      <c r="B7395" s="24"/>
      <c r="C7395" s="24"/>
      <c r="D7395" s="24"/>
      <c r="E7395" s="24"/>
      <c r="F7395" s="24"/>
      <c r="G7395" s="24"/>
      <c r="H7395" s="24"/>
      <c r="I7395" s="24"/>
      <c r="J7395" s="24"/>
      <c r="K7395" s="24"/>
    </row>
    <row r="7396" customFormat="false" ht="15" hidden="false" customHeight="false" outlineLevel="0" collapsed="false">
      <c r="A7396" s="3" t="s">
        <v>499</v>
      </c>
      <c r="C7396" s="25" t="n">
        <f aca="false">IF(C7388&gt;0,C7380-C7392,0)</f>
        <v>0</v>
      </c>
    </row>
    <row r="7397" customFormat="false" ht="15" hidden="false" customHeight="false" outlineLevel="0" collapsed="false">
      <c r="A7397" s="3" t="s">
        <v>500</v>
      </c>
      <c r="C7397" s="25" t="n">
        <f aca="false">IF(C7389&gt;0,C7381-C7393,0)</f>
        <v>0</v>
      </c>
    </row>
    <row r="7398" customFormat="false" ht="15" hidden="false" customHeight="false" outlineLevel="0" collapsed="false">
      <c r="A7398" s="3" t="s">
        <v>501</v>
      </c>
      <c r="C7398" s="25" t="n">
        <f aca="false">IF(C7390&gt;0,C7382-C7394,0)</f>
        <v>0</v>
      </c>
    </row>
    <row r="7399" customFormat="false" ht="15" hidden="false" customHeight="false" outlineLevel="0" collapsed="false">
      <c r="A7399" s="23" t="s">
        <v>506</v>
      </c>
      <c r="B7399" s="24"/>
      <c r="C7399" s="24"/>
      <c r="D7399" s="24"/>
      <c r="E7399" s="24"/>
      <c r="F7399" s="24"/>
      <c r="G7399" s="24"/>
      <c r="H7399" s="24"/>
      <c r="I7399" s="24"/>
      <c r="J7399" s="24"/>
      <c r="K7399" s="24"/>
    </row>
    <row r="7400" customFormat="false" ht="15" hidden="false" customHeight="false" outlineLevel="0" collapsed="false">
      <c r="A7400" s="3" t="s">
        <v>499</v>
      </c>
      <c r="C7400" s="25" t="n">
        <f aca="false">IF(C7388&gt;0,C7396,C7380)</f>
        <v>1315.098</v>
      </c>
    </row>
    <row r="7401" customFormat="false" ht="15" hidden="false" customHeight="false" outlineLevel="0" collapsed="false">
      <c r="A7401" s="3" t="s">
        <v>500</v>
      </c>
      <c r="C7401" s="25" t="n">
        <f aca="false">IF(C7389&gt;0,C7397,C7381)</f>
        <v>0</v>
      </c>
    </row>
    <row r="7402" customFormat="false" ht="15" hidden="false" customHeight="false" outlineLevel="0" collapsed="false">
      <c r="A7402" s="3" t="s">
        <v>501</v>
      </c>
      <c r="C7402" s="25" t="n">
        <f aca="false">IF(C7390&gt;0,C7398,C7382)</f>
        <v>0</v>
      </c>
    </row>
    <row r="7403" customFormat="false" ht="15" hidden="false" customHeight="false" outlineLevel="0" collapsed="false">
      <c r="A7403" s="23" t="s">
        <v>507</v>
      </c>
      <c r="B7403" s="24"/>
      <c r="C7403" s="24"/>
      <c r="D7403" s="24"/>
      <c r="E7403" s="24"/>
      <c r="F7403" s="24"/>
      <c r="G7403" s="24"/>
      <c r="H7403" s="24"/>
      <c r="I7403" s="24"/>
      <c r="J7403" s="24"/>
      <c r="K7403" s="24"/>
    </row>
    <row r="7404" customFormat="false" ht="15" hidden="false" customHeight="false" outlineLevel="0" collapsed="false">
      <c r="A7404" s="3" t="s">
        <v>499</v>
      </c>
      <c r="C7404" s="20" t="n">
        <f aca="false">IF(C7388&gt;0,Assumptions!$C$17,C7384)</f>
        <v>1</v>
      </c>
    </row>
    <row r="7405" customFormat="false" ht="15" hidden="false" customHeight="false" outlineLevel="0" collapsed="false">
      <c r="A7405" s="3" t="s">
        <v>500</v>
      </c>
      <c r="C7405" s="20" t="n">
        <f aca="false">IF(C7389&gt;0,Assumptions!$C$17,C7385)</f>
        <v>2</v>
      </c>
    </row>
    <row r="7406" customFormat="false" ht="15" hidden="false" customHeight="false" outlineLevel="0" collapsed="false">
      <c r="A7406" s="3" t="s">
        <v>501</v>
      </c>
      <c r="C7406" s="20" t="n">
        <f aca="false">IF(C7390&gt;0,Assumptions!$C$17,C7386)</f>
        <v>2</v>
      </c>
    </row>
    <row r="7407" customFormat="false" ht="15" hidden="false" customHeight="false" outlineLevel="0" collapsed="false">
      <c r="A7407" s="23" t="s">
        <v>508</v>
      </c>
      <c r="B7407" s="24"/>
      <c r="C7407" s="24"/>
      <c r="D7407" s="24"/>
      <c r="E7407" s="24"/>
      <c r="F7407" s="24"/>
      <c r="G7407" s="24"/>
      <c r="H7407" s="24"/>
      <c r="I7407" s="24"/>
      <c r="J7407" s="24"/>
      <c r="K7407" s="24"/>
    </row>
    <row r="7408" customFormat="false" ht="15" hidden="false" customHeight="false" outlineLevel="0" collapsed="false">
      <c r="A7408" s="3" t="s">
        <v>499</v>
      </c>
      <c r="C7408" s="25" t="n">
        <f aca="false">SUMPRODUCT(($C$7404:$C$7406&lt;C7404)*$C$7400:$C$7402)</f>
        <v>0</v>
      </c>
    </row>
    <row r="7409" customFormat="false" ht="15" hidden="false" customHeight="false" outlineLevel="0" collapsed="false">
      <c r="A7409" s="3" t="s">
        <v>500</v>
      </c>
      <c r="C7409" s="25" t="n">
        <f aca="false">SUMPRODUCT(($C$7404:$C$7406&lt;C7405)*$C$7400:$C$7402)</f>
        <v>1315.098</v>
      </c>
    </row>
    <row r="7410" customFormat="false" ht="15" hidden="false" customHeight="false" outlineLevel="0" collapsed="false">
      <c r="A7410" s="3" t="s">
        <v>501</v>
      </c>
      <c r="C7410" s="25" t="n">
        <f aca="false">SUMPRODUCT(($C$7404:$C$7406&lt;C7406)*$C$7400:$C$7402)</f>
        <v>1315.098</v>
      </c>
    </row>
    <row r="7411" customFormat="false" ht="15" hidden="false" customHeight="false" outlineLevel="0" collapsed="false">
      <c r="A7411" s="23" t="s">
        <v>509</v>
      </c>
      <c r="B7411" s="24"/>
      <c r="C7411" s="24"/>
      <c r="D7411" s="24"/>
      <c r="E7411" s="24"/>
      <c r="F7411" s="24"/>
      <c r="G7411" s="24"/>
      <c r="H7411" s="24"/>
      <c r="I7411" s="24"/>
      <c r="J7411" s="24"/>
      <c r="K7411" s="24"/>
    </row>
    <row r="7412" customFormat="false" ht="15" hidden="false" customHeight="false" outlineLevel="0" collapsed="false">
      <c r="A7412" s="3" t="s">
        <v>499</v>
      </c>
      <c r="C7412" s="25" t="n">
        <f aca="false">SUMPRODUCT(($C$7404:$C$7406=C7404)*$C$7400:$C$7402)</f>
        <v>1315.098</v>
      </c>
    </row>
    <row r="7413" customFormat="false" ht="15" hidden="false" customHeight="false" outlineLevel="0" collapsed="false">
      <c r="A7413" s="3" t="s">
        <v>500</v>
      </c>
      <c r="C7413" s="25" t="n">
        <f aca="false">SUMPRODUCT(($C$7404:$C$7406=C7405)*$C$7400:$C$7402)</f>
        <v>0</v>
      </c>
    </row>
    <row r="7414" customFormat="false" ht="15" hidden="false" customHeight="false" outlineLevel="0" collapsed="false">
      <c r="A7414" s="3" t="s">
        <v>501</v>
      </c>
      <c r="C7414" s="25" t="n">
        <f aca="false">SUMPRODUCT(($C$7404:$C$7406=C7406)*$C$7400:$C$7402)</f>
        <v>0</v>
      </c>
    </row>
    <row r="7415" customFormat="false" ht="15" hidden="false" customHeight="false" outlineLevel="0" collapsed="false">
      <c r="A7415" s="23" t="s">
        <v>510</v>
      </c>
      <c r="B7415" s="24"/>
      <c r="C7415" s="24"/>
      <c r="D7415" s="24"/>
      <c r="E7415" s="24"/>
      <c r="F7415" s="24"/>
      <c r="G7415" s="24"/>
      <c r="H7415" s="24"/>
      <c r="I7415" s="24"/>
      <c r="J7415" s="24"/>
      <c r="K7415" s="24"/>
    </row>
    <row r="7416" customFormat="false" ht="15" hidden="false" customHeight="false" outlineLevel="0" collapsed="false">
      <c r="A7416" s="3" t="s">
        <v>499</v>
      </c>
      <c r="C7416" s="25" t="n">
        <f aca="false">IF(C7412=0,0,C7400/C7412*MAX(0,MIN(C7412,$C$7378-SUM($C$7392:$C$7394)-C7408)))</f>
        <v>1315.098</v>
      </c>
    </row>
    <row r="7417" customFormat="false" ht="15" hidden="false" customHeight="false" outlineLevel="0" collapsed="false">
      <c r="A7417" s="3" t="s">
        <v>500</v>
      </c>
      <c r="C7417" s="25" t="n">
        <f aca="false">IF(C7413=0,0,C7401/C7413*MAX(0,MIN(C7413,$C$7378-SUM($C$7392:$C$7394)-C7409)))</f>
        <v>0</v>
      </c>
    </row>
    <row r="7418" customFormat="false" ht="15" hidden="false" customHeight="false" outlineLevel="0" collapsed="false">
      <c r="A7418" s="3" t="s">
        <v>501</v>
      </c>
      <c r="C7418" s="25" t="n">
        <f aca="false">IF(C7414=0,0,C7402/C7414*MAX(0,MIN(C7414,$C$7378-SUM($C$7392:$C$7394)-C7410)))</f>
        <v>0</v>
      </c>
    </row>
    <row r="7419" customFormat="false" ht="15" hidden="false" customHeight="false" outlineLevel="0" collapsed="false">
      <c r="A7419" s="23" t="s">
        <v>511</v>
      </c>
      <c r="B7419" s="24"/>
      <c r="C7419" s="24"/>
      <c r="D7419" s="24"/>
      <c r="E7419" s="24"/>
      <c r="F7419" s="24"/>
      <c r="G7419" s="24"/>
      <c r="H7419" s="24"/>
      <c r="I7419" s="24"/>
      <c r="J7419" s="24"/>
      <c r="K7419" s="24"/>
    </row>
    <row r="7420" customFormat="false" ht="15" hidden="false" customHeight="false" outlineLevel="0" collapsed="false">
      <c r="A7420" s="2" t="s">
        <v>499</v>
      </c>
      <c r="C7420" s="16" t="n">
        <f aca="false">C7392+C7416</f>
        <v>1315.098</v>
      </c>
    </row>
    <row r="7421" customFormat="false" ht="15" hidden="false" customHeight="false" outlineLevel="0" collapsed="false">
      <c r="A7421" s="2" t="s">
        <v>500</v>
      </c>
      <c r="C7421" s="16" t="n">
        <f aca="false">C7393+C7417</f>
        <v>0</v>
      </c>
    </row>
    <row r="7422" customFormat="false" ht="15" hidden="false" customHeight="false" outlineLevel="0" collapsed="false">
      <c r="A7422" s="2" t="s">
        <v>501</v>
      </c>
      <c r="C7422" s="16" t="n">
        <f aca="false">C7394+C7418</f>
        <v>0</v>
      </c>
    </row>
    <row r="7423" customFormat="false" ht="15" hidden="false" customHeight="false" outlineLevel="0" collapsed="false">
      <c r="A7423" s="23" t="s">
        <v>512</v>
      </c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</row>
    <row r="7424" customFormat="false" ht="15" hidden="false" customHeight="false" outlineLevel="0" collapsed="false">
      <c r="A7424" s="3" t="s">
        <v>499</v>
      </c>
      <c r="C7424" s="21" t="n">
        <f aca="false">IF(C7380=0,1,C7420/C7380)</f>
        <v>1</v>
      </c>
    </row>
    <row r="7425" customFormat="false" ht="15" hidden="false" customHeight="false" outlineLevel="0" collapsed="false">
      <c r="A7425" s="3" t="s">
        <v>500</v>
      </c>
      <c r="C7425" s="21" t="n">
        <f aca="false">IF(C7381=0,1,C7421/C7381)</f>
        <v>1</v>
      </c>
    </row>
    <row r="7426" customFormat="false" ht="15" hidden="false" customHeight="false" outlineLevel="0" collapsed="false">
      <c r="A7426" s="3" t="s">
        <v>501</v>
      </c>
      <c r="C7426" s="21" t="n">
        <f aca="false">IF(C7382=0,1,C7422/C7382)</f>
        <v>1</v>
      </c>
    </row>
    <row r="7427" customFormat="false" ht="15" hidden="false" customHeight="false" outlineLevel="0" collapsed="false">
      <c r="A7427" s="23" t="s">
        <v>513</v>
      </c>
      <c r="B7427" s="24"/>
      <c r="C7427" s="24"/>
      <c r="D7427" s="24"/>
      <c r="E7427" s="24"/>
      <c r="F7427" s="24"/>
      <c r="G7427" s="24"/>
      <c r="H7427" s="24"/>
      <c r="I7427" s="24"/>
      <c r="J7427" s="24"/>
      <c r="K7427" s="24"/>
    </row>
    <row r="7428" customFormat="false" ht="15" hidden="false" customHeight="false" outlineLevel="0" collapsed="false">
      <c r="A7428" s="3" t="s">
        <v>499</v>
      </c>
      <c r="C7428" s="25" t="n">
        <f aca="false">C7380-C7420</f>
        <v>0</v>
      </c>
    </row>
    <row r="7429" customFormat="false" ht="15" hidden="false" customHeight="false" outlineLevel="0" collapsed="false">
      <c r="A7429" s="3" t="s">
        <v>500</v>
      </c>
      <c r="C7429" s="25" t="n">
        <f aca="false">C7381-C7421</f>
        <v>0</v>
      </c>
    </row>
    <row r="7430" customFormat="false" ht="15" hidden="false" customHeight="false" outlineLevel="0" collapsed="false">
      <c r="A7430" s="3" t="s">
        <v>501</v>
      </c>
      <c r="C7430" s="25" t="n">
        <f aca="false">C7382-C7422</f>
        <v>0</v>
      </c>
    </row>
    <row r="7431" customFormat="false" ht="15" hidden="false" customHeight="false" outlineLevel="0" collapsed="false">
      <c r="A7431" s="23" t="s">
        <v>514</v>
      </c>
      <c r="B7431" s="24"/>
      <c r="C7431" s="24"/>
      <c r="D7431" s="24"/>
      <c r="E7431" s="24"/>
      <c r="F7431" s="24"/>
      <c r="G7431" s="24"/>
      <c r="H7431" s="24"/>
      <c r="I7431" s="24"/>
      <c r="J7431" s="24"/>
      <c r="K7431" s="24"/>
    </row>
    <row r="7432" customFormat="false" ht="15" hidden="false" customHeight="false" outlineLevel="0" collapsed="false">
      <c r="A7432" s="3" t="s">
        <v>499</v>
      </c>
      <c r="C7432" s="21" t="n">
        <f aca="false">IF(C7380=0,0,C7428/C7380)</f>
        <v>0</v>
      </c>
    </row>
    <row r="7433" customFormat="false" ht="15" hidden="false" customHeight="false" outlineLevel="0" collapsed="false">
      <c r="A7433" s="3" t="s">
        <v>500</v>
      </c>
      <c r="C7433" s="21" t="n">
        <f aca="false">IF(C7381=0,0,C7429/C7381)</f>
        <v>0</v>
      </c>
    </row>
    <row r="7434" customFormat="false" ht="15" hidden="false" customHeight="false" outlineLevel="0" collapsed="false">
      <c r="A7434" s="3" t="s">
        <v>501</v>
      </c>
      <c r="C7434" s="21" t="n">
        <f aca="false">IF(C7382=0,0,C7430/C7382)</f>
        <v>0</v>
      </c>
    </row>
    <row r="7435" customFormat="false" ht="15" hidden="false" customHeight="false" outlineLevel="0" collapsed="false">
      <c r="A7435" s="2" t="s">
        <v>515</v>
      </c>
      <c r="C7435" s="16" t="n">
        <f aca="false">MAX(0,$C$7378-SUM($C$7392:$C$7394)-SUM($C$7400:$C$7402))</f>
        <v>1259.43507401043</v>
      </c>
    </row>
    <row r="7436" customFormat="false" ht="15" hidden="false" customHeight="false" outlineLevel="0" collapsed="false">
      <c r="A7436" s="3" t="s">
        <v>533</v>
      </c>
      <c r="C7436" s="34" t="n">
        <f aca="false">MIN(C7377,100*CHOOSE(C7367,C7424,C7425,C7426))</f>
        <v>100</v>
      </c>
    </row>
    <row r="7437" customFormat="false" ht="15" hidden="false" customHeight="false" outlineLevel="0" collapsed="false">
      <c r="A7437" s="3" t="s">
        <v>534</v>
      </c>
      <c r="C7437" s="20" t="n">
        <f aca="false">IF(C7297=1,C7372+Assumptions!$C$39,C7371)</f>
        <v>3</v>
      </c>
    </row>
    <row r="7438" customFormat="false" ht="15" hidden="false" customHeight="false" outlineLevel="0" collapsed="false">
      <c r="A7438" s="23" t="s">
        <v>535</v>
      </c>
      <c r="B7438" s="24"/>
      <c r="C7438" s="24"/>
      <c r="D7438" s="24"/>
      <c r="E7438" s="24"/>
      <c r="F7438" s="24"/>
      <c r="G7438" s="24"/>
      <c r="H7438" s="24"/>
      <c r="I7438" s="24"/>
      <c r="J7438" s="24"/>
      <c r="K7438" s="24"/>
    </row>
    <row r="7439" customFormat="false" ht="15" hidden="false" customHeight="false" outlineLevel="0" collapsed="false">
      <c r="A7439" s="3" t="s">
        <v>536</v>
      </c>
      <c r="C7439" s="20" t="n">
        <f aca="false">COLUMN()-COLUMN($C$1)</f>
        <v>0</v>
      </c>
      <c r="D7439" s="20" t="n">
        <f aca="false">COLUMN()-COLUMN($C$1)</f>
        <v>1</v>
      </c>
      <c r="E7439" s="20" t="n">
        <f aca="false">COLUMN()-COLUMN($C$1)</f>
        <v>2</v>
      </c>
      <c r="F7439" s="20" t="n">
        <f aca="false">COLUMN()-COLUMN($C$1)</f>
        <v>3</v>
      </c>
      <c r="G7439" s="20" t="n">
        <f aca="false">COLUMN()-COLUMN($C$1)</f>
        <v>4</v>
      </c>
      <c r="H7439" s="20" t="n">
        <f aca="false">COLUMN()-COLUMN($C$1)</f>
        <v>5</v>
      </c>
      <c r="I7439" s="20" t="n">
        <f aca="false">COLUMN()-COLUMN($C$1)</f>
        <v>6</v>
      </c>
    </row>
    <row r="7440" customFormat="false" ht="15" hidden="false" customHeight="false" outlineLevel="0" collapsed="false">
      <c r="A7440" s="3" t="s">
        <v>537</v>
      </c>
      <c r="D7440" s="31" t="n">
        <f aca="false">CHOOSE($C$7367,G7180,G7193,G7206)</f>
        <v>0.105</v>
      </c>
      <c r="E7440" s="31" t="n">
        <f aca="false">CHOOSE($C$7367,H7180,H7193,H7206)</f>
        <v>0.105</v>
      </c>
      <c r="F7440" s="31" t="n">
        <f aca="false">CHOOSE($C$7367,I7180,I7193,I7206)</f>
        <v>0.105</v>
      </c>
      <c r="G7440" s="31" t="n">
        <f aca="false">CHOOSE($C$7367,J7180,J7193,J7206)</f>
        <v>0.105</v>
      </c>
      <c r="H7440" s="31" t="n">
        <f aca="false">CHOOSE($C$7367,K7180,K7193,K7206)</f>
        <v>0.105</v>
      </c>
    </row>
    <row r="7441" customFormat="false" ht="15" hidden="false" customHeight="false" outlineLevel="0" collapsed="false">
      <c r="A7441" s="3" t="s">
        <v>538</v>
      </c>
      <c r="D7441" s="25" t="n">
        <f aca="false">IF(D7439&lt;=$C$7376,$C$7368*D7440,0)</f>
        <v>10.5</v>
      </c>
      <c r="E7441" s="25" t="n">
        <f aca="false">IF(E7439&lt;=$C$7376,$C$7368*E7440,0)</f>
        <v>10.5</v>
      </c>
      <c r="F7441" s="25" t="n">
        <f aca="false">IF(F7439&lt;=$C$7376,$C$7368*F7440,0)</f>
        <v>10.5</v>
      </c>
      <c r="G7441" s="25" t="n">
        <f aca="false">IF(G7439&lt;=$C$7376,$C$7368*G7440,0)</f>
        <v>0</v>
      </c>
      <c r="H7441" s="25" t="n">
        <f aca="false">IF(H7439&lt;=$C$7376,$C$7368*H7440,0)</f>
        <v>0</v>
      </c>
    </row>
    <row r="7442" customFormat="false" ht="15" hidden="false" customHeight="false" outlineLevel="0" collapsed="false">
      <c r="A7442" s="3" t="s">
        <v>539</v>
      </c>
      <c r="D7442" s="25" t="n">
        <f aca="false">IF(AND($C$7297=0,D7439=$C$7371),$C$7368*$C$7436/100,0)+IF(AND($C$7297=1,D7439=$C$7437),$C$7374,0)</f>
        <v>0</v>
      </c>
      <c r="E7442" s="25" t="n">
        <f aca="false">IF(AND($C$7297=0,E7439=$C$7371),$C$7368*$C$7436/100,0)+IF(AND($C$7297=1,E7439=$C$7437),$C$7374,0)</f>
        <v>0</v>
      </c>
      <c r="F7442" s="25" t="n">
        <f aca="false">IF(AND($C$7297=0,F7439=$C$7371),$C$7368*$C$7436/100,0)+IF(AND($C$7297=1,F7439=$C$7437),$C$7374,0)</f>
        <v>100</v>
      </c>
      <c r="G7442" s="25" t="n">
        <f aca="false">IF(AND($C$7297=0,G7439=$C$7371),$C$7368*$C$7436/100,0)+IF(AND($C$7297=1,G7439=$C$7437),$C$7374,0)</f>
        <v>0</v>
      </c>
      <c r="H7442" s="25" t="n">
        <f aca="false">IF(AND($C$7297=0,H7439=$C$7371),$C$7368*$C$7436/100,0)+IF(AND($C$7297=1,H7439=$C$7437),$C$7374,0)</f>
        <v>0</v>
      </c>
      <c r="I7442" s="25" t="n">
        <f aca="false">IF(AND($C$7297=0,I7439=$C$7371),$C$7368*$C$7436/100,0)+IF(AND($C$7297=1,I7439=$C$7437),$C$7374,0)</f>
        <v>0</v>
      </c>
    </row>
    <row r="7443" customFormat="false" ht="15" hidden="false" customHeight="false" outlineLevel="0" collapsed="false">
      <c r="A7443" s="2" t="s">
        <v>540</v>
      </c>
      <c r="C7443" s="16" t="n">
        <f aca="false">-$C$7370</f>
        <v>-95</v>
      </c>
      <c r="D7443" s="16" t="n">
        <f aca="false">D7441+D7442</f>
        <v>10.5</v>
      </c>
      <c r="E7443" s="16" t="n">
        <f aca="false">E7441+E7442</f>
        <v>10.5</v>
      </c>
      <c r="F7443" s="16" t="n">
        <f aca="false">F7441+F7442</f>
        <v>110.5</v>
      </c>
      <c r="G7443" s="16" t="n">
        <f aca="false">G7441+G7442</f>
        <v>0</v>
      </c>
      <c r="H7443" s="16" t="n">
        <f aca="false">H7441+H7442</f>
        <v>0</v>
      </c>
      <c r="I7443" s="16" t="n">
        <f aca="false">I7441+I7442</f>
        <v>0</v>
      </c>
    </row>
    <row r="7444" customFormat="false" ht="15" hidden="false" customHeight="false" outlineLevel="0" collapsed="false">
      <c r="A7444" s="3" t="s">
        <v>541</v>
      </c>
      <c r="C7444" s="25" t="n">
        <f aca="false">SUM($C$7441:$I$7441)</f>
        <v>31.5</v>
      </c>
    </row>
    <row r="7445" customFormat="false" ht="15" hidden="false" customHeight="false" outlineLevel="0" collapsed="false">
      <c r="A7445" s="3" t="s">
        <v>542</v>
      </c>
      <c r="C7445" s="25" t="n">
        <f aca="false">SUM($C$7442:$I$7442)</f>
        <v>100</v>
      </c>
    </row>
    <row r="7446" customFormat="false" ht="15" hidden="false" customHeight="false" outlineLevel="0" collapsed="false">
      <c r="A7446" s="3" t="s">
        <v>543</v>
      </c>
      <c r="C7446" s="25" t="n">
        <f aca="false">C7444+C7445</f>
        <v>131.5</v>
      </c>
    </row>
    <row r="7447" customFormat="false" ht="15" hidden="false" customHeight="false" outlineLevel="0" collapsed="false">
      <c r="A7447" s="3" t="s">
        <v>544</v>
      </c>
      <c r="C7447" s="25" t="n">
        <f aca="false">C7445-C7368*C7369/100</f>
        <v>5</v>
      </c>
    </row>
    <row r="7448" customFormat="false" ht="15" hidden="false" customHeight="false" outlineLevel="0" collapsed="false">
      <c r="A7448" s="3" t="s">
        <v>545</v>
      </c>
      <c r="C7448" s="25" t="n">
        <f aca="false">C7446-C7370</f>
        <v>36.5</v>
      </c>
    </row>
    <row r="7449" customFormat="false" ht="15" hidden="false" customHeight="false" outlineLevel="0" collapsed="false">
      <c r="A7449" s="2" t="s">
        <v>427</v>
      </c>
      <c r="C7449" s="44" t="n">
        <f aca="false">C7446/C7370</f>
        <v>1.38421052631579</v>
      </c>
    </row>
    <row r="7450" customFormat="false" ht="15" hidden="false" customHeight="false" outlineLevel="0" collapsed="false">
      <c r="A7450" s="2" t="s">
        <v>426</v>
      </c>
      <c r="C7450" s="42" t="n">
        <f aca="false">IF(C7446&lt;=0,-1,IFERROR(IRR($C$7443:$I$7443,MAX(-0.9,C7449^(1/C7437)-1)),IRR($C$7443:$I$7443,0.1)))</f>
        <v>0.126033624615204</v>
      </c>
    </row>
    <row r="7451" customFormat="false" ht="15" hidden="false" customHeight="false" outlineLevel="0" collapsed="false">
      <c r="A7451" s="3" t="s">
        <v>546</v>
      </c>
      <c r="C7451" s="32" t="n">
        <f aca="false">MAX($G$7257:$K$7257)</f>
        <v>3.37674040775216</v>
      </c>
    </row>
    <row r="7452" customFormat="false" ht="15" hidden="false" customHeight="false" outlineLevel="0" collapsed="false">
      <c r="A7452" s="3" t="s">
        <v>547</v>
      </c>
      <c r="C7452" s="32" t="n">
        <f aca="false">MIN($G$7258:$K$7258)</f>
        <v>2.12727658748532</v>
      </c>
    </row>
    <row r="7453" customFormat="false" ht="15" hidden="false" customHeight="false" outlineLevel="0" collapsed="false">
      <c r="A7453" s="3" t="s">
        <v>548</v>
      </c>
      <c r="C7453" s="25" t="n">
        <f aca="false">SUM($G$7164:$K$7164)</f>
        <v>941.808585121835</v>
      </c>
    </row>
    <row r="7457" customFormat="false" ht="15" hidden="false" customHeight="false" outlineLevel="0" collapsed="false">
      <c r="A7457" s="9" t="s">
        <v>1037</v>
      </c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</row>
    <row r="7458" customFormat="false" ht="15" hidden="false" customHeight="false" outlineLevel="0" collapsed="false">
      <c r="A7458" s="3" t="s">
        <v>1010</v>
      </c>
      <c r="C7458" s="11" t="n">
        <v>2</v>
      </c>
    </row>
    <row r="7459" customFormat="false" ht="15" hidden="false" customHeight="false" outlineLevel="0" collapsed="false">
      <c r="A7459" s="3" t="s">
        <v>1011</v>
      </c>
      <c r="C7459" s="30" t="n">
        <f aca="false">Sensitivities!$A$40</f>
        <v>-0.1</v>
      </c>
    </row>
    <row r="7460" customFormat="false" ht="15" hidden="false" customHeight="false" outlineLevel="0" collapsed="false">
      <c r="A7460" s="3" t="s">
        <v>1012</v>
      </c>
      <c r="C7460" s="18" t="n">
        <v>0</v>
      </c>
    </row>
    <row r="7461" customFormat="false" ht="15" hidden="false" customHeight="false" outlineLevel="0" collapsed="false">
      <c r="A7461" s="3" t="s">
        <v>1013</v>
      </c>
      <c r="C7461" s="18" t="n">
        <v>0</v>
      </c>
    </row>
    <row r="7462" customFormat="false" ht="15" hidden="false" customHeight="false" outlineLevel="0" collapsed="false">
      <c r="A7462" s="3" t="s">
        <v>1014</v>
      </c>
      <c r="C7462" s="15" t="n">
        <v>0</v>
      </c>
    </row>
    <row r="7464" customFormat="false" ht="15" hidden="false" customHeight="false" outlineLevel="0" collapsed="false">
      <c r="A7464" s="23" t="s">
        <v>281</v>
      </c>
      <c r="B7464" s="24"/>
      <c r="C7464" s="24"/>
      <c r="D7464" s="24"/>
      <c r="E7464" s="24"/>
      <c r="F7464" s="24"/>
      <c r="G7464" s="24"/>
      <c r="H7464" s="24"/>
      <c r="I7464" s="24"/>
      <c r="J7464" s="24"/>
      <c r="K7464" s="24"/>
    </row>
    <row r="7465" customFormat="false" ht="15" hidden="false" customHeight="false" outlineLevel="0" collapsed="false">
      <c r="A7465" s="3" t="s">
        <v>282</v>
      </c>
      <c r="F7465" s="27" t="n">
        <f aca="false">Assumptions!$C$6</f>
        <v>2026</v>
      </c>
      <c r="G7465" s="20" t="n">
        <f aca="false">F7465+1</f>
        <v>2027</v>
      </c>
      <c r="H7465" s="20" t="n">
        <f aca="false">G7465+1</f>
        <v>2028</v>
      </c>
      <c r="I7465" s="20" t="n">
        <f aca="false">H7465+1</f>
        <v>2029</v>
      </c>
      <c r="J7465" s="20" t="n">
        <f aca="false">I7465+1</f>
        <v>2030</v>
      </c>
      <c r="K7465" s="20" t="n">
        <f aca="false">J7465+1</f>
        <v>2031</v>
      </c>
    </row>
    <row r="7466" customFormat="false" ht="15" hidden="false" customHeight="false" outlineLevel="0" collapsed="false">
      <c r="A7466" s="3" t="s">
        <v>283</v>
      </c>
      <c r="G7466" s="20" t="n">
        <f aca="false">G7465-Assumptions!$C$6</f>
        <v>1</v>
      </c>
      <c r="H7466" s="20" t="n">
        <f aca="false">H7465-Assumptions!$C$6</f>
        <v>2</v>
      </c>
      <c r="I7466" s="20" t="n">
        <f aca="false">I7465-Assumptions!$C$6</f>
        <v>3</v>
      </c>
      <c r="J7466" s="20" t="n">
        <f aca="false">J7465-Assumptions!$C$6</f>
        <v>4</v>
      </c>
      <c r="K7466" s="20" t="n">
        <f aca="false">K7465-Assumptions!$C$6</f>
        <v>5</v>
      </c>
    </row>
    <row r="7467" customFormat="false" ht="15" hidden="false" customHeight="false" outlineLevel="0" collapsed="false">
      <c r="A7467" s="3" t="s">
        <v>165</v>
      </c>
      <c r="G7467" s="21" t="n">
        <f aca="false">CHOOSE($C$7458,Assumptions!$G$71,Assumptions!$G$90,Assumptions!$G$109)+$C$7459</f>
        <v>-0.18</v>
      </c>
      <c r="H7467" s="21" t="n">
        <f aca="false">CHOOSE($C$7458,Assumptions!$H$71,Assumptions!$H$90,Assumptions!$H$109)+$C$7459</f>
        <v>-0.17</v>
      </c>
      <c r="I7467" s="21" t="n">
        <f aca="false">CHOOSE($C$7458,Assumptions!$I$71,Assumptions!$I$90,Assumptions!$I$109)+$C$7459</f>
        <v>-0.16</v>
      </c>
      <c r="J7467" s="21" t="n">
        <f aca="false">CHOOSE($C$7458,Assumptions!$J$71,Assumptions!$J$90,Assumptions!$J$109)+$C$7459</f>
        <v>-0.15</v>
      </c>
      <c r="K7467" s="21" t="n">
        <f aca="false">CHOOSE($C$7458,Assumptions!$K$71,Assumptions!$K$90,Assumptions!$K$109)+$C$7459</f>
        <v>-0.15</v>
      </c>
    </row>
    <row r="7468" customFormat="false" ht="15" hidden="false" customHeight="false" outlineLevel="0" collapsed="false">
      <c r="A7468" s="3" t="s">
        <v>166</v>
      </c>
      <c r="G7468" s="21" t="n">
        <f aca="false">CHOOSE($C$7458,Assumptions!$G$72,Assumptions!$G$91,Assumptions!$G$110)</f>
        <v>0.463246670103635</v>
      </c>
      <c r="H7468" s="21" t="n">
        <f aca="false">CHOOSE($C$7458,Assumptions!$H$72,Assumptions!$H$91,Assumptions!$H$110)</f>
        <v>0.453246670103635</v>
      </c>
      <c r="I7468" s="21" t="n">
        <f aca="false">CHOOSE($C$7458,Assumptions!$I$72,Assumptions!$I$91,Assumptions!$I$110)</f>
        <v>0.448246670103634</v>
      </c>
      <c r="J7468" s="21" t="n">
        <f aca="false">CHOOSE($C$7458,Assumptions!$J$72,Assumptions!$J$91,Assumptions!$J$110)</f>
        <v>0.443246670103635</v>
      </c>
      <c r="K7468" s="21" t="n">
        <f aca="false">CHOOSE($C$7458,Assumptions!$K$72,Assumptions!$K$91,Assumptions!$K$110)</f>
        <v>0.443246670103635</v>
      </c>
    </row>
    <row r="7469" customFormat="false" ht="15" hidden="false" customHeight="false" outlineLevel="0" collapsed="false">
      <c r="A7469" s="3" t="s">
        <v>167</v>
      </c>
      <c r="G7469" s="21" t="n">
        <f aca="false">CHOOSE($C$7458,Assumptions!$G$73,Assumptions!$G$92,Assumptions!$G$111)+$C$7460</f>
        <v>0.12</v>
      </c>
      <c r="H7469" s="21" t="n">
        <f aca="false">CHOOSE($C$7458,Assumptions!$H$73,Assumptions!$H$92,Assumptions!$H$111)+$C$7460</f>
        <v>0.11</v>
      </c>
      <c r="I7469" s="21" t="n">
        <f aca="false">CHOOSE($C$7458,Assumptions!$I$73,Assumptions!$I$92,Assumptions!$I$111)+$C$7460</f>
        <v>0.105</v>
      </c>
      <c r="J7469" s="21" t="n">
        <f aca="false">CHOOSE($C$7458,Assumptions!$J$73,Assumptions!$J$92,Assumptions!$J$111)+$C$7460</f>
        <v>0.1</v>
      </c>
      <c r="K7469" s="21" t="n">
        <f aca="false">CHOOSE($C$7458,Assumptions!$K$73,Assumptions!$K$92,Assumptions!$K$111)+$C$7460</f>
        <v>0.1</v>
      </c>
    </row>
    <row r="7470" customFormat="false" ht="15" hidden="false" customHeight="false" outlineLevel="0" collapsed="false">
      <c r="A7470" s="23" t="s">
        <v>284</v>
      </c>
      <c r="B7470" s="24"/>
      <c r="C7470" s="24"/>
      <c r="D7470" s="24"/>
      <c r="E7470" s="24"/>
      <c r="F7470" s="24"/>
      <c r="G7470" s="24"/>
      <c r="H7470" s="24"/>
      <c r="I7470" s="24"/>
      <c r="J7470" s="24"/>
      <c r="K7470" s="24"/>
    </row>
    <row r="7471" customFormat="false" ht="15" hidden="false" customHeight="false" outlineLevel="0" collapsed="false">
      <c r="A7471" s="2" t="s">
        <v>256</v>
      </c>
      <c r="F7471" s="28" t="n">
        <f aca="false">'Historical Financials'!G23</f>
        <v>2246.166</v>
      </c>
      <c r="G7471" s="16" t="n">
        <f aca="false">F7471*(1+G7467)</f>
        <v>1841.85612</v>
      </c>
      <c r="H7471" s="16" t="n">
        <f aca="false">G7471*(1+H7467)</f>
        <v>1528.7405796</v>
      </c>
      <c r="I7471" s="16" t="n">
        <f aca="false">H7471*(1+I7467)</f>
        <v>1284.142086864</v>
      </c>
      <c r="J7471" s="16" t="n">
        <f aca="false">I7471*(1+J7467)</f>
        <v>1091.5207738344</v>
      </c>
      <c r="K7471" s="16" t="n">
        <f aca="false">J7471*(1+K7467)</f>
        <v>927.79265775924</v>
      </c>
    </row>
    <row r="7472" customFormat="false" ht="15" hidden="false" customHeight="false" outlineLevel="0" collapsed="false">
      <c r="A7472" s="3" t="s">
        <v>257</v>
      </c>
      <c r="G7472" s="25" t="n">
        <f aca="false">G7471*(1-G7468)</f>
        <v>988.6224056</v>
      </c>
      <c r="H7472" s="25" t="n">
        <f aca="false">H7471*(1-H7468)</f>
        <v>835.844002444</v>
      </c>
      <c r="I7472" s="25" t="n">
        <f aca="false">I7471*(1-I7468)</f>
        <v>708.52967248728</v>
      </c>
      <c r="J7472" s="25" t="n">
        <f aca="false">J7471*(1-J7468)</f>
        <v>607.70782548336</v>
      </c>
      <c r="K7472" s="25" t="n">
        <f aca="false">K7471*(1-K7468)</f>
        <v>516.551651660856</v>
      </c>
    </row>
    <row r="7473" customFormat="false" ht="15" hidden="false" customHeight="false" outlineLevel="0" collapsed="false">
      <c r="A7473" s="2" t="s">
        <v>258</v>
      </c>
      <c r="G7473" s="16" t="n">
        <f aca="false">G7471-G7472</f>
        <v>853.2337144</v>
      </c>
      <c r="H7473" s="16" t="n">
        <f aca="false">H7471-H7472</f>
        <v>692.896577156</v>
      </c>
      <c r="I7473" s="16" t="n">
        <f aca="false">I7471-I7472</f>
        <v>575.61241437672</v>
      </c>
      <c r="J7473" s="16" t="n">
        <f aca="false">J7471-J7472</f>
        <v>483.81294835104</v>
      </c>
      <c r="K7473" s="16" t="n">
        <f aca="false">K7471-K7472</f>
        <v>411.241006098384</v>
      </c>
    </row>
    <row r="7474" customFormat="false" ht="15" hidden="false" customHeight="false" outlineLevel="0" collapsed="false">
      <c r="A7474" s="3" t="s">
        <v>285</v>
      </c>
      <c r="G7474" s="25" t="n">
        <f aca="false">G7473-G7475</f>
        <v>632.21098</v>
      </c>
      <c r="H7474" s="25" t="n">
        <f aca="false">H7473-H7475</f>
        <v>524.7351134</v>
      </c>
      <c r="I7474" s="25" t="n">
        <f aca="false">I7473-I7475</f>
        <v>440.777495256</v>
      </c>
      <c r="J7474" s="25" t="n">
        <f aca="false">J7473-J7475</f>
        <v>374.6608709676</v>
      </c>
      <c r="K7474" s="25" t="n">
        <f aca="false">K7473-K7475</f>
        <v>318.46174032246</v>
      </c>
    </row>
    <row r="7475" customFormat="false" ht="15" hidden="false" customHeight="false" outlineLevel="0" collapsed="false">
      <c r="A7475" s="2" t="s">
        <v>286</v>
      </c>
      <c r="G7475" s="16" t="n">
        <f aca="false">G7471*G7469</f>
        <v>221.0227344</v>
      </c>
      <c r="H7475" s="16" t="n">
        <f aca="false">H7471*H7469</f>
        <v>168.161463756</v>
      </c>
      <c r="I7475" s="16" t="n">
        <f aca="false">I7471*I7469</f>
        <v>134.83491912072</v>
      </c>
      <c r="J7475" s="16" t="n">
        <f aca="false">J7471*J7469</f>
        <v>109.15207738344</v>
      </c>
      <c r="K7475" s="16" t="n">
        <f aca="false">K7471*K7469</f>
        <v>92.779265775924</v>
      </c>
    </row>
    <row r="7476" customFormat="false" ht="15" hidden="false" customHeight="false" outlineLevel="0" collapsed="false">
      <c r="A7476" s="3" t="s">
        <v>287</v>
      </c>
      <c r="G7476" s="25" t="n">
        <f aca="false">G7471*'Historical Financials'!G28/'Historical Financials'!G23</f>
        <v>69.94272</v>
      </c>
      <c r="H7476" s="25" t="n">
        <f aca="false">H7471*'Historical Financials'!G28/'Historical Financials'!G23</f>
        <v>58.0524576</v>
      </c>
      <c r="I7476" s="25" t="n">
        <f aca="false">I7471*'Historical Financials'!G28/'Historical Financials'!G23</f>
        <v>48.764064384</v>
      </c>
      <c r="J7476" s="25" t="n">
        <f aca="false">J7471*'Historical Financials'!G28/'Historical Financials'!G23</f>
        <v>41.4494547264</v>
      </c>
      <c r="K7476" s="25" t="n">
        <f aca="false">K7471*'Historical Financials'!G28/'Historical Financials'!G23</f>
        <v>35.23203651744</v>
      </c>
    </row>
    <row r="7477" customFormat="false" ht="15" hidden="false" customHeight="false" outlineLevel="0" collapsed="false">
      <c r="A7477" s="3" t="s">
        <v>288</v>
      </c>
      <c r="G7477" s="25" t="n">
        <f aca="false">G7471*'Historical Financials'!G29/'Historical Financials'!G23</f>
        <v>19.97192</v>
      </c>
      <c r="H7477" s="25" t="n">
        <f aca="false">H7471*'Historical Financials'!G29/'Historical Financials'!G23</f>
        <v>16.5766936</v>
      </c>
      <c r="I7477" s="25" t="n">
        <f aca="false">I7471*'Historical Financials'!G29/'Historical Financials'!G23</f>
        <v>13.924422624</v>
      </c>
      <c r="J7477" s="25" t="n">
        <f aca="false">J7471*'Historical Financials'!G29/'Historical Financials'!G23</f>
        <v>11.8357592304</v>
      </c>
      <c r="K7477" s="25" t="n">
        <f aca="false">K7471*'Historical Financials'!G29/'Historical Financials'!G23</f>
        <v>10.06039534584</v>
      </c>
    </row>
    <row r="7478" customFormat="false" ht="15" hidden="false" customHeight="false" outlineLevel="0" collapsed="false">
      <c r="A7478" s="2" t="s">
        <v>289</v>
      </c>
      <c r="G7478" s="16" t="n">
        <f aca="false">G7475-G7476-G7477</f>
        <v>131.1080944</v>
      </c>
      <c r="H7478" s="16" t="n">
        <f aca="false">H7475-H7476-H7477</f>
        <v>93.532312556</v>
      </c>
      <c r="I7478" s="16" t="n">
        <f aca="false">I7475-I7476-I7477</f>
        <v>72.14643211272</v>
      </c>
      <c r="J7478" s="16" t="n">
        <f aca="false">J7475-J7476-J7477</f>
        <v>55.86686342664</v>
      </c>
      <c r="K7478" s="16" t="n">
        <f aca="false">K7475-K7476-K7477</f>
        <v>47.486833912644</v>
      </c>
    </row>
    <row r="7479" customFormat="false" ht="15" hidden="false" customHeight="false" outlineLevel="0" collapsed="false">
      <c r="A7479" s="3" t="s">
        <v>290</v>
      </c>
      <c r="G7479" s="25" t="n">
        <f aca="false">G7505+G7518+G7531</f>
        <v>155.95467</v>
      </c>
      <c r="H7479" s="25" t="n">
        <f aca="false">H7505+H7518+H7531</f>
        <v>155.95467</v>
      </c>
      <c r="I7479" s="25" t="n">
        <f aca="false">I7505+I7518+I7531</f>
        <v>155.95467</v>
      </c>
      <c r="J7479" s="25" t="n">
        <f aca="false">J7505+J7518+J7531</f>
        <v>138.08529</v>
      </c>
      <c r="K7479" s="25" t="n">
        <f aca="false">K7505+K7518+K7531</f>
        <v>138.08529</v>
      </c>
    </row>
    <row r="7480" customFormat="false" ht="15" hidden="false" customHeight="false" outlineLevel="0" collapsed="false">
      <c r="A7480" s="3" t="s">
        <v>291</v>
      </c>
      <c r="G7480" s="25" t="n">
        <f aca="false">G7506+G7519+G7532</f>
        <v>0</v>
      </c>
      <c r="H7480" s="25" t="n">
        <f aca="false">H7506+H7519+H7532</f>
        <v>0</v>
      </c>
      <c r="I7480" s="25" t="n">
        <f aca="false">I7506+I7519+I7532</f>
        <v>0</v>
      </c>
      <c r="J7480" s="25" t="n">
        <f aca="false">J7506+J7519+J7532</f>
        <v>0</v>
      </c>
      <c r="K7480" s="25" t="n">
        <f aca="false">K7506+K7519+K7532</f>
        <v>0</v>
      </c>
    </row>
    <row r="7481" customFormat="false" ht="15" hidden="false" customHeight="false" outlineLevel="0" collapsed="false">
      <c r="A7481" s="3" t="s">
        <v>239</v>
      </c>
      <c r="G7481" s="25" t="n">
        <f aca="false">G7479+G7480</f>
        <v>155.95467</v>
      </c>
      <c r="H7481" s="25" t="n">
        <f aca="false">H7479+H7480</f>
        <v>155.95467</v>
      </c>
      <c r="I7481" s="25" t="n">
        <f aca="false">I7479+I7480</f>
        <v>155.95467</v>
      </c>
      <c r="J7481" s="25" t="n">
        <f aca="false">J7479+J7480</f>
        <v>138.08529</v>
      </c>
      <c r="K7481" s="25" t="n">
        <f aca="false">K7479+K7480</f>
        <v>138.08529</v>
      </c>
    </row>
    <row r="7482" customFormat="false" ht="15" hidden="false" customHeight="false" outlineLevel="0" collapsed="false">
      <c r="A7482" s="2" t="s">
        <v>264</v>
      </c>
      <c r="G7482" s="16" t="n">
        <f aca="false">G7478-G7481</f>
        <v>-24.8465756</v>
      </c>
      <c r="H7482" s="16" t="n">
        <f aca="false">H7478-H7481</f>
        <v>-62.422357444</v>
      </c>
      <c r="I7482" s="16" t="n">
        <f aca="false">I7478-I7481</f>
        <v>-83.80823788728</v>
      </c>
      <c r="J7482" s="16" t="n">
        <f aca="false">J7478-J7481</f>
        <v>-82.21842657336</v>
      </c>
      <c r="K7482" s="16" t="n">
        <f aca="false">K7478-K7481</f>
        <v>-90.598456087356</v>
      </c>
    </row>
    <row r="7483" customFormat="false" ht="15" hidden="false" customHeight="false" outlineLevel="0" collapsed="false">
      <c r="A7483" s="3" t="s">
        <v>292</v>
      </c>
      <c r="G7483" s="25" t="n">
        <f aca="false">MAX(0,G7482)*Assumptions!$C$9</f>
        <v>0</v>
      </c>
      <c r="H7483" s="25" t="n">
        <f aca="false">MAX(0,H7482)*Assumptions!$C$9</f>
        <v>0</v>
      </c>
      <c r="I7483" s="25" t="n">
        <f aca="false">MAX(0,I7482)*Assumptions!$C$9</f>
        <v>0</v>
      </c>
      <c r="J7483" s="25" t="n">
        <f aca="false">MAX(0,J7482)*Assumptions!$C$9</f>
        <v>0</v>
      </c>
      <c r="K7483" s="25" t="n">
        <f aca="false">MAX(0,K7482)*Assumptions!$C$9</f>
        <v>0</v>
      </c>
    </row>
    <row r="7484" customFormat="false" ht="15" hidden="false" customHeight="false" outlineLevel="0" collapsed="false">
      <c r="A7484" s="2" t="s">
        <v>293</v>
      </c>
      <c r="G7484" s="16" t="n">
        <f aca="false">G7482-G7483</f>
        <v>-24.8465756</v>
      </c>
      <c r="H7484" s="16" t="n">
        <f aca="false">H7482-H7483</f>
        <v>-62.422357444</v>
      </c>
      <c r="I7484" s="16" t="n">
        <f aca="false">I7482-I7483</f>
        <v>-83.80823788728</v>
      </c>
      <c r="J7484" s="16" t="n">
        <f aca="false">J7482-J7483</f>
        <v>-82.21842657336</v>
      </c>
      <c r="K7484" s="16" t="n">
        <f aca="false">K7482-K7483</f>
        <v>-90.598456087356</v>
      </c>
    </row>
    <row r="7485" customFormat="false" ht="15" hidden="false" customHeight="false" outlineLevel="0" collapsed="false">
      <c r="A7485" s="23" t="s">
        <v>294</v>
      </c>
      <c r="B7485" s="24"/>
      <c r="C7485" s="24"/>
      <c r="D7485" s="24"/>
      <c r="E7485" s="24"/>
      <c r="F7485" s="24"/>
      <c r="G7485" s="24"/>
      <c r="H7485" s="24"/>
      <c r="I7485" s="24"/>
      <c r="J7485" s="24"/>
      <c r="K7485" s="24"/>
    </row>
    <row r="7486" customFormat="false" ht="15" hidden="false" customHeight="false" outlineLevel="0" collapsed="false">
      <c r="A7486" s="3" t="s">
        <v>169</v>
      </c>
      <c r="G7486" s="25" t="n">
        <f aca="false">G7471*CHOOSE($C$7458,Assumptions!$C$75,Assumptions!$C$94,Assumptions!$C$113)</f>
        <v>23.94412956</v>
      </c>
      <c r="H7486" s="25" t="n">
        <f aca="false">H7471*CHOOSE($C$7458,Assumptions!$C$75,Assumptions!$C$94,Assumptions!$C$113)</f>
        <v>19.8736275348</v>
      </c>
      <c r="I7486" s="25" t="n">
        <f aca="false">I7471*CHOOSE($C$7458,Assumptions!$C$75,Assumptions!$C$94,Assumptions!$C$113)</f>
        <v>16.693847129232</v>
      </c>
      <c r="J7486" s="25" t="n">
        <f aca="false">J7471*CHOOSE($C$7458,Assumptions!$C$75,Assumptions!$C$94,Assumptions!$C$113)</f>
        <v>14.1897700598472</v>
      </c>
      <c r="K7486" s="25" t="n">
        <f aca="false">K7471*CHOOSE($C$7458,Assumptions!$C$75,Assumptions!$C$94,Assumptions!$C$113)</f>
        <v>12.0613045508701</v>
      </c>
    </row>
    <row r="7487" customFormat="false" ht="15" hidden="false" customHeight="false" outlineLevel="0" collapsed="false">
      <c r="A7487" s="3" t="s">
        <v>295</v>
      </c>
      <c r="G7487" s="25" t="n">
        <f aca="false">CHOOSE($C$7458,Assumptions!$C$76,Assumptions!$C$95,Assumptions!$C$114)*(G7471-F7471)+CHOOSE($C$7458,Assumptions!$C$77,Assumptions!$C$96,Assumptions!$C$115)*G7471</f>
        <v>9.2092806</v>
      </c>
      <c r="H7487" s="25" t="n">
        <f aca="false">CHOOSE($C$7458,Assumptions!$C$76,Assumptions!$C$95,Assumptions!$C$114)*(H7471-G7471)+CHOOSE($C$7458,Assumptions!$C$77,Assumptions!$C$96,Assumptions!$C$115)*H7471</f>
        <v>7.643702898</v>
      </c>
      <c r="I7487" s="25" t="n">
        <f aca="false">CHOOSE($C$7458,Assumptions!$C$76,Assumptions!$C$95,Assumptions!$C$114)*(I7471-H7471)+CHOOSE($C$7458,Assumptions!$C$77,Assumptions!$C$96,Assumptions!$C$115)*I7471</f>
        <v>6.42071043432</v>
      </c>
      <c r="J7487" s="25" t="n">
        <f aca="false">CHOOSE($C$7458,Assumptions!$C$76,Assumptions!$C$95,Assumptions!$C$114)*(J7471-I7471)+CHOOSE($C$7458,Assumptions!$C$77,Assumptions!$C$96,Assumptions!$C$115)*J7471</f>
        <v>5.457603869172</v>
      </c>
      <c r="K7487" s="25" t="n">
        <f aca="false">CHOOSE($C$7458,Assumptions!$C$76,Assumptions!$C$95,Assumptions!$C$114)*(K7471-J7471)+CHOOSE($C$7458,Assumptions!$C$77,Assumptions!$C$96,Assumptions!$C$115)*K7471</f>
        <v>4.6389632887962</v>
      </c>
    </row>
    <row r="7488" customFormat="false" ht="15" hidden="false" customHeight="false" outlineLevel="0" collapsed="false">
      <c r="A7488" s="2" t="s">
        <v>296</v>
      </c>
      <c r="G7488" s="16" t="n">
        <f aca="false">G7484+G7476+G7477+G7480-G7486-G7487</f>
        <v>31.91465424</v>
      </c>
      <c r="H7488" s="16" t="n">
        <f aca="false">H7484+H7476+H7477+H7480-H7486-H7487</f>
        <v>-15.3105366768</v>
      </c>
      <c r="I7488" s="16" t="n">
        <f aca="false">I7484+I7476+I7477+I7480-I7486-I7487</f>
        <v>-44.234308442832</v>
      </c>
      <c r="J7488" s="16" t="n">
        <f aca="false">J7484+J7476+J7477+J7480-J7486-J7487</f>
        <v>-48.5805865455792</v>
      </c>
      <c r="K7488" s="16" t="n">
        <f aca="false">K7484+K7476+K7477+K7480-K7486-K7487</f>
        <v>-62.0062920637423</v>
      </c>
    </row>
    <row r="7490" customFormat="false" ht="15" hidden="false" customHeight="false" outlineLevel="0" collapsed="false">
      <c r="A7490" s="23" t="s">
        <v>298</v>
      </c>
      <c r="B7490" s="24"/>
      <c r="C7490" s="24"/>
      <c r="D7490" s="24"/>
      <c r="E7490" s="24"/>
      <c r="F7490" s="24"/>
      <c r="G7490" s="24"/>
      <c r="H7490" s="24"/>
      <c r="I7490" s="24"/>
      <c r="J7490" s="24"/>
      <c r="K7490" s="24"/>
    </row>
    <row r="7491" customFormat="false" ht="15" hidden="false" customHeight="false" outlineLevel="0" collapsed="false">
      <c r="A7491" s="3" t="s">
        <v>299</v>
      </c>
      <c r="G7491" s="30" t="n">
        <f aca="false">Assumptions!$G$52</f>
        <v>0.039</v>
      </c>
      <c r="H7491" s="30" t="n">
        <f aca="false">Assumptions!$H$52</f>
        <v>0.0375</v>
      </c>
      <c r="I7491" s="30" t="n">
        <f aca="false">Assumptions!$I$52</f>
        <v>0.035</v>
      </c>
      <c r="J7491" s="30" t="n">
        <f aca="false">Assumptions!$J$52</f>
        <v>0.035</v>
      </c>
      <c r="K7491" s="30" t="n">
        <f aca="false">Assumptions!$K$52</f>
        <v>0.035</v>
      </c>
    </row>
    <row r="7492" customFormat="false" ht="15" hidden="false" customHeight="false" outlineLevel="0" collapsed="false">
      <c r="A7492" s="3" t="s">
        <v>300</v>
      </c>
      <c r="C7492" s="31" t="n">
        <f aca="false">CHOOSE($C$7458,Assumptions!$C$78,Assumptions!$C$97,Assumptions!$C$116)+$C$7461</f>
        <v>0.015</v>
      </c>
    </row>
    <row r="7493" customFormat="false" ht="15" hidden="false" customHeight="false" outlineLevel="0" collapsed="false">
      <c r="A7493" s="3" t="s">
        <v>301</v>
      </c>
      <c r="C7493" s="31" t="n">
        <f aca="false">CHOOSE($C$7458,Assumptions!$C$79,Assumptions!$C$98,Assumptions!$C$117)</f>
        <v>0.13</v>
      </c>
    </row>
    <row r="7494" customFormat="false" ht="15" hidden="false" customHeight="false" outlineLevel="0" collapsed="false">
      <c r="A7494" s="3" t="s">
        <v>302</v>
      </c>
      <c r="C7494" s="32" t="n">
        <f aca="false">CHOOSE($C$7458,Assumptions!$C$80,Assumptions!$C$99,Assumptions!$C$118)</f>
        <v>5.5</v>
      </c>
    </row>
    <row r="7495" customFormat="false" ht="15" hidden="false" customHeight="false" outlineLevel="0" collapsed="false">
      <c r="A7495" s="3" t="s">
        <v>303</v>
      </c>
      <c r="C7495" s="32" t="n">
        <f aca="false">CHOOSE($C$7458,Assumptions!$C$81,Assumptions!$C$100,Assumptions!$C$119)</f>
        <v>1.5</v>
      </c>
    </row>
    <row r="7496" customFormat="false" ht="15" hidden="false" customHeight="false" outlineLevel="0" collapsed="false">
      <c r="A7496" s="3" t="s">
        <v>304</v>
      </c>
      <c r="G7496" s="25" t="n">
        <f aca="false">G7501+G7514+G7527</f>
        <v>1735.554</v>
      </c>
      <c r="H7496" s="25" t="n">
        <f aca="false">H7501+H7514+H7527</f>
        <v>1735.554</v>
      </c>
      <c r="I7496" s="25" t="n">
        <f aca="false">I7501+I7514+I7527</f>
        <v>1735.554</v>
      </c>
      <c r="J7496" s="25" t="n">
        <f aca="false">J7501+J7514+J7527</f>
        <v>1315.098</v>
      </c>
      <c r="K7496" s="25" t="n">
        <f aca="false">K7501+K7514+K7527</f>
        <v>1315.098</v>
      </c>
    </row>
    <row r="7497" customFormat="false" ht="15" hidden="false" customHeight="false" outlineLevel="0" collapsed="false">
      <c r="A7497" s="3" t="s">
        <v>305</v>
      </c>
      <c r="G7497" s="25" t="n">
        <f aca="false">F7570</f>
        <v>463.996</v>
      </c>
      <c r="H7497" s="25" t="n">
        <f aca="false">G7570</f>
        <v>495.91065424</v>
      </c>
      <c r="I7497" s="25" t="n">
        <f aca="false">H7570</f>
        <v>480.6001175632</v>
      </c>
      <c r="J7497" s="25" t="n">
        <f aca="false">I7570</f>
        <v>15.909809120368</v>
      </c>
      <c r="K7497" s="25" t="n">
        <f aca="false">J7570</f>
        <v>-32.6707774252112</v>
      </c>
    </row>
    <row r="7498" customFormat="false" ht="15" hidden="false" customHeight="false" outlineLevel="0" collapsed="false">
      <c r="A7498" s="3" t="s">
        <v>306</v>
      </c>
      <c r="G7498" s="25" t="n">
        <f aca="false">G7501*IF(G7502=1,$C$7493,IF(Assumptions!$I$56=1,MAX(G7491,Assumptions!$G$56)+Assumptions!$F$56+$C$7492,Assumptions!$E$56))+G7514*IF(G7515=1,$C$7493,IF(Assumptions!$I$57=1,MAX(G7491,Assumptions!$G$57)+Assumptions!$F$57+$C$7492,Assumptions!$E$57))+G7527*IF(G7528=1,$C$7493,IF(Assumptions!$I$58=1,MAX(G7491,Assumptions!$G$58)+Assumptions!$F$58+$C$7492,Assumptions!$E$58))</f>
        <v>155.95467</v>
      </c>
      <c r="H7498" s="25" t="n">
        <f aca="false">H7501*IF(OR(H7502=1,G7648=1),$C$7493,IF(Assumptions!$I$56=1,MAX(H7491,Assumptions!$G$56)+Assumptions!$F$56+$C$7492,Assumptions!$E$56))+H7514*IF(OR(H7515=1,G7649=1),$C$7493,IF(Assumptions!$I$57=1,MAX(H7491,Assumptions!$G$57)+Assumptions!$F$57+$C$7492,Assumptions!$E$57))+H7527*IF(OR(H7528=1,G7650=1),$C$7493,IF(Assumptions!$I$58=1,MAX(H7491,Assumptions!$G$58)+Assumptions!$F$58+$C$7492,Assumptions!$E$58))</f>
        <v>155.95467</v>
      </c>
      <c r="I7498" s="25" t="n">
        <f aca="false">I7501*IF(OR(I7502=1,H7648=1),$C$7493,IF(Assumptions!$I$56=1,MAX(I7491,Assumptions!$G$56)+Assumptions!$F$56+$C$7492,Assumptions!$E$56))+I7514*IF(OR(I7515=1,H7649=1),$C$7493,IF(Assumptions!$I$57=1,MAX(I7491,Assumptions!$G$57)+Assumptions!$F$57+$C$7492,Assumptions!$E$57))+I7527*IF(OR(I7528=1,H7650=1),$C$7493,IF(Assumptions!$I$58=1,MAX(I7491,Assumptions!$G$58)+Assumptions!$F$58+$C$7492,Assumptions!$E$58))</f>
        <v>192.74457</v>
      </c>
      <c r="J7498" s="25" t="n">
        <f aca="false">J7501*IF(OR(J7502=1,I7648=1),$C$7493,IF(Assumptions!$I$56=1,MAX(J7491,Assumptions!$G$56)+Assumptions!$F$56+$C$7492,Assumptions!$E$56))+J7514*IF(OR(J7515=1,I7649=1),$C$7493,IF(Assumptions!$I$57=1,MAX(J7491,Assumptions!$G$57)+Assumptions!$F$57+$C$7492,Assumptions!$E$57))+J7527*IF(OR(J7528=1,I7650=1),$C$7493,IF(Assumptions!$I$58=1,MAX(J7491,Assumptions!$G$58)+Assumptions!$F$58+$C$7492,Assumptions!$E$58))</f>
        <v>138.08529</v>
      </c>
      <c r="K7498" s="25" t="n">
        <f aca="false">K7501*IF(OR(K7502=1,J7648=1),$C$7493,IF(Assumptions!$I$56=1,MAX(K7491,Assumptions!$G$56)+Assumptions!$F$56+$C$7492,Assumptions!$E$56))+K7514*IF(OR(K7515=1,J7649=1),$C$7493,IF(Assumptions!$I$57=1,MAX(K7491,Assumptions!$G$57)+Assumptions!$F$57+$C$7492,Assumptions!$E$57))+K7527*IF(OR(K7528=1,J7650=1),$C$7493,IF(Assumptions!$I$58=1,MAX(K7491,Assumptions!$G$58)+Assumptions!$F$58+$C$7492,Assumptions!$E$58))</f>
        <v>138.08529</v>
      </c>
    </row>
    <row r="7499" customFormat="false" ht="15" hidden="false" customHeight="false" outlineLevel="0" collapsed="false">
      <c r="A7499" s="3" t="s">
        <v>307</v>
      </c>
      <c r="G7499" s="20" t="n">
        <f aca="false">IF(G7475&lt;=0,0,IF(AND((G7496-G7497)/G7475&lt;=$C$7494,G7475/G7498&gt;=$C$7495),1,0))</f>
        <v>0</v>
      </c>
      <c r="H7499" s="20" t="n">
        <f aca="false">IF(H7475&lt;=0,0,IF(AND((H7496-H7497)/H7475&lt;=$C$7494,H7475/H7498&gt;=$C$7495),1,0))</f>
        <v>0</v>
      </c>
      <c r="I7499" s="20" t="n">
        <f aca="false">IF(I7475&lt;=0,0,IF(AND((I7496-I7497)/I7475&lt;=$C$7494,I7475/I7498&gt;=$C$7495),1,0))</f>
        <v>0</v>
      </c>
      <c r="J7499" s="20" t="n">
        <f aca="false">IF(J7475&lt;=0,0,IF(AND((J7496-J7497)/J7475&lt;=$C$7494,J7475/J7498&gt;=$C$7495),1,0))</f>
        <v>0</v>
      </c>
      <c r="K7499" s="20" t="n">
        <f aca="false">IF(K7475&lt;=0,0,IF(AND((K7496-K7497)/K7475&lt;=$C$7494,K7475/K7498&gt;=$C$7495),1,0))</f>
        <v>0</v>
      </c>
    </row>
    <row r="7500" customFormat="false" ht="15" hidden="false" customHeight="false" outlineLevel="0" collapsed="false">
      <c r="A7500" s="23" t="s">
        <v>308</v>
      </c>
      <c r="B7500" s="24"/>
      <c r="C7500" s="24"/>
      <c r="D7500" s="24"/>
      <c r="E7500" s="24"/>
      <c r="F7500" s="24"/>
      <c r="G7500" s="24"/>
      <c r="H7500" s="24"/>
      <c r="I7500" s="24"/>
      <c r="J7500" s="24"/>
      <c r="K7500" s="24"/>
    </row>
    <row r="7501" customFormat="false" ht="15" hidden="false" customHeight="false" outlineLevel="0" collapsed="false">
      <c r="A7501" s="3" t="s">
        <v>309</v>
      </c>
      <c r="G7501" s="25" t="n">
        <f aca="false">F7512</f>
        <v>1315.098</v>
      </c>
      <c r="H7501" s="25" t="n">
        <f aca="false">G7512</f>
        <v>1315.098</v>
      </c>
      <c r="I7501" s="25" t="n">
        <f aca="false">H7512</f>
        <v>1315.098</v>
      </c>
      <c r="J7501" s="25" t="n">
        <f aca="false">I7512</f>
        <v>1315.098</v>
      </c>
      <c r="K7501" s="25" t="n">
        <f aca="false">J7512</f>
        <v>1315.098</v>
      </c>
    </row>
    <row r="7502" customFormat="false" ht="15" hidden="false" customHeight="false" outlineLevel="0" collapsed="false">
      <c r="A7502" s="3" t="s">
        <v>310</v>
      </c>
      <c r="G7502" s="20" t="n">
        <f aca="false">IF(G7465=Assumptions!$K$56,1,0)</f>
        <v>0</v>
      </c>
      <c r="H7502" s="20" t="n">
        <f aca="false">IF(H7465=Assumptions!$K$56,1,0)</f>
        <v>0</v>
      </c>
      <c r="I7502" s="20" t="n">
        <f aca="false">IF(I7465=Assumptions!$K$56,1,0)</f>
        <v>0</v>
      </c>
      <c r="J7502" s="20" t="n">
        <f aca="false">IF(J7465=Assumptions!$K$56,1,0)</f>
        <v>0</v>
      </c>
      <c r="K7502" s="20" t="n">
        <f aca="false">IF(K7465=Assumptions!$K$56,1,0)</f>
        <v>0</v>
      </c>
    </row>
    <row r="7504" customFormat="false" ht="15" hidden="false" customHeight="false" outlineLevel="0" collapsed="false">
      <c r="A7504" s="3" t="s">
        <v>311</v>
      </c>
      <c r="G7504" s="31" t="n">
        <f aca="false">IF(Assumptions!$I$56=1,MAX(G7491,Assumptions!$G$56)+Assumptions!$F$56+$C$7492,Assumptions!$E$56)</f>
        <v>0.105</v>
      </c>
      <c r="H7504" s="31" t="n">
        <f aca="false">IF(G7648=1,$C$7493,IF(Assumptions!$I$56=1,MAX(H7491,Assumptions!$G$56)+Assumptions!$F$56+$C$7492,Assumptions!$E$56))</f>
        <v>0.105</v>
      </c>
      <c r="I7504" s="31" t="n">
        <f aca="false">IF(H7648=1,$C$7493,IF(Assumptions!$I$56=1,MAX(I7491,Assumptions!$G$56)+Assumptions!$F$56+$C$7492,Assumptions!$E$56))</f>
        <v>0.105</v>
      </c>
      <c r="J7504" s="31" t="n">
        <f aca="false">IF(I7648=1,$C$7493,IF(Assumptions!$I$56=1,MAX(J7491,Assumptions!$G$56)+Assumptions!$F$56+$C$7492,Assumptions!$E$56))</f>
        <v>0.105</v>
      </c>
      <c r="K7504" s="31" t="n">
        <f aca="false">IF(J7648=1,$C$7493,IF(Assumptions!$I$56=1,MAX(K7491,Assumptions!$G$56)+Assumptions!$F$56+$C$7492,Assumptions!$E$56))</f>
        <v>0.105</v>
      </c>
    </row>
    <row r="7505" customFormat="false" ht="15" hidden="false" customHeight="false" outlineLevel="0" collapsed="false">
      <c r="A7505" s="3" t="s">
        <v>312</v>
      </c>
      <c r="G7505" s="25" t="n">
        <f aca="false">G7501*G7504</f>
        <v>138.08529</v>
      </c>
      <c r="H7505" s="25" t="n">
        <f aca="false">H7501*H7504</f>
        <v>138.08529</v>
      </c>
      <c r="I7505" s="25" t="n">
        <f aca="false">I7501*I7504</f>
        <v>138.08529</v>
      </c>
      <c r="J7505" s="25" t="n">
        <f aca="false">J7501*J7504</f>
        <v>138.08529</v>
      </c>
      <c r="K7505" s="25" t="n">
        <f aca="false">K7501*K7504</f>
        <v>138.08529</v>
      </c>
    </row>
    <row r="7506" customFormat="false" ht="15" hidden="false" customHeight="false" outlineLevel="0" collapsed="false">
      <c r="A7506" s="3" t="s">
        <v>313</v>
      </c>
      <c r="G7506" s="25" t="n">
        <f aca="false">G7501*Assumptions!$H$56</f>
        <v>0</v>
      </c>
      <c r="H7506" s="25" t="n">
        <f aca="false">H7501*Assumptions!$H$56</f>
        <v>0</v>
      </c>
      <c r="I7506" s="25" t="n">
        <f aca="false">I7501*Assumptions!$H$56</f>
        <v>0</v>
      </c>
      <c r="J7506" s="25" t="n">
        <f aca="false">J7501*Assumptions!$H$56</f>
        <v>0</v>
      </c>
      <c r="K7506" s="25" t="n">
        <f aca="false">K7501*Assumptions!$H$56</f>
        <v>0</v>
      </c>
    </row>
    <row r="7507" customFormat="false" ht="15" hidden="false" customHeight="false" outlineLevel="0" collapsed="false">
      <c r="A7507" s="3" t="s">
        <v>314</v>
      </c>
      <c r="G7507" s="25" t="n">
        <f aca="false">MIN(G7501,Assumptions!$L$56*Assumptions!$C$56)</f>
        <v>0</v>
      </c>
      <c r="H7507" s="25" t="n">
        <f aca="false">MIN(H7501,Assumptions!$L$56*Assumptions!$C$56)</f>
        <v>0</v>
      </c>
      <c r="I7507" s="25" t="n">
        <f aca="false">MIN(I7501,Assumptions!$L$56*Assumptions!$C$56)</f>
        <v>0</v>
      </c>
      <c r="J7507" s="25" t="n">
        <f aca="false">MIN(J7501,Assumptions!$L$56*Assumptions!$C$56)</f>
        <v>0</v>
      </c>
      <c r="K7507" s="25" t="n">
        <f aca="false">MIN(K7501,Assumptions!$L$56*Assumptions!$C$56)</f>
        <v>0</v>
      </c>
    </row>
    <row r="7508" customFormat="false" ht="15" hidden="false" customHeight="false" outlineLevel="0" collapsed="false">
      <c r="A7508" s="3" t="s">
        <v>315</v>
      </c>
      <c r="G7508" s="25" t="n">
        <f aca="false">IF(AND(Assumptions!$P$56=1,G7465&lt;Assumptions!$K$56),MIN(MAX(0,-G7562),MAX(0,Assumptions!$D$56-G7501)),0)</f>
        <v>0</v>
      </c>
      <c r="H7508" s="25" t="n">
        <f aca="false">IF(AND(Assumptions!$P$56=1,OR(H7465&lt;Assumptions!$K$56,G7648=1)),MIN(MAX(0,-H7562),MAX(0,Assumptions!$D$56-H7501)),0)</f>
        <v>0</v>
      </c>
      <c r="I7508" s="25" t="n">
        <f aca="false">IF(AND(Assumptions!$P$56=1,OR(I7465&lt;Assumptions!$K$56,H7648=1)),MIN(MAX(0,-I7562),MAX(0,Assumptions!$D$56-I7501)),0)</f>
        <v>0</v>
      </c>
      <c r="J7508" s="25" t="n">
        <f aca="false">IF(AND(Assumptions!$P$56=1,OR(J7465&lt;Assumptions!$K$56,I7648=1)),MIN(MAX(0,-J7562),MAX(0,Assumptions!$D$56-J7501)),0)</f>
        <v>0</v>
      </c>
      <c r="K7508" s="25" t="n">
        <f aca="false">IF(AND(Assumptions!$P$56=1,OR(K7465&lt;Assumptions!$K$56,J7648=1)),MIN(MAX(0,-K7562),MAX(0,Assumptions!$D$56-K7501)),0)</f>
        <v>0</v>
      </c>
    </row>
    <row r="7509" customFormat="false" ht="15" hidden="false" customHeight="false" outlineLevel="0" collapsed="false">
      <c r="A7509" s="3" t="s">
        <v>316</v>
      </c>
      <c r="G7509" s="25" t="n">
        <f aca="false">G7502*MIN(G7501-G7507+G7506,MAX(0,G7564-Assumptions!$C$12*G7499))</f>
        <v>0</v>
      </c>
      <c r="H7509" s="25" t="n">
        <f aca="false">H7502*MIN(H7501-H7507+H7506,MAX(0,H7564-Assumptions!$C$12*H7499))</f>
        <v>0</v>
      </c>
      <c r="I7509" s="25" t="n">
        <f aca="false">I7502*MIN(I7501-I7507+I7506,MAX(0,I7564-Assumptions!$C$12*I7499))</f>
        <v>0</v>
      </c>
      <c r="J7509" s="25" t="n">
        <f aca="false">J7502*MIN(J7501-J7507+J7506,MAX(0,J7564-Assumptions!$C$12*J7499))</f>
        <v>0</v>
      </c>
      <c r="K7509" s="25" t="n">
        <f aca="false">K7502*MIN(K7501-K7507+K7506,MAX(0,K7564-Assumptions!$C$12*K7499))</f>
        <v>0</v>
      </c>
    </row>
    <row r="7510" customFormat="false" ht="15" hidden="false" customHeight="false" outlineLevel="0" collapsed="false">
      <c r="A7510" s="3" t="s">
        <v>317</v>
      </c>
      <c r="G7510" s="25" t="n">
        <f aca="false">Assumptions!$N$56*MIN(G7501+G7508+G7506-G7507-G7509,MAX(0,G7568))</f>
        <v>0</v>
      </c>
      <c r="H7510" s="25" t="n">
        <f aca="false">Assumptions!$N$56*MIN(H7501+H7508+H7506-H7507-H7509,MAX(0,H7568))</f>
        <v>0</v>
      </c>
      <c r="I7510" s="25" t="n">
        <f aca="false">Assumptions!$N$56*MIN(I7501+I7508+I7506-I7507-I7509,MAX(0,I7568))</f>
        <v>0</v>
      </c>
      <c r="J7510" s="25" t="n">
        <f aca="false">Assumptions!$N$56*MIN(J7501+J7508+J7506-J7507-J7509,MAX(0,J7568))</f>
        <v>0</v>
      </c>
      <c r="K7510" s="25" t="n">
        <f aca="false">Assumptions!$N$56*MIN(K7501+K7508+K7506-K7507-K7509,MAX(0,K7568))</f>
        <v>0</v>
      </c>
    </row>
    <row r="7511" customFormat="false" ht="15" hidden="false" customHeight="false" outlineLevel="0" collapsed="false">
      <c r="A7511" s="3" t="s">
        <v>318</v>
      </c>
      <c r="G7511" s="25" t="n">
        <f aca="false">G7502*(1-G7499)*(G7501-G7507+G7506-G7509)</f>
        <v>0</v>
      </c>
      <c r="H7511" s="25" t="n">
        <f aca="false">H7502*(1-H7499)*(H7501-H7507+H7506-H7509)</f>
        <v>0</v>
      </c>
      <c r="I7511" s="25" t="n">
        <f aca="false">I7502*(1-I7499)*(I7501-I7507+I7506-I7509)</f>
        <v>0</v>
      </c>
      <c r="J7511" s="25" t="n">
        <f aca="false">J7502*(1-J7499)*(J7501-J7507+J7506-J7509)</f>
        <v>0</v>
      </c>
      <c r="K7511" s="25" t="n">
        <f aca="false">K7502*(1-K7499)*(K7501-K7507+K7506-K7509)</f>
        <v>0</v>
      </c>
    </row>
    <row r="7512" customFormat="false" ht="15" hidden="false" customHeight="false" outlineLevel="0" collapsed="false">
      <c r="A7512" s="2" t="s">
        <v>319</v>
      </c>
      <c r="F7512" s="28" t="n">
        <f aca="false">Assumptions!$C$56</f>
        <v>1315.098</v>
      </c>
      <c r="G7512" s="16" t="n">
        <f aca="false">G7501+G7508+G7506-G7507-G7509-G7510</f>
        <v>1315.098</v>
      </c>
      <c r="H7512" s="16" t="n">
        <f aca="false">H7501+H7508+H7506-H7507-H7509-H7510</f>
        <v>1315.098</v>
      </c>
      <c r="I7512" s="16" t="n">
        <f aca="false">I7501+I7508+I7506-I7507-I7509-I7510</f>
        <v>1315.098</v>
      </c>
      <c r="J7512" s="16" t="n">
        <f aca="false">J7501+J7508+J7506-J7507-J7509-J7510</f>
        <v>1315.098</v>
      </c>
      <c r="K7512" s="16" t="n">
        <f aca="false">K7501+K7508+K7506-K7507-K7509-K7510</f>
        <v>1315.098</v>
      </c>
    </row>
    <row r="7513" customFormat="false" ht="15" hidden="false" customHeight="false" outlineLevel="0" collapsed="false">
      <c r="A7513" s="23" t="s">
        <v>320</v>
      </c>
      <c r="B7513" s="24"/>
      <c r="C7513" s="24"/>
      <c r="D7513" s="24"/>
      <c r="E7513" s="24"/>
      <c r="F7513" s="24"/>
      <c r="G7513" s="24"/>
      <c r="H7513" s="24"/>
      <c r="I7513" s="24"/>
      <c r="J7513" s="24"/>
      <c r="K7513" s="24"/>
    </row>
    <row r="7514" customFormat="false" ht="15" hidden="false" customHeight="false" outlineLevel="0" collapsed="false">
      <c r="A7514" s="3" t="s">
        <v>309</v>
      </c>
      <c r="G7514" s="25" t="n">
        <f aca="false">F7525</f>
        <v>276.706</v>
      </c>
      <c r="H7514" s="25" t="n">
        <f aca="false">G7525</f>
        <v>276.706</v>
      </c>
      <c r="I7514" s="25" t="n">
        <f aca="false">H7525</f>
        <v>276.706</v>
      </c>
      <c r="J7514" s="25" t="n">
        <f aca="false">I7525</f>
        <v>0</v>
      </c>
      <c r="K7514" s="25" t="n">
        <f aca="false">J7525</f>
        <v>0</v>
      </c>
    </row>
    <row r="7515" customFormat="false" ht="15" hidden="false" customHeight="false" outlineLevel="0" collapsed="false">
      <c r="A7515" s="3" t="s">
        <v>310</v>
      </c>
      <c r="G7515" s="20" t="n">
        <f aca="false">IF(G7465=Assumptions!$K$57,1,0)</f>
        <v>0</v>
      </c>
      <c r="H7515" s="20" t="n">
        <f aca="false">IF(H7465=Assumptions!$K$57,1,0)</f>
        <v>0</v>
      </c>
      <c r="I7515" s="20" t="n">
        <f aca="false">IF(I7465=Assumptions!$K$57,1,0)</f>
        <v>1</v>
      </c>
      <c r="J7515" s="20" t="n">
        <f aca="false">IF(J7465=Assumptions!$K$57,1,0)</f>
        <v>0</v>
      </c>
      <c r="K7515" s="20" t="n">
        <f aca="false">IF(K7465=Assumptions!$K$57,1,0)</f>
        <v>0</v>
      </c>
    </row>
    <row r="7517" customFormat="false" ht="15" hidden="false" customHeight="false" outlineLevel="0" collapsed="false">
      <c r="A7517" s="3" t="s">
        <v>311</v>
      </c>
      <c r="G7517" s="31" t="n">
        <f aca="false">IF(Assumptions!$I$57=1,MAX(G7491,Assumptions!$G$57)+Assumptions!$F$57+$C$7492,Assumptions!$E$57)</f>
        <v>0.0425</v>
      </c>
      <c r="H7517" s="31" t="n">
        <f aca="false">IF(G7649=1,$C$7493,IF(Assumptions!$I$57=1,MAX(H7491,Assumptions!$G$57)+Assumptions!$F$57+$C$7492,Assumptions!$E$57))</f>
        <v>0.0425</v>
      </c>
      <c r="I7517" s="31" t="n">
        <f aca="false">IF(H7649=1,$C$7493,IF(Assumptions!$I$57=1,MAX(I7491,Assumptions!$G$57)+Assumptions!$F$57+$C$7492,Assumptions!$E$57))</f>
        <v>0.0425</v>
      </c>
      <c r="J7517" s="31" t="n">
        <f aca="false">IF(I7649=1,$C$7493,IF(Assumptions!$I$57=1,MAX(J7491,Assumptions!$G$57)+Assumptions!$F$57+$C$7492,Assumptions!$E$57))</f>
        <v>0.0425</v>
      </c>
      <c r="K7517" s="31" t="n">
        <f aca="false">IF(J7649=1,$C$7493,IF(Assumptions!$I$57=1,MAX(K7491,Assumptions!$G$57)+Assumptions!$F$57+$C$7492,Assumptions!$E$57))</f>
        <v>0.0425</v>
      </c>
    </row>
    <row r="7518" customFormat="false" ht="15" hidden="false" customHeight="false" outlineLevel="0" collapsed="false">
      <c r="A7518" s="3" t="s">
        <v>312</v>
      </c>
      <c r="G7518" s="25" t="n">
        <f aca="false">G7514*G7517</f>
        <v>11.760005</v>
      </c>
      <c r="H7518" s="25" t="n">
        <f aca="false">H7514*H7517</f>
        <v>11.760005</v>
      </c>
      <c r="I7518" s="25" t="n">
        <f aca="false">I7514*I7517</f>
        <v>11.760005</v>
      </c>
      <c r="J7518" s="25" t="n">
        <f aca="false">J7514*J7517</f>
        <v>0</v>
      </c>
      <c r="K7518" s="25" t="n">
        <f aca="false">K7514*K7517</f>
        <v>0</v>
      </c>
    </row>
    <row r="7519" customFormat="false" ht="15" hidden="false" customHeight="false" outlineLevel="0" collapsed="false">
      <c r="A7519" s="3" t="s">
        <v>313</v>
      </c>
      <c r="G7519" s="25" t="n">
        <f aca="false">G7514*Assumptions!$H$57</f>
        <v>0</v>
      </c>
      <c r="H7519" s="25" t="n">
        <f aca="false">H7514*Assumptions!$H$57</f>
        <v>0</v>
      </c>
      <c r="I7519" s="25" t="n">
        <f aca="false">I7514*Assumptions!$H$57</f>
        <v>0</v>
      </c>
      <c r="J7519" s="25" t="n">
        <f aca="false">J7514*Assumptions!$H$57</f>
        <v>0</v>
      </c>
      <c r="K7519" s="25" t="n">
        <f aca="false">K7514*Assumptions!$H$57</f>
        <v>0</v>
      </c>
    </row>
    <row r="7520" customFormat="false" ht="15" hidden="false" customHeight="false" outlineLevel="0" collapsed="false">
      <c r="A7520" s="3" t="s">
        <v>314</v>
      </c>
      <c r="G7520" s="25" t="n">
        <f aca="false">MIN(G7514,Assumptions!$L$57*Assumptions!$C$57)</f>
        <v>0</v>
      </c>
      <c r="H7520" s="25" t="n">
        <f aca="false">MIN(H7514,Assumptions!$L$57*Assumptions!$C$57)</f>
        <v>0</v>
      </c>
      <c r="I7520" s="25" t="n">
        <f aca="false">MIN(I7514,Assumptions!$L$57*Assumptions!$C$57)</f>
        <v>0</v>
      </c>
      <c r="J7520" s="25" t="n">
        <f aca="false">MIN(J7514,Assumptions!$L$57*Assumptions!$C$57)</f>
        <v>0</v>
      </c>
      <c r="K7520" s="25" t="n">
        <f aca="false">MIN(K7514,Assumptions!$L$57*Assumptions!$C$57)</f>
        <v>0</v>
      </c>
    </row>
    <row r="7521" customFormat="false" ht="15" hidden="false" customHeight="false" outlineLevel="0" collapsed="false">
      <c r="A7521" s="3" t="s">
        <v>315</v>
      </c>
      <c r="G7521" s="25" t="n">
        <f aca="false">IF(AND(Assumptions!$P$57=1,G7465&lt;Assumptions!$K$57),MIN(MAX(0,-G7562),MAX(0,Assumptions!$D$57-G7514)),0)</f>
        <v>0</v>
      </c>
      <c r="H7521" s="25" t="n">
        <f aca="false">IF(AND(Assumptions!$P$57=1,OR(H7465&lt;Assumptions!$K$57,G7649=1)),MIN(MAX(0,-H7562),MAX(0,Assumptions!$D$57-H7514)),0)</f>
        <v>0</v>
      </c>
      <c r="I7521" s="25" t="n">
        <f aca="false">IF(AND(Assumptions!$P$57=1,OR(I7465&lt;Assumptions!$K$57,H7649=1)),MIN(MAX(0,-I7562),MAX(0,Assumptions!$D$57-I7514)),0)</f>
        <v>0</v>
      </c>
      <c r="J7521" s="25" t="n">
        <f aca="false">IF(AND(Assumptions!$P$57=1,OR(J7465&lt;Assumptions!$K$57,I7649=1)),MIN(MAX(0,-J7562),MAX(0,Assumptions!$D$57-J7514)),0)</f>
        <v>0</v>
      </c>
      <c r="K7521" s="25" t="n">
        <f aca="false">IF(AND(Assumptions!$P$57=1,OR(K7465&lt;Assumptions!$K$57,J7649=1)),MIN(MAX(0,-K7562),MAX(0,Assumptions!$D$57-K7514)),0)</f>
        <v>0</v>
      </c>
    </row>
    <row r="7522" customFormat="false" ht="15" hidden="false" customHeight="false" outlineLevel="0" collapsed="false">
      <c r="A7522" s="3" t="s">
        <v>316</v>
      </c>
      <c r="G7522" s="25" t="n">
        <f aca="false">G7515*MIN(G7514-G7520+G7519,MAX(0,G7564-Assumptions!$C$12*G7499-G7509))</f>
        <v>0</v>
      </c>
      <c r="H7522" s="25" t="n">
        <f aca="false">H7515*MIN(H7514-H7520+H7519,MAX(0,H7564-Assumptions!$C$12*H7499-H7509))</f>
        <v>0</v>
      </c>
      <c r="I7522" s="25" t="n">
        <f aca="false">I7515*MIN(I7514-I7520+I7519,MAX(0,I7564-Assumptions!$C$12*I7499-I7509))</f>
        <v>276.706</v>
      </c>
      <c r="J7522" s="25" t="n">
        <f aca="false">J7515*MIN(J7514-J7520+J7519,MAX(0,J7564-Assumptions!$C$12*J7499-J7509))</f>
        <v>0</v>
      </c>
      <c r="K7522" s="25" t="n">
        <f aca="false">K7515*MIN(K7514-K7520+K7519,MAX(0,K7564-Assumptions!$C$12*K7499-K7509))</f>
        <v>0</v>
      </c>
    </row>
    <row r="7523" customFormat="false" ht="15" hidden="false" customHeight="false" outlineLevel="0" collapsed="false">
      <c r="A7523" s="3" t="s">
        <v>317</v>
      </c>
      <c r="G7523" s="25" t="n">
        <f aca="false">Assumptions!$N$57*MIN(G7514+G7521+G7519-G7520-G7522,MAX(0,G7568-G7510))</f>
        <v>0</v>
      </c>
      <c r="H7523" s="25" t="n">
        <f aca="false">Assumptions!$N$57*MIN(H7514+H7521+H7519-H7520-H7522,MAX(0,H7568-H7510))</f>
        <v>0</v>
      </c>
      <c r="I7523" s="25" t="n">
        <f aca="false">Assumptions!$N$57*MIN(I7514+I7521+I7519-I7520-I7522,MAX(0,I7568-I7510))</f>
        <v>0</v>
      </c>
      <c r="J7523" s="25" t="n">
        <f aca="false">Assumptions!$N$57*MIN(J7514+J7521+J7519-J7520-J7522,MAX(0,J7568-J7510))</f>
        <v>0</v>
      </c>
      <c r="K7523" s="25" t="n">
        <f aca="false">Assumptions!$N$57*MIN(K7514+K7521+K7519-K7520-K7522,MAX(0,K7568-K7510))</f>
        <v>0</v>
      </c>
    </row>
    <row r="7524" customFormat="false" ht="15" hidden="false" customHeight="false" outlineLevel="0" collapsed="false">
      <c r="A7524" s="3" t="s">
        <v>318</v>
      </c>
      <c r="G7524" s="25" t="n">
        <f aca="false">G7515*(1-G7499)*(G7514-G7520+G7519-G7522)</f>
        <v>0</v>
      </c>
      <c r="H7524" s="25" t="n">
        <f aca="false">H7515*(1-H7499)*(H7514-H7520+H7519-H7522)</f>
        <v>0</v>
      </c>
      <c r="I7524" s="25" t="n">
        <f aca="false">I7515*(1-I7499)*(I7514-I7520+I7519-I7522)</f>
        <v>0</v>
      </c>
      <c r="J7524" s="25" t="n">
        <f aca="false">J7515*(1-J7499)*(J7514-J7520+J7519-J7522)</f>
        <v>0</v>
      </c>
      <c r="K7524" s="25" t="n">
        <f aca="false">K7515*(1-K7499)*(K7514-K7520+K7519-K7522)</f>
        <v>0</v>
      </c>
    </row>
    <row r="7525" customFormat="false" ht="15" hidden="false" customHeight="false" outlineLevel="0" collapsed="false">
      <c r="A7525" s="2" t="s">
        <v>319</v>
      </c>
      <c r="F7525" s="28" t="n">
        <f aca="false">Assumptions!$C$57</f>
        <v>276.706</v>
      </c>
      <c r="G7525" s="16" t="n">
        <f aca="false">G7514+G7521+G7519-G7520-G7522-G7523</f>
        <v>276.706</v>
      </c>
      <c r="H7525" s="16" t="n">
        <f aca="false">H7514+H7521+H7519-H7520-H7522-H7523</f>
        <v>276.706</v>
      </c>
      <c r="I7525" s="16" t="n">
        <f aca="false">I7514+I7521+I7519-I7520-I7522-I7523</f>
        <v>0</v>
      </c>
      <c r="J7525" s="16" t="n">
        <f aca="false">J7514+J7521+J7519-J7520-J7522-J7523</f>
        <v>0</v>
      </c>
      <c r="K7525" s="16" t="n">
        <f aca="false">K7514+K7521+K7519-K7520-K7522-K7523</f>
        <v>0</v>
      </c>
    </row>
    <row r="7526" customFormat="false" ht="15" hidden="false" customHeight="false" outlineLevel="0" collapsed="false">
      <c r="A7526" s="23" t="s">
        <v>321</v>
      </c>
      <c r="B7526" s="24"/>
      <c r="C7526" s="24"/>
      <c r="D7526" s="24"/>
      <c r="E7526" s="24"/>
      <c r="F7526" s="24"/>
      <c r="G7526" s="24"/>
      <c r="H7526" s="24"/>
      <c r="I7526" s="24"/>
      <c r="J7526" s="24"/>
      <c r="K7526" s="24"/>
    </row>
    <row r="7527" customFormat="false" ht="15" hidden="false" customHeight="false" outlineLevel="0" collapsed="false">
      <c r="A7527" s="3" t="s">
        <v>309</v>
      </c>
      <c r="G7527" s="25" t="n">
        <f aca="false">F7538</f>
        <v>143.75</v>
      </c>
      <c r="H7527" s="25" t="n">
        <f aca="false">G7538</f>
        <v>143.75</v>
      </c>
      <c r="I7527" s="25" t="n">
        <f aca="false">H7538</f>
        <v>143.75</v>
      </c>
      <c r="J7527" s="25" t="n">
        <f aca="false">I7538</f>
        <v>0</v>
      </c>
      <c r="K7527" s="25" t="n">
        <f aca="false">J7538</f>
        <v>0</v>
      </c>
    </row>
    <row r="7528" customFormat="false" ht="15" hidden="false" customHeight="false" outlineLevel="0" collapsed="false">
      <c r="A7528" s="3" t="s">
        <v>310</v>
      </c>
      <c r="G7528" s="20" t="n">
        <f aca="false">IF(G7465=Assumptions!$K$58,1,0)</f>
        <v>0</v>
      </c>
      <c r="H7528" s="20" t="n">
        <f aca="false">IF(H7465=Assumptions!$K$58,1,0)</f>
        <v>0</v>
      </c>
      <c r="I7528" s="20" t="n">
        <f aca="false">IF(I7465=Assumptions!$K$58,1,0)</f>
        <v>1</v>
      </c>
      <c r="J7528" s="20" t="n">
        <f aca="false">IF(J7465=Assumptions!$K$58,1,0)</f>
        <v>0</v>
      </c>
      <c r="K7528" s="20" t="n">
        <f aca="false">IF(K7465=Assumptions!$K$58,1,0)</f>
        <v>0</v>
      </c>
    </row>
    <row r="7530" customFormat="false" ht="15" hidden="false" customHeight="false" outlineLevel="0" collapsed="false">
      <c r="A7530" s="3" t="s">
        <v>311</v>
      </c>
      <c r="G7530" s="31" t="n">
        <f aca="false">IF(Assumptions!$I$58=1,MAX(G7491,Assumptions!$G$58)+Assumptions!$F$58+$C$7492,Assumptions!$E$58)</f>
        <v>0.0425</v>
      </c>
      <c r="H7530" s="31" t="n">
        <f aca="false">IF(G7650=1,$C$7493,IF(Assumptions!$I$58=1,MAX(H7491,Assumptions!$G$58)+Assumptions!$F$58+$C$7492,Assumptions!$E$58))</f>
        <v>0.0425</v>
      </c>
      <c r="I7530" s="31" t="n">
        <f aca="false">IF(H7650=1,$C$7493,IF(Assumptions!$I$58=1,MAX(I7491,Assumptions!$G$58)+Assumptions!$F$58+$C$7492,Assumptions!$E$58))</f>
        <v>0.0425</v>
      </c>
      <c r="J7530" s="31" t="n">
        <f aca="false">IF(I7650=1,$C$7493,IF(Assumptions!$I$58=1,MAX(J7491,Assumptions!$G$58)+Assumptions!$F$58+$C$7492,Assumptions!$E$58))</f>
        <v>0.0425</v>
      </c>
      <c r="K7530" s="31" t="n">
        <f aca="false">IF(J7650=1,$C$7493,IF(Assumptions!$I$58=1,MAX(K7491,Assumptions!$G$58)+Assumptions!$F$58+$C$7492,Assumptions!$E$58))</f>
        <v>0.0425</v>
      </c>
    </row>
    <row r="7531" customFormat="false" ht="15" hidden="false" customHeight="false" outlineLevel="0" collapsed="false">
      <c r="A7531" s="3" t="s">
        <v>312</v>
      </c>
      <c r="G7531" s="25" t="n">
        <f aca="false">G7527*G7530</f>
        <v>6.109375</v>
      </c>
      <c r="H7531" s="25" t="n">
        <f aca="false">H7527*H7530</f>
        <v>6.109375</v>
      </c>
      <c r="I7531" s="25" t="n">
        <f aca="false">I7527*I7530</f>
        <v>6.109375</v>
      </c>
      <c r="J7531" s="25" t="n">
        <f aca="false">J7527*J7530</f>
        <v>0</v>
      </c>
      <c r="K7531" s="25" t="n">
        <f aca="false">K7527*K7530</f>
        <v>0</v>
      </c>
    </row>
    <row r="7532" customFormat="false" ht="15" hidden="false" customHeight="false" outlineLevel="0" collapsed="false">
      <c r="A7532" s="3" t="s">
        <v>313</v>
      </c>
      <c r="G7532" s="25" t="n">
        <f aca="false">G7527*Assumptions!$H$58</f>
        <v>0</v>
      </c>
      <c r="H7532" s="25" t="n">
        <f aca="false">H7527*Assumptions!$H$58</f>
        <v>0</v>
      </c>
      <c r="I7532" s="25" t="n">
        <f aca="false">I7527*Assumptions!$H$58</f>
        <v>0</v>
      </c>
      <c r="J7532" s="25" t="n">
        <f aca="false">J7527*Assumptions!$H$58</f>
        <v>0</v>
      </c>
      <c r="K7532" s="25" t="n">
        <f aca="false">K7527*Assumptions!$H$58</f>
        <v>0</v>
      </c>
    </row>
    <row r="7533" customFormat="false" ht="15" hidden="false" customHeight="false" outlineLevel="0" collapsed="false">
      <c r="A7533" s="3" t="s">
        <v>314</v>
      </c>
      <c r="G7533" s="25" t="n">
        <f aca="false">MIN(G7527,Assumptions!$L$58*Assumptions!$C$58)</f>
        <v>0</v>
      </c>
      <c r="H7533" s="25" t="n">
        <f aca="false">MIN(H7527,Assumptions!$L$58*Assumptions!$C$58)</f>
        <v>0</v>
      </c>
      <c r="I7533" s="25" t="n">
        <f aca="false">MIN(I7527,Assumptions!$L$58*Assumptions!$C$58)</f>
        <v>0</v>
      </c>
      <c r="J7533" s="25" t="n">
        <f aca="false">MIN(J7527,Assumptions!$L$58*Assumptions!$C$58)</f>
        <v>0</v>
      </c>
      <c r="K7533" s="25" t="n">
        <f aca="false">MIN(K7527,Assumptions!$L$58*Assumptions!$C$58)</f>
        <v>0</v>
      </c>
    </row>
    <row r="7534" customFormat="false" ht="15" hidden="false" customHeight="false" outlineLevel="0" collapsed="false">
      <c r="A7534" s="3" t="s">
        <v>315</v>
      </c>
      <c r="G7534" s="25" t="n">
        <f aca="false">IF(AND(Assumptions!$P$58=1,G7465&lt;Assumptions!$K$58),MIN(MAX(0,-G7562),MAX(0,Assumptions!$D$58-G7527)),0)</f>
        <v>0</v>
      </c>
      <c r="H7534" s="25" t="n">
        <f aca="false">IF(AND(Assumptions!$P$58=1,OR(H7465&lt;Assumptions!$K$58,G7650=1)),MIN(MAX(0,-H7562),MAX(0,Assumptions!$D$58-H7527)),0)</f>
        <v>0</v>
      </c>
      <c r="I7534" s="25" t="n">
        <f aca="false">IF(AND(Assumptions!$P$58=1,OR(I7465&lt;Assumptions!$K$58,H7650=1)),MIN(MAX(0,-I7562),MAX(0,Assumptions!$D$58-I7527)),0)</f>
        <v>0</v>
      </c>
      <c r="J7534" s="25" t="n">
        <f aca="false">IF(AND(Assumptions!$P$58=1,OR(J7465&lt;Assumptions!$K$58,I7650=1)),MIN(MAX(0,-J7562),MAX(0,Assumptions!$D$58-J7527)),0)</f>
        <v>0</v>
      </c>
      <c r="K7534" s="25" t="n">
        <f aca="false">IF(AND(Assumptions!$P$58=1,OR(K7465&lt;Assumptions!$K$58,J7650=1)),MIN(MAX(0,-K7562),MAX(0,Assumptions!$D$58-K7527)),0)</f>
        <v>0</v>
      </c>
    </row>
    <row r="7535" customFormat="false" ht="15" hidden="false" customHeight="false" outlineLevel="0" collapsed="false">
      <c r="A7535" s="3" t="s">
        <v>316</v>
      </c>
      <c r="G7535" s="25" t="n">
        <f aca="false">G7528*MIN(G7527-G7533+G7532,MAX(0,G7564-Assumptions!$C$12*G7499-G7509-G7522))</f>
        <v>0</v>
      </c>
      <c r="H7535" s="25" t="n">
        <f aca="false">H7528*MIN(H7527-H7533+H7532,MAX(0,H7564-Assumptions!$C$12*H7499-H7509-H7522))</f>
        <v>0</v>
      </c>
      <c r="I7535" s="25" t="n">
        <f aca="false">I7528*MIN(I7527-I7533+I7532,MAX(0,I7564-Assumptions!$C$12*I7499-I7509-I7522))</f>
        <v>143.75</v>
      </c>
      <c r="J7535" s="25" t="n">
        <f aca="false">J7528*MIN(J7527-J7533+J7532,MAX(0,J7564-Assumptions!$C$12*J7499-J7509-J7522))</f>
        <v>0</v>
      </c>
      <c r="K7535" s="25" t="n">
        <f aca="false">K7528*MIN(K7527-K7533+K7532,MAX(0,K7564-Assumptions!$C$12*K7499-K7509-K7522))</f>
        <v>0</v>
      </c>
    </row>
    <row r="7536" customFormat="false" ht="15" hidden="false" customHeight="false" outlineLevel="0" collapsed="false">
      <c r="A7536" s="3" t="s">
        <v>317</v>
      </c>
      <c r="G7536" s="25" t="n">
        <f aca="false">Assumptions!$N$58*MIN(G7527+G7534+G7532-G7533-G7535,MAX(0,G7568-G7510-G7523))</f>
        <v>0</v>
      </c>
      <c r="H7536" s="25" t="n">
        <f aca="false">Assumptions!$N$58*MIN(H7527+H7534+H7532-H7533-H7535,MAX(0,H7568-H7510-H7523))</f>
        <v>0</v>
      </c>
      <c r="I7536" s="25" t="n">
        <f aca="false">Assumptions!$N$58*MIN(I7527+I7534+I7532-I7533-I7535,MAX(0,I7568-I7510-I7523))</f>
        <v>0</v>
      </c>
      <c r="J7536" s="25" t="n">
        <f aca="false">Assumptions!$N$58*MIN(J7527+J7534+J7532-J7533-J7535,MAX(0,J7568-J7510-J7523))</f>
        <v>0</v>
      </c>
      <c r="K7536" s="25" t="n">
        <f aca="false">Assumptions!$N$58*MIN(K7527+K7534+K7532-K7533-K7535,MAX(0,K7568-K7510-K7523))</f>
        <v>0</v>
      </c>
    </row>
    <row r="7537" customFormat="false" ht="15" hidden="false" customHeight="false" outlineLevel="0" collapsed="false">
      <c r="A7537" s="3" t="s">
        <v>318</v>
      </c>
      <c r="G7537" s="25" t="n">
        <f aca="false">G7528*(1-G7499)*(G7527-G7533+G7532-G7535)</f>
        <v>0</v>
      </c>
      <c r="H7537" s="25" t="n">
        <f aca="false">H7528*(1-H7499)*(H7527-H7533+H7532-H7535)</f>
        <v>0</v>
      </c>
      <c r="I7537" s="25" t="n">
        <f aca="false">I7528*(1-I7499)*(I7527-I7533+I7532-I7535)</f>
        <v>0</v>
      </c>
      <c r="J7537" s="25" t="n">
        <f aca="false">J7528*(1-J7499)*(J7527-J7533+J7532-J7535)</f>
        <v>0</v>
      </c>
      <c r="K7537" s="25" t="n">
        <f aca="false">K7528*(1-K7499)*(K7527-K7533+K7532-K7535)</f>
        <v>0</v>
      </c>
    </row>
    <row r="7538" customFormat="false" ht="15" hidden="false" customHeight="false" outlineLevel="0" collapsed="false">
      <c r="A7538" s="2" t="s">
        <v>319</v>
      </c>
      <c r="F7538" s="28" t="n">
        <f aca="false">Assumptions!$C$58</f>
        <v>143.75</v>
      </c>
      <c r="G7538" s="16" t="n">
        <f aca="false">G7527+G7534+G7532-G7533-G7535-G7536</f>
        <v>143.75</v>
      </c>
      <c r="H7538" s="16" t="n">
        <f aca="false">H7527+H7534+H7532-H7533-H7535-H7536</f>
        <v>143.75</v>
      </c>
      <c r="I7538" s="16" t="n">
        <f aca="false">I7527+I7534+I7532-I7533-I7535-I7536</f>
        <v>0</v>
      </c>
      <c r="J7538" s="16" t="n">
        <f aca="false">J7527+J7534+J7532-J7533-J7535-J7536</f>
        <v>0</v>
      </c>
      <c r="K7538" s="16" t="n">
        <f aca="false">K7527+K7534+K7532-K7533-K7535-K7536</f>
        <v>0</v>
      </c>
    </row>
    <row r="7539" customFormat="false" ht="15" hidden="false" customHeight="false" outlineLevel="0" collapsed="false">
      <c r="A7539" s="23" t="s">
        <v>322</v>
      </c>
      <c r="B7539" s="24"/>
      <c r="C7539" s="24"/>
      <c r="D7539" s="24"/>
      <c r="E7539" s="24"/>
      <c r="F7539" s="24"/>
      <c r="G7539" s="24"/>
      <c r="H7539" s="24"/>
      <c r="I7539" s="24"/>
      <c r="J7539" s="24"/>
      <c r="K7539" s="24"/>
    </row>
    <row r="7540" customFormat="false" ht="15" hidden="false" customHeight="false" outlineLevel="0" collapsed="false">
      <c r="A7540" s="2" t="s">
        <v>323</v>
      </c>
      <c r="F7540" s="16" t="n">
        <f aca="false">F7512+F7525+F7538</f>
        <v>1735.554</v>
      </c>
      <c r="G7540" s="16" t="n">
        <f aca="false">G7512+G7525+G7538</f>
        <v>1735.554</v>
      </c>
      <c r="H7540" s="16" t="n">
        <f aca="false">H7512+H7525+H7538</f>
        <v>1735.554</v>
      </c>
      <c r="I7540" s="16" t="n">
        <f aca="false">I7512+I7525+I7538</f>
        <v>1315.098</v>
      </c>
      <c r="J7540" s="16" t="n">
        <f aca="false">J7512+J7525+J7538</f>
        <v>1315.098</v>
      </c>
      <c r="K7540" s="16" t="n">
        <f aca="false">K7512+K7525+K7538</f>
        <v>1315.098</v>
      </c>
    </row>
    <row r="7541" customFormat="false" ht="15" hidden="false" customHeight="false" outlineLevel="0" collapsed="false">
      <c r="A7541" s="3" t="s">
        <v>324</v>
      </c>
      <c r="G7541" s="25" t="n">
        <f aca="false">G7502*Assumptions!$C$56+G7515*Assumptions!$C$57+G7528*Assumptions!$C$58</f>
        <v>0</v>
      </c>
      <c r="H7541" s="25" t="n">
        <f aca="false">H7502*Assumptions!$C$56+H7515*Assumptions!$C$57+H7528*Assumptions!$C$58</f>
        <v>0</v>
      </c>
      <c r="I7541" s="25" t="n">
        <f aca="false">I7502*Assumptions!$C$56+I7515*Assumptions!$C$57+I7528*Assumptions!$C$58</f>
        <v>420.456</v>
      </c>
      <c r="J7541" s="25" t="n">
        <f aca="false">J7502*Assumptions!$C$56+J7515*Assumptions!$C$57+J7528*Assumptions!$C$58</f>
        <v>0</v>
      </c>
      <c r="K7541" s="25" t="n">
        <f aca="false">K7502*Assumptions!$C$56+K7515*Assumptions!$C$57+K7528*Assumptions!$C$58</f>
        <v>0</v>
      </c>
    </row>
    <row r="7542" customFormat="false" ht="15" hidden="false" customHeight="false" outlineLevel="0" collapsed="false">
      <c r="A7542" s="23" t="s">
        <v>325</v>
      </c>
      <c r="B7542" s="24"/>
      <c r="C7542" s="24"/>
      <c r="D7542" s="24"/>
      <c r="E7542" s="24"/>
      <c r="F7542" s="24"/>
      <c r="G7542" s="24"/>
      <c r="H7542" s="24"/>
      <c r="I7542" s="24"/>
      <c r="J7542" s="24"/>
      <c r="K7542" s="24"/>
    </row>
    <row r="7543" customFormat="false" ht="15" hidden="false" customHeight="false" outlineLevel="0" collapsed="false">
      <c r="A7543" s="3" t="s">
        <v>326</v>
      </c>
      <c r="C7543" s="25" t="n">
        <f aca="false">SUMPRODUCT($G$7502:$K$7502,$G$7501:$K$7501-$G$7507:$K$7507+$G$7506:$K$7506)</f>
        <v>0</v>
      </c>
    </row>
    <row r="7544" customFormat="false" ht="15" hidden="false" customHeight="false" outlineLevel="0" collapsed="false">
      <c r="A7544" s="3" t="s">
        <v>327</v>
      </c>
      <c r="C7544" s="25" t="n">
        <f aca="false">SUMPRODUCT($G$7502:$K$7502,$G$7509:$K$7509)</f>
        <v>0</v>
      </c>
    </row>
    <row r="7545" customFormat="false" ht="15" hidden="false" customHeight="false" outlineLevel="0" collapsed="false">
      <c r="A7545" s="3" t="s">
        <v>328</v>
      </c>
      <c r="C7545" s="3" t="str">
        <f aca="false">IF(SUM($G$7502:$K$7502)=0,"n/a (beyond horizon)",IF(SUMPRODUCT($G$7502:$K$7502,$G$7499:$K$7499)&gt;0,"REFINANCING PASS","REFINANCING FAILURE"))</f>
        <v>n/a (beyond horizon)</v>
      </c>
    </row>
    <row r="7546" customFormat="false" ht="15" hidden="false" customHeight="false" outlineLevel="0" collapsed="false">
      <c r="A7546" s="3" t="s">
        <v>329</v>
      </c>
      <c r="C7546" s="3" t="str">
        <f aca="false">IF(SUM($G$7502:$K$7502)=0,"n/a",IF(C7544&gt;=C7543-0.001,"Repaid from cash",IF(SUMPRODUCT($G$7502:$K$7502,$G$7499:$K$7499)&gt;0,IF(C7544&gt;0,"Partly repaid; remainder refinanced","Refinanced"),IF(SUM($G$7511:$K$7511)&gt;0.001,IF(C7544&gt;0,"Partial repayment; PAYMENT DEFAULT","PAYMENT DEFAULT"),"Repaid from cash"))))</f>
        <v>n/a</v>
      </c>
    </row>
    <row r="7547" customFormat="false" ht="15" hidden="false" customHeight="false" outlineLevel="0" collapsed="false">
      <c r="A7547" s="3" t="s">
        <v>330</v>
      </c>
      <c r="C7547" s="25" t="n">
        <f aca="false">SUMPRODUCT($G$7515:$K$7515,$G$7514:$K$7514-$G$7520:$K$7520+$G$7519:$K$7519)</f>
        <v>276.706</v>
      </c>
    </row>
    <row r="7548" customFormat="false" ht="15" hidden="false" customHeight="false" outlineLevel="0" collapsed="false">
      <c r="A7548" s="3" t="s">
        <v>331</v>
      </c>
      <c r="C7548" s="25" t="n">
        <f aca="false">SUMPRODUCT($G$7515:$K$7515,$G$7522:$K$7522)</f>
        <v>276.706</v>
      </c>
    </row>
    <row r="7549" customFormat="false" ht="15" hidden="false" customHeight="false" outlineLevel="0" collapsed="false">
      <c r="A7549" s="3" t="s">
        <v>332</v>
      </c>
      <c r="C7549" s="3" t="str">
        <f aca="false">IF(SUM($G$7515:$K$7515)=0,"n/a (beyond horizon)",IF(SUMPRODUCT($G$7515:$K$7515,$G$7499:$K$7499)&gt;0,"REFINANCING PASS","REFINANCING FAILURE"))</f>
        <v>REFINANCING FAILURE</v>
      </c>
    </row>
    <row r="7550" customFormat="false" ht="15" hidden="false" customHeight="false" outlineLevel="0" collapsed="false">
      <c r="A7550" s="3" t="s">
        <v>333</v>
      </c>
      <c r="C7550" s="3" t="str">
        <f aca="false">IF(SUM($G$7515:$K$7515)=0,"n/a",IF(C7548&gt;=C7547-0.001,"Repaid from cash",IF(SUMPRODUCT($G$7515:$K$7515,$G$7499:$K$7499)&gt;0,IF(C7548&gt;0,"Partly repaid; remainder refinanced","Refinanced"),IF(SUM($G$7524:$K$7524)&gt;0.001,IF(C7548&gt;0,"Partial repayment; PAYMENT DEFAULT","PAYMENT DEFAULT"),"Repaid from cash"))))</f>
        <v>Repaid from cash</v>
      </c>
    </row>
    <row r="7551" customFormat="false" ht="15" hidden="false" customHeight="false" outlineLevel="0" collapsed="false">
      <c r="A7551" s="3" t="s">
        <v>334</v>
      </c>
      <c r="C7551" s="25" t="n">
        <f aca="false">SUMPRODUCT($G$7528:$K$7528,$G$7527:$K$7527-$G$7533:$K$7533+$G$7532:$K$7532)</f>
        <v>143.75</v>
      </c>
    </row>
    <row r="7552" customFormat="false" ht="15" hidden="false" customHeight="false" outlineLevel="0" collapsed="false">
      <c r="A7552" s="3" t="s">
        <v>335</v>
      </c>
      <c r="C7552" s="25" t="n">
        <f aca="false">SUMPRODUCT($G$7528:$K$7528,$G$7535:$K$7535)</f>
        <v>143.75</v>
      </c>
    </row>
    <row r="7553" customFormat="false" ht="15" hidden="false" customHeight="false" outlineLevel="0" collapsed="false">
      <c r="A7553" s="3" t="s">
        <v>336</v>
      </c>
      <c r="C7553" s="3" t="str">
        <f aca="false">IF(SUM($G$7528:$K$7528)=0,"n/a (beyond horizon)",IF(SUMPRODUCT($G$7528:$K$7528,$G$7499:$K$7499)&gt;0,"REFINANCING PASS","REFINANCING FAILURE"))</f>
        <v>REFINANCING FAILURE</v>
      </c>
    </row>
    <row r="7554" customFormat="false" ht="15" hidden="false" customHeight="false" outlineLevel="0" collapsed="false">
      <c r="A7554" s="3" t="s">
        <v>337</v>
      </c>
      <c r="C7554" s="3" t="str">
        <f aca="false">IF(SUM($G$7528:$K$7528)=0,"n/a",IF(C7552&gt;=C7551-0.001,"Repaid from cash",IF(SUMPRODUCT($G$7528:$K$7528,$G$7499:$K$7499)&gt;0,IF(C7552&gt;0,"Partly repaid; remainder refinanced","Refinanced"),IF(SUM($G$7537:$K$7537)&gt;0.001,IF(C7552&gt;0,"Partial repayment; PAYMENT DEFAULT","PAYMENT DEFAULT"),"Repaid from cash"))))</f>
        <v>Repaid from cash</v>
      </c>
    </row>
    <row r="7555" customFormat="false" ht="15" hidden="false" customHeight="false" outlineLevel="0" collapsed="false">
      <c r="A7555" s="3" t="s">
        <v>338</v>
      </c>
      <c r="C7555" s="20" t="n">
        <f aca="false">IF(C7545="REFINANCING FAILURE",1,0)+IF(C7549="REFINANCING FAILURE",1,0)+IF(C7553="REFINANCING FAILURE",1,0)</f>
        <v>2</v>
      </c>
    </row>
    <row r="7557" customFormat="false" ht="15" hidden="false" customHeight="false" outlineLevel="0" collapsed="false">
      <c r="A7557" s="23" t="s">
        <v>340</v>
      </c>
      <c r="B7557" s="24"/>
      <c r="C7557" s="24"/>
      <c r="D7557" s="24"/>
      <c r="E7557" s="24"/>
      <c r="F7557" s="24"/>
      <c r="G7557" s="24"/>
      <c r="H7557" s="24"/>
      <c r="I7557" s="24"/>
      <c r="J7557" s="24"/>
      <c r="K7557" s="24"/>
    </row>
    <row r="7558" customFormat="false" ht="15" hidden="false" customHeight="false" outlineLevel="0" collapsed="false">
      <c r="A7558" s="3" t="s">
        <v>305</v>
      </c>
      <c r="G7558" s="25" t="n">
        <f aca="false">F7570</f>
        <v>463.996</v>
      </c>
      <c r="H7558" s="25" t="n">
        <f aca="false">G7570</f>
        <v>495.91065424</v>
      </c>
      <c r="I7558" s="25" t="n">
        <f aca="false">H7570</f>
        <v>480.6001175632</v>
      </c>
      <c r="J7558" s="25" t="n">
        <f aca="false">I7570</f>
        <v>15.909809120368</v>
      </c>
      <c r="K7558" s="25" t="n">
        <f aca="false">J7570</f>
        <v>-32.6707774252112</v>
      </c>
    </row>
    <row r="7559" customFormat="false" ht="15" hidden="false" customHeight="false" outlineLevel="0" collapsed="false">
      <c r="A7559" s="3" t="s">
        <v>341</v>
      </c>
      <c r="G7559" s="25" t="n">
        <f aca="false">G7488</f>
        <v>31.91465424</v>
      </c>
      <c r="H7559" s="25" t="n">
        <f aca="false">H7488</f>
        <v>-15.3105366768</v>
      </c>
      <c r="I7559" s="25" t="n">
        <f aca="false">I7488</f>
        <v>-44.234308442832</v>
      </c>
      <c r="J7559" s="25" t="n">
        <f aca="false">J7488</f>
        <v>-48.5805865455792</v>
      </c>
      <c r="K7559" s="25" t="n">
        <f aca="false">K7488</f>
        <v>-62.0062920637423</v>
      </c>
    </row>
    <row r="7560" customFormat="false" ht="15" hidden="false" customHeight="false" outlineLevel="0" collapsed="false">
      <c r="A7560" s="3" t="s">
        <v>342</v>
      </c>
      <c r="G7560" s="25" t="n">
        <f aca="false">CHOOSE($C$7458,Assumptions!$G$74,Assumptions!$G$93,Assumptions!$G$112)</f>
        <v>0</v>
      </c>
      <c r="H7560" s="25" t="n">
        <f aca="false">CHOOSE($C$7458,Assumptions!$H$74,Assumptions!$H$93,Assumptions!$H$112)</f>
        <v>0</v>
      </c>
      <c r="I7560" s="25" t="n">
        <f aca="false">CHOOSE($C$7458,Assumptions!$I$74,Assumptions!$I$93,Assumptions!$I$112)</f>
        <v>0</v>
      </c>
      <c r="J7560" s="25" t="n">
        <f aca="false">CHOOSE($C$7458,Assumptions!$J$74,Assumptions!$J$93,Assumptions!$J$112)</f>
        <v>0</v>
      </c>
      <c r="K7560" s="25" t="n">
        <f aca="false">CHOOSE($C$7458,Assumptions!$K$74,Assumptions!$K$93,Assumptions!$K$112)</f>
        <v>0</v>
      </c>
    </row>
    <row r="7561" customFormat="false" ht="15" hidden="false" customHeight="false" outlineLevel="0" collapsed="false">
      <c r="A7561" s="3" t="s">
        <v>343</v>
      </c>
      <c r="G7561" s="25" t="n">
        <f aca="false">G7507+G7520+G7533</f>
        <v>0</v>
      </c>
      <c r="H7561" s="25" t="n">
        <f aca="false">H7507+H7520+H7533</f>
        <v>0</v>
      </c>
      <c r="I7561" s="25" t="n">
        <f aca="false">I7507+I7520+I7533</f>
        <v>0</v>
      </c>
      <c r="J7561" s="25" t="n">
        <f aca="false">J7507+J7520+J7533</f>
        <v>0</v>
      </c>
      <c r="K7561" s="25" t="n">
        <f aca="false">K7507+K7520+K7533</f>
        <v>0</v>
      </c>
    </row>
    <row r="7562" customFormat="false" ht="15" hidden="false" customHeight="false" outlineLevel="0" collapsed="false">
      <c r="A7562" s="2" t="s">
        <v>344</v>
      </c>
      <c r="G7562" s="16" t="n">
        <f aca="false">G7558+G7559+G7560-G7561</f>
        <v>495.91065424</v>
      </c>
      <c r="H7562" s="16" t="n">
        <f aca="false">H7558+H7559+H7560-H7561</f>
        <v>480.6001175632</v>
      </c>
      <c r="I7562" s="16" t="n">
        <f aca="false">I7558+I7559+I7560-I7561</f>
        <v>436.365809120368</v>
      </c>
      <c r="J7562" s="16" t="n">
        <f aca="false">J7558+J7559+J7560-J7561</f>
        <v>-32.6707774252112</v>
      </c>
      <c r="K7562" s="16" t="n">
        <f aca="false">K7558+K7559+K7560-K7561</f>
        <v>-94.6770694889536</v>
      </c>
    </row>
    <row r="7563" customFormat="false" ht="15" hidden="false" customHeight="false" outlineLevel="0" collapsed="false">
      <c r="A7563" s="3" t="s">
        <v>345</v>
      </c>
      <c r="G7563" s="25" t="n">
        <f aca="false">G7508+G7521+G7534</f>
        <v>0</v>
      </c>
      <c r="H7563" s="25" t="n">
        <f aca="false">H7508+H7521+H7534</f>
        <v>0</v>
      </c>
      <c r="I7563" s="25" t="n">
        <f aca="false">I7508+I7521+I7534</f>
        <v>0</v>
      </c>
      <c r="J7563" s="25" t="n">
        <f aca="false">J7508+J7521+J7534</f>
        <v>0</v>
      </c>
      <c r="K7563" s="25" t="n">
        <f aca="false">K7508+K7521+K7534</f>
        <v>0</v>
      </c>
    </row>
    <row r="7564" customFormat="false" ht="15" hidden="false" customHeight="false" outlineLevel="0" collapsed="false">
      <c r="A7564" s="2" t="s">
        <v>346</v>
      </c>
      <c r="G7564" s="16" t="n">
        <f aca="false">G7562+G7563</f>
        <v>495.91065424</v>
      </c>
      <c r="H7564" s="16" t="n">
        <f aca="false">H7562+H7563</f>
        <v>480.6001175632</v>
      </c>
      <c r="I7564" s="16" t="n">
        <f aca="false">I7562+I7563</f>
        <v>436.365809120368</v>
      </c>
      <c r="J7564" s="16" t="n">
        <f aca="false">J7562+J7563</f>
        <v>-32.6707774252112</v>
      </c>
      <c r="K7564" s="16" t="n">
        <f aca="false">K7562+K7563</f>
        <v>-94.6770694889536</v>
      </c>
    </row>
    <row r="7565" customFormat="false" ht="15" hidden="false" customHeight="false" outlineLevel="0" collapsed="false">
      <c r="A7565" s="3" t="s">
        <v>347</v>
      </c>
      <c r="G7565" s="25" t="n">
        <f aca="false">G7509+G7522+G7535</f>
        <v>0</v>
      </c>
      <c r="H7565" s="25" t="n">
        <f aca="false">H7509+H7522+H7535</f>
        <v>0</v>
      </c>
      <c r="I7565" s="25" t="n">
        <f aca="false">I7509+I7522+I7535</f>
        <v>420.456</v>
      </c>
      <c r="J7565" s="25" t="n">
        <f aca="false">J7509+J7522+J7535</f>
        <v>0</v>
      </c>
      <c r="K7565" s="25" t="n">
        <f aca="false">K7509+K7522+K7535</f>
        <v>0</v>
      </c>
    </row>
    <row r="7566" customFormat="false" ht="15" hidden="false" customHeight="false" outlineLevel="0" collapsed="false">
      <c r="A7566" s="2" t="s">
        <v>348</v>
      </c>
      <c r="G7566" s="16" t="n">
        <f aca="false">G7564-G7565</f>
        <v>495.91065424</v>
      </c>
      <c r="H7566" s="16" t="n">
        <f aca="false">H7564-H7565</f>
        <v>480.6001175632</v>
      </c>
      <c r="I7566" s="16" t="n">
        <f aca="false">I7564-I7565</f>
        <v>15.909809120368</v>
      </c>
      <c r="J7566" s="16" t="n">
        <f aca="false">J7564-J7565</f>
        <v>-32.6707774252112</v>
      </c>
      <c r="K7566" s="16" t="n">
        <f aca="false">K7564-K7565</f>
        <v>-94.6770694889536</v>
      </c>
    </row>
    <row r="7567" customFormat="false" ht="15" hidden="false" customHeight="false" outlineLevel="0" collapsed="false">
      <c r="A7567" s="3" t="s">
        <v>349</v>
      </c>
      <c r="G7567" s="25" t="n">
        <f aca="false">MAX(0,-G7566)</f>
        <v>0</v>
      </c>
      <c r="H7567" s="25" t="n">
        <f aca="false">MAX(0,-H7566)</f>
        <v>0</v>
      </c>
      <c r="I7567" s="25" t="n">
        <f aca="false">MAX(0,-I7566)</f>
        <v>0</v>
      </c>
      <c r="J7567" s="25" t="n">
        <f aca="false">MAX(0,-J7566)</f>
        <v>32.6707774252112</v>
      </c>
      <c r="K7567" s="25" t="n">
        <f aca="false">MAX(0,-K7566)</f>
        <v>94.6770694889536</v>
      </c>
    </row>
    <row r="7568" customFormat="false" ht="15" hidden="false" customHeight="false" outlineLevel="0" collapsed="false">
      <c r="A7568" s="3" t="s">
        <v>350</v>
      </c>
      <c r="G7568" s="25" t="n">
        <f aca="false">MAX(0,G7566-Assumptions!$C$12)*Assumptions!$C$13</f>
        <v>0</v>
      </c>
      <c r="H7568" s="25" t="n">
        <f aca="false">MAX(0,H7566-Assumptions!$C$12)*Assumptions!$C$13</f>
        <v>0</v>
      </c>
      <c r="I7568" s="25" t="n">
        <f aca="false">MAX(0,I7566-Assumptions!$C$12)*Assumptions!$C$13</f>
        <v>0</v>
      </c>
      <c r="J7568" s="25" t="n">
        <f aca="false">MAX(0,J7566-Assumptions!$C$12)*Assumptions!$C$13</f>
        <v>0</v>
      </c>
      <c r="K7568" s="25" t="n">
        <f aca="false">MAX(0,K7566-Assumptions!$C$12)*Assumptions!$C$13</f>
        <v>0</v>
      </c>
    </row>
    <row r="7569" customFormat="false" ht="15" hidden="false" customHeight="false" outlineLevel="0" collapsed="false">
      <c r="A7569" s="3" t="s">
        <v>351</v>
      </c>
      <c r="G7569" s="25" t="n">
        <f aca="false">G7510+G7523+G7536</f>
        <v>0</v>
      </c>
      <c r="H7569" s="25" t="n">
        <f aca="false">H7510+H7523+H7536</f>
        <v>0</v>
      </c>
      <c r="I7569" s="25" t="n">
        <f aca="false">I7510+I7523+I7536</f>
        <v>0</v>
      </c>
      <c r="J7569" s="25" t="n">
        <f aca="false">J7510+J7523+J7536</f>
        <v>0</v>
      </c>
      <c r="K7569" s="25" t="n">
        <f aca="false">K7510+K7523+K7536</f>
        <v>0</v>
      </c>
    </row>
    <row r="7570" customFormat="false" ht="15" hidden="false" customHeight="false" outlineLevel="0" collapsed="false">
      <c r="A7570" s="2" t="s">
        <v>352</v>
      </c>
      <c r="F7570" s="28" t="n">
        <f aca="false">Assumptions!$C$11</f>
        <v>463.996</v>
      </c>
      <c r="G7570" s="16" t="n">
        <f aca="false">G7566-G7569</f>
        <v>495.91065424</v>
      </c>
      <c r="H7570" s="16" t="n">
        <f aca="false">H7566-H7569</f>
        <v>480.6001175632</v>
      </c>
      <c r="I7570" s="16" t="n">
        <f aca="false">I7566-I7569</f>
        <v>15.909809120368</v>
      </c>
      <c r="J7570" s="16" t="n">
        <f aca="false">J7566-J7569</f>
        <v>-32.6707774252112</v>
      </c>
      <c r="K7570" s="16" t="n">
        <f aca="false">K7566-K7569</f>
        <v>-94.6770694889536</v>
      </c>
    </row>
    <row r="7571" customFormat="false" ht="15" hidden="false" customHeight="false" outlineLevel="0" collapsed="false">
      <c r="A7571" s="3" t="s">
        <v>353</v>
      </c>
      <c r="G7571" s="25" t="n">
        <f aca="false">G7511+G7524+G7537</f>
        <v>0</v>
      </c>
      <c r="H7571" s="25" t="n">
        <f aca="false">H7511+H7524+H7537</f>
        <v>0</v>
      </c>
      <c r="I7571" s="25" t="n">
        <f aca="false">I7511+I7524+I7537</f>
        <v>0</v>
      </c>
      <c r="J7571" s="25" t="n">
        <f aca="false">J7511+J7524+J7537</f>
        <v>0</v>
      </c>
      <c r="K7571" s="25" t="n">
        <f aca="false">K7511+K7524+K7537</f>
        <v>0</v>
      </c>
    </row>
    <row r="7572" customFormat="false" ht="15" hidden="false" customHeight="false" outlineLevel="0" collapsed="false">
      <c r="A7572" s="3" t="s">
        <v>354</v>
      </c>
      <c r="G7572" s="20" t="n">
        <f aca="false">IF(OR(G7567&gt;0.001,G7571&gt;0.001),1,0)</f>
        <v>0</v>
      </c>
      <c r="H7572" s="20" t="n">
        <f aca="false">IF(OR(H7567&gt;0.001,H7571&gt;0.001),1,0)</f>
        <v>0</v>
      </c>
      <c r="I7572" s="20" t="n">
        <f aca="false">IF(OR(I7567&gt;0.001,I7571&gt;0.001),1,0)</f>
        <v>0</v>
      </c>
      <c r="J7572" s="20" t="n">
        <f aca="false">IF(OR(J7567&gt;0.001,J7571&gt;0.001),1,0)</f>
        <v>1</v>
      </c>
      <c r="K7572" s="20" t="n">
        <f aca="false">IF(OR(K7567&gt;0.001,K7571&gt;0.001),1,0)</f>
        <v>1</v>
      </c>
    </row>
    <row r="7573" customFormat="false" ht="15" hidden="false" customHeight="false" outlineLevel="0" collapsed="false">
      <c r="A7573" s="3" t="s">
        <v>355</v>
      </c>
      <c r="G7573" s="20" t="n">
        <f aca="false">IF(G7572=1,1,0)</f>
        <v>0</v>
      </c>
      <c r="H7573" s="20" t="n">
        <f aca="false">IF(AND(H7572=1,SUM($G$7572:G7572)=0),1,0)</f>
        <v>0</v>
      </c>
      <c r="I7573" s="20" t="n">
        <f aca="false">IF(AND(I7572=1,SUM($G$7572:H7572)=0),1,0)</f>
        <v>0</v>
      </c>
      <c r="J7573" s="20" t="n">
        <f aca="false">IF(AND(J7572=1,SUM($G$7572:I7572)=0),1,0)</f>
        <v>1</v>
      </c>
      <c r="K7573" s="20" t="n">
        <f aca="false">IF(AND(K7572=1,SUM($G$7572:J7572)=0),1,0)</f>
        <v>0</v>
      </c>
    </row>
    <row r="7574" customFormat="false" ht="15" hidden="false" customHeight="false" outlineLevel="0" collapsed="false">
      <c r="A7574" s="3" t="s">
        <v>356</v>
      </c>
      <c r="G7574" s="25" t="n">
        <f aca="false">(G7540-F7540)-(G7563+G7480-G7561-G7565-G7569)</f>
        <v>0</v>
      </c>
      <c r="H7574" s="25" t="n">
        <f aca="false">(H7540-G7540)-(H7563+H7480-H7561-H7565-H7569)</f>
        <v>0</v>
      </c>
      <c r="I7574" s="25" t="n">
        <f aca="false">(I7540-H7540)-(I7563+I7480-I7561-I7565-I7569)</f>
        <v>0</v>
      </c>
      <c r="J7574" s="25" t="n">
        <f aca="false">(J7540-I7540)-(J7563+J7480-J7561-J7565-J7569)</f>
        <v>0</v>
      </c>
      <c r="K7574" s="25" t="n">
        <f aca="false">(K7540-J7540)-(K7563+K7480-K7561-K7565-K7569)</f>
        <v>0</v>
      </c>
    </row>
    <row r="7576" customFormat="false" ht="15" hidden="false" customHeight="false" outlineLevel="0" collapsed="false">
      <c r="A7576" s="23" t="s">
        <v>358</v>
      </c>
      <c r="B7576" s="24"/>
      <c r="C7576" s="24"/>
      <c r="D7576" s="24"/>
      <c r="E7576" s="24"/>
      <c r="F7576" s="24"/>
      <c r="G7576" s="24"/>
      <c r="H7576" s="24"/>
      <c r="I7576" s="24"/>
      <c r="J7576" s="24"/>
      <c r="K7576" s="24"/>
    </row>
    <row r="7577" customFormat="false" ht="15" hidden="false" customHeight="false" outlineLevel="0" collapsed="false">
      <c r="A7577" s="3" t="s">
        <v>359</v>
      </c>
      <c r="G7577" s="25" t="n">
        <f aca="false">G7540</f>
        <v>1735.554</v>
      </c>
      <c r="H7577" s="25" t="n">
        <f aca="false">H7540</f>
        <v>1735.554</v>
      </c>
      <c r="I7577" s="25" t="n">
        <f aca="false">I7540</f>
        <v>1315.098</v>
      </c>
      <c r="J7577" s="25" t="n">
        <f aca="false">J7540</f>
        <v>1315.098</v>
      </c>
      <c r="K7577" s="25" t="n">
        <f aca="false">K7540</f>
        <v>1315.098</v>
      </c>
    </row>
    <row r="7578" customFormat="false" ht="15" hidden="false" customHeight="false" outlineLevel="0" collapsed="false">
      <c r="A7578" s="3" t="s">
        <v>360</v>
      </c>
      <c r="G7578" s="25" t="n">
        <f aca="false">Assumptions!$O$56*G7512+Assumptions!$O$57*G7525+Assumptions!$O$58*G7538</f>
        <v>1315.098</v>
      </c>
      <c r="H7578" s="25" t="n">
        <f aca="false">Assumptions!$O$56*H7512+Assumptions!$O$57*H7525+Assumptions!$O$58*H7538</f>
        <v>1315.098</v>
      </c>
      <c r="I7578" s="25" t="n">
        <f aca="false">Assumptions!$O$56*I7512+Assumptions!$O$57*I7525+Assumptions!$O$58*I7538</f>
        <v>1315.098</v>
      </c>
      <c r="J7578" s="25" t="n">
        <f aca="false">Assumptions!$O$56*J7512+Assumptions!$O$57*J7525+Assumptions!$O$58*J7538</f>
        <v>1315.098</v>
      </c>
      <c r="K7578" s="25" t="n">
        <f aca="false">Assumptions!$O$56*K7512+Assumptions!$O$57*K7525+Assumptions!$O$58*K7538</f>
        <v>1315.098</v>
      </c>
    </row>
    <row r="7579" customFormat="false" ht="15" hidden="false" customHeight="false" outlineLevel="0" collapsed="false">
      <c r="A7579" s="3" t="s">
        <v>361</v>
      </c>
      <c r="G7579" s="25" t="n">
        <f aca="false">G7577-G7570</f>
        <v>1239.64334576</v>
      </c>
      <c r="H7579" s="25" t="n">
        <f aca="false">H7577-H7570</f>
        <v>1254.9538824368</v>
      </c>
      <c r="I7579" s="25" t="n">
        <f aca="false">I7577-I7570</f>
        <v>1299.18819087963</v>
      </c>
      <c r="J7579" s="25" t="n">
        <f aca="false">J7577-J7570</f>
        <v>1347.76877742521</v>
      </c>
      <c r="K7579" s="25" t="n">
        <f aca="false">K7577-K7570</f>
        <v>1409.77506948895</v>
      </c>
    </row>
    <row r="7580" customFormat="false" ht="15" hidden="false" customHeight="false" outlineLevel="0" collapsed="false">
      <c r="A7580" s="3" t="s">
        <v>362</v>
      </c>
      <c r="G7580" s="32" t="n">
        <f aca="false">IF(G7475&gt;0,G7577/G7475,0)</f>
        <v>7.85237774164466</v>
      </c>
      <c r="H7580" s="32" t="n">
        <f aca="false">IF(H7475&gt;0,H7577/H7475,0)</f>
        <v>10.3207593537498</v>
      </c>
      <c r="I7580" s="32" t="n">
        <f aca="false">IF(I7475&gt;0,I7577/I7475,0)</f>
        <v>9.75339332404368</v>
      </c>
      <c r="J7580" s="32" t="n">
        <f aca="false">IF(J7475&gt;0,J7577/J7475,0)</f>
        <v>12.0483094002893</v>
      </c>
      <c r="K7580" s="32" t="n">
        <f aca="false">IF(K7475&gt;0,K7577/K7475,0)</f>
        <v>14.1744816473991</v>
      </c>
    </row>
    <row r="7581" customFormat="false" ht="15" hidden="false" customHeight="false" outlineLevel="0" collapsed="false">
      <c r="A7581" s="3" t="s">
        <v>363</v>
      </c>
      <c r="G7581" s="32" t="n">
        <f aca="false">IF(G7475&gt;0,G7579/G7475,0)</f>
        <v>5.60866894134308</v>
      </c>
      <c r="H7581" s="32" t="n">
        <f aca="false">IF(H7475&gt;0,H7579/H7475,0)</f>
        <v>7.462791143741</v>
      </c>
      <c r="I7581" s="32" t="n">
        <f aca="false">IF(I7475&gt;0,I7579/I7475,0)</f>
        <v>9.63539859964945</v>
      </c>
      <c r="J7581" s="32" t="n">
        <f aca="false">IF(J7475&gt;0,J7579/J7475,0)</f>
        <v>12.347623698362</v>
      </c>
      <c r="K7581" s="32" t="n">
        <f aca="false">IF(K7475&gt;0,K7579/K7475,0)</f>
        <v>15.194936688697</v>
      </c>
    </row>
    <row r="7582" customFormat="false" ht="15" hidden="false" customHeight="false" outlineLevel="0" collapsed="false">
      <c r="A7582" s="3" t="s">
        <v>364</v>
      </c>
      <c r="G7582" s="32" t="n">
        <f aca="false">IF(G7479&gt;0,G7475/G7479,0)</f>
        <v>1.41722421265102</v>
      </c>
      <c r="H7582" s="32" t="n">
        <f aca="false">IF(H7479&gt;0,H7475/H7479,0)</f>
        <v>1.07827142179199</v>
      </c>
      <c r="I7582" s="32" t="n">
        <f aca="false">IF(I7479&gt;0,I7475/I7479,0)</f>
        <v>0.864577630927756</v>
      </c>
      <c r="J7582" s="32" t="n">
        <f aca="false">IF(J7479&gt;0,J7475/J7479,0)</f>
        <v>0.790468538563666</v>
      </c>
      <c r="K7582" s="32" t="n">
        <f aca="false">IF(K7479&gt;0,K7475/K7479,0)</f>
        <v>0.671898257779116</v>
      </c>
    </row>
    <row r="7583" customFormat="false" ht="15" hidden="false" customHeight="false" outlineLevel="0" collapsed="false">
      <c r="A7583" s="3" t="s">
        <v>365</v>
      </c>
      <c r="G7583" s="32" t="n">
        <f aca="false">IF(G7479&gt;0,G7478/G7479,0)</f>
        <v>0.840680784999898</v>
      </c>
      <c r="H7583" s="32" t="n">
        <f aca="false">IF(H7479&gt;0,H7478/H7479,0)</f>
        <v>0.599740376841553</v>
      </c>
      <c r="I7583" s="32" t="n">
        <f aca="false">IF(I7479&gt;0,I7478/I7479,0)</f>
        <v>0.462611553169392</v>
      </c>
      <c r="J7583" s="32" t="n">
        <f aca="false">IF(J7479&gt;0,J7478/J7479,0)</f>
        <v>0.40458229422294</v>
      </c>
      <c r="K7583" s="32" t="n">
        <f aca="false">IF(K7479&gt;0,K7478/K7479,0)</f>
        <v>0.343894950089499</v>
      </c>
    </row>
    <row r="7584" customFormat="false" ht="15" hidden="false" customHeight="false" outlineLevel="0" collapsed="false">
      <c r="A7584" s="3" t="s">
        <v>198</v>
      </c>
      <c r="G7584" s="21" t="n">
        <f aca="false">IF(G7577&gt;0,G7488/G7577,0)</f>
        <v>0.0183887417159017</v>
      </c>
      <c r="H7584" s="21" t="n">
        <f aca="false">IF(H7577&gt;0,H7488/H7577,0)</f>
        <v>-0.00882169997407168</v>
      </c>
      <c r="I7584" s="21" t="n">
        <f aca="false">IF(I7577&gt;0,I7488/I7577,0)</f>
        <v>-0.0336357506762477</v>
      </c>
      <c r="J7584" s="21" t="n">
        <f aca="false">IF(J7577&gt;0,J7488/J7577,0)</f>
        <v>-0.0369406588296684</v>
      </c>
      <c r="K7584" s="21" t="n">
        <f aca="false">IF(K7577&gt;0,K7488/K7577,0)</f>
        <v>-0.0471495600052181</v>
      </c>
    </row>
    <row r="7585" customFormat="false" ht="15" hidden="false" customHeight="false" outlineLevel="0" collapsed="false">
      <c r="A7585" s="3" t="s">
        <v>366</v>
      </c>
      <c r="G7585" s="32" t="n">
        <f aca="false">IF(G7479+G7561&gt;0,(G7475-G7486-G7483)/(G7479+G7561),0)</f>
        <v>1.26369158961383</v>
      </c>
      <c r="H7585" s="32" t="n">
        <f aca="false">IF(H7479+H7561&gt;0,(H7475-H7486-H7483)/(H7479+H7561),0)</f>
        <v>0.950839344671115</v>
      </c>
      <c r="I7585" s="32" t="n">
        <f aca="false">IF(I7479+I7561&gt;0,(I7475-I7486-I7483)/(I7479+I7561),0)</f>
        <v>0.757534686146224</v>
      </c>
      <c r="J7585" s="32" t="n">
        <f aca="false">IF(J7479+J7561&gt;0,(J7475-J7486-J7483)/(J7479+J7561),0)</f>
        <v>0.687707628550389</v>
      </c>
      <c r="K7585" s="32" t="n">
        <f aca="false">IF(K7479+K7561&gt;0,(K7475-K7486-K7483)/(K7479+K7561),0)</f>
        <v>0.584551484267831</v>
      </c>
    </row>
    <row r="7586" customFormat="false" ht="15" hidden="false" customHeight="false" outlineLevel="0" collapsed="false">
      <c r="A7586" s="3" t="s">
        <v>367</v>
      </c>
      <c r="G7586" s="25" t="n">
        <f aca="false">MAX(0,G7570)+Assumptions!$P$56*MAX(0,Assumptions!$D$56-G7512)+Assumptions!$P$57*MAX(0,Assumptions!$D$57-G7525)+Assumptions!$P$58*MAX(0,Assumptions!$D$58-G7538)</f>
        <v>495.91065424</v>
      </c>
      <c r="H7586" s="25" t="n">
        <f aca="false">MAX(0,H7570)+Assumptions!$P$56*MAX(0,Assumptions!$D$56-H7512)+Assumptions!$P$57*MAX(0,Assumptions!$D$57-H7525)+Assumptions!$P$58*MAX(0,Assumptions!$D$58-H7538)</f>
        <v>480.6001175632</v>
      </c>
      <c r="I7586" s="25" t="n">
        <f aca="false">MAX(0,I7570)+Assumptions!$P$56*MAX(0,Assumptions!$D$56-I7512)+Assumptions!$P$57*MAX(0,Assumptions!$D$57-I7525)+Assumptions!$P$58*MAX(0,Assumptions!$D$58-I7538)</f>
        <v>15.909809120368</v>
      </c>
      <c r="J7586" s="25" t="n">
        <f aca="false">MAX(0,J7570)+Assumptions!$P$56*MAX(0,Assumptions!$D$56-J7512)+Assumptions!$P$57*MAX(0,Assumptions!$D$57-J7525)+Assumptions!$P$58*MAX(0,Assumptions!$D$58-J7538)</f>
        <v>0</v>
      </c>
      <c r="K7586" s="25" t="n">
        <f aca="false">MAX(0,K7570)+Assumptions!$P$56*MAX(0,Assumptions!$D$56-K7512)+Assumptions!$P$57*MAX(0,Assumptions!$D$57-K7525)+Assumptions!$P$58*MAX(0,Assumptions!$D$58-K7538)</f>
        <v>0</v>
      </c>
    </row>
    <row r="7587" customFormat="false" ht="15" hidden="false" customHeight="false" outlineLevel="0" collapsed="false">
      <c r="A7587" s="3" t="s">
        <v>368</v>
      </c>
      <c r="G7587" s="21" t="n">
        <f aca="false">IF(G7577&gt;0,G7577/(G7577+MAX(0,G7475*CHOOSE($C$7458,Assumptions!$C$82,Assumptions!$C$101,Assumptions!$C$120)-G7579)),0)</f>
        <v>1</v>
      </c>
      <c r="H7587" s="21" t="n">
        <f aca="false">IF(H7577&gt;0,H7577/(H7577+MAX(0,H7475*CHOOSE($C$7458,Assumptions!$C$82,Assumptions!$C$101,Assumptions!$C$120)-H7579)),0)</f>
        <v>1</v>
      </c>
      <c r="I7587" s="21" t="n">
        <f aca="false">IF(I7577&gt;0,I7577/(I7577+MAX(0,I7475*CHOOSE($C$7458,Assumptions!$C$82,Assumptions!$C$101,Assumptions!$C$120)-I7579)),0)</f>
        <v>1</v>
      </c>
      <c r="J7587" s="21" t="n">
        <f aca="false">IF(J7577&gt;0,J7577/(J7577+MAX(0,J7475*CHOOSE($C$7458,Assumptions!$C$82,Assumptions!$C$101,Assumptions!$C$120)-J7579)),0)</f>
        <v>1</v>
      </c>
      <c r="K7587" s="21" t="n">
        <f aca="false">IF(K7577&gt;0,K7577/(K7577+MAX(0,K7475*CHOOSE($C$7458,Assumptions!$C$82,Assumptions!$C$101,Assumptions!$C$120)-K7579)),0)</f>
        <v>1</v>
      </c>
    </row>
    <row r="7588" customFormat="false" ht="15" hidden="false" customHeight="false" outlineLevel="0" collapsed="false">
      <c r="A7588" s="3" t="s">
        <v>369</v>
      </c>
      <c r="G7588" s="21" t="n">
        <f aca="false">IF(G7577&gt;0,MAX(0,G7570)/G7577,0)</f>
        <v>0.285736228455006</v>
      </c>
      <c r="H7588" s="21" t="n">
        <f aca="false">IF(H7577&gt;0,MAX(0,H7570)/H7577,0)</f>
        <v>0.276914528480935</v>
      </c>
      <c r="I7588" s="21" t="n">
        <f aca="false">IF(I7577&gt;0,MAX(0,I7570)/I7577,0)</f>
        <v>0.0120978125739435</v>
      </c>
      <c r="J7588" s="21" t="n">
        <f aca="false">IF(J7577&gt;0,MAX(0,J7570)/J7577,0)</f>
        <v>0</v>
      </c>
      <c r="K7588" s="21" t="n">
        <f aca="false">IF(K7577&gt;0,MAX(0,K7570)/K7577,0)</f>
        <v>0</v>
      </c>
    </row>
    <row r="7589" customFormat="false" ht="15" hidden="false" customHeight="false" outlineLevel="0" collapsed="false">
      <c r="A7589" s="3" t="s">
        <v>370</v>
      </c>
      <c r="G7589" s="25" t="n">
        <f aca="false">Assumptions!$C$30*(1-CHOOSE($C$7458,Assumptions!$C$85,Assumptions!$C$104,Assumptions!$C$123))</f>
        <v>2086.72535</v>
      </c>
      <c r="H7589" s="25" t="n">
        <f aca="false">Assumptions!$C$30*(1-CHOOSE($C$7458,Assumptions!$C$85,Assumptions!$C$104,Assumptions!$C$123))</f>
        <v>2086.72535</v>
      </c>
      <c r="I7589" s="25" t="n">
        <f aca="false">Assumptions!$C$30*(1-CHOOSE($C$7458,Assumptions!$C$85,Assumptions!$C$104,Assumptions!$C$123))</f>
        <v>2086.72535</v>
      </c>
      <c r="J7589" s="25" t="n">
        <f aca="false">Assumptions!$C$30*(1-CHOOSE($C$7458,Assumptions!$C$85,Assumptions!$C$104,Assumptions!$C$123))</f>
        <v>2086.72535</v>
      </c>
      <c r="K7589" s="25" t="n">
        <f aca="false">Assumptions!$C$30*(1-CHOOSE($C$7458,Assumptions!$C$85,Assumptions!$C$104,Assumptions!$C$123))</f>
        <v>2086.72535</v>
      </c>
    </row>
    <row r="7590" customFormat="false" ht="15" hidden="false" customHeight="false" outlineLevel="0" collapsed="false">
      <c r="A7590" s="23" t="s">
        <v>371</v>
      </c>
      <c r="B7590" s="24"/>
      <c r="C7590" s="24"/>
      <c r="D7590" s="24"/>
      <c r="E7590" s="24"/>
      <c r="F7590" s="24"/>
      <c r="G7590" s="24"/>
      <c r="H7590" s="24"/>
      <c r="I7590" s="24"/>
      <c r="J7590" s="24"/>
      <c r="K7590" s="24"/>
    </row>
    <row r="7591" customFormat="false" ht="15" hidden="false" customHeight="false" outlineLevel="0" collapsed="false">
      <c r="A7591" s="23" t="s">
        <v>372</v>
      </c>
      <c r="B7591" s="24"/>
      <c r="C7591" s="24"/>
      <c r="D7591" s="24"/>
      <c r="E7591" s="24"/>
      <c r="F7591" s="24"/>
      <c r="G7591" s="24"/>
      <c r="H7591" s="24"/>
      <c r="I7591" s="24"/>
      <c r="J7591" s="24"/>
      <c r="K7591" s="24"/>
    </row>
    <row r="7592" customFormat="false" ht="15" hidden="false" customHeight="false" outlineLevel="0" collapsed="false">
      <c r="A7592" s="3" t="s">
        <v>373</v>
      </c>
      <c r="G7592" s="32" t="n">
        <f aca="false">IF(G7475&gt;0,G7579/G7475,99)</f>
        <v>5.60866894134308</v>
      </c>
      <c r="H7592" s="32" t="n">
        <f aca="false">IF(H7475&gt;0,H7579/H7475,99)</f>
        <v>7.462791143741</v>
      </c>
      <c r="I7592" s="32" t="n">
        <f aca="false">IF(I7475&gt;0,I7579/I7475,99)</f>
        <v>9.63539859964945</v>
      </c>
      <c r="J7592" s="32" t="n">
        <f aca="false">IF(J7475&gt;0,J7579/J7475,99)</f>
        <v>12.347623698362</v>
      </c>
      <c r="K7592" s="32" t="n">
        <f aca="false">IF(K7475&gt;0,K7579/K7475,99)</f>
        <v>15.194936688697</v>
      </c>
    </row>
    <row r="7593" customFormat="false" ht="15" hidden="false" customHeight="false" outlineLevel="0" collapsed="false">
      <c r="A7593" s="3" t="s">
        <v>374</v>
      </c>
      <c r="G7593" s="33" t="n">
        <f aca="false">Assumptions!$G$65</f>
        <v>5.25</v>
      </c>
      <c r="H7593" s="33" t="n">
        <f aca="false">Assumptions!$H$65</f>
        <v>5.25</v>
      </c>
      <c r="I7593" s="33" t="n">
        <f aca="false">Assumptions!$I$65</f>
        <v>5</v>
      </c>
      <c r="J7593" s="33" t="n">
        <f aca="false">Assumptions!$J$65</f>
        <v>5</v>
      </c>
      <c r="K7593" s="33" t="n">
        <f aca="false">Assumptions!$K$65</f>
        <v>5</v>
      </c>
    </row>
    <row r="7594" customFormat="false" ht="15" hidden="false" customHeight="false" outlineLevel="0" collapsed="false">
      <c r="A7594" s="3" t="s">
        <v>375</v>
      </c>
      <c r="G7594" s="32" t="n">
        <f aca="false">G7593-G7592</f>
        <v>-0.358668941343077</v>
      </c>
      <c r="H7594" s="32" t="n">
        <f aca="false">H7593-H7592</f>
        <v>-2.212791143741</v>
      </c>
      <c r="I7594" s="32" t="n">
        <f aca="false">I7593-I7592</f>
        <v>-4.63539859964945</v>
      </c>
      <c r="J7594" s="32" t="n">
        <f aca="false">J7593-J7592</f>
        <v>-7.34762369836205</v>
      </c>
      <c r="K7594" s="32" t="n">
        <f aca="false">K7593-K7592</f>
        <v>-10.194936688697</v>
      </c>
    </row>
    <row r="7595" customFormat="false" ht="15" hidden="false" customHeight="false" outlineLevel="0" collapsed="false">
      <c r="A7595" s="3" t="s">
        <v>376</v>
      </c>
      <c r="G7595" s="21" t="n">
        <f aca="false">IF(G7593=0,0,G7594/ABS(G7593))</f>
        <v>-0.0683178935891575</v>
      </c>
      <c r="H7595" s="21" t="n">
        <f aca="false">IF(H7593=0,0,H7594/ABS(H7593))</f>
        <v>-0.421484027379238</v>
      </c>
      <c r="I7595" s="21" t="n">
        <f aca="false">IF(I7593=0,0,I7594/ABS(I7593))</f>
        <v>-0.92707971992989</v>
      </c>
      <c r="J7595" s="21" t="n">
        <f aca="false">IF(J7593=0,0,J7594/ABS(J7593))</f>
        <v>-1.46952473967241</v>
      </c>
      <c r="K7595" s="21" t="n">
        <f aca="false">IF(K7593=0,0,K7594/ABS(K7593))</f>
        <v>-2.03898733773939</v>
      </c>
    </row>
    <row r="7596" customFormat="false" ht="15" hidden="false" customHeight="false" outlineLevel="0" collapsed="false">
      <c r="A7596" s="3" t="s">
        <v>377</v>
      </c>
      <c r="G7596" s="20" t="n">
        <f aca="false">IF(G7594&lt;0,1,0)</f>
        <v>1</v>
      </c>
      <c r="H7596" s="20" t="n">
        <f aca="false">IF(H7594&lt;0,1,0)</f>
        <v>1</v>
      </c>
      <c r="I7596" s="20" t="n">
        <f aca="false">IF(I7594&lt;0,1,0)</f>
        <v>1</v>
      </c>
      <c r="J7596" s="20" t="n">
        <f aca="false">IF(J7594&lt;0,1,0)</f>
        <v>1</v>
      </c>
      <c r="K7596" s="20" t="n">
        <f aca="false">IF(K7594&lt;0,1,0)</f>
        <v>1</v>
      </c>
    </row>
    <row r="7597" customFormat="false" ht="15" hidden="false" customHeight="false" outlineLevel="0" collapsed="false">
      <c r="A7597" s="3" t="s">
        <v>378</v>
      </c>
      <c r="C7597" s="20" t="n">
        <f aca="false">IFERROR(INDEX($G$7465:$K$7465,MATCH(1,$G$7596:$K$7596,0)),0)</f>
        <v>2027</v>
      </c>
    </row>
    <row r="7598" customFormat="false" ht="15" hidden="false" customHeight="false" outlineLevel="0" collapsed="false">
      <c r="A7598" s="3" t="s">
        <v>379</v>
      </c>
      <c r="C7598" s="21" t="n">
        <f aca="false">MIN($G$7595:$K$7595)</f>
        <v>-2.03898733773939</v>
      </c>
    </row>
    <row r="7599" customFormat="false" ht="15" hidden="false" customHeight="false" outlineLevel="0" collapsed="false">
      <c r="A7599" s="23" t="s">
        <v>380</v>
      </c>
      <c r="B7599" s="24"/>
      <c r="C7599" s="24"/>
      <c r="D7599" s="24"/>
      <c r="E7599" s="24"/>
      <c r="F7599" s="24"/>
      <c r="G7599" s="24"/>
      <c r="H7599" s="24"/>
      <c r="I7599" s="24"/>
      <c r="J7599" s="24"/>
      <c r="K7599" s="24"/>
    </row>
    <row r="7600" customFormat="false" ht="15" hidden="false" customHeight="false" outlineLevel="0" collapsed="false">
      <c r="A7600" s="3" t="s">
        <v>373</v>
      </c>
      <c r="G7600" s="32" t="n">
        <f aca="false">IF(G7479&gt;0,G7475/G7479,99)</f>
        <v>1.41722421265102</v>
      </c>
      <c r="H7600" s="32" t="n">
        <f aca="false">IF(H7479&gt;0,H7475/H7479,99)</f>
        <v>1.07827142179199</v>
      </c>
      <c r="I7600" s="32" t="n">
        <f aca="false">IF(I7479&gt;0,I7475/I7479,99)</f>
        <v>0.864577630927756</v>
      </c>
      <c r="J7600" s="32" t="n">
        <f aca="false">IF(J7479&gt;0,J7475/J7479,99)</f>
        <v>0.790468538563666</v>
      </c>
      <c r="K7600" s="32" t="n">
        <f aca="false">IF(K7479&gt;0,K7475/K7479,99)</f>
        <v>0.671898257779116</v>
      </c>
    </row>
    <row r="7601" customFormat="false" ht="15" hidden="false" customHeight="false" outlineLevel="0" collapsed="false">
      <c r="A7601" s="3" t="s">
        <v>374</v>
      </c>
      <c r="G7601" s="33" t="n">
        <f aca="false">Assumptions!$G$66</f>
        <v>1.4</v>
      </c>
      <c r="H7601" s="33" t="n">
        <f aca="false">Assumptions!$H$66</f>
        <v>1.4</v>
      </c>
      <c r="I7601" s="33" t="n">
        <f aca="false">Assumptions!$I$66</f>
        <v>1.4</v>
      </c>
      <c r="J7601" s="33" t="n">
        <f aca="false">Assumptions!$J$66</f>
        <v>1.5</v>
      </c>
      <c r="K7601" s="33" t="n">
        <f aca="false">Assumptions!$K$66</f>
        <v>1.5</v>
      </c>
    </row>
    <row r="7602" customFormat="false" ht="15" hidden="false" customHeight="false" outlineLevel="0" collapsed="false">
      <c r="A7602" s="3" t="s">
        <v>375</v>
      </c>
      <c r="G7602" s="32" t="n">
        <f aca="false">G7600-G7601</f>
        <v>0.0172242126510223</v>
      </c>
      <c r="H7602" s="32" t="n">
        <f aca="false">H7600-H7601</f>
        <v>-0.321728578208014</v>
      </c>
      <c r="I7602" s="32" t="n">
        <f aca="false">I7600-I7601</f>
        <v>-0.535422369072244</v>
      </c>
      <c r="J7602" s="32" t="n">
        <f aca="false">J7600-J7601</f>
        <v>-0.709531461436334</v>
      </c>
      <c r="K7602" s="32" t="n">
        <f aca="false">K7600-K7601</f>
        <v>-0.828101742220884</v>
      </c>
    </row>
    <row r="7603" customFormat="false" ht="15" hidden="false" customHeight="false" outlineLevel="0" collapsed="false">
      <c r="A7603" s="3" t="s">
        <v>376</v>
      </c>
      <c r="G7603" s="21" t="n">
        <f aca="false">IF(G7601=0,0,G7602/ABS(G7601))</f>
        <v>0.0123030090364445</v>
      </c>
      <c r="H7603" s="21" t="n">
        <f aca="false">IF(H7601=0,0,H7602/ABS(H7601))</f>
        <v>-0.229806127291439</v>
      </c>
      <c r="I7603" s="21" t="n">
        <f aca="false">IF(I7601=0,0,I7602/ABS(I7601))</f>
        <v>-0.382444549337317</v>
      </c>
      <c r="J7603" s="21" t="n">
        <f aca="false">IF(J7601=0,0,J7602/ABS(J7601))</f>
        <v>-0.473020974290889</v>
      </c>
      <c r="K7603" s="21" t="n">
        <f aca="false">IF(K7601=0,0,K7602/ABS(K7601))</f>
        <v>-0.552067828147256</v>
      </c>
    </row>
    <row r="7604" customFormat="false" ht="15" hidden="false" customHeight="false" outlineLevel="0" collapsed="false">
      <c r="A7604" s="3" t="s">
        <v>377</v>
      </c>
      <c r="G7604" s="20" t="n">
        <f aca="false">IF(G7602&lt;0,1,0)</f>
        <v>0</v>
      </c>
      <c r="H7604" s="20" t="n">
        <f aca="false">IF(H7602&lt;0,1,0)</f>
        <v>1</v>
      </c>
      <c r="I7604" s="20" t="n">
        <f aca="false">IF(I7602&lt;0,1,0)</f>
        <v>1</v>
      </c>
      <c r="J7604" s="20" t="n">
        <f aca="false">IF(J7602&lt;0,1,0)</f>
        <v>1</v>
      </c>
      <c r="K7604" s="20" t="n">
        <f aca="false">IF(K7602&lt;0,1,0)</f>
        <v>1</v>
      </c>
    </row>
    <row r="7605" customFormat="false" ht="15" hidden="false" customHeight="false" outlineLevel="0" collapsed="false">
      <c r="A7605" s="3" t="s">
        <v>378</v>
      </c>
      <c r="C7605" s="20" t="n">
        <f aca="false">IFERROR(INDEX($G$7465:$K$7465,MATCH(1,$G$7604:$K$7604,0)),0)</f>
        <v>2028</v>
      </c>
    </row>
    <row r="7606" customFormat="false" ht="15" hidden="false" customHeight="false" outlineLevel="0" collapsed="false">
      <c r="A7606" s="3" t="s">
        <v>379</v>
      </c>
      <c r="C7606" s="21" t="n">
        <f aca="false">MIN($G$7603:$K$7603)</f>
        <v>-0.552067828147256</v>
      </c>
    </row>
    <row r="7607" customFormat="false" ht="15" hidden="false" customHeight="false" outlineLevel="0" collapsed="false">
      <c r="A7607" s="23" t="s">
        <v>381</v>
      </c>
      <c r="B7607" s="24"/>
      <c r="C7607" s="24"/>
      <c r="D7607" s="24"/>
      <c r="E7607" s="24"/>
      <c r="F7607" s="24"/>
      <c r="G7607" s="24"/>
      <c r="H7607" s="24"/>
      <c r="I7607" s="24"/>
      <c r="J7607" s="24"/>
      <c r="K7607" s="24"/>
    </row>
    <row r="7608" customFormat="false" ht="15" hidden="false" customHeight="false" outlineLevel="0" collapsed="false">
      <c r="A7608" s="3" t="s">
        <v>373</v>
      </c>
      <c r="G7608" s="25" t="n">
        <f aca="false">G7586</f>
        <v>495.91065424</v>
      </c>
      <c r="H7608" s="25" t="n">
        <f aca="false">H7586</f>
        <v>480.6001175632</v>
      </c>
      <c r="I7608" s="25" t="n">
        <f aca="false">I7586</f>
        <v>15.909809120368</v>
      </c>
      <c r="J7608" s="25" t="n">
        <f aca="false">J7586</f>
        <v>0</v>
      </c>
      <c r="K7608" s="25" t="n">
        <f aca="false">K7586</f>
        <v>0</v>
      </c>
    </row>
    <row r="7609" customFormat="false" ht="15" hidden="false" customHeight="false" outlineLevel="0" collapsed="false">
      <c r="A7609" s="3" t="s">
        <v>374</v>
      </c>
      <c r="G7609" s="29" t="n">
        <f aca="false">Assumptions!$G$67</f>
        <v>200</v>
      </c>
      <c r="H7609" s="29" t="n">
        <f aca="false">Assumptions!$H$67</f>
        <v>200</v>
      </c>
      <c r="I7609" s="29" t="n">
        <f aca="false">Assumptions!$I$67</f>
        <v>200</v>
      </c>
      <c r="J7609" s="29" t="n">
        <f aca="false">Assumptions!$J$67</f>
        <v>200</v>
      </c>
      <c r="K7609" s="29" t="n">
        <f aca="false">Assumptions!$K$67</f>
        <v>200</v>
      </c>
    </row>
    <row r="7610" customFormat="false" ht="15" hidden="false" customHeight="false" outlineLevel="0" collapsed="false">
      <c r="A7610" s="3" t="s">
        <v>375</v>
      </c>
      <c r="G7610" s="25" t="n">
        <f aca="false">G7608-G7609</f>
        <v>295.91065424</v>
      </c>
      <c r="H7610" s="25" t="n">
        <f aca="false">H7608-H7609</f>
        <v>280.6001175632</v>
      </c>
      <c r="I7610" s="25" t="n">
        <f aca="false">I7608-I7609</f>
        <v>-184.090190879632</v>
      </c>
      <c r="J7610" s="25" t="n">
        <f aca="false">J7608-J7609</f>
        <v>-200</v>
      </c>
      <c r="K7610" s="25" t="n">
        <f aca="false">K7608-K7609</f>
        <v>-200</v>
      </c>
    </row>
    <row r="7611" customFormat="false" ht="15" hidden="false" customHeight="false" outlineLevel="0" collapsed="false">
      <c r="A7611" s="3" t="s">
        <v>376</v>
      </c>
      <c r="G7611" s="21" t="n">
        <f aca="false">IF(G7609=0,0,G7610/ABS(G7609))</f>
        <v>1.4795532712</v>
      </c>
      <c r="H7611" s="21" t="n">
        <f aca="false">IF(H7609=0,0,H7610/ABS(H7609))</f>
        <v>1.403000587816</v>
      </c>
      <c r="I7611" s="21" t="n">
        <f aca="false">IF(I7609=0,0,I7610/ABS(I7609))</f>
        <v>-0.92045095439816</v>
      </c>
      <c r="J7611" s="21" t="n">
        <f aca="false">IF(J7609=0,0,J7610/ABS(J7609))</f>
        <v>-1</v>
      </c>
      <c r="K7611" s="21" t="n">
        <f aca="false">IF(K7609=0,0,K7610/ABS(K7609))</f>
        <v>-1</v>
      </c>
    </row>
    <row r="7612" customFormat="false" ht="15" hidden="false" customHeight="false" outlineLevel="0" collapsed="false">
      <c r="A7612" s="3" t="s">
        <v>377</v>
      </c>
      <c r="G7612" s="20" t="n">
        <f aca="false">IF(G7610&lt;0,1,0)</f>
        <v>0</v>
      </c>
      <c r="H7612" s="20" t="n">
        <f aca="false">IF(H7610&lt;0,1,0)</f>
        <v>0</v>
      </c>
      <c r="I7612" s="20" t="n">
        <f aca="false">IF(I7610&lt;0,1,0)</f>
        <v>1</v>
      </c>
      <c r="J7612" s="20" t="n">
        <f aca="false">IF(J7610&lt;0,1,0)</f>
        <v>1</v>
      </c>
      <c r="K7612" s="20" t="n">
        <f aca="false">IF(K7610&lt;0,1,0)</f>
        <v>1</v>
      </c>
    </row>
    <row r="7613" customFormat="false" ht="15" hidden="false" customHeight="false" outlineLevel="0" collapsed="false">
      <c r="A7613" s="3" t="s">
        <v>378</v>
      </c>
      <c r="C7613" s="20" t="n">
        <f aca="false">IFERROR(INDEX($G$7465:$K$7465,MATCH(1,$G$7612:$K$7612,0)),0)</f>
        <v>2029</v>
      </c>
    </row>
    <row r="7614" customFormat="false" ht="15" hidden="false" customHeight="false" outlineLevel="0" collapsed="false">
      <c r="A7614" s="3" t="s">
        <v>379</v>
      </c>
      <c r="C7614" s="21" t="n">
        <f aca="false">MIN($G$7611:$K$7611)</f>
        <v>-1</v>
      </c>
    </row>
    <row r="7615" customFormat="false" ht="15" hidden="false" customHeight="false" outlineLevel="0" collapsed="false">
      <c r="A7615" s="3" t="s">
        <v>382</v>
      </c>
      <c r="G7615" s="20" t="n">
        <f aca="false">G7596+G7604+G7612</f>
        <v>1</v>
      </c>
      <c r="H7615" s="20" t="n">
        <f aca="false">H7596+H7604+H7612</f>
        <v>2</v>
      </c>
      <c r="I7615" s="20" t="n">
        <f aca="false">I7596+I7604+I7612</f>
        <v>3</v>
      </c>
      <c r="J7615" s="20" t="n">
        <f aca="false">J7596+J7604+J7612</f>
        <v>3</v>
      </c>
      <c r="K7615" s="20" t="n">
        <f aca="false">K7596+K7604+K7612</f>
        <v>3</v>
      </c>
    </row>
    <row r="7616" customFormat="false" ht="15" hidden="false" customHeight="false" outlineLevel="0" collapsed="false">
      <c r="A7616" s="3" t="s">
        <v>383</v>
      </c>
      <c r="C7616" s="20" t="n">
        <f aca="false">SUM($G$7615:$K$7615)</f>
        <v>12</v>
      </c>
    </row>
    <row r="7617" customFormat="false" ht="15" hidden="false" customHeight="false" outlineLevel="0" collapsed="false">
      <c r="A7617" s="3" t="s">
        <v>384</v>
      </c>
      <c r="C7617" s="21" t="n">
        <f aca="false">MIN(C7598,C7606,C7614)</f>
        <v>-2.03898733773939</v>
      </c>
    </row>
    <row r="7619" customFormat="false" ht="15" hidden="false" customHeight="false" outlineLevel="0" collapsed="false">
      <c r="A7619" s="23" t="s">
        <v>486</v>
      </c>
      <c r="B7619" s="24"/>
      <c r="C7619" s="24"/>
      <c r="D7619" s="24"/>
      <c r="E7619" s="24"/>
      <c r="F7619" s="24"/>
      <c r="G7619" s="24"/>
      <c r="H7619" s="24"/>
      <c r="I7619" s="24"/>
      <c r="J7619" s="24"/>
      <c r="K7619" s="24"/>
    </row>
    <row r="7620" customFormat="false" ht="15" hidden="false" customHeight="false" outlineLevel="0" collapsed="false">
      <c r="A7620" s="3" t="s">
        <v>487</v>
      </c>
      <c r="G7620" s="20" t="n">
        <f aca="false">IF($C$7621=1,G7573,IF(G7475=MIN($G$7475:$K$7475),1,0))</f>
        <v>0</v>
      </c>
      <c r="H7620" s="20" t="n">
        <f aca="false">IF($C$7621=1,H7573,IF(AND(H7475=MIN($G$7475:$K$7475),SUM($G$7620:G7620)=0),1,0))</f>
        <v>0</v>
      </c>
      <c r="I7620" s="20" t="n">
        <f aca="false">IF($C$7621=1,I7573,IF(AND(I7475=MIN($G$7475:$K$7475),SUM($G$7620:H7620)=0),1,0))</f>
        <v>0</v>
      </c>
      <c r="J7620" s="20" t="n">
        <f aca="false">IF($C$7621=1,J7573,IF(AND(J7475=MIN($G$7475:$K$7475),SUM($G$7620:I7620)=0),1,0))</f>
        <v>1</v>
      </c>
      <c r="K7620" s="20" t="n">
        <f aca="false">IF($C$7621=1,K7573,IF(AND(K7475=MIN($G$7475:$K$7475),SUM($G$7620:J7620)=0),1,0))</f>
        <v>0</v>
      </c>
    </row>
    <row r="7621" customFormat="false" ht="15" hidden="false" customHeight="false" outlineLevel="0" collapsed="false">
      <c r="A7621" s="3" t="s">
        <v>488</v>
      </c>
      <c r="C7621" s="20" t="n">
        <f aca="false">IF(SUM($G$7573:$K$7573)&gt;0,1,0)</f>
        <v>1</v>
      </c>
    </row>
    <row r="7622" customFormat="false" ht="15" hidden="false" customHeight="false" outlineLevel="0" collapsed="false">
      <c r="A7622" s="3" t="s">
        <v>489</v>
      </c>
      <c r="C7622" s="20" t="n">
        <f aca="false">SUMPRODUCT($G$7620:$K$7620,$G$7465:$K$7465)</f>
        <v>2030</v>
      </c>
    </row>
    <row r="7623" customFormat="false" ht="15" hidden="false" customHeight="false" outlineLevel="0" collapsed="false">
      <c r="A7623" s="3" t="s">
        <v>490</v>
      </c>
      <c r="C7623" s="25" t="n">
        <f aca="false">SUMPRODUCT($G$7620:$K$7620,$G$7475:$K$7475)</f>
        <v>109.15207738344</v>
      </c>
    </row>
    <row r="7624" customFormat="false" ht="15" hidden="false" customHeight="false" outlineLevel="0" collapsed="false">
      <c r="A7624" s="3" t="s">
        <v>491</v>
      </c>
      <c r="C7624" s="25" t="n">
        <f aca="false">MAX(0,SUMPRODUCT($G$7620:$K$7620,$G$7570:$K$7570))</f>
        <v>0</v>
      </c>
    </row>
    <row r="7625" customFormat="false" ht="15" hidden="false" customHeight="false" outlineLevel="0" collapsed="false">
      <c r="A7625" s="3" t="s">
        <v>492</v>
      </c>
      <c r="C7625" s="25" t="n">
        <f aca="false">(CHOOSE($C$7458,Assumptions!$C$84,Assumptions!$C$103,Assumptions!$C$122)+$C$7462)*C7623</f>
        <v>491.18434822548</v>
      </c>
    </row>
    <row r="7626" customFormat="false" ht="15" hidden="false" customHeight="false" outlineLevel="0" collapsed="false">
      <c r="A7626" s="3" t="s">
        <v>493</v>
      </c>
      <c r="C7626" s="25" t="n">
        <f aca="false">Assumptions!$C$30*(1-CHOOSE($C$7458,Assumptions!$C$85,Assumptions!$C$104,Assumptions!$C$123))*CHOOSE($C$7458,Assumptions!$C$86,Assumptions!$C$105,Assumptions!$C$124)</f>
        <v>626.017605</v>
      </c>
    </row>
    <row r="7627" customFormat="false" ht="15" hidden="false" customHeight="false" outlineLevel="0" collapsed="false">
      <c r="A7627" s="3" t="s">
        <v>494</v>
      </c>
      <c r="C7627" s="25" t="n">
        <f aca="false">MAX(C7625,C7626)+C7624</f>
        <v>626.017605</v>
      </c>
    </row>
    <row r="7628" customFormat="false" ht="15" hidden="false" customHeight="false" outlineLevel="0" collapsed="false">
      <c r="A7628" s="2" t="s">
        <v>495</v>
      </c>
      <c r="C7628" s="16" t="n">
        <f aca="false">IF(ISNUMBER(Assumptions!$C$14),Assumptions!$C$14,C7627)</f>
        <v>626.017605</v>
      </c>
    </row>
    <row r="7629" customFormat="false" ht="15" hidden="false" customHeight="false" outlineLevel="0" collapsed="false">
      <c r="A7629" s="3" t="s">
        <v>496</v>
      </c>
      <c r="C7629" s="25" t="n">
        <f aca="false">C7628*Assumptions!$C$15</f>
        <v>25.0407042</v>
      </c>
    </row>
    <row r="7630" customFormat="false" ht="15" hidden="false" customHeight="false" outlineLevel="0" collapsed="false">
      <c r="A7630" s="2" t="s">
        <v>497</v>
      </c>
      <c r="C7630" s="16" t="n">
        <f aca="false">C7628-C7629</f>
        <v>600.9769008</v>
      </c>
    </row>
    <row r="7631" customFormat="false" ht="15" hidden="false" customHeight="false" outlineLevel="0" collapsed="false">
      <c r="A7631" s="23" t="s">
        <v>498</v>
      </c>
      <c r="B7631" s="24"/>
      <c r="C7631" s="24"/>
      <c r="D7631" s="24"/>
      <c r="E7631" s="24"/>
      <c r="F7631" s="24"/>
      <c r="G7631" s="24"/>
      <c r="H7631" s="24"/>
      <c r="I7631" s="24"/>
      <c r="J7631" s="24"/>
      <c r="K7631" s="24"/>
    </row>
    <row r="7632" customFormat="false" ht="15" hidden="false" customHeight="false" outlineLevel="0" collapsed="false">
      <c r="A7632" s="3" t="s">
        <v>499</v>
      </c>
      <c r="C7632" s="25" t="n">
        <f aca="false">SUMPRODUCT($G$7620:$K$7620,$G$7512:$K$7512)*(1+SUMPRODUCT($G$7620:$K$7620,$G$7504:$K$7504)*Assumptions!$C$16/12)</f>
        <v>1349.6193225</v>
      </c>
    </row>
    <row r="7633" customFormat="false" ht="15" hidden="false" customHeight="false" outlineLevel="0" collapsed="false">
      <c r="A7633" s="3" t="s">
        <v>500</v>
      </c>
      <c r="C7633" s="25" t="n">
        <f aca="false">SUMPRODUCT($G$7620:$K$7620,$G$7525:$K$7525)*(1+SUMPRODUCT($G$7620:$K$7620,$G$7517:$K$7517)*Assumptions!$C$16/12)</f>
        <v>0</v>
      </c>
    </row>
    <row r="7634" customFormat="false" ht="15" hidden="false" customHeight="false" outlineLevel="0" collapsed="false">
      <c r="A7634" s="3" t="s">
        <v>501</v>
      </c>
      <c r="C7634" s="25" t="n">
        <f aca="false">SUMPRODUCT($G$7620:$K$7620,$G$7538:$K$7538)*(1+SUMPRODUCT($G$7620:$K$7620,$G$7530:$K$7530)*Assumptions!$C$16/12)</f>
        <v>0</v>
      </c>
    </row>
    <row r="7635" customFormat="false" ht="15" hidden="false" customHeight="false" outlineLevel="0" collapsed="false">
      <c r="A7635" s="23" t="s">
        <v>502</v>
      </c>
      <c r="B7635" s="24"/>
      <c r="C7635" s="24"/>
      <c r="D7635" s="24"/>
      <c r="E7635" s="24"/>
      <c r="F7635" s="24"/>
      <c r="G7635" s="24"/>
      <c r="H7635" s="24"/>
      <c r="I7635" s="24"/>
      <c r="J7635" s="24"/>
      <c r="K7635" s="24"/>
    </row>
    <row r="7636" customFormat="false" ht="15" hidden="false" customHeight="false" outlineLevel="0" collapsed="false">
      <c r="A7636" s="3" t="s">
        <v>499</v>
      </c>
      <c r="C7636" s="27" t="n">
        <f aca="false">Assumptions!$M$56</f>
        <v>1</v>
      </c>
    </row>
    <row r="7637" customFormat="false" ht="15" hidden="false" customHeight="false" outlineLevel="0" collapsed="false">
      <c r="A7637" s="3" t="s">
        <v>500</v>
      </c>
      <c r="C7637" s="27" t="n">
        <f aca="false">Assumptions!$M$57</f>
        <v>2</v>
      </c>
    </row>
    <row r="7638" customFormat="false" ht="15" hidden="false" customHeight="false" outlineLevel="0" collapsed="false">
      <c r="A7638" s="3" t="s">
        <v>501</v>
      </c>
      <c r="C7638" s="27" t="n">
        <f aca="false">Assumptions!$M$58</f>
        <v>2</v>
      </c>
    </row>
    <row r="7639" customFormat="false" ht="15" hidden="false" customHeight="false" outlineLevel="0" collapsed="false">
      <c r="A7639" s="23" t="s">
        <v>503</v>
      </c>
      <c r="B7639" s="24"/>
      <c r="C7639" s="24"/>
      <c r="D7639" s="24"/>
      <c r="E7639" s="24"/>
      <c r="F7639" s="24"/>
      <c r="G7639" s="24"/>
      <c r="H7639" s="24"/>
      <c r="I7639" s="24"/>
      <c r="J7639" s="24"/>
      <c r="K7639" s="24"/>
    </row>
    <row r="7640" customFormat="false" ht="15" hidden="false" customHeight="false" outlineLevel="0" collapsed="false">
      <c r="A7640" s="3" t="s">
        <v>499</v>
      </c>
      <c r="C7640" s="35" t="n">
        <f aca="false">Assumptions!$Q$56</f>
        <v>0</v>
      </c>
    </row>
    <row r="7641" customFormat="false" ht="15" hidden="false" customHeight="false" outlineLevel="0" collapsed="false">
      <c r="A7641" s="3" t="s">
        <v>500</v>
      </c>
      <c r="C7641" s="35" t="n">
        <f aca="false">Assumptions!$Q$57</f>
        <v>0</v>
      </c>
    </row>
    <row r="7642" customFormat="false" ht="15" hidden="false" customHeight="false" outlineLevel="0" collapsed="false">
      <c r="A7642" s="3" t="s">
        <v>501</v>
      </c>
      <c r="C7642" s="35" t="n">
        <f aca="false">Assumptions!$Q$58</f>
        <v>0</v>
      </c>
    </row>
    <row r="7643" customFormat="false" ht="15" hidden="false" customHeight="false" outlineLevel="0" collapsed="false">
      <c r="A7643" s="23" t="s">
        <v>504</v>
      </c>
      <c r="B7643" s="24"/>
      <c r="C7643" s="24"/>
      <c r="D7643" s="24"/>
      <c r="E7643" s="24"/>
      <c r="F7643" s="24"/>
      <c r="G7643" s="24"/>
      <c r="H7643" s="24"/>
      <c r="I7643" s="24"/>
      <c r="J7643" s="24"/>
      <c r="K7643" s="24"/>
    </row>
    <row r="7644" customFormat="false" ht="15" hidden="false" customHeight="false" outlineLevel="0" collapsed="false">
      <c r="A7644" s="3" t="s">
        <v>499</v>
      </c>
      <c r="C7644" s="25" t="n">
        <f aca="false">IF(C7640&gt;0,MIN(C7632,C7640*$C$7630),0)</f>
        <v>0</v>
      </c>
    </row>
    <row r="7645" customFormat="false" ht="15" hidden="false" customHeight="false" outlineLevel="0" collapsed="false">
      <c r="A7645" s="3" t="s">
        <v>500</v>
      </c>
      <c r="C7645" s="25" t="n">
        <f aca="false">IF(C7641&gt;0,MIN(C7633,C7641*$C$7630),0)</f>
        <v>0</v>
      </c>
    </row>
    <row r="7646" customFormat="false" ht="15" hidden="false" customHeight="false" outlineLevel="0" collapsed="false">
      <c r="A7646" s="3" t="s">
        <v>501</v>
      </c>
      <c r="C7646" s="25" t="n">
        <f aca="false">IF(C7642&gt;0,MIN(C7634,C7642*$C$7630),0)</f>
        <v>0</v>
      </c>
    </row>
    <row r="7647" customFormat="false" ht="15" hidden="false" customHeight="false" outlineLevel="0" collapsed="false">
      <c r="A7647" s="23" t="s">
        <v>505</v>
      </c>
      <c r="B7647" s="24"/>
      <c r="C7647" s="24"/>
      <c r="D7647" s="24"/>
      <c r="E7647" s="24"/>
      <c r="F7647" s="24"/>
      <c r="G7647" s="24"/>
      <c r="H7647" s="24"/>
      <c r="I7647" s="24"/>
      <c r="J7647" s="24"/>
      <c r="K7647" s="24"/>
    </row>
    <row r="7648" customFormat="false" ht="15" hidden="false" customHeight="false" outlineLevel="0" collapsed="false">
      <c r="A7648" s="3" t="s">
        <v>499</v>
      </c>
      <c r="C7648" s="25" t="n">
        <f aca="false">IF(C7640&gt;0,C7632-C7644,0)</f>
        <v>0</v>
      </c>
      <c r="G7648" s="20" t="n">
        <f aca="false">IF(AND(G7502=1,G7499=1),1,0)</f>
        <v>0</v>
      </c>
      <c r="H7648" s="20" t="n">
        <f aca="false">IF(G7648=1,1,IF(AND(H7502=1,H7499=1),1,0))</f>
        <v>0</v>
      </c>
      <c r="I7648" s="20" t="n">
        <f aca="false">IF(H7648=1,1,IF(AND(I7502=1,I7499=1),1,0))</f>
        <v>0</v>
      </c>
      <c r="J7648" s="20" t="n">
        <f aca="false">IF(I7648=1,1,IF(AND(J7502=1,J7499=1),1,0))</f>
        <v>0</v>
      </c>
      <c r="K7648" s="20" t="n">
        <f aca="false">IF(J7648=1,1,IF(AND(K7502=1,K7499=1),1,0))</f>
        <v>0</v>
      </c>
    </row>
    <row r="7649" customFormat="false" ht="15" hidden="false" customHeight="false" outlineLevel="0" collapsed="false">
      <c r="A7649" s="3" t="s">
        <v>500</v>
      </c>
      <c r="C7649" s="25" t="n">
        <f aca="false">IF(C7641&gt;0,C7633-C7645,0)</f>
        <v>0</v>
      </c>
      <c r="G7649" s="20" t="n">
        <f aca="false">IF(AND(G7515=1,G7499=1),1,0)</f>
        <v>0</v>
      </c>
      <c r="H7649" s="20" t="n">
        <f aca="false">IF(G7649=1,1,IF(AND(H7515=1,H7499=1),1,0))</f>
        <v>0</v>
      </c>
      <c r="I7649" s="20" t="n">
        <f aca="false">IF(H7649=1,1,IF(AND(I7515=1,I7499=1),1,0))</f>
        <v>0</v>
      </c>
      <c r="J7649" s="20" t="n">
        <f aca="false">IF(I7649=1,1,IF(AND(J7515=1,J7499=1),1,0))</f>
        <v>0</v>
      </c>
      <c r="K7649" s="20" t="n">
        <f aca="false">IF(J7649=1,1,IF(AND(K7515=1,K7499=1),1,0))</f>
        <v>0</v>
      </c>
    </row>
    <row r="7650" customFormat="false" ht="15" hidden="false" customHeight="false" outlineLevel="0" collapsed="false">
      <c r="A7650" s="3" t="s">
        <v>501</v>
      </c>
      <c r="C7650" s="25" t="n">
        <f aca="false">IF(C7642&gt;0,C7634-C7646,0)</f>
        <v>0</v>
      </c>
      <c r="G7650" s="20" t="n">
        <f aca="false">IF(AND(G7528=1,G7499=1),1,0)</f>
        <v>0</v>
      </c>
      <c r="H7650" s="20" t="n">
        <f aca="false">IF(G7650=1,1,IF(AND(H7528=1,H7499=1),1,0))</f>
        <v>0</v>
      </c>
      <c r="I7650" s="20" t="n">
        <f aca="false">IF(H7650=1,1,IF(AND(I7528=1,I7499=1),1,0))</f>
        <v>0</v>
      </c>
      <c r="J7650" s="20" t="n">
        <f aca="false">IF(I7650=1,1,IF(AND(J7528=1,J7499=1),1,0))</f>
        <v>0</v>
      </c>
      <c r="K7650" s="20" t="n">
        <f aca="false">IF(J7650=1,1,IF(AND(K7528=1,K7499=1),1,0))</f>
        <v>0</v>
      </c>
    </row>
    <row r="7651" customFormat="false" ht="15" hidden="false" customHeight="false" outlineLevel="0" collapsed="false">
      <c r="A7651" s="23" t="s">
        <v>506</v>
      </c>
      <c r="B7651" s="24"/>
      <c r="C7651" s="24"/>
      <c r="D7651" s="24"/>
      <c r="E7651" s="24"/>
      <c r="F7651" s="24"/>
      <c r="G7651" s="24"/>
      <c r="H7651" s="24"/>
      <c r="I7651" s="24"/>
      <c r="J7651" s="24"/>
      <c r="K7651" s="24"/>
    </row>
    <row r="7652" customFormat="false" ht="15" hidden="false" customHeight="false" outlineLevel="0" collapsed="false">
      <c r="A7652" s="3" t="s">
        <v>499</v>
      </c>
      <c r="C7652" s="25" t="n">
        <f aca="false">IF(C7640&gt;0,C7648,C7632)</f>
        <v>1349.6193225</v>
      </c>
    </row>
    <row r="7653" customFormat="false" ht="15" hidden="false" customHeight="false" outlineLevel="0" collapsed="false">
      <c r="A7653" s="3" t="s">
        <v>500</v>
      </c>
      <c r="C7653" s="25" t="n">
        <f aca="false">IF(C7641&gt;0,C7649,C7633)</f>
        <v>0</v>
      </c>
    </row>
    <row r="7654" customFormat="false" ht="15" hidden="false" customHeight="false" outlineLevel="0" collapsed="false">
      <c r="A7654" s="3" t="s">
        <v>501</v>
      </c>
      <c r="C7654" s="25" t="n">
        <f aca="false">IF(C7642&gt;0,C7650,C7634)</f>
        <v>0</v>
      </c>
    </row>
    <row r="7655" customFormat="false" ht="15" hidden="false" customHeight="false" outlineLevel="0" collapsed="false">
      <c r="A7655" s="23" t="s">
        <v>507</v>
      </c>
      <c r="B7655" s="24"/>
      <c r="C7655" s="24"/>
      <c r="D7655" s="24"/>
      <c r="E7655" s="24"/>
      <c r="F7655" s="24"/>
      <c r="G7655" s="24"/>
      <c r="H7655" s="24"/>
      <c r="I7655" s="24"/>
      <c r="J7655" s="24"/>
      <c r="K7655" s="24"/>
    </row>
    <row r="7656" customFormat="false" ht="15" hidden="false" customHeight="false" outlineLevel="0" collapsed="false">
      <c r="A7656" s="3" t="s">
        <v>499</v>
      </c>
      <c r="C7656" s="20" t="n">
        <f aca="false">IF(C7640&gt;0,Assumptions!$C$17,C7636)</f>
        <v>1</v>
      </c>
    </row>
    <row r="7657" customFormat="false" ht="15" hidden="false" customHeight="false" outlineLevel="0" collapsed="false">
      <c r="A7657" s="3" t="s">
        <v>500</v>
      </c>
      <c r="C7657" s="20" t="n">
        <f aca="false">IF(C7641&gt;0,Assumptions!$C$17,C7637)</f>
        <v>2</v>
      </c>
    </row>
    <row r="7658" customFormat="false" ht="15" hidden="false" customHeight="false" outlineLevel="0" collapsed="false">
      <c r="A7658" s="3" t="s">
        <v>501</v>
      </c>
      <c r="C7658" s="20" t="n">
        <f aca="false">IF(C7642&gt;0,Assumptions!$C$17,C7638)</f>
        <v>2</v>
      </c>
    </row>
    <row r="7659" customFormat="false" ht="15" hidden="false" customHeight="false" outlineLevel="0" collapsed="false">
      <c r="A7659" s="23" t="s">
        <v>508</v>
      </c>
      <c r="B7659" s="24"/>
      <c r="C7659" s="24"/>
      <c r="D7659" s="24"/>
      <c r="E7659" s="24"/>
      <c r="F7659" s="24"/>
      <c r="G7659" s="24"/>
      <c r="H7659" s="24"/>
      <c r="I7659" s="24"/>
      <c r="J7659" s="24"/>
      <c r="K7659" s="24"/>
    </row>
    <row r="7660" customFormat="false" ht="15" hidden="false" customHeight="false" outlineLevel="0" collapsed="false">
      <c r="A7660" s="3" t="s">
        <v>499</v>
      </c>
      <c r="C7660" s="25" t="n">
        <f aca="false">SUMPRODUCT(($C$7656:$C$7658&lt;C7656)*$C$7652:$C$7654)</f>
        <v>0</v>
      </c>
    </row>
    <row r="7661" customFormat="false" ht="15" hidden="false" customHeight="false" outlineLevel="0" collapsed="false">
      <c r="A7661" s="3" t="s">
        <v>500</v>
      </c>
      <c r="C7661" s="25" t="n">
        <f aca="false">SUMPRODUCT(($C$7656:$C$7658&lt;C7657)*$C$7652:$C$7654)</f>
        <v>1349.6193225</v>
      </c>
    </row>
    <row r="7662" customFormat="false" ht="15" hidden="false" customHeight="false" outlineLevel="0" collapsed="false">
      <c r="A7662" s="3" t="s">
        <v>501</v>
      </c>
      <c r="C7662" s="25" t="n">
        <f aca="false">SUMPRODUCT(($C$7656:$C$7658&lt;C7658)*$C$7652:$C$7654)</f>
        <v>1349.6193225</v>
      </c>
    </row>
    <row r="7663" customFormat="false" ht="15" hidden="false" customHeight="false" outlineLevel="0" collapsed="false">
      <c r="A7663" s="23" t="s">
        <v>509</v>
      </c>
      <c r="B7663" s="24"/>
      <c r="C7663" s="24"/>
      <c r="D7663" s="24"/>
      <c r="E7663" s="24"/>
      <c r="F7663" s="24"/>
      <c r="G7663" s="24"/>
      <c r="H7663" s="24"/>
      <c r="I7663" s="24"/>
      <c r="J7663" s="24"/>
      <c r="K7663" s="24"/>
    </row>
    <row r="7664" customFormat="false" ht="15" hidden="false" customHeight="false" outlineLevel="0" collapsed="false">
      <c r="A7664" s="3" t="s">
        <v>499</v>
      </c>
      <c r="C7664" s="25" t="n">
        <f aca="false">SUMPRODUCT(($C$7656:$C$7658=C7656)*$C$7652:$C$7654)</f>
        <v>1349.6193225</v>
      </c>
    </row>
    <row r="7665" customFormat="false" ht="15" hidden="false" customHeight="false" outlineLevel="0" collapsed="false">
      <c r="A7665" s="3" t="s">
        <v>500</v>
      </c>
      <c r="C7665" s="25" t="n">
        <f aca="false">SUMPRODUCT(($C$7656:$C$7658=C7657)*$C$7652:$C$7654)</f>
        <v>0</v>
      </c>
    </row>
    <row r="7666" customFormat="false" ht="15" hidden="false" customHeight="false" outlineLevel="0" collapsed="false">
      <c r="A7666" s="3" t="s">
        <v>501</v>
      </c>
      <c r="C7666" s="25" t="n">
        <f aca="false">SUMPRODUCT(($C$7656:$C$7658=C7658)*$C$7652:$C$7654)</f>
        <v>0</v>
      </c>
    </row>
    <row r="7667" customFormat="false" ht="15" hidden="false" customHeight="false" outlineLevel="0" collapsed="false">
      <c r="A7667" s="23" t="s">
        <v>510</v>
      </c>
      <c r="B7667" s="24"/>
      <c r="C7667" s="24"/>
      <c r="D7667" s="24"/>
      <c r="E7667" s="24"/>
      <c r="F7667" s="24"/>
      <c r="G7667" s="24"/>
      <c r="H7667" s="24"/>
      <c r="I7667" s="24"/>
      <c r="J7667" s="24"/>
      <c r="K7667" s="24"/>
    </row>
    <row r="7668" customFormat="false" ht="15" hidden="false" customHeight="false" outlineLevel="0" collapsed="false">
      <c r="A7668" s="3" t="s">
        <v>499</v>
      </c>
      <c r="C7668" s="25" t="n">
        <f aca="false">IF(C7664=0,0,C7652/C7664*MAX(0,MIN(C7664,$C$7630-SUM($C$7644:$C$7646)-C7660)))</f>
        <v>600.9769008</v>
      </c>
    </row>
    <row r="7669" customFormat="false" ht="15" hidden="false" customHeight="false" outlineLevel="0" collapsed="false">
      <c r="A7669" s="3" t="s">
        <v>500</v>
      </c>
      <c r="C7669" s="25" t="n">
        <f aca="false">IF(C7665=0,0,C7653/C7665*MAX(0,MIN(C7665,$C$7630-SUM($C$7644:$C$7646)-C7661)))</f>
        <v>0</v>
      </c>
    </row>
    <row r="7670" customFormat="false" ht="15" hidden="false" customHeight="false" outlineLevel="0" collapsed="false">
      <c r="A7670" s="3" t="s">
        <v>501</v>
      </c>
      <c r="C7670" s="25" t="n">
        <f aca="false">IF(C7666=0,0,C7654/C7666*MAX(0,MIN(C7666,$C$7630-SUM($C$7644:$C$7646)-C7662)))</f>
        <v>0</v>
      </c>
    </row>
    <row r="7671" customFormat="false" ht="15" hidden="false" customHeight="false" outlineLevel="0" collapsed="false">
      <c r="A7671" s="23" t="s">
        <v>511</v>
      </c>
      <c r="B7671" s="24"/>
      <c r="C7671" s="24"/>
      <c r="D7671" s="24"/>
      <c r="E7671" s="24"/>
      <c r="F7671" s="24"/>
      <c r="G7671" s="24"/>
      <c r="H7671" s="24"/>
      <c r="I7671" s="24"/>
      <c r="J7671" s="24"/>
      <c r="K7671" s="24"/>
    </row>
    <row r="7672" customFormat="false" ht="15" hidden="false" customHeight="false" outlineLevel="0" collapsed="false">
      <c r="A7672" s="2" t="s">
        <v>499</v>
      </c>
      <c r="C7672" s="16" t="n">
        <f aca="false">C7644+C7668</f>
        <v>600.9769008</v>
      </c>
    </row>
    <row r="7673" customFormat="false" ht="15" hidden="false" customHeight="false" outlineLevel="0" collapsed="false">
      <c r="A7673" s="2" t="s">
        <v>500</v>
      </c>
      <c r="C7673" s="16" t="n">
        <f aca="false">C7645+C7669</f>
        <v>0</v>
      </c>
    </row>
    <row r="7674" customFormat="false" ht="15" hidden="false" customHeight="false" outlineLevel="0" collapsed="false">
      <c r="A7674" s="2" t="s">
        <v>501</v>
      </c>
      <c r="C7674" s="16" t="n">
        <f aca="false">C7646+C7670</f>
        <v>0</v>
      </c>
    </row>
    <row r="7675" customFormat="false" ht="15" hidden="false" customHeight="false" outlineLevel="0" collapsed="false">
      <c r="A7675" s="23" t="s">
        <v>512</v>
      </c>
      <c r="B7675" s="24"/>
      <c r="C7675" s="24"/>
      <c r="D7675" s="24"/>
      <c r="E7675" s="24"/>
      <c r="F7675" s="24"/>
      <c r="G7675" s="24"/>
      <c r="H7675" s="24"/>
      <c r="I7675" s="24"/>
      <c r="J7675" s="24"/>
      <c r="K7675" s="24"/>
    </row>
    <row r="7676" customFormat="false" ht="15" hidden="false" customHeight="false" outlineLevel="0" collapsed="false">
      <c r="A7676" s="3" t="s">
        <v>499</v>
      </c>
      <c r="C7676" s="21" t="n">
        <f aca="false">IF(C7632=0,1,C7672/C7632)</f>
        <v>0.4452936400516</v>
      </c>
    </row>
    <row r="7677" customFormat="false" ht="15" hidden="false" customHeight="false" outlineLevel="0" collapsed="false">
      <c r="A7677" s="3" t="s">
        <v>500</v>
      </c>
      <c r="C7677" s="21" t="n">
        <f aca="false">IF(C7633=0,1,C7673/C7633)</f>
        <v>1</v>
      </c>
    </row>
    <row r="7678" customFormat="false" ht="15" hidden="false" customHeight="false" outlineLevel="0" collapsed="false">
      <c r="A7678" s="3" t="s">
        <v>501</v>
      </c>
      <c r="C7678" s="21" t="n">
        <f aca="false">IF(C7634=0,1,C7674/C7634)</f>
        <v>1</v>
      </c>
    </row>
    <row r="7679" customFormat="false" ht="15" hidden="false" customHeight="false" outlineLevel="0" collapsed="false">
      <c r="A7679" s="23" t="s">
        <v>513</v>
      </c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</row>
    <row r="7680" customFormat="false" ht="15" hidden="false" customHeight="false" outlineLevel="0" collapsed="false">
      <c r="A7680" s="3" t="s">
        <v>499</v>
      </c>
      <c r="C7680" s="25" t="n">
        <f aca="false">C7632-C7672</f>
        <v>748.6424217</v>
      </c>
    </row>
    <row r="7681" customFormat="false" ht="15" hidden="false" customHeight="false" outlineLevel="0" collapsed="false">
      <c r="A7681" s="3" t="s">
        <v>500</v>
      </c>
      <c r="C7681" s="25" t="n">
        <f aca="false">C7633-C7673</f>
        <v>0</v>
      </c>
    </row>
    <row r="7682" customFormat="false" ht="15" hidden="false" customHeight="false" outlineLevel="0" collapsed="false">
      <c r="A7682" s="3" t="s">
        <v>501</v>
      </c>
      <c r="C7682" s="25" t="n">
        <f aca="false">C7634-C7674</f>
        <v>0</v>
      </c>
    </row>
    <row r="7683" customFormat="false" ht="15" hidden="false" customHeight="false" outlineLevel="0" collapsed="false">
      <c r="A7683" s="23" t="s">
        <v>514</v>
      </c>
      <c r="B7683" s="24"/>
      <c r="C7683" s="24"/>
      <c r="D7683" s="24"/>
      <c r="E7683" s="24"/>
      <c r="F7683" s="24"/>
      <c r="G7683" s="24"/>
      <c r="H7683" s="24"/>
      <c r="I7683" s="24"/>
      <c r="J7683" s="24"/>
      <c r="K7683" s="24"/>
    </row>
    <row r="7684" customFormat="false" ht="15" hidden="false" customHeight="false" outlineLevel="0" collapsed="false">
      <c r="A7684" s="3" t="s">
        <v>499</v>
      </c>
      <c r="C7684" s="21" t="n">
        <f aca="false">IF(C7632=0,0,C7680/C7632)</f>
        <v>0.5547063599484</v>
      </c>
    </row>
    <row r="7685" customFormat="false" ht="15" hidden="false" customHeight="false" outlineLevel="0" collapsed="false">
      <c r="A7685" s="3" t="s">
        <v>500</v>
      </c>
      <c r="C7685" s="21" t="n">
        <f aca="false">IF(C7633=0,0,C7681/C7633)</f>
        <v>0</v>
      </c>
    </row>
    <row r="7686" customFormat="false" ht="15" hidden="false" customHeight="false" outlineLevel="0" collapsed="false">
      <c r="A7686" s="3" t="s">
        <v>501</v>
      </c>
      <c r="C7686" s="21" t="n">
        <f aca="false">IF(C7634=0,0,C7682/C7634)</f>
        <v>0</v>
      </c>
    </row>
    <row r="7687" customFormat="false" ht="15" hidden="false" customHeight="false" outlineLevel="0" collapsed="false">
      <c r="A7687" s="2" t="s">
        <v>515</v>
      </c>
      <c r="C7687" s="16" t="n">
        <f aca="false">MAX(0,$C$7630-SUM($C$7644:$C$7646)-SUM($C$7652:$C$7654))</f>
        <v>0</v>
      </c>
    </row>
    <row r="7688" customFormat="false" ht="15" hidden="false" customHeight="false" outlineLevel="0" collapsed="false">
      <c r="A7688" s="3" t="s">
        <v>516</v>
      </c>
      <c r="C7688" s="25" t="n">
        <f aca="false">SUM($C$7672:$C$7674)+C7687+C7629-C7628</f>
        <v>0</v>
      </c>
    </row>
    <row r="7690" customFormat="false" ht="15" hidden="false" customHeight="false" outlineLevel="0" collapsed="false">
      <c r="A7690" s="23" t="s">
        <v>519</v>
      </c>
      <c r="B7690" s="24"/>
      <c r="C7690" s="24"/>
      <c r="D7690" s="24"/>
      <c r="E7690" s="24"/>
      <c r="F7690" s="24"/>
      <c r="G7690" s="24"/>
      <c r="H7690" s="24"/>
      <c r="I7690" s="24"/>
      <c r="J7690" s="24"/>
      <c r="K7690" s="24"/>
    </row>
    <row r="7691" customFormat="false" ht="15" hidden="false" customHeight="false" outlineLevel="0" collapsed="false">
      <c r="A7691" s="3" t="s">
        <v>520</v>
      </c>
      <c r="C7691" s="27" t="n">
        <f aca="false">Assumptions!$C$33</f>
        <v>1</v>
      </c>
    </row>
    <row r="7692" customFormat="false" ht="15" hidden="false" customHeight="false" outlineLevel="0" collapsed="false">
      <c r="A7692" s="3" t="s">
        <v>521</v>
      </c>
      <c r="C7692" s="29" t="n">
        <f aca="false">Assumptions!$C$34</f>
        <v>100</v>
      </c>
    </row>
    <row r="7693" customFormat="false" ht="15" hidden="false" customHeight="false" outlineLevel="0" collapsed="false">
      <c r="A7693" s="3" t="s">
        <v>522</v>
      </c>
      <c r="C7693" s="40" t="n">
        <f aca="false">Assumptions!$C$35</f>
        <v>95</v>
      </c>
    </row>
    <row r="7694" customFormat="false" ht="15" hidden="false" customHeight="false" outlineLevel="0" collapsed="false">
      <c r="A7694" s="3" t="s">
        <v>523</v>
      </c>
      <c r="C7694" s="25" t="n">
        <f aca="false">C7692*C7693/100*(1+Assumptions!$C$36)</f>
        <v>95</v>
      </c>
    </row>
    <row r="7695" customFormat="false" ht="15" hidden="false" customHeight="false" outlineLevel="0" collapsed="false">
      <c r="A7695" s="3" t="s">
        <v>524</v>
      </c>
      <c r="C7695" s="27" t="n">
        <f aca="false">Assumptions!$C$37</f>
        <v>3</v>
      </c>
    </row>
    <row r="7696" customFormat="false" ht="15" hidden="false" customHeight="false" outlineLevel="0" collapsed="false">
      <c r="A7696" s="3" t="s">
        <v>525</v>
      </c>
      <c r="C7696" s="20" t="n">
        <f aca="false">IF(C7621=1,SUMPRODUCT($G$7573:$K$7573,$G$7466:$K$7466),0)</f>
        <v>4</v>
      </c>
    </row>
    <row r="7697" customFormat="false" ht="15" hidden="false" customHeight="false" outlineLevel="0" collapsed="false">
      <c r="A7697" s="3" t="s">
        <v>526</v>
      </c>
      <c r="C7697" s="21" t="n">
        <f aca="false">IFERROR(C7692/CHOOSE(C7691,SUMPRODUCT($G$7620:$K$7620,$G$7512:$K$7512),SUMPRODUCT($G$7620:$K$7620,$G$7525:$K$7525),SUMPRODUCT($G$7620:$K$7620,$G$7538:$K$7538)),0)</f>
        <v>0.0760399605200525</v>
      </c>
    </row>
    <row r="7698" customFormat="false" ht="15" hidden="false" customHeight="false" outlineLevel="0" collapsed="false">
      <c r="A7698" s="3" t="s">
        <v>527</v>
      </c>
      <c r="C7698" s="25" t="n">
        <f aca="false">CHOOSE(C7691,C7672,C7673,C7674)*C7697</f>
        <v>45.6982598102955</v>
      </c>
    </row>
    <row r="7699" customFormat="false" ht="15" hidden="false" customHeight="false" outlineLevel="0" collapsed="false">
      <c r="A7699" s="3" t="s">
        <v>528</v>
      </c>
      <c r="C7699" s="21" t="n">
        <f aca="false">CHOOSE(C7691,C7676,C7677,C7678)</f>
        <v>0.4452936400516</v>
      </c>
    </row>
    <row r="7700" customFormat="false" ht="15" hidden="false" customHeight="false" outlineLevel="0" collapsed="false">
      <c r="A7700" s="3" t="s">
        <v>529</v>
      </c>
      <c r="C7700" s="20" t="n">
        <f aca="false">IF(C7621=1,C7696,C7695)</f>
        <v>4</v>
      </c>
    </row>
    <row r="7701" customFormat="false" ht="15" hidden="false" customHeight="false" outlineLevel="0" collapsed="false">
      <c r="A7701" s="3" t="s">
        <v>530</v>
      </c>
      <c r="C7701" s="34" t="n">
        <f aca="false">CHOOSE($C$7458,Assumptions!$C$83,Assumptions!$C$102,Assumptions!$C$121)</f>
        <v>95</v>
      </c>
    </row>
    <row r="7702" customFormat="false" ht="15" hidden="false" customHeight="false" outlineLevel="0" collapsed="false">
      <c r="A7702" s="3" t="s">
        <v>531</v>
      </c>
      <c r="C7702" s="25" t="n">
        <f aca="false">INDEX($G$7475:$K$7475,C7695)*CHOOSE($C$7458,Assumptions!$C$82,Assumptions!$C$101,Assumptions!$C$120)+MAX(0,INDEX($G$7570:$K$7570,C7695))</f>
        <v>690.084404723968</v>
      </c>
    </row>
    <row r="7703" customFormat="false" ht="15" hidden="false" customHeight="false" outlineLevel="0" collapsed="false">
      <c r="A7703" s="23" t="s">
        <v>532</v>
      </c>
      <c r="B7703" s="24"/>
      <c r="C7703" s="24"/>
      <c r="D7703" s="24"/>
      <c r="E7703" s="24"/>
      <c r="F7703" s="24"/>
      <c r="G7703" s="24"/>
      <c r="H7703" s="24"/>
      <c r="I7703" s="24"/>
      <c r="J7703" s="24"/>
      <c r="K7703" s="24"/>
    </row>
    <row r="7704" customFormat="false" ht="15" hidden="false" customHeight="false" outlineLevel="0" collapsed="false">
      <c r="A7704" s="3" t="s">
        <v>499</v>
      </c>
      <c r="C7704" s="25" t="n">
        <f aca="false">INDEX($G$7512:$K$7512,C7695)</f>
        <v>1315.098</v>
      </c>
    </row>
    <row r="7705" customFormat="false" ht="15" hidden="false" customHeight="false" outlineLevel="0" collapsed="false">
      <c r="A7705" s="3" t="s">
        <v>500</v>
      </c>
      <c r="C7705" s="25" t="n">
        <f aca="false">INDEX($G$7525:$K$7525,C7695)</f>
        <v>0</v>
      </c>
    </row>
    <row r="7706" customFormat="false" ht="15" hidden="false" customHeight="false" outlineLevel="0" collapsed="false">
      <c r="A7706" s="3" t="s">
        <v>501</v>
      </c>
      <c r="C7706" s="25" t="n">
        <f aca="false">INDEX($G$7538:$K$7538,C7695)</f>
        <v>0</v>
      </c>
    </row>
    <row r="7707" customFormat="false" ht="15" hidden="false" customHeight="false" outlineLevel="0" collapsed="false">
      <c r="A7707" s="23" t="s">
        <v>502</v>
      </c>
      <c r="B7707" s="24"/>
      <c r="C7707" s="24"/>
      <c r="D7707" s="24"/>
      <c r="E7707" s="24"/>
      <c r="F7707" s="24"/>
      <c r="G7707" s="24"/>
      <c r="H7707" s="24"/>
      <c r="I7707" s="24"/>
      <c r="J7707" s="24"/>
      <c r="K7707" s="24"/>
    </row>
    <row r="7708" customFormat="false" ht="15" hidden="false" customHeight="false" outlineLevel="0" collapsed="false">
      <c r="A7708" s="3" t="s">
        <v>499</v>
      </c>
      <c r="C7708" s="27" t="n">
        <f aca="false">Assumptions!$M$56</f>
        <v>1</v>
      </c>
    </row>
    <row r="7709" customFormat="false" ht="15" hidden="false" customHeight="false" outlineLevel="0" collapsed="false">
      <c r="A7709" s="3" t="s">
        <v>500</v>
      </c>
      <c r="C7709" s="27" t="n">
        <f aca="false">Assumptions!$M$57</f>
        <v>2</v>
      </c>
    </row>
    <row r="7710" customFormat="false" ht="15" hidden="false" customHeight="false" outlineLevel="0" collapsed="false">
      <c r="A7710" s="3" t="s">
        <v>501</v>
      </c>
      <c r="C7710" s="27" t="n">
        <f aca="false">Assumptions!$M$58</f>
        <v>2</v>
      </c>
    </row>
    <row r="7711" customFormat="false" ht="15" hidden="false" customHeight="false" outlineLevel="0" collapsed="false">
      <c r="A7711" s="23" t="s">
        <v>503</v>
      </c>
      <c r="B7711" s="24"/>
      <c r="C7711" s="24"/>
      <c r="D7711" s="24"/>
      <c r="E7711" s="24"/>
      <c r="F7711" s="24"/>
      <c r="G7711" s="24"/>
      <c r="H7711" s="24"/>
      <c r="I7711" s="24"/>
      <c r="J7711" s="24"/>
      <c r="K7711" s="24"/>
    </row>
    <row r="7712" customFormat="false" ht="15" hidden="false" customHeight="false" outlineLevel="0" collapsed="false">
      <c r="A7712" s="3" t="s">
        <v>499</v>
      </c>
      <c r="C7712" s="35" t="n">
        <f aca="false">Assumptions!$Q$56</f>
        <v>0</v>
      </c>
    </row>
    <row r="7713" customFormat="false" ht="15" hidden="false" customHeight="false" outlineLevel="0" collapsed="false">
      <c r="A7713" s="3" t="s">
        <v>500</v>
      </c>
      <c r="C7713" s="35" t="n">
        <f aca="false">Assumptions!$Q$57</f>
        <v>0</v>
      </c>
    </row>
    <row r="7714" customFormat="false" ht="15" hidden="false" customHeight="false" outlineLevel="0" collapsed="false">
      <c r="A7714" s="3" t="s">
        <v>501</v>
      </c>
      <c r="C7714" s="35" t="n">
        <f aca="false">Assumptions!$Q$58</f>
        <v>0</v>
      </c>
    </row>
    <row r="7715" customFormat="false" ht="15" hidden="false" customHeight="false" outlineLevel="0" collapsed="false">
      <c r="A7715" s="23" t="s">
        <v>504</v>
      </c>
      <c r="B7715" s="24"/>
      <c r="C7715" s="24"/>
      <c r="D7715" s="24"/>
      <c r="E7715" s="24"/>
      <c r="F7715" s="24"/>
      <c r="G7715" s="24"/>
      <c r="H7715" s="24"/>
      <c r="I7715" s="24"/>
      <c r="J7715" s="24"/>
      <c r="K7715" s="24"/>
    </row>
    <row r="7716" customFormat="false" ht="15" hidden="false" customHeight="false" outlineLevel="0" collapsed="false">
      <c r="A7716" s="3" t="s">
        <v>499</v>
      </c>
      <c r="C7716" s="25" t="n">
        <f aca="false">IF(C7712&gt;0,MIN(C7704,C7712*$C$7702),0)</f>
        <v>0</v>
      </c>
    </row>
    <row r="7717" customFormat="false" ht="15" hidden="false" customHeight="false" outlineLevel="0" collapsed="false">
      <c r="A7717" s="3" t="s">
        <v>500</v>
      </c>
      <c r="C7717" s="25" t="n">
        <f aca="false">IF(C7713&gt;0,MIN(C7705,C7713*$C$7702),0)</f>
        <v>0</v>
      </c>
    </row>
    <row r="7718" customFormat="false" ht="15" hidden="false" customHeight="false" outlineLevel="0" collapsed="false">
      <c r="A7718" s="3" t="s">
        <v>501</v>
      </c>
      <c r="C7718" s="25" t="n">
        <f aca="false">IF(C7714&gt;0,MIN(C7706,C7714*$C$7702),0)</f>
        <v>0</v>
      </c>
    </row>
    <row r="7719" customFormat="false" ht="15" hidden="false" customHeight="false" outlineLevel="0" collapsed="false">
      <c r="A7719" s="23" t="s">
        <v>505</v>
      </c>
      <c r="B7719" s="24"/>
      <c r="C7719" s="24"/>
      <c r="D7719" s="24"/>
      <c r="E7719" s="24"/>
      <c r="F7719" s="24"/>
      <c r="G7719" s="24"/>
      <c r="H7719" s="24"/>
      <c r="I7719" s="24"/>
      <c r="J7719" s="24"/>
      <c r="K7719" s="24"/>
    </row>
    <row r="7720" customFormat="false" ht="15" hidden="false" customHeight="false" outlineLevel="0" collapsed="false">
      <c r="A7720" s="3" t="s">
        <v>499</v>
      </c>
      <c r="C7720" s="25" t="n">
        <f aca="false">IF(C7712&gt;0,C7704-C7716,0)</f>
        <v>0</v>
      </c>
    </row>
    <row r="7721" customFormat="false" ht="15" hidden="false" customHeight="false" outlineLevel="0" collapsed="false">
      <c r="A7721" s="3" t="s">
        <v>500</v>
      </c>
      <c r="C7721" s="25" t="n">
        <f aca="false">IF(C7713&gt;0,C7705-C7717,0)</f>
        <v>0</v>
      </c>
    </row>
    <row r="7722" customFormat="false" ht="15" hidden="false" customHeight="false" outlineLevel="0" collapsed="false">
      <c r="A7722" s="3" t="s">
        <v>501</v>
      </c>
      <c r="C7722" s="25" t="n">
        <f aca="false">IF(C7714&gt;0,C7706-C7718,0)</f>
        <v>0</v>
      </c>
    </row>
    <row r="7723" customFormat="false" ht="15" hidden="false" customHeight="false" outlineLevel="0" collapsed="false">
      <c r="A7723" s="23" t="s">
        <v>506</v>
      </c>
      <c r="B7723" s="24"/>
      <c r="C7723" s="24"/>
      <c r="D7723" s="24"/>
      <c r="E7723" s="24"/>
      <c r="F7723" s="24"/>
      <c r="G7723" s="24"/>
      <c r="H7723" s="24"/>
      <c r="I7723" s="24"/>
      <c r="J7723" s="24"/>
      <c r="K7723" s="24"/>
    </row>
    <row r="7724" customFormat="false" ht="15" hidden="false" customHeight="false" outlineLevel="0" collapsed="false">
      <c r="A7724" s="3" t="s">
        <v>499</v>
      </c>
      <c r="C7724" s="25" t="n">
        <f aca="false">IF(C7712&gt;0,C7720,C7704)</f>
        <v>1315.098</v>
      </c>
    </row>
    <row r="7725" customFormat="false" ht="15" hidden="false" customHeight="false" outlineLevel="0" collapsed="false">
      <c r="A7725" s="3" t="s">
        <v>500</v>
      </c>
      <c r="C7725" s="25" t="n">
        <f aca="false">IF(C7713&gt;0,C7721,C7705)</f>
        <v>0</v>
      </c>
    </row>
    <row r="7726" customFormat="false" ht="15" hidden="false" customHeight="false" outlineLevel="0" collapsed="false">
      <c r="A7726" s="3" t="s">
        <v>501</v>
      </c>
      <c r="C7726" s="25" t="n">
        <f aca="false">IF(C7714&gt;0,C7722,C7706)</f>
        <v>0</v>
      </c>
    </row>
    <row r="7727" customFormat="false" ht="15" hidden="false" customHeight="false" outlineLevel="0" collapsed="false">
      <c r="A7727" s="23" t="s">
        <v>507</v>
      </c>
      <c r="B7727" s="24"/>
      <c r="C7727" s="24"/>
      <c r="D7727" s="24"/>
      <c r="E7727" s="24"/>
      <c r="F7727" s="24"/>
      <c r="G7727" s="24"/>
      <c r="H7727" s="24"/>
      <c r="I7727" s="24"/>
      <c r="J7727" s="24"/>
      <c r="K7727" s="24"/>
    </row>
    <row r="7728" customFormat="false" ht="15" hidden="false" customHeight="false" outlineLevel="0" collapsed="false">
      <c r="A7728" s="3" t="s">
        <v>499</v>
      </c>
      <c r="C7728" s="20" t="n">
        <f aca="false">IF(C7712&gt;0,Assumptions!$C$17,C7708)</f>
        <v>1</v>
      </c>
    </row>
    <row r="7729" customFormat="false" ht="15" hidden="false" customHeight="false" outlineLevel="0" collapsed="false">
      <c r="A7729" s="3" t="s">
        <v>500</v>
      </c>
      <c r="C7729" s="20" t="n">
        <f aca="false">IF(C7713&gt;0,Assumptions!$C$17,C7709)</f>
        <v>2</v>
      </c>
    </row>
    <row r="7730" customFormat="false" ht="15" hidden="false" customHeight="false" outlineLevel="0" collapsed="false">
      <c r="A7730" s="3" t="s">
        <v>501</v>
      </c>
      <c r="C7730" s="20" t="n">
        <f aca="false">IF(C7714&gt;0,Assumptions!$C$17,C7710)</f>
        <v>2</v>
      </c>
    </row>
    <row r="7731" customFormat="false" ht="15" hidden="false" customHeight="false" outlineLevel="0" collapsed="false">
      <c r="A7731" s="23" t="s">
        <v>508</v>
      </c>
      <c r="B7731" s="24"/>
      <c r="C7731" s="24"/>
      <c r="D7731" s="24"/>
      <c r="E7731" s="24"/>
      <c r="F7731" s="24"/>
      <c r="G7731" s="24"/>
      <c r="H7731" s="24"/>
      <c r="I7731" s="24"/>
      <c r="J7731" s="24"/>
      <c r="K7731" s="24"/>
    </row>
    <row r="7732" customFormat="false" ht="15" hidden="false" customHeight="false" outlineLevel="0" collapsed="false">
      <c r="A7732" s="3" t="s">
        <v>499</v>
      </c>
      <c r="C7732" s="25" t="n">
        <f aca="false">SUMPRODUCT(($C$7728:$C$7730&lt;C7728)*$C$7724:$C$7726)</f>
        <v>0</v>
      </c>
    </row>
    <row r="7733" customFormat="false" ht="15" hidden="false" customHeight="false" outlineLevel="0" collapsed="false">
      <c r="A7733" s="3" t="s">
        <v>500</v>
      </c>
      <c r="C7733" s="25" t="n">
        <f aca="false">SUMPRODUCT(($C$7728:$C$7730&lt;C7729)*$C$7724:$C$7726)</f>
        <v>1315.098</v>
      </c>
    </row>
    <row r="7734" customFormat="false" ht="15" hidden="false" customHeight="false" outlineLevel="0" collapsed="false">
      <c r="A7734" s="3" t="s">
        <v>501</v>
      </c>
      <c r="C7734" s="25" t="n">
        <f aca="false">SUMPRODUCT(($C$7728:$C$7730&lt;C7730)*$C$7724:$C$7726)</f>
        <v>1315.098</v>
      </c>
    </row>
    <row r="7735" customFormat="false" ht="15" hidden="false" customHeight="false" outlineLevel="0" collapsed="false">
      <c r="A7735" s="23" t="s">
        <v>509</v>
      </c>
      <c r="B7735" s="24"/>
      <c r="C7735" s="24"/>
      <c r="D7735" s="24"/>
      <c r="E7735" s="24"/>
      <c r="F7735" s="24"/>
      <c r="G7735" s="24"/>
      <c r="H7735" s="24"/>
      <c r="I7735" s="24"/>
      <c r="J7735" s="24"/>
      <c r="K7735" s="24"/>
    </row>
    <row r="7736" customFormat="false" ht="15" hidden="false" customHeight="false" outlineLevel="0" collapsed="false">
      <c r="A7736" s="3" t="s">
        <v>499</v>
      </c>
      <c r="C7736" s="25" t="n">
        <f aca="false">SUMPRODUCT(($C$7728:$C$7730=C7728)*$C$7724:$C$7726)</f>
        <v>1315.098</v>
      </c>
    </row>
    <row r="7737" customFormat="false" ht="15" hidden="false" customHeight="false" outlineLevel="0" collapsed="false">
      <c r="A7737" s="3" t="s">
        <v>500</v>
      </c>
      <c r="C7737" s="25" t="n">
        <f aca="false">SUMPRODUCT(($C$7728:$C$7730=C7729)*$C$7724:$C$7726)</f>
        <v>0</v>
      </c>
    </row>
    <row r="7738" customFormat="false" ht="15" hidden="false" customHeight="false" outlineLevel="0" collapsed="false">
      <c r="A7738" s="3" t="s">
        <v>501</v>
      </c>
      <c r="C7738" s="25" t="n">
        <f aca="false">SUMPRODUCT(($C$7728:$C$7730=C7730)*$C$7724:$C$7726)</f>
        <v>0</v>
      </c>
    </row>
    <row r="7739" customFormat="false" ht="15" hidden="false" customHeight="false" outlineLevel="0" collapsed="false">
      <c r="A7739" s="23" t="s">
        <v>510</v>
      </c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</row>
    <row r="7740" customFormat="false" ht="15" hidden="false" customHeight="false" outlineLevel="0" collapsed="false">
      <c r="A7740" s="3" t="s">
        <v>499</v>
      </c>
      <c r="C7740" s="25" t="n">
        <f aca="false">IF(C7736=0,0,C7724/C7736*MAX(0,MIN(C7736,$C$7702-SUM($C$7716:$C$7718)-C7732)))</f>
        <v>690.084404723968</v>
      </c>
    </row>
    <row r="7741" customFormat="false" ht="15" hidden="false" customHeight="false" outlineLevel="0" collapsed="false">
      <c r="A7741" s="3" t="s">
        <v>500</v>
      </c>
      <c r="C7741" s="25" t="n">
        <f aca="false">IF(C7737=0,0,C7725/C7737*MAX(0,MIN(C7737,$C$7702-SUM($C$7716:$C$7718)-C7733)))</f>
        <v>0</v>
      </c>
    </row>
    <row r="7742" customFormat="false" ht="15" hidden="false" customHeight="false" outlineLevel="0" collapsed="false">
      <c r="A7742" s="3" t="s">
        <v>501</v>
      </c>
      <c r="C7742" s="25" t="n">
        <f aca="false">IF(C7738=0,0,C7726/C7738*MAX(0,MIN(C7738,$C$7702-SUM($C$7716:$C$7718)-C7734)))</f>
        <v>0</v>
      </c>
    </row>
    <row r="7743" customFormat="false" ht="15" hidden="false" customHeight="false" outlineLevel="0" collapsed="false">
      <c r="A7743" s="23" t="s">
        <v>511</v>
      </c>
      <c r="B7743" s="24"/>
      <c r="C7743" s="24"/>
      <c r="D7743" s="24"/>
      <c r="E7743" s="24"/>
      <c r="F7743" s="24"/>
      <c r="G7743" s="24"/>
      <c r="H7743" s="24"/>
      <c r="I7743" s="24"/>
      <c r="J7743" s="24"/>
      <c r="K7743" s="24"/>
    </row>
    <row r="7744" customFormat="false" ht="15" hidden="false" customHeight="false" outlineLevel="0" collapsed="false">
      <c r="A7744" s="2" t="s">
        <v>499</v>
      </c>
      <c r="C7744" s="16" t="n">
        <f aca="false">C7716+C7740</f>
        <v>690.084404723968</v>
      </c>
    </row>
    <row r="7745" customFormat="false" ht="15" hidden="false" customHeight="false" outlineLevel="0" collapsed="false">
      <c r="A7745" s="2" t="s">
        <v>500</v>
      </c>
      <c r="C7745" s="16" t="n">
        <f aca="false">C7717+C7741</f>
        <v>0</v>
      </c>
    </row>
    <row r="7746" customFormat="false" ht="15" hidden="false" customHeight="false" outlineLevel="0" collapsed="false">
      <c r="A7746" s="2" t="s">
        <v>501</v>
      </c>
      <c r="C7746" s="16" t="n">
        <f aca="false">C7718+C7742</f>
        <v>0</v>
      </c>
    </row>
    <row r="7747" customFormat="false" ht="15" hidden="false" customHeight="false" outlineLevel="0" collapsed="false">
      <c r="A7747" s="23" t="s">
        <v>512</v>
      </c>
      <c r="B7747" s="24"/>
      <c r="C7747" s="24"/>
      <c r="D7747" s="24"/>
      <c r="E7747" s="24"/>
      <c r="F7747" s="24"/>
      <c r="G7747" s="24"/>
      <c r="H7747" s="24"/>
      <c r="I7747" s="24"/>
      <c r="J7747" s="24"/>
      <c r="K7747" s="24"/>
    </row>
    <row r="7748" customFormat="false" ht="15" hidden="false" customHeight="false" outlineLevel="0" collapsed="false">
      <c r="A7748" s="3" t="s">
        <v>499</v>
      </c>
      <c r="C7748" s="21" t="n">
        <f aca="false">IF(C7704=0,1,C7744/C7704)</f>
        <v>0.524739908907145</v>
      </c>
    </row>
    <row r="7749" customFormat="false" ht="15" hidden="false" customHeight="false" outlineLevel="0" collapsed="false">
      <c r="A7749" s="3" t="s">
        <v>500</v>
      </c>
      <c r="C7749" s="21" t="n">
        <f aca="false">IF(C7705=0,1,C7745/C7705)</f>
        <v>1</v>
      </c>
    </row>
    <row r="7750" customFormat="false" ht="15" hidden="false" customHeight="false" outlineLevel="0" collapsed="false">
      <c r="A7750" s="3" t="s">
        <v>501</v>
      </c>
      <c r="C7750" s="21" t="n">
        <f aca="false">IF(C7706=0,1,C7746/C7706)</f>
        <v>1</v>
      </c>
    </row>
    <row r="7751" customFormat="false" ht="15" hidden="false" customHeight="false" outlineLevel="0" collapsed="false">
      <c r="A7751" s="23" t="s">
        <v>513</v>
      </c>
      <c r="B7751" s="24"/>
      <c r="C7751" s="24"/>
      <c r="D7751" s="24"/>
      <c r="E7751" s="24"/>
      <c r="F7751" s="24"/>
      <c r="G7751" s="24"/>
      <c r="H7751" s="24"/>
      <c r="I7751" s="24"/>
      <c r="J7751" s="24"/>
      <c r="K7751" s="24"/>
    </row>
    <row r="7752" customFormat="false" ht="15" hidden="false" customHeight="false" outlineLevel="0" collapsed="false">
      <c r="A7752" s="3" t="s">
        <v>499</v>
      </c>
      <c r="C7752" s="25" t="n">
        <f aca="false">C7704-C7744</f>
        <v>625.013595276032</v>
      </c>
    </row>
    <row r="7753" customFormat="false" ht="15" hidden="false" customHeight="false" outlineLevel="0" collapsed="false">
      <c r="A7753" s="3" t="s">
        <v>500</v>
      </c>
      <c r="C7753" s="25" t="n">
        <f aca="false">C7705-C7745</f>
        <v>0</v>
      </c>
    </row>
    <row r="7754" customFormat="false" ht="15" hidden="false" customHeight="false" outlineLevel="0" collapsed="false">
      <c r="A7754" s="3" t="s">
        <v>501</v>
      </c>
      <c r="C7754" s="25" t="n">
        <f aca="false">C7706-C7746</f>
        <v>0</v>
      </c>
    </row>
    <row r="7755" customFormat="false" ht="15" hidden="false" customHeight="false" outlineLevel="0" collapsed="false">
      <c r="A7755" s="23" t="s">
        <v>514</v>
      </c>
      <c r="B7755" s="24"/>
      <c r="C7755" s="24"/>
      <c r="D7755" s="24"/>
      <c r="E7755" s="24"/>
      <c r="F7755" s="24"/>
      <c r="G7755" s="24"/>
      <c r="H7755" s="24"/>
      <c r="I7755" s="24"/>
      <c r="J7755" s="24"/>
      <c r="K7755" s="24"/>
    </row>
    <row r="7756" customFormat="false" ht="15" hidden="false" customHeight="false" outlineLevel="0" collapsed="false">
      <c r="A7756" s="3" t="s">
        <v>499</v>
      </c>
      <c r="C7756" s="21" t="n">
        <f aca="false">IF(C7704=0,0,C7752/C7704)</f>
        <v>0.475260091092856</v>
      </c>
    </row>
    <row r="7757" customFormat="false" ht="15" hidden="false" customHeight="false" outlineLevel="0" collapsed="false">
      <c r="A7757" s="3" t="s">
        <v>500</v>
      </c>
      <c r="C7757" s="21" t="n">
        <f aca="false">IF(C7705=0,0,C7753/C7705)</f>
        <v>0</v>
      </c>
    </row>
    <row r="7758" customFormat="false" ht="15" hidden="false" customHeight="false" outlineLevel="0" collapsed="false">
      <c r="A7758" s="3" t="s">
        <v>501</v>
      </c>
      <c r="C7758" s="21" t="n">
        <f aca="false">IF(C7706=0,0,C7754/C7706)</f>
        <v>0</v>
      </c>
    </row>
    <row r="7759" customFormat="false" ht="15" hidden="false" customHeight="false" outlineLevel="0" collapsed="false">
      <c r="A7759" s="2" t="s">
        <v>515</v>
      </c>
      <c r="C7759" s="16" t="n">
        <f aca="false">MAX(0,$C$7702-SUM($C$7716:$C$7718)-SUM($C$7724:$C$7726))</f>
        <v>0</v>
      </c>
    </row>
    <row r="7760" customFormat="false" ht="15" hidden="false" customHeight="false" outlineLevel="0" collapsed="false">
      <c r="A7760" s="3" t="s">
        <v>533</v>
      </c>
      <c r="C7760" s="34" t="n">
        <f aca="false">MIN(C7701,100*CHOOSE(C7691,C7748,C7749,C7750))</f>
        <v>52.4739908907145</v>
      </c>
    </row>
    <row r="7761" customFormat="false" ht="15" hidden="false" customHeight="false" outlineLevel="0" collapsed="false">
      <c r="A7761" s="3" t="s">
        <v>534</v>
      </c>
      <c r="C7761" s="20" t="n">
        <f aca="false">IF(C7621=1,C7696+Assumptions!$C$39,C7695)</f>
        <v>5</v>
      </c>
    </row>
    <row r="7762" customFormat="false" ht="15" hidden="false" customHeight="false" outlineLevel="0" collapsed="false">
      <c r="A7762" s="23" t="s">
        <v>535</v>
      </c>
      <c r="B7762" s="24"/>
      <c r="C7762" s="24"/>
      <c r="D7762" s="24"/>
      <c r="E7762" s="24"/>
      <c r="F7762" s="24"/>
      <c r="G7762" s="24"/>
      <c r="H7762" s="24"/>
      <c r="I7762" s="24"/>
      <c r="J7762" s="24"/>
      <c r="K7762" s="24"/>
    </row>
    <row r="7763" customFormat="false" ht="15" hidden="false" customHeight="false" outlineLevel="0" collapsed="false">
      <c r="A7763" s="3" t="s">
        <v>536</v>
      </c>
      <c r="C7763" s="20" t="n">
        <f aca="false">COLUMN()-COLUMN($C$1)</f>
        <v>0</v>
      </c>
      <c r="D7763" s="20" t="n">
        <f aca="false">COLUMN()-COLUMN($C$1)</f>
        <v>1</v>
      </c>
      <c r="E7763" s="20" t="n">
        <f aca="false">COLUMN()-COLUMN($C$1)</f>
        <v>2</v>
      </c>
      <c r="F7763" s="20" t="n">
        <f aca="false">COLUMN()-COLUMN($C$1)</f>
        <v>3</v>
      </c>
      <c r="G7763" s="20" t="n">
        <f aca="false">COLUMN()-COLUMN($C$1)</f>
        <v>4</v>
      </c>
      <c r="H7763" s="20" t="n">
        <f aca="false">COLUMN()-COLUMN($C$1)</f>
        <v>5</v>
      </c>
      <c r="I7763" s="20" t="n">
        <f aca="false">COLUMN()-COLUMN($C$1)</f>
        <v>6</v>
      </c>
    </row>
    <row r="7764" customFormat="false" ht="15" hidden="false" customHeight="false" outlineLevel="0" collapsed="false">
      <c r="A7764" s="3" t="s">
        <v>537</v>
      </c>
      <c r="D7764" s="31" t="n">
        <f aca="false">CHOOSE($C$7691,G7504,G7517,G7530)</f>
        <v>0.105</v>
      </c>
      <c r="E7764" s="31" t="n">
        <f aca="false">CHOOSE($C$7691,H7504,H7517,H7530)</f>
        <v>0.105</v>
      </c>
      <c r="F7764" s="31" t="n">
        <f aca="false">CHOOSE($C$7691,I7504,I7517,I7530)</f>
        <v>0.105</v>
      </c>
      <c r="G7764" s="31" t="n">
        <f aca="false">CHOOSE($C$7691,J7504,J7517,J7530)</f>
        <v>0.105</v>
      </c>
      <c r="H7764" s="31" t="n">
        <f aca="false">CHOOSE($C$7691,K7504,K7517,K7530)</f>
        <v>0.105</v>
      </c>
    </row>
    <row r="7765" customFormat="false" ht="15" hidden="false" customHeight="false" outlineLevel="0" collapsed="false">
      <c r="A7765" s="3" t="s">
        <v>538</v>
      </c>
      <c r="D7765" s="25" t="n">
        <f aca="false">IF(D7763&lt;=$C$7700,$C$7692*D7764,0)</f>
        <v>10.5</v>
      </c>
      <c r="E7765" s="25" t="n">
        <f aca="false">IF(E7763&lt;=$C$7700,$C$7692*E7764,0)</f>
        <v>10.5</v>
      </c>
      <c r="F7765" s="25" t="n">
        <f aca="false">IF(F7763&lt;=$C$7700,$C$7692*F7764,0)</f>
        <v>10.5</v>
      </c>
      <c r="G7765" s="25" t="n">
        <f aca="false">IF(G7763&lt;=$C$7700,$C$7692*G7764,0)</f>
        <v>10.5</v>
      </c>
      <c r="H7765" s="25" t="n">
        <f aca="false">IF(H7763&lt;=$C$7700,$C$7692*H7764,0)</f>
        <v>0</v>
      </c>
    </row>
    <row r="7766" customFormat="false" ht="15" hidden="false" customHeight="false" outlineLevel="0" collapsed="false">
      <c r="A7766" s="3" t="s">
        <v>539</v>
      </c>
      <c r="D7766" s="25" t="n">
        <f aca="false">IF(AND($C$7621=0,D7763=$C$7695),$C$7692*$C$7760/100,0)+IF(AND($C$7621=1,D7763=$C$7761),$C$7698,0)</f>
        <v>0</v>
      </c>
      <c r="E7766" s="25" t="n">
        <f aca="false">IF(AND($C$7621=0,E7763=$C$7695),$C$7692*$C$7760/100,0)+IF(AND($C$7621=1,E7763=$C$7761),$C$7698,0)</f>
        <v>0</v>
      </c>
      <c r="F7766" s="25" t="n">
        <f aca="false">IF(AND($C$7621=0,F7763=$C$7695),$C$7692*$C$7760/100,0)+IF(AND($C$7621=1,F7763=$C$7761),$C$7698,0)</f>
        <v>0</v>
      </c>
      <c r="G7766" s="25" t="n">
        <f aca="false">IF(AND($C$7621=0,G7763=$C$7695),$C$7692*$C$7760/100,0)+IF(AND($C$7621=1,G7763=$C$7761),$C$7698,0)</f>
        <v>0</v>
      </c>
      <c r="H7766" s="25" t="n">
        <f aca="false">IF(AND($C$7621=0,H7763=$C$7695),$C$7692*$C$7760/100,0)+IF(AND($C$7621=1,H7763=$C$7761),$C$7698,0)</f>
        <v>45.6982598102955</v>
      </c>
      <c r="I7766" s="25" t="n">
        <f aca="false">IF(AND($C$7621=0,I7763=$C$7695),$C$7692*$C$7760/100,0)+IF(AND($C$7621=1,I7763=$C$7761),$C$7698,0)</f>
        <v>0</v>
      </c>
    </row>
    <row r="7767" customFormat="false" ht="15" hidden="false" customHeight="false" outlineLevel="0" collapsed="false">
      <c r="A7767" s="2" t="s">
        <v>540</v>
      </c>
      <c r="C7767" s="16" t="n">
        <f aca="false">-$C$7694</f>
        <v>-95</v>
      </c>
      <c r="D7767" s="16" t="n">
        <f aca="false">D7765+D7766</f>
        <v>10.5</v>
      </c>
      <c r="E7767" s="16" t="n">
        <f aca="false">E7765+E7766</f>
        <v>10.5</v>
      </c>
      <c r="F7767" s="16" t="n">
        <f aca="false">F7765+F7766</f>
        <v>10.5</v>
      </c>
      <c r="G7767" s="16" t="n">
        <f aca="false">G7765+G7766</f>
        <v>10.5</v>
      </c>
      <c r="H7767" s="16" t="n">
        <f aca="false">H7765+H7766</f>
        <v>45.6982598102955</v>
      </c>
      <c r="I7767" s="16" t="n">
        <f aca="false">I7765+I7766</f>
        <v>0</v>
      </c>
    </row>
    <row r="7768" customFormat="false" ht="15" hidden="false" customHeight="false" outlineLevel="0" collapsed="false">
      <c r="A7768" s="3" t="s">
        <v>541</v>
      </c>
      <c r="C7768" s="25" t="n">
        <f aca="false">SUM($C$7765:$I$7765)</f>
        <v>42</v>
      </c>
    </row>
    <row r="7769" customFormat="false" ht="15" hidden="false" customHeight="false" outlineLevel="0" collapsed="false">
      <c r="A7769" s="3" t="s">
        <v>542</v>
      </c>
      <c r="C7769" s="25" t="n">
        <f aca="false">SUM($C$7766:$I$7766)</f>
        <v>45.6982598102955</v>
      </c>
    </row>
    <row r="7770" customFormat="false" ht="15" hidden="false" customHeight="false" outlineLevel="0" collapsed="false">
      <c r="A7770" s="3" t="s">
        <v>543</v>
      </c>
      <c r="C7770" s="25" t="n">
        <f aca="false">C7768+C7769</f>
        <v>87.6982598102955</v>
      </c>
    </row>
    <row r="7771" customFormat="false" ht="15" hidden="false" customHeight="false" outlineLevel="0" collapsed="false">
      <c r="A7771" s="3" t="s">
        <v>544</v>
      </c>
      <c r="C7771" s="25" t="n">
        <f aca="false">C7769-C7692*C7693/100</f>
        <v>-49.3017401897045</v>
      </c>
    </row>
    <row r="7772" customFormat="false" ht="15" hidden="false" customHeight="false" outlineLevel="0" collapsed="false">
      <c r="A7772" s="3" t="s">
        <v>545</v>
      </c>
      <c r="C7772" s="25" t="n">
        <f aca="false">C7770-C7694</f>
        <v>-7.3017401897045</v>
      </c>
    </row>
    <row r="7773" customFormat="false" ht="15" hidden="false" customHeight="false" outlineLevel="0" collapsed="false">
      <c r="A7773" s="2" t="s">
        <v>427</v>
      </c>
      <c r="C7773" s="44" t="n">
        <f aca="false">C7770/C7694</f>
        <v>0.923139576950479</v>
      </c>
    </row>
    <row r="7774" customFormat="false" ht="15" hidden="false" customHeight="false" outlineLevel="0" collapsed="false">
      <c r="A7774" s="2" t="s">
        <v>426</v>
      </c>
      <c r="C7774" s="42" t="n">
        <f aca="false">IF(C7770&lt;=0,-1,IFERROR(IRR($C$7767:$I$7767,MAX(-0.9,C7773^(1/C7761)-1)),IRR($C$7767:$I$7767,0.1)))</f>
        <v>-0.0206908929736275</v>
      </c>
    </row>
    <row r="7775" customFormat="false" ht="15" hidden="false" customHeight="false" outlineLevel="0" collapsed="false">
      <c r="A7775" s="3" t="s">
        <v>546</v>
      </c>
      <c r="C7775" s="32" t="n">
        <f aca="false">MAX($G$7581:$K$7581)</f>
        <v>15.194936688697</v>
      </c>
    </row>
    <row r="7776" customFormat="false" ht="15" hidden="false" customHeight="false" outlineLevel="0" collapsed="false">
      <c r="A7776" s="3" t="s">
        <v>547</v>
      </c>
      <c r="C7776" s="32" t="n">
        <f aca="false">MIN($G$7582:$K$7582)</f>
        <v>0.671898257779116</v>
      </c>
    </row>
    <row r="7777" customFormat="false" ht="15" hidden="false" customHeight="false" outlineLevel="0" collapsed="false">
      <c r="A7777" s="3" t="s">
        <v>548</v>
      </c>
      <c r="C7777" s="25" t="n">
        <f aca="false">SUM($G$7488:$K$7488)</f>
        <v>-138.217069488954</v>
      </c>
    </row>
    <row r="7781" customFormat="false" ht="15" hidden="false" customHeight="false" outlineLevel="0" collapsed="false">
      <c r="A7781" s="9" t="s">
        <v>1038</v>
      </c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</row>
    <row r="7782" customFormat="false" ht="15" hidden="false" customHeight="false" outlineLevel="0" collapsed="false">
      <c r="A7782" s="3" t="s">
        <v>1010</v>
      </c>
      <c r="C7782" s="11" t="n">
        <v>2</v>
      </c>
    </row>
    <row r="7783" customFormat="false" ht="15" hidden="false" customHeight="false" outlineLevel="0" collapsed="false">
      <c r="A7783" s="3" t="s">
        <v>1011</v>
      </c>
      <c r="C7783" s="30" t="n">
        <f aca="false">Sensitivities!$A$41</f>
        <v>-0.05</v>
      </c>
    </row>
    <row r="7784" customFormat="false" ht="15" hidden="false" customHeight="false" outlineLevel="0" collapsed="false">
      <c r="A7784" s="3" t="s">
        <v>1012</v>
      </c>
      <c r="C7784" s="18" t="n">
        <v>0</v>
      </c>
    </row>
    <row r="7785" customFormat="false" ht="15" hidden="false" customHeight="false" outlineLevel="0" collapsed="false">
      <c r="A7785" s="3" t="s">
        <v>1013</v>
      </c>
      <c r="C7785" s="18" t="n">
        <v>0</v>
      </c>
    </row>
    <row r="7786" customFormat="false" ht="15" hidden="false" customHeight="false" outlineLevel="0" collapsed="false">
      <c r="A7786" s="3" t="s">
        <v>1014</v>
      </c>
      <c r="C7786" s="15" t="n">
        <v>0</v>
      </c>
    </row>
    <row r="7788" customFormat="false" ht="15" hidden="false" customHeight="false" outlineLevel="0" collapsed="false">
      <c r="A7788" s="23" t="s">
        <v>281</v>
      </c>
      <c r="B7788" s="24"/>
      <c r="C7788" s="24"/>
      <c r="D7788" s="24"/>
      <c r="E7788" s="24"/>
      <c r="F7788" s="24"/>
      <c r="G7788" s="24"/>
      <c r="H7788" s="24"/>
      <c r="I7788" s="24"/>
      <c r="J7788" s="24"/>
      <c r="K7788" s="24"/>
    </row>
    <row r="7789" customFormat="false" ht="15" hidden="false" customHeight="false" outlineLevel="0" collapsed="false">
      <c r="A7789" s="3" t="s">
        <v>282</v>
      </c>
      <c r="F7789" s="27" t="n">
        <f aca="false">Assumptions!$C$6</f>
        <v>2026</v>
      </c>
      <c r="G7789" s="20" t="n">
        <f aca="false">F7789+1</f>
        <v>2027</v>
      </c>
      <c r="H7789" s="20" t="n">
        <f aca="false">G7789+1</f>
        <v>2028</v>
      </c>
      <c r="I7789" s="20" t="n">
        <f aca="false">H7789+1</f>
        <v>2029</v>
      </c>
      <c r="J7789" s="20" t="n">
        <f aca="false">I7789+1</f>
        <v>2030</v>
      </c>
      <c r="K7789" s="20" t="n">
        <f aca="false">J7789+1</f>
        <v>2031</v>
      </c>
    </row>
    <row r="7790" customFormat="false" ht="15" hidden="false" customHeight="false" outlineLevel="0" collapsed="false">
      <c r="A7790" s="3" t="s">
        <v>283</v>
      </c>
      <c r="G7790" s="20" t="n">
        <f aca="false">G7789-Assumptions!$C$6</f>
        <v>1</v>
      </c>
      <c r="H7790" s="20" t="n">
        <f aca="false">H7789-Assumptions!$C$6</f>
        <v>2</v>
      </c>
      <c r="I7790" s="20" t="n">
        <f aca="false">I7789-Assumptions!$C$6</f>
        <v>3</v>
      </c>
      <c r="J7790" s="20" t="n">
        <f aca="false">J7789-Assumptions!$C$6</f>
        <v>4</v>
      </c>
      <c r="K7790" s="20" t="n">
        <f aca="false">K7789-Assumptions!$C$6</f>
        <v>5</v>
      </c>
    </row>
    <row r="7791" customFormat="false" ht="15" hidden="false" customHeight="false" outlineLevel="0" collapsed="false">
      <c r="A7791" s="3" t="s">
        <v>165</v>
      </c>
      <c r="G7791" s="21" t="n">
        <f aca="false">CHOOSE($C$7782,Assumptions!$G$71,Assumptions!$G$90,Assumptions!$G$109)+$C$7783</f>
        <v>-0.13</v>
      </c>
      <c r="H7791" s="21" t="n">
        <f aca="false">CHOOSE($C$7782,Assumptions!$H$71,Assumptions!$H$90,Assumptions!$H$109)+$C$7783</f>
        <v>-0.12</v>
      </c>
      <c r="I7791" s="21" t="n">
        <f aca="false">CHOOSE($C$7782,Assumptions!$I$71,Assumptions!$I$90,Assumptions!$I$109)+$C$7783</f>
        <v>-0.11</v>
      </c>
      <c r="J7791" s="21" t="n">
        <f aca="false">CHOOSE($C$7782,Assumptions!$J$71,Assumptions!$J$90,Assumptions!$J$109)+$C$7783</f>
        <v>-0.1</v>
      </c>
      <c r="K7791" s="21" t="n">
        <f aca="false">CHOOSE($C$7782,Assumptions!$K$71,Assumptions!$K$90,Assumptions!$K$109)+$C$7783</f>
        <v>-0.1</v>
      </c>
    </row>
    <row r="7792" customFormat="false" ht="15" hidden="false" customHeight="false" outlineLevel="0" collapsed="false">
      <c r="A7792" s="3" t="s">
        <v>166</v>
      </c>
      <c r="G7792" s="21" t="n">
        <f aca="false">CHOOSE($C$7782,Assumptions!$G$72,Assumptions!$G$91,Assumptions!$G$110)</f>
        <v>0.463246670103635</v>
      </c>
      <c r="H7792" s="21" t="n">
        <f aca="false">CHOOSE($C$7782,Assumptions!$H$72,Assumptions!$H$91,Assumptions!$H$110)</f>
        <v>0.453246670103635</v>
      </c>
      <c r="I7792" s="21" t="n">
        <f aca="false">CHOOSE($C$7782,Assumptions!$I$72,Assumptions!$I$91,Assumptions!$I$110)</f>
        <v>0.448246670103634</v>
      </c>
      <c r="J7792" s="21" t="n">
        <f aca="false">CHOOSE($C$7782,Assumptions!$J$72,Assumptions!$J$91,Assumptions!$J$110)</f>
        <v>0.443246670103635</v>
      </c>
      <c r="K7792" s="21" t="n">
        <f aca="false">CHOOSE($C$7782,Assumptions!$K$72,Assumptions!$K$91,Assumptions!$K$110)</f>
        <v>0.443246670103635</v>
      </c>
    </row>
    <row r="7793" customFormat="false" ht="15" hidden="false" customHeight="false" outlineLevel="0" collapsed="false">
      <c r="A7793" s="3" t="s">
        <v>167</v>
      </c>
      <c r="G7793" s="21" t="n">
        <f aca="false">CHOOSE($C$7782,Assumptions!$G$73,Assumptions!$G$92,Assumptions!$G$111)+$C$7784</f>
        <v>0.12</v>
      </c>
      <c r="H7793" s="21" t="n">
        <f aca="false">CHOOSE($C$7782,Assumptions!$H$73,Assumptions!$H$92,Assumptions!$H$111)+$C$7784</f>
        <v>0.11</v>
      </c>
      <c r="I7793" s="21" t="n">
        <f aca="false">CHOOSE($C$7782,Assumptions!$I$73,Assumptions!$I$92,Assumptions!$I$111)+$C$7784</f>
        <v>0.105</v>
      </c>
      <c r="J7793" s="21" t="n">
        <f aca="false">CHOOSE($C$7782,Assumptions!$J$73,Assumptions!$J$92,Assumptions!$J$111)+$C$7784</f>
        <v>0.1</v>
      </c>
      <c r="K7793" s="21" t="n">
        <f aca="false">CHOOSE($C$7782,Assumptions!$K$73,Assumptions!$K$92,Assumptions!$K$111)+$C$7784</f>
        <v>0.1</v>
      </c>
    </row>
    <row r="7794" customFormat="false" ht="15" hidden="false" customHeight="false" outlineLevel="0" collapsed="false">
      <c r="A7794" s="23" t="s">
        <v>284</v>
      </c>
      <c r="B7794" s="24"/>
      <c r="C7794" s="24"/>
      <c r="D7794" s="24"/>
      <c r="E7794" s="24"/>
      <c r="F7794" s="24"/>
      <c r="G7794" s="24"/>
      <c r="H7794" s="24"/>
      <c r="I7794" s="24"/>
      <c r="J7794" s="24"/>
      <c r="K7794" s="24"/>
    </row>
    <row r="7795" customFormat="false" ht="15" hidden="false" customHeight="false" outlineLevel="0" collapsed="false">
      <c r="A7795" s="2" t="s">
        <v>256</v>
      </c>
      <c r="F7795" s="28" t="n">
        <f aca="false">'Historical Financials'!G23</f>
        <v>2246.166</v>
      </c>
      <c r="G7795" s="16" t="n">
        <f aca="false">F7795*(1+G7791)</f>
        <v>1954.16442</v>
      </c>
      <c r="H7795" s="16" t="n">
        <f aca="false">G7795*(1+H7791)</f>
        <v>1719.6646896</v>
      </c>
      <c r="I7795" s="16" t="n">
        <f aca="false">H7795*(1+I7791)</f>
        <v>1530.501573744</v>
      </c>
      <c r="J7795" s="16" t="n">
        <f aca="false">I7795*(1+J7791)</f>
        <v>1377.4514163696</v>
      </c>
      <c r="K7795" s="16" t="n">
        <f aca="false">J7795*(1+K7791)</f>
        <v>1239.70627473264</v>
      </c>
    </row>
    <row r="7796" customFormat="false" ht="15" hidden="false" customHeight="false" outlineLevel="0" collapsed="false">
      <c r="A7796" s="3" t="s">
        <v>257</v>
      </c>
      <c r="G7796" s="25" t="n">
        <f aca="false">G7795*(1-G7792)</f>
        <v>1048.9042596</v>
      </c>
      <c r="H7796" s="25" t="n">
        <f aca="false">H7795*(1-H7792)</f>
        <v>940.232395344</v>
      </c>
      <c r="I7796" s="25" t="n">
        <f aca="false">I7795*(1-I7792)</f>
        <v>844.45933972488</v>
      </c>
      <c r="J7796" s="25" t="n">
        <f aca="false">J7795*(1-J7792)</f>
        <v>766.90066283424</v>
      </c>
      <c r="K7796" s="25" t="n">
        <f aca="false">K7795*(1-K7792)</f>
        <v>690.210596550816</v>
      </c>
    </row>
    <row r="7797" customFormat="false" ht="15" hidden="false" customHeight="false" outlineLevel="0" collapsed="false">
      <c r="A7797" s="2" t="s">
        <v>258</v>
      </c>
      <c r="G7797" s="16" t="n">
        <f aca="false">G7795-G7796</f>
        <v>905.2601604</v>
      </c>
      <c r="H7797" s="16" t="n">
        <f aca="false">H7795-H7796</f>
        <v>779.432294256</v>
      </c>
      <c r="I7797" s="16" t="n">
        <f aca="false">I7795-I7796</f>
        <v>686.04223401912</v>
      </c>
      <c r="J7797" s="16" t="n">
        <f aca="false">J7795-J7796</f>
        <v>610.55075353536</v>
      </c>
      <c r="K7797" s="16" t="n">
        <f aca="false">K7795-K7796</f>
        <v>549.495678181824</v>
      </c>
    </row>
    <row r="7798" customFormat="false" ht="15" hidden="false" customHeight="false" outlineLevel="0" collapsed="false">
      <c r="A7798" s="3" t="s">
        <v>285</v>
      </c>
      <c r="G7798" s="25" t="n">
        <f aca="false">G7797-G7799</f>
        <v>670.76043</v>
      </c>
      <c r="H7798" s="25" t="n">
        <f aca="false">H7797-H7799</f>
        <v>590.2691784</v>
      </c>
      <c r="I7798" s="25" t="n">
        <f aca="false">I7797-I7799</f>
        <v>525.339568776</v>
      </c>
      <c r="J7798" s="25" t="n">
        <f aca="false">J7797-J7799</f>
        <v>472.8056118984</v>
      </c>
      <c r="K7798" s="25" t="n">
        <f aca="false">K7797-K7799</f>
        <v>425.52505070856</v>
      </c>
    </row>
    <row r="7799" customFormat="false" ht="15" hidden="false" customHeight="false" outlineLevel="0" collapsed="false">
      <c r="A7799" s="2" t="s">
        <v>286</v>
      </c>
      <c r="G7799" s="16" t="n">
        <f aca="false">G7795*G7793</f>
        <v>234.4997304</v>
      </c>
      <c r="H7799" s="16" t="n">
        <f aca="false">H7795*H7793</f>
        <v>189.163115856</v>
      </c>
      <c r="I7799" s="16" t="n">
        <f aca="false">I7795*I7793</f>
        <v>160.70266524312</v>
      </c>
      <c r="J7799" s="16" t="n">
        <f aca="false">J7795*J7793</f>
        <v>137.74514163696</v>
      </c>
      <c r="K7799" s="16" t="n">
        <f aca="false">K7795*K7793</f>
        <v>123.970627473264</v>
      </c>
    </row>
    <row r="7800" customFormat="false" ht="15" hidden="false" customHeight="false" outlineLevel="0" collapsed="false">
      <c r="A7800" s="3" t="s">
        <v>287</v>
      </c>
      <c r="G7800" s="25" t="n">
        <f aca="false">G7795*'Historical Financials'!G28/'Historical Financials'!G23</f>
        <v>74.20752</v>
      </c>
      <c r="H7800" s="25" t="n">
        <f aca="false">H7795*'Historical Financials'!G28/'Historical Financials'!G23</f>
        <v>65.3026176</v>
      </c>
      <c r="I7800" s="25" t="n">
        <f aca="false">I7795*'Historical Financials'!G28/'Historical Financials'!G23</f>
        <v>58.119329664</v>
      </c>
      <c r="J7800" s="25" t="n">
        <f aca="false">J7795*'Historical Financials'!G28/'Historical Financials'!G23</f>
        <v>52.3073966976</v>
      </c>
      <c r="K7800" s="25" t="n">
        <f aca="false">K7795*'Historical Financials'!G28/'Historical Financials'!G23</f>
        <v>47.07665702784</v>
      </c>
    </row>
    <row r="7801" customFormat="false" ht="15" hidden="false" customHeight="false" outlineLevel="0" collapsed="false">
      <c r="A7801" s="3" t="s">
        <v>288</v>
      </c>
      <c r="G7801" s="25" t="n">
        <f aca="false">G7795*'Historical Financials'!G29/'Historical Financials'!G23</f>
        <v>21.18972</v>
      </c>
      <c r="H7801" s="25" t="n">
        <f aca="false">H7795*'Historical Financials'!G29/'Historical Financials'!G23</f>
        <v>18.6469536</v>
      </c>
      <c r="I7801" s="25" t="n">
        <f aca="false">I7795*'Historical Financials'!G29/'Historical Financials'!G23</f>
        <v>16.595788704</v>
      </c>
      <c r="J7801" s="25" t="n">
        <f aca="false">J7795*'Historical Financials'!G29/'Historical Financials'!G23</f>
        <v>14.9362098336</v>
      </c>
      <c r="K7801" s="25" t="n">
        <f aca="false">K7795*'Historical Financials'!G29/'Historical Financials'!G23</f>
        <v>13.44258885024</v>
      </c>
    </row>
    <row r="7802" customFormat="false" ht="15" hidden="false" customHeight="false" outlineLevel="0" collapsed="false">
      <c r="A7802" s="2" t="s">
        <v>289</v>
      </c>
      <c r="G7802" s="16" t="n">
        <f aca="false">G7799-G7800-G7801</f>
        <v>139.1024904</v>
      </c>
      <c r="H7802" s="16" t="n">
        <f aca="false">H7799-H7800-H7801</f>
        <v>105.213544656</v>
      </c>
      <c r="I7802" s="16" t="n">
        <f aca="false">I7799-I7800-I7801</f>
        <v>85.98754687512</v>
      </c>
      <c r="J7802" s="16" t="n">
        <f aca="false">J7799-J7800-J7801</f>
        <v>70.50153510576</v>
      </c>
      <c r="K7802" s="16" t="n">
        <f aca="false">K7799-K7800-K7801</f>
        <v>63.451381595184</v>
      </c>
    </row>
    <row r="7803" customFormat="false" ht="15" hidden="false" customHeight="false" outlineLevel="0" collapsed="false">
      <c r="A7803" s="3" t="s">
        <v>290</v>
      </c>
      <c r="G7803" s="25" t="n">
        <f aca="false">G7829+G7842+G7855</f>
        <v>155.95467</v>
      </c>
      <c r="H7803" s="25" t="n">
        <f aca="false">H7829+H7842+H7855</f>
        <v>155.95467</v>
      </c>
      <c r="I7803" s="25" t="n">
        <f aca="false">I7829+I7842+I7855</f>
        <v>155.95467</v>
      </c>
      <c r="J7803" s="25" t="n">
        <f aca="false">J7829+J7842+J7855</f>
        <v>138.08529</v>
      </c>
      <c r="K7803" s="25" t="n">
        <f aca="false">K7829+K7842+K7855</f>
        <v>138.08529</v>
      </c>
    </row>
    <row r="7804" customFormat="false" ht="15" hidden="false" customHeight="false" outlineLevel="0" collapsed="false">
      <c r="A7804" s="3" t="s">
        <v>291</v>
      </c>
      <c r="G7804" s="25" t="n">
        <f aca="false">G7830+G7843+G7856</f>
        <v>0</v>
      </c>
      <c r="H7804" s="25" t="n">
        <f aca="false">H7830+H7843+H7856</f>
        <v>0</v>
      </c>
      <c r="I7804" s="25" t="n">
        <f aca="false">I7830+I7843+I7856</f>
        <v>0</v>
      </c>
      <c r="J7804" s="25" t="n">
        <f aca="false">J7830+J7843+J7856</f>
        <v>0</v>
      </c>
      <c r="K7804" s="25" t="n">
        <f aca="false">K7830+K7843+K7856</f>
        <v>0</v>
      </c>
    </row>
    <row r="7805" customFormat="false" ht="15" hidden="false" customHeight="false" outlineLevel="0" collapsed="false">
      <c r="A7805" s="3" t="s">
        <v>239</v>
      </c>
      <c r="G7805" s="25" t="n">
        <f aca="false">G7803+G7804</f>
        <v>155.95467</v>
      </c>
      <c r="H7805" s="25" t="n">
        <f aca="false">H7803+H7804</f>
        <v>155.95467</v>
      </c>
      <c r="I7805" s="25" t="n">
        <f aca="false">I7803+I7804</f>
        <v>155.95467</v>
      </c>
      <c r="J7805" s="25" t="n">
        <f aca="false">J7803+J7804</f>
        <v>138.08529</v>
      </c>
      <c r="K7805" s="25" t="n">
        <f aca="false">K7803+K7804</f>
        <v>138.08529</v>
      </c>
    </row>
    <row r="7806" customFormat="false" ht="15" hidden="false" customHeight="false" outlineLevel="0" collapsed="false">
      <c r="A7806" s="2" t="s">
        <v>264</v>
      </c>
      <c r="G7806" s="16" t="n">
        <f aca="false">G7802-G7805</f>
        <v>-16.8521796</v>
      </c>
      <c r="H7806" s="16" t="n">
        <f aca="false">H7802-H7805</f>
        <v>-50.741125344</v>
      </c>
      <c r="I7806" s="16" t="n">
        <f aca="false">I7802-I7805</f>
        <v>-69.96712312488</v>
      </c>
      <c r="J7806" s="16" t="n">
        <f aca="false">J7802-J7805</f>
        <v>-67.58375489424</v>
      </c>
      <c r="K7806" s="16" t="n">
        <f aca="false">K7802-K7805</f>
        <v>-74.633908404816</v>
      </c>
    </row>
    <row r="7807" customFormat="false" ht="15" hidden="false" customHeight="false" outlineLevel="0" collapsed="false">
      <c r="A7807" s="3" t="s">
        <v>292</v>
      </c>
      <c r="G7807" s="25" t="n">
        <f aca="false">MAX(0,G7806)*Assumptions!$C$9</f>
        <v>0</v>
      </c>
      <c r="H7807" s="25" t="n">
        <f aca="false">MAX(0,H7806)*Assumptions!$C$9</f>
        <v>0</v>
      </c>
      <c r="I7807" s="25" t="n">
        <f aca="false">MAX(0,I7806)*Assumptions!$C$9</f>
        <v>0</v>
      </c>
      <c r="J7807" s="25" t="n">
        <f aca="false">MAX(0,J7806)*Assumptions!$C$9</f>
        <v>0</v>
      </c>
      <c r="K7807" s="25" t="n">
        <f aca="false">MAX(0,K7806)*Assumptions!$C$9</f>
        <v>0</v>
      </c>
    </row>
    <row r="7808" customFormat="false" ht="15" hidden="false" customHeight="false" outlineLevel="0" collapsed="false">
      <c r="A7808" s="2" t="s">
        <v>293</v>
      </c>
      <c r="G7808" s="16" t="n">
        <f aca="false">G7806-G7807</f>
        <v>-16.8521796</v>
      </c>
      <c r="H7808" s="16" t="n">
        <f aca="false">H7806-H7807</f>
        <v>-50.741125344</v>
      </c>
      <c r="I7808" s="16" t="n">
        <f aca="false">I7806-I7807</f>
        <v>-69.96712312488</v>
      </c>
      <c r="J7808" s="16" t="n">
        <f aca="false">J7806-J7807</f>
        <v>-67.58375489424</v>
      </c>
      <c r="K7808" s="16" t="n">
        <f aca="false">K7806-K7807</f>
        <v>-74.633908404816</v>
      </c>
    </row>
    <row r="7809" customFormat="false" ht="15" hidden="false" customHeight="false" outlineLevel="0" collapsed="false">
      <c r="A7809" s="23" t="s">
        <v>294</v>
      </c>
      <c r="B7809" s="24"/>
      <c r="C7809" s="24"/>
      <c r="D7809" s="24"/>
      <c r="E7809" s="24"/>
      <c r="F7809" s="24"/>
      <c r="G7809" s="24"/>
      <c r="H7809" s="24"/>
      <c r="I7809" s="24"/>
      <c r="J7809" s="24"/>
      <c r="K7809" s="24"/>
    </row>
    <row r="7810" customFormat="false" ht="15" hidden="false" customHeight="false" outlineLevel="0" collapsed="false">
      <c r="A7810" s="3" t="s">
        <v>169</v>
      </c>
      <c r="G7810" s="25" t="n">
        <f aca="false">G7795*CHOOSE($C$7782,Assumptions!$C$75,Assumptions!$C$94,Assumptions!$C$113)</f>
        <v>25.40413746</v>
      </c>
      <c r="H7810" s="25" t="n">
        <f aca="false">H7795*CHOOSE($C$7782,Assumptions!$C$75,Assumptions!$C$94,Assumptions!$C$113)</f>
        <v>22.3556409648</v>
      </c>
      <c r="I7810" s="25" t="n">
        <f aca="false">I7795*CHOOSE($C$7782,Assumptions!$C$75,Assumptions!$C$94,Assumptions!$C$113)</f>
        <v>19.896520458672</v>
      </c>
      <c r="J7810" s="25" t="n">
        <f aca="false">J7795*CHOOSE($C$7782,Assumptions!$C$75,Assumptions!$C$94,Assumptions!$C$113)</f>
        <v>17.9068684128048</v>
      </c>
      <c r="K7810" s="25" t="n">
        <f aca="false">K7795*CHOOSE($C$7782,Assumptions!$C$75,Assumptions!$C$94,Assumptions!$C$113)</f>
        <v>16.1161815715243</v>
      </c>
    </row>
    <row r="7811" customFormat="false" ht="15" hidden="false" customHeight="false" outlineLevel="0" collapsed="false">
      <c r="A7811" s="3" t="s">
        <v>295</v>
      </c>
      <c r="G7811" s="25" t="n">
        <f aca="false">CHOOSE($C$7782,Assumptions!$C$76,Assumptions!$C$95,Assumptions!$C$114)*(G7795-F7795)+CHOOSE($C$7782,Assumptions!$C$77,Assumptions!$C$96,Assumptions!$C$115)*G7795</f>
        <v>9.7708221</v>
      </c>
      <c r="H7811" s="25" t="n">
        <f aca="false">CHOOSE($C$7782,Assumptions!$C$76,Assumptions!$C$95,Assumptions!$C$114)*(H7795-G7795)+CHOOSE($C$7782,Assumptions!$C$77,Assumptions!$C$96,Assumptions!$C$115)*H7795</f>
        <v>8.598323448</v>
      </c>
      <c r="I7811" s="25" t="n">
        <f aca="false">CHOOSE($C$7782,Assumptions!$C$76,Assumptions!$C$95,Assumptions!$C$114)*(I7795-H7795)+CHOOSE($C$7782,Assumptions!$C$77,Assumptions!$C$96,Assumptions!$C$115)*I7795</f>
        <v>7.65250786872</v>
      </c>
      <c r="J7811" s="25" t="n">
        <f aca="false">CHOOSE($C$7782,Assumptions!$C$76,Assumptions!$C$95,Assumptions!$C$114)*(J7795-I7795)+CHOOSE($C$7782,Assumptions!$C$77,Assumptions!$C$96,Assumptions!$C$115)*J7795</f>
        <v>6.887257081848</v>
      </c>
      <c r="K7811" s="25" t="n">
        <f aca="false">CHOOSE($C$7782,Assumptions!$C$76,Assumptions!$C$95,Assumptions!$C$114)*(K7795-J7795)+CHOOSE($C$7782,Assumptions!$C$77,Assumptions!$C$96,Assumptions!$C$115)*K7795</f>
        <v>6.1985313736632</v>
      </c>
    </row>
    <row r="7812" customFormat="false" ht="15" hidden="false" customHeight="false" outlineLevel="0" collapsed="false">
      <c r="A7812" s="2" t="s">
        <v>296</v>
      </c>
      <c r="G7812" s="16" t="n">
        <f aca="false">G7808+G7800+G7801+G7804-G7810-G7811</f>
        <v>43.37010084</v>
      </c>
      <c r="H7812" s="16" t="n">
        <f aca="false">H7808+H7800+H7801+H7804-H7810-H7811</f>
        <v>2.2544814432</v>
      </c>
      <c r="I7812" s="16" t="n">
        <f aca="false">I7808+I7800+I7801+I7804-I7810-I7811</f>
        <v>-22.801033084272</v>
      </c>
      <c r="J7812" s="16" t="n">
        <f aca="false">J7808+J7800+J7801+J7804-J7810-J7811</f>
        <v>-25.1342738576928</v>
      </c>
      <c r="K7812" s="16" t="n">
        <f aca="false">K7808+K7800+K7801+K7804-K7810-K7811</f>
        <v>-36.4293754719235</v>
      </c>
    </row>
    <row r="7814" customFormat="false" ht="15" hidden="false" customHeight="false" outlineLevel="0" collapsed="false">
      <c r="A7814" s="23" t="s">
        <v>298</v>
      </c>
      <c r="B7814" s="24"/>
      <c r="C7814" s="24"/>
      <c r="D7814" s="24"/>
      <c r="E7814" s="24"/>
      <c r="F7814" s="24"/>
      <c r="G7814" s="24"/>
      <c r="H7814" s="24"/>
      <c r="I7814" s="24"/>
      <c r="J7814" s="24"/>
      <c r="K7814" s="24"/>
    </row>
    <row r="7815" customFormat="false" ht="15" hidden="false" customHeight="false" outlineLevel="0" collapsed="false">
      <c r="A7815" s="3" t="s">
        <v>299</v>
      </c>
      <c r="G7815" s="30" t="n">
        <f aca="false">Assumptions!$G$52</f>
        <v>0.039</v>
      </c>
      <c r="H7815" s="30" t="n">
        <f aca="false">Assumptions!$H$52</f>
        <v>0.0375</v>
      </c>
      <c r="I7815" s="30" t="n">
        <f aca="false">Assumptions!$I$52</f>
        <v>0.035</v>
      </c>
      <c r="J7815" s="30" t="n">
        <f aca="false">Assumptions!$J$52</f>
        <v>0.035</v>
      </c>
      <c r="K7815" s="30" t="n">
        <f aca="false">Assumptions!$K$52</f>
        <v>0.035</v>
      </c>
    </row>
    <row r="7816" customFormat="false" ht="15" hidden="false" customHeight="false" outlineLevel="0" collapsed="false">
      <c r="A7816" s="3" t="s">
        <v>300</v>
      </c>
      <c r="C7816" s="31" t="n">
        <f aca="false">CHOOSE($C$7782,Assumptions!$C$78,Assumptions!$C$97,Assumptions!$C$116)+$C$7785</f>
        <v>0.015</v>
      </c>
    </row>
    <row r="7817" customFormat="false" ht="15" hidden="false" customHeight="false" outlineLevel="0" collapsed="false">
      <c r="A7817" s="3" t="s">
        <v>301</v>
      </c>
      <c r="C7817" s="31" t="n">
        <f aca="false">CHOOSE($C$7782,Assumptions!$C$79,Assumptions!$C$98,Assumptions!$C$117)</f>
        <v>0.13</v>
      </c>
    </row>
    <row r="7818" customFormat="false" ht="15" hidden="false" customHeight="false" outlineLevel="0" collapsed="false">
      <c r="A7818" s="3" t="s">
        <v>302</v>
      </c>
      <c r="C7818" s="32" t="n">
        <f aca="false">CHOOSE($C$7782,Assumptions!$C$80,Assumptions!$C$99,Assumptions!$C$118)</f>
        <v>5.5</v>
      </c>
    </row>
    <row r="7819" customFormat="false" ht="15" hidden="false" customHeight="false" outlineLevel="0" collapsed="false">
      <c r="A7819" s="3" t="s">
        <v>303</v>
      </c>
      <c r="C7819" s="32" t="n">
        <f aca="false">CHOOSE($C$7782,Assumptions!$C$81,Assumptions!$C$100,Assumptions!$C$119)</f>
        <v>1.5</v>
      </c>
    </row>
    <row r="7820" customFormat="false" ht="15" hidden="false" customHeight="false" outlineLevel="0" collapsed="false">
      <c r="A7820" s="3" t="s">
        <v>304</v>
      </c>
      <c r="G7820" s="25" t="n">
        <f aca="false">G7825+G7838+G7851</f>
        <v>1735.554</v>
      </c>
      <c r="H7820" s="25" t="n">
        <f aca="false">H7825+H7838+H7851</f>
        <v>1735.554</v>
      </c>
      <c r="I7820" s="25" t="n">
        <f aca="false">I7825+I7838+I7851</f>
        <v>1735.554</v>
      </c>
      <c r="J7820" s="25" t="n">
        <f aca="false">J7825+J7838+J7851</f>
        <v>1315.098</v>
      </c>
      <c r="K7820" s="25" t="n">
        <f aca="false">K7825+K7838+K7851</f>
        <v>1315.098</v>
      </c>
    </row>
    <row r="7821" customFormat="false" ht="15" hidden="false" customHeight="false" outlineLevel="0" collapsed="false">
      <c r="A7821" s="3" t="s">
        <v>305</v>
      </c>
      <c r="G7821" s="25" t="n">
        <f aca="false">F7894</f>
        <v>463.996</v>
      </c>
      <c r="H7821" s="25" t="n">
        <f aca="false">G7894</f>
        <v>507.36610084</v>
      </c>
      <c r="I7821" s="25" t="n">
        <f aca="false">H7894</f>
        <v>509.6205822832</v>
      </c>
      <c r="J7821" s="25" t="n">
        <f aca="false">I7894</f>
        <v>66.363549198928</v>
      </c>
      <c r="K7821" s="25" t="n">
        <f aca="false">J7894</f>
        <v>41.2292753412352</v>
      </c>
    </row>
    <row r="7822" customFormat="false" ht="15" hidden="false" customHeight="false" outlineLevel="0" collapsed="false">
      <c r="A7822" s="3" t="s">
        <v>306</v>
      </c>
      <c r="G7822" s="25" t="n">
        <f aca="false">G7825*IF(G7826=1,$C$7817,IF(Assumptions!$I$56=1,MAX(G7815,Assumptions!$G$56)+Assumptions!$F$56+$C$7816,Assumptions!$E$56))+G7838*IF(G7839=1,$C$7817,IF(Assumptions!$I$57=1,MAX(G7815,Assumptions!$G$57)+Assumptions!$F$57+$C$7816,Assumptions!$E$57))+G7851*IF(G7852=1,$C$7817,IF(Assumptions!$I$58=1,MAX(G7815,Assumptions!$G$58)+Assumptions!$F$58+$C$7816,Assumptions!$E$58))</f>
        <v>155.95467</v>
      </c>
      <c r="H7822" s="25" t="n">
        <f aca="false">H7825*IF(OR(H7826=1,G7972=1),$C$7817,IF(Assumptions!$I$56=1,MAX(H7815,Assumptions!$G$56)+Assumptions!$F$56+$C$7816,Assumptions!$E$56))+H7838*IF(OR(H7839=1,G7973=1),$C$7817,IF(Assumptions!$I$57=1,MAX(H7815,Assumptions!$G$57)+Assumptions!$F$57+$C$7816,Assumptions!$E$57))+H7851*IF(OR(H7852=1,G7974=1),$C$7817,IF(Assumptions!$I$58=1,MAX(H7815,Assumptions!$G$58)+Assumptions!$F$58+$C$7816,Assumptions!$E$58))</f>
        <v>155.95467</v>
      </c>
      <c r="I7822" s="25" t="n">
        <f aca="false">I7825*IF(OR(I7826=1,H7972=1),$C$7817,IF(Assumptions!$I$56=1,MAX(I7815,Assumptions!$G$56)+Assumptions!$F$56+$C$7816,Assumptions!$E$56))+I7838*IF(OR(I7839=1,H7973=1),$C$7817,IF(Assumptions!$I$57=1,MAX(I7815,Assumptions!$G$57)+Assumptions!$F$57+$C$7816,Assumptions!$E$57))+I7851*IF(OR(I7852=1,H7974=1),$C$7817,IF(Assumptions!$I$58=1,MAX(I7815,Assumptions!$G$58)+Assumptions!$F$58+$C$7816,Assumptions!$E$58))</f>
        <v>192.74457</v>
      </c>
      <c r="J7822" s="25" t="n">
        <f aca="false">J7825*IF(OR(J7826=1,I7972=1),$C$7817,IF(Assumptions!$I$56=1,MAX(J7815,Assumptions!$G$56)+Assumptions!$F$56+$C$7816,Assumptions!$E$56))+J7838*IF(OR(J7839=1,I7973=1),$C$7817,IF(Assumptions!$I$57=1,MAX(J7815,Assumptions!$G$57)+Assumptions!$F$57+$C$7816,Assumptions!$E$57))+J7851*IF(OR(J7852=1,I7974=1),$C$7817,IF(Assumptions!$I$58=1,MAX(J7815,Assumptions!$G$58)+Assumptions!$F$58+$C$7816,Assumptions!$E$58))</f>
        <v>138.08529</v>
      </c>
      <c r="K7822" s="25" t="n">
        <f aca="false">K7825*IF(OR(K7826=1,J7972=1),$C$7817,IF(Assumptions!$I$56=1,MAX(K7815,Assumptions!$G$56)+Assumptions!$F$56+$C$7816,Assumptions!$E$56))+K7838*IF(OR(K7839=1,J7973=1),$C$7817,IF(Assumptions!$I$57=1,MAX(K7815,Assumptions!$G$57)+Assumptions!$F$57+$C$7816,Assumptions!$E$57))+K7851*IF(OR(K7852=1,J7974=1),$C$7817,IF(Assumptions!$I$58=1,MAX(K7815,Assumptions!$G$58)+Assumptions!$F$58+$C$7816,Assumptions!$E$58))</f>
        <v>138.08529</v>
      </c>
    </row>
    <row r="7823" customFormat="false" ht="15" hidden="false" customHeight="false" outlineLevel="0" collapsed="false">
      <c r="A7823" s="3" t="s">
        <v>307</v>
      </c>
      <c r="G7823" s="20" t="n">
        <f aca="false">IF(G7799&lt;=0,0,IF(AND((G7820-G7821)/G7799&lt;=$C$7818,G7799/G7822&gt;=$C$7819),1,0))</f>
        <v>1</v>
      </c>
      <c r="H7823" s="20" t="n">
        <f aca="false">IF(H7799&lt;=0,0,IF(AND((H7820-H7821)/H7799&lt;=$C$7818,H7799/H7822&gt;=$C$7819),1,0))</f>
        <v>0</v>
      </c>
      <c r="I7823" s="20" t="n">
        <f aca="false">IF(I7799&lt;=0,0,IF(AND((I7820-I7821)/I7799&lt;=$C$7818,I7799/I7822&gt;=$C$7819),1,0))</f>
        <v>0</v>
      </c>
      <c r="J7823" s="20" t="n">
        <f aca="false">IF(J7799&lt;=0,0,IF(AND((J7820-J7821)/J7799&lt;=$C$7818,J7799/J7822&gt;=$C$7819),1,0))</f>
        <v>0</v>
      </c>
      <c r="K7823" s="20" t="n">
        <f aca="false">IF(K7799&lt;=0,0,IF(AND((K7820-K7821)/K7799&lt;=$C$7818,K7799/K7822&gt;=$C$7819),1,0))</f>
        <v>0</v>
      </c>
    </row>
    <row r="7824" customFormat="false" ht="15" hidden="false" customHeight="false" outlineLevel="0" collapsed="false">
      <c r="A7824" s="23" t="s">
        <v>308</v>
      </c>
      <c r="B7824" s="24"/>
      <c r="C7824" s="24"/>
      <c r="D7824" s="24"/>
      <c r="E7824" s="24"/>
      <c r="F7824" s="24"/>
      <c r="G7824" s="24"/>
      <c r="H7824" s="24"/>
      <c r="I7824" s="24"/>
      <c r="J7824" s="24"/>
      <c r="K7824" s="24"/>
    </row>
    <row r="7825" customFormat="false" ht="15" hidden="false" customHeight="false" outlineLevel="0" collapsed="false">
      <c r="A7825" s="3" t="s">
        <v>309</v>
      </c>
      <c r="G7825" s="25" t="n">
        <f aca="false">F7836</f>
        <v>1315.098</v>
      </c>
      <c r="H7825" s="25" t="n">
        <f aca="false">G7836</f>
        <v>1315.098</v>
      </c>
      <c r="I7825" s="25" t="n">
        <f aca="false">H7836</f>
        <v>1315.098</v>
      </c>
      <c r="J7825" s="25" t="n">
        <f aca="false">I7836</f>
        <v>1315.098</v>
      </c>
      <c r="K7825" s="25" t="n">
        <f aca="false">J7836</f>
        <v>1315.098</v>
      </c>
    </row>
    <row r="7826" customFormat="false" ht="15" hidden="false" customHeight="false" outlineLevel="0" collapsed="false">
      <c r="A7826" s="3" t="s">
        <v>310</v>
      </c>
      <c r="G7826" s="20" t="n">
        <f aca="false">IF(G7789=Assumptions!$K$56,1,0)</f>
        <v>0</v>
      </c>
      <c r="H7826" s="20" t="n">
        <f aca="false">IF(H7789=Assumptions!$K$56,1,0)</f>
        <v>0</v>
      </c>
      <c r="I7826" s="20" t="n">
        <f aca="false">IF(I7789=Assumptions!$K$56,1,0)</f>
        <v>0</v>
      </c>
      <c r="J7826" s="20" t="n">
        <f aca="false">IF(J7789=Assumptions!$K$56,1,0)</f>
        <v>0</v>
      </c>
      <c r="K7826" s="20" t="n">
        <f aca="false">IF(K7789=Assumptions!$K$56,1,0)</f>
        <v>0</v>
      </c>
    </row>
    <row r="7828" customFormat="false" ht="15" hidden="false" customHeight="false" outlineLevel="0" collapsed="false">
      <c r="A7828" s="3" t="s">
        <v>311</v>
      </c>
      <c r="G7828" s="31" t="n">
        <f aca="false">IF(Assumptions!$I$56=1,MAX(G7815,Assumptions!$G$56)+Assumptions!$F$56+$C$7816,Assumptions!$E$56)</f>
        <v>0.105</v>
      </c>
      <c r="H7828" s="31" t="n">
        <f aca="false">IF(G7972=1,$C$7817,IF(Assumptions!$I$56=1,MAX(H7815,Assumptions!$G$56)+Assumptions!$F$56+$C$7816,Assumptions!$E$56))</f>
        <v>0.105</v>
      </c>
      <c r="I7828" s="31" t="n">
        <f aca="false">IF(H7972=1,$C$7817,IF(Assumptions!$I$56=1,MAX(I7815,Assumptions!$G$56)+Assumptions!$F$56+$C$7816,Assumptions!$E$56))</f>
        <v>0.105</v>
      </c>
      <c r="J7828" s="31" t="n">
        <f aca="false">IF(I7972=1,$C$7817,IF(Assumptions!$I$56=1,MAX(J7815,Assumptions!$G$56)+Assumptions!$F$56+$C$7816,Assumptions!$E$56))</f>
        <v>0.105</v>
      </c>
      <c r="K7828" s="31" t="n">
        <f aca="false">IF(J7972=1,$C$7817,IF(Assumptions!$I$56=1,MAX(K7815,Assumptions!$G$56)+Assumptions!$F$56+$C$7816,Assumptions!$E$56))</f>
        <v>0.105</v>
      </c>
    </row>
    <row r="7829" customFormat="false" ht="15" hidden="false" customHeight="false" outlineLevel="0" collapsed="false">
      <c r="A7829" s="3" t="s">
        <v>312</v>
      </c>
      <c r="G7829" s="25" t="n">
        <f aca="false">G7825*G7828</f>
        <v>138.08529</v>
      </c>
      <c r="H7829" s="25" t="n">
        <f aca="false">H7825*H7828</f>
        <v>138.08529</v>
      </c>
      <c r="I7829" s="25" t="n">
        <f aca="false">I7825*I7828</f>
        <v>138.08529</v>
      </c>
      <c r="J7829" s="25" t="n">
        <f aca="false">J7825*J7828</f>
        <v>138.08529</v>
      </c>
      <c r="K7829" s="25" t="n">
        <f aca="false">K7825*K7828</f>
        <v>138.08529</v>
      </c>
    </row>
    <row r="7830" customFormat="false" ht="15" hidden="false" customHeight="false" outlineLevel="0" collapsed="false">
      <c r="A7830" s="3" t="s">
        <v>313</v>
      </c>
      <c r="G7830" s="25" t="n">
        <f aca="false">G7825*Assumptions!$H$56</f>
        <v>0</v>
      </c>
      <c r="H7830" s="25" t="n">
        <f aca="false">H7825*Assumptions!$H$56</f>
        <v>0</v>
      </c>
      <c r="I7830" s="25" t="n">
        <f aca="false">I7825*Assumptions!$H$56</f>
        <v>0</v>
      </c>
      <c r="J7830" s="25" t="n">
        <f aca="false">J7825*Assumptions!$H$56</f>
        <v>0</v>
      </c>
      <c r="K7830" s="25" t="n">
        <f aca="false">K7825*Assumptions!$H$56</f>
        <v>0</v>
      </c>
    </row>
    <row r="7831" customFormat="false" ht="15" hidden="false" customHeight="false" outlineLevel="0" collapsed="false">
      <c r="A7831" s="3" t="s">
        <v>314</v>
      </c>
      <c r="G7831" s="25" t="n">
        <f aca="false">MIN(G7825,Assumptions!$L$56*Assumptions!$C$56)</f>
        <v>0</v>
      </c>
      <c r="H7831" s="25" t="n">
        <f aca="false">MIN(H7825,Assumptions!$L$56*Assumptions!$C$56)</f>
        <v>0</v>
      </c>
      <c r="I7831" s="25" t="n">
        <f aca="false">MIN(I7825,Assumptions!$L$56*Assumptions!$C$56)</f>
        <v>0</v>
      </c>
      <c r="J7831" s="25" t="n">
        <f aca="false">MIN(J7825,Assumptions!$L$56*Assumptions!$C$56)</f>
        <v>0</v>
      </c>
      <c r="K7831" s="25" t="n">
        <f aca="false">MIN(K7825,Assumptions!$L$56*Assumptions!$C$56)</f>
        <v>0</v>
      </c>
    </row>
    <row r="7832" customFormat="false" ht="15" hidden="false" customHeight="false" outlineLevel="0" collapsed="false">
      <c r="A7832" s="3" t="s">
        <v>315</v>
      </c>
      <c r="G7832" s="25" t="n">
        <f aca="false">IF(AND(Assumptions!$P$56=1,G7789&lt;Assumptions!$K$56),MIN(MAX(0,-G7886),MAX(0,Assumptions!$D$56-G7825)),0)</f>
        <v>0</v>
      </c>
      <c r="H7832" s="25" t="n">
        <f aca="false">IF(AND(Assumptions!$P$56=1,OR(H7789&lt;Assumptions!$K$56,G7972=1)),MIN(MAX(0,-H7886),MAX(0,Assumptions!$D$56-H7825)),0)</f>
        <v>0</v>
      </c>
      <c r="I7832" s="25" t="n">
        <f aca="false">IF(AND(Assumptions!$P$56=1,OR(I7789&lt;Assumptions!$K$56,H7972=1)),MIN(MAX(0,-I7886),MAX(0,Assumptions!$D$56-I7825)),0)</f>
        <v>0</v>
      </c>
      <c r="J7832" s="25" t="n">
        <f aca="false">IF(AND(Assumptions!$P$56=1,OR(J7789&lt;Assumptions!$K$56,I7972=1)),MIN(MAX(0,-J7886),MAX(0,Assumptions!$D$56-J7825)),0)</f>
        <v>0</v>
      </c>
      <c r="K7832" s="25" t="n">
        <f aca="false">IF(AND(Assumptions!$P$56=1,OR(K7789&lt;Assumptions!$K$56,J7972=1)),MIN(MAX(0,-K7886),MAX(0,Assumptions!$D$56-K7825)),0)</f>
        <v>0</v>
      </c>
    </row>
    <row r="7833" customFormat="false" ht="15" hidden="false" customHeight="false" outlineLevel="0" collapsed="false">
      <c r="A7833" s="3" t="s">
        <v>316</v>
      </c>
      <c r="G7833" s="25" t="n">
        <f aca="false">G7826*MIN(G7825-G7831+G7830,MAX(0,G7888-Assumptions!$C$12*G7823))</f>
        <v>0</v>
      </c>
      <c r="H7833" s="25" t="n">
        <f aca="false">H7826*MIN(H7825-H7831+H7830,MAX(0,H7888-Assumptions!$C$12*H7823))</f>
        <v>0</v>
      </c>
      <c r="I7833" s="25" t="n">
        <f aca="false">I7826*MIN(I7825-I7831+I7830,MAX(0,I7888-Assumptions!$C$12*I7823))</f>
        <v>0</v>
      </c>
      <c r="J7833" s="25" t="n">
        <f aca="false">J7826*MIN(J7825-J7831+J7830,MAX(0,J7888-Assumptions!$C$12*J7823))</f>
        <v>0</v>
      </c>
      <c r="K7833" s="25" t="n">
        <f aca="false">K7826*MIN(K7825-K7831+K7830,MAX(0,K7888-Assumptions!$C$12*K7823))</f>
        <v>0</v>
      </c>
    </row>
    <row r="7834" customFormat="false" ht="15" hidden="false" customHeight="false" outlineLevel="0" collapsed="false">
      <c r="A7834" s="3" t="s">
        <v>317</v>
      </c>
      <c r="G7834" s="25" t="n">
        <f aca="false">Assumptions!$N$56*MIN(G7825+G7832+G7830-G7831-G7833,MAX(0,G7892))</f>
        <v>0</v>
      </c>
      <c r="H7834" s="25" t="n">
        <f aca="false">Assumptions!$N$56*MIN(H7825+H7832+H7830-H7831-H7833,MAX(0,H7892))</f>
        <v>0</v>
      </c>
      <c r="I7834" s="25" t="n">
        <f aca="false">Assumptions!$N$56*MIN(I7825+I7832+I7830-I7831-I7833,MAX(0,I7892))</f>
        <v>0</v>
      </c>
      <c r="J7834" s="25" t="n">
        <f aca="false">Assumptions!$N$56*MIN(J7825+J7832+J7830-J7831-J7833,MAX(0,J7892))</f>
        <v>0</v>
      </c>
      <c r="K7834" s="25" t="n">
        <f aca="false">Assumptions!$N$56*MIN(K7825+K7832+K7830-K7831-K7833,MAX(0,K7892))</f>
        <v>0</v>
      </c>
    </row>
    <row r="7835" customFormat="false" ht="15" hidden="false" customHeight="false" outlineLevel="0" collapsed="false">
      <c r="A7835" s="3" t="s">
        <v>318</v>
      </c>
      <c r="G7835" s="25" t="n">
        <f aca="false">G7826*(1-G7823)*(G7825-G7831+G7830-G7833)</f>
        <v>0</v>
      </c>
      <c r="H7835" s="25" t="n">
        <f aca="false">H7826*(1-H7823)*(H7825-H7831+H7830-H7833)</f>
        <v>0</v>
      </c>
      <c r="I7835" s="25" t="n">
        <f aca="false">I7826*(1-I7823)*(I7825-I7831+I7830-I7833)</f>
        <v>0</v>
      </c>
      <c r="J7835" s="25" t="n">
        <f aca="false">J7826*(1-J7823)*(J7825-J7831+J7830-J7833)</f>
        <v>0</v>
      </c>
      <c r="K7835" s="25" t="n">
        <f aca="false">K7826*(1-K7823)*(K7825-K7831+K7830-K7833)</f>
        <v>0</v>
      </c>
    </row>
    <row r="7836" customFormat="false" ht="15" hidden="false" customHeight="false" outlineLevel="0" collapsed="false">
      <c r="A7836" s="2" t="s">
        <v>319</v>
      </c>
      <c r="F7836" s="28" t="n">
        <f aca="false">Assumptions!$C$56</f>
        <v>1315.098</v>
      </c>
      <c r="G7836" s="16" t="n">
        <f aca="false">G7825+G7832+G7830-G7831-G7833-G7834</f>
        <v>1315.098</v>
      </c>
      <c r="H7836" s="16" t="n">
        <f aca="false">H7825+H7832+H7830-H7831-H7833-H7834</f>
        <v>1315.098</v>
      </c>
      <c r="I7836" s="16" t="n">
        <f aca="false">I7825+I7832+I7830-I7831-I7833-I7834</f>
        <v>1315.098</v>
      </c>
      <c r="J7836" s="16" t="n">
        <f aca="false">J7825+J7832+J7830-J7831-J7833-J7834</f>
        <v>1315.098</v>
      </c>
      <c r="K7836" s="16" t="n">
        <f aca="false">K7825+K7832+K7830-K7831-K7833-K7834</f>
        <v>1315.098</v>
      </c>
    </row>
    <row r="7837" customFormat="false" ht="15" hidden="false" customHeight="false" outlineLevel="0" collapsed="false">
      <c r="A7837" s="23" t="s">
        <v>320</v>
      </c>
      <c r="B7837" s="24"/>
      <c r="C7837" s="24"/>
      <c r="D7837" s="24"/>
      <c r="E7837" s="24"/>
      <c r="F7837" s="24"/>
      <c r="G7837" s="24"/>
      <c r="H7837" s="24"/>
      <c r="I7837" s="24"/>
      <c r="J7837" s="24"/>
      <c r="K7837" s="24"/>
    </row>
    <row r="7838" customFormat="false" ht="15" hidden="false" customHeight="false" outlineLevel="0" collapsed="false">
      <c r="A7838" s="3" t="s">
        <v>309</v>
      </c>
      <c r="G7838" s="25" t="n">
        <f aca="false">F7849</f>
        <v>276.706</v>
      </c>
      <c r="H7838" s="25" t="n">
        <f aca="false">G7849</f>
        <v>276.706</v>
      </c>
      <c r="I7838" s="25" t="n">
        <f aca="false">H7849</f>
        <v>276.706</v>
      </c>
      <c r="J7838" s="25" t="n">
        <f aca="false">I7849</f>
        <v>0</v>
      </c>
      <c r="K7838" s="25" t="n">
        <f aca="false">J7849</f>
        <v>0</v>
      </c>
    </row>
    <row r="7839" customFormat="false" ht="15" hidden="false" customHeight="false" outlineLevel="0" collapsed="false">
      <c r="A7839" s="3" t="s">
        <v>310</v>
      </c>
      <c r="G7839" s="20" t="n">
        <f aca="false">IF(G7789=Assumptions!$K$57,1,0)</f>
        <v>0</v>
      </c>
      <c r="H7839" s="20" t="n">
        <f aca="false">IF(H7789=Assumptions!$K$57,1,0)</f>
        <v>0</v>
      </c>
      <c r="I7839" s="20" t="n">
        <f aca="false">IF(I7789=Assumptions!$K$57,1,0)</f>
        <v>1</v>
      </c>
      <c r="J7839" s="20" t="n">
        <f aca="false">IF(J7789=Assumptions!$K$57,1,0)</f>
        <v>0</v>
      </c>
      <c r="K7839" s="20" t="n">
        <f aca="false">IF(K7789=Assumptions!$K$57,1,0)</f>
        <v>0</v>
      </c>
    </row>
    <row r="7841" customFormat="false" ht="15" hidden="false" customHeight="false" outlineLevel="0" collapsed="false">
      <c r="A7841" s="3" t="s">
        <v>311</v>
      </c>
      <c r="G7841" s="31" t="n">
        <f aca="false">IF(Assumptions!$I$57=1,MAX(G7815,Assumptions!$G$57)+Assumptions!$F$57+$C$7816,Assumptions!$E$57)</f>
        <v>0.0425</v>
      </c>
      <c r="H7841" s="31" t="n">
        <f aca="false">IF(G7973=1,$C$7817,IF(Assumptions!$I$57=1,MAX(H7815,Assumptions!$G$57)+Assumptions!$F$57+$C$7816,Assumptions!$E$57))</f>
        <v>0.0425</v>
      </c>
      <c r="I7841" s="31" t="n">
        <f aca="false">IF(H7973=1,$C$7817,IF(Assumptions!$I$57=1,MAX(I7815,Assumptions!$G$57)+Assumptions!$F$57+$C$7816,Assumptions!$E$57))</f>
        <v>0.0425</v>
      </c>
      <c r="J7841" s="31" t="n">
        <f aca="false">IF(I7973=1,$C$7817,IF(Assumptions!$I$57=1,MAX(J7815,Assumptions!$G$57)+Assumptions!$F$57+$C$7816,Assumptions!$E$57))</f>
        <v>0.0425</v>
      </c>
      <c r="K7841" s="31" t="n">
        <f aca="false">IF(J7973=1,$C$7817,IF(Assumptions!$I$57=1,MAX(K7815,Assumptions!$G$57)+Assumptions!$F$57+$C$7816,Assumptions!$E$57))</f>
        <v>0.0425</v>
      </c>
    </row>
    <row r="7842" customFormat="false" ht="15" hidden="false" customHeight="false" outlineLevel="0" collapsed="false">
      <c r="A7842" s="3" t="s">
        <v>312</v>
      </c>
      <c r="G7842" s="25" t="n">
        <f aca="false">G7838*G7841</f>
        <v>11.760005</v>
      </c>
      <c r="H7842" s="25" t="n">
        <f aca="false">H7838*H7841</f>
        <v>11.760005</v>
      </c>
      <c r="I7842" s="25" t="n">
        <f aca="false">I7838*I7841</f>
        <v>11.760005</v>
      </c>
      <c r="J7842" s="25" t="n">
        <f aca="false">J7838*J7841</f>
        <v>0</v>
      </c>
      <c r="K7842" s="25" t="n">
        <f aca="false">K7838*K7841</f>
        <v>0</v>
      </c>
    </row>
    <row r="7843" customFormat="false" ht="15" hidden="false" customHeight="false" outlineLevel="0" collapsed="false">
      <c r="A7843" s="3" t="s">
        <v>313</v>
      </c>
      <c r="G7843" s="25" t="n">
        <f aca="false">G7838*Assumptions!$H$57</f>
        <v>0</v>
      </c>
      <c r="H7843" s="25" t="n">
        <f aca="false">H7838*Assumptions!$H$57</f>
        <v>0</v>
      </c>
      <c r="I7843" s="25" t="n">
        <f aca="false">I7838*Assumptions!$H$57</f>
        <v>0</v>
      </c>
      <c r="J7843" s="25" t="n">
        <f aca="false">J7838*Assumptions!$H$57</f>
        <v>0</v>
      </c>
      <c r="K7843" s="25" t="n">
        <f aca="false">K7838*Assumptions!$H$57</f>
        <v>0</v>
      </c>
    </row>
    <row r="7844" customFormat="false" ht="15" hidden="false" customHeight="false" outlineLevel="0" collapsed="false">
      <c r="A7844" s="3" t="s">
        <v>314</v>
      </c>
      <c r="G7844" s="25" t="n">
        <f aca="false">MIN(G7838,Assumptions!$L$57*Assumptions!$C$57)</f>
        <v>0</v>
      </c>
      <c r="H7844" s="25" t="n">
        <f aca="false">MIN(H7838,Assumptions!$L$57*Assumptions!$C$57)</f>
        <v>0</v>
      </c>
      <c r="I7844" s="25" t="n">
        <f aca="false">MIN(I7838,Assumptions!$L$57*Assumptions!$C$57)</f>
        <v>0</v>
      </c>
      <c r="J7844" s="25" t="n">
        <f aca="false">MIN(J7838,Assumptions!$L$57*Assumptions!$C$57)</f>
        <v>0</v>
      </c>
      <c r="K7844" s="25" t="n">
        <f aca="false">MIN(K7838,Assumptions!$L$57*Assumptions!$C$57)</f>
        <v>0</v>
      </c>
    </row>
    <row r="7845" customFormat="false" ht="15" hidden="false" customHeight="false" outlineLevel="0" collapsed="false">
      <c r="A7845" s="3" t="s">
        <v>315</v>
      </c>
      <c r="G7845" s="25" t="n">
        <f aca="false">IF(AND(Assumptions!$P$57=1,G7789&lt;Assumptions!$K$57),MIN(MAX(0,-G7886),MAX(0,Assumptions!$D$57-G7838)),0)</f>
        <v>0</v>
      </c>
      <c r="H7845" s="25" t="n">
        <f aca="false">IF(AND(Assumptions!$P$57=1,OR(H7789&lt;Assumptions!$K$57,G7973=1)),MIN(MAX(0,-H7886),MAX(0,Assumptions!$D$57-H7838)),0)</f>
        <v>0</v>
      </c>
      <c r="I7845" s="25" t="n">
        <f aca="false">IF(AND(Assumptions!$P$57=1,OR(I7789&lt;Assumptions!$K$57,H7973=1)),MIN(MAX(0,-I7886),MAX(0,Assumptions!$D$57-I7838)),0)</f>
        <v>0</v>
      </c>
      <c r="J7845" s="25" t="n">
        <f aca="false">IF(AND(Assumptions!$P$57=1,OR(J7789&lt;Assumptions!$K$57,I7973=1)),MIN(MAX(0,-J7886),MAX(0,Assumptions!$D$57-J7838)),0)</f>
        <v>0</v>
      </c>
      <c r="K7845" s="25" t="n">
        <f aca="false">IF(AND(Assumptions!$P$57=1,OR(K7789&lt;Assumptions!$K$57,J7973=1)),MIN(MAX(0,-K7886),MAX(0,Assumptions!$D$57-K7838)),0)</f>
        <v>0</v>
      </c>
    </row>
    <row r="7846" customFormat="false" ht="15" hidden="false" customHeight="false" outlineLevel="0" collapsed="false">
      <c r="A7846" s="3" t="s">
        <v>316</v>
      </c>
      <c r="G7846" s="25" t="n">
        <f aca="false">G7839*MIN(G7838-G7844+G7843,MAX(0,G7888-Assumptions!$C$12*G7823-G7833))</f>
        <v>0</v>
      </c>
      <c r="H7846" s="25" t="n">
        <f aca="false">H7839*MIN(H7838-H7844+H7843,MAX(0,H7888-Assumptions!$C$12*H7823-H7833))</f>
        <v>0</v>
      </c>
      <c r="I7846" s="25" t="n">
        <f aca="false">I7839*MIN(I7838-I7844+I7843,MAX(0,I7888-Assumptions!$C$12*I7823-I7833))</f>
        <v>276.706</v>
      </c>
      <c r="J7846" s="25" t="n">
        <f aca="false">J7839*MIN(J7838-J7844+J7843,MAX(0,J7888-Assumptions!$C$12*J7823-J7833))</f>
        <v>0</v>
      </c>
      <c r="K7846" s="25" t="n">
        <f aca="false">K7839*MIN(K7838-K7844+K7843,MAX(0,K7888-Assumptions!$C$12*K7823-K7833))</f>
        <v>0</v>
      </c>
    </row>
    <row r="7847" customFormat="false" ht="15" hidden="false" customHeight="false" outlineLevel="0" collapsed="false">
      <c r="A7847" s="3" t="s">
        <v>317</v>
      </c>
      <c r="G7847" s="25" t="n">
        <f aca="false">Assumptions!$N$57*MIN(G7838+G7845+G7843-G7844-G7846,MAX(0,G7892-G7834))</f>
        <v>0</v>
      </c>
      <c r="H7847" s="25" t="n">
        <f aca="false">Assumptions!$N$57*MIN(H7838+H7845+H7843-H7844-H7846,MAX(0,H7892-H7834))</f>
        <v>0</v>
      </c>
      <c r="I7847" s="25" t="n">
        <f aca="false">Assumptions!$N$57*MIN(I7838+I7845+I7843-I7844-I7846,MAX(0,I7892-I7834))</f>
        <v>0</v>
      </c>
      <c r="J7847" s="25" t="n">
        <f aca="false">Assumptions!$N$57*MIN(J7838+J7845+J7843-J7844-J7846,MAX(0,J7892-J7834))</f>
        <v>0</v>
      </c>
      <c r="K7847" s="25" t="n">
        <f aca="false">Assumptions!$N$57*MIN(K7838+K7845+K7843-K7844-K7846,MAX(0,K7892-K7834))</f>
        <v>0</v>
      </c>
    </row>
    <row r="7848" customFormat="false" ht="15" hidden="false" customHeight="false" outlineLevel="0" collapsed="false">
      <c r="A7848" s="3" t="s">
        <v>318</v>
      </c>
      <c r="G7848" s="25" t="n">
        <f aca="false">G7839*(1-G7823)*(G7838-G7844+G7843-G7846)</f>
        <v>0</v>
      </c>
      <c r="H7848" s="25" t="n">
        <f aca="false">H7839*(1-H7823)*(H7838-H7844+H7843-H7846)</f>
        <v>0</v>
      </c>
      <c r="I7848" s="25" t="n">
        <f aca="false">I7839*(1-I7823)*(I7838-I7844+I7843-I7846)</f>
        <v>0</v>
      </c>
      <c r="J7848" s="25" t="n">
        <f aca="false">J7839*(1-J7823)*(J7838-J7844+J7843-J7846)</f>
        <v>0</v>
      </c>
      <c r="K7848" s="25" t="n">
        <f aca="false">K7839*(1-K7823)*(K7838-K7844+K7843-K7846)</f>
        <v>0</v>
      </c>
    </row>
    <row r="7849" customFormat="false" ht="15" hidden="false" customHeight="false" outlineLevel="0" collapsed="false">
      <c r="A7849" s="2" t="s">
        <v>319</v>
      </c>
      <c r="F7849" s="28" t="n">
        <f aca="false">Assumptions!$C$57</f>
        <v>276.706</v>
      </c>
      <c r="G7849" s="16" t="n">
        <f aca="false">G7838+G7845+G7843-G7844-G7846-G7847</f>
        <v>276.706</v>
      </c>
      <c r="H7849" s="16" t="n">
        <f aca="false">H7838+H7845+H7843-H7844-H7846-H7847</f>
        <v>276.706</v>
      </c>
      <c r="I7849" s="16" t="n">
        <f aca="false">I7838+I7845+I7843-I7844-I7846-I7847</f>
        <v>0</v>
      </c>
      <c r="J7849" s="16" t="n">
        <f aca="false">J7838+J7845+J7843-J7844-J7846-J7847</f>
        <v>0</v>
      </c>
      <c r="K7849" s="16" t="n">
        <f aca="false">K7838+K7845+K7843-K7844-K7846-K7847</f>
        <v>0</v>
      </c>
    </row>
    <row r="7850" customFormat="false" ht="15" hidden="false" customHeight="false" outlineLevel="0" collapsed="false">
      <c r="A7850" s="23" t="s">
        <v>321</v>
      </c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</row>
    <row r="7851" customFormat="false" ht="15" hidden="false" customHeight="false" outlineLevel="0" collapsed="false">
      <c r="A7851" s="3" t="s">
        <v>309</v>
      </c>
      <c r="G7851" s="25" t="n">
        <f aca="false">F7862</f>
        <v>143.75</v>
      </c>
      <c r="H7851" s="25" t="n">
        <f aca="false">G7862</f>
        <v>143.75</v>
      </c>
      <c r="I7851" s="25" t="n">
        <f aca="false">H7862</f>
        <v>143.75</v>
      </c>
      <c r="J7851" s="25" t="n">
        <f aca="false">I7862</f>
        <v>0</v>
      </c>
      <c r="K7851" s="25" t="n">
        <f aca="false">J7862</f>
        <v>0</v>
      </c>
    </row>
    <row r="7852" customFormat="false" ht="15" hidden="false" customHeight="false" outlineLevel="0" collapsed="false">
      <c r="A7852" s="3" t="s">
        <v>310</v>
      </c>
      <c r="G7852" s="20" t="n">
        <f aca="false">IF(G7789=Assumptions!$K$58,1,0)</f>
        <v>0</v>
      </c>
      <c r="H7852" s="20" t="n">
        <f aca="false">IF(H7789=Assumptions!$K$58,1,0)</f>
        <v>0</v>
      </c>
      <c r="I7852" s="20" t="n">
        <f aca="false">IF(I7789=Assumptions!$K$58,1,0)</f>
        <v>1</v>
      </c>
      <c r="J7852" s="20" t="n">
        <f aca="false">IF(J7789=Assumptions!$K$58,1,0)</f>
        <v>0</v>
      </c>
      <c r="K7852" s="20" t="n">
        <f aca="false">IF(K7789=Assumptions!$K$58,1,0)</f>
        <v>0</v>
      </c>
    </row>
    <row r="7854" customFormat="false" ht="15" hidden="false" customHeight="false" outlineLevel="0" collapsed="false">
      <c r="A7854" s="3" t="s">
        <v>311</v>
      </c>
      <c r="G7854" s="31" t="n">
        <f aca="false">IF(Assumptions!$I$58=1,MAX(G7815,Assumptions!$G$58)+Assumptions!$F$58+$C$7816,Assumptions!$E$58)</f>
        <v>0.0425</v>
      </c>
      <c r="H7854" s="31" t="n">
        <f aca="false">IF(G7974=1,$C$7817,IF(Assumptions!$I$58=1,MAX(H7815,Assumptions!$G$58)+Assumptions!$F$58+$C$7816,Assumptions!$E$58))</f>
        <v>0.0425</v>
      </c>
      <c r="I7854" s="31" t="n">
        <f aca="false">IF(H7974=1,$C$7817,IF(Assumptions!$I$58=1,MAX(I7815,Assumptions!$G$58)+Assumptions!$F$58+$C$7816,Assumptions!$E$58))</f>
        <v>0.0425</v>
      </c>
      <c r="J7854" s="31" t="n">
        <f aca="false">IF(I7974=1,$C$7817,IF(Assumptions!$I$58=1,MAX(J7815,Assumptions!$G$58)+Assumptions!$F$58+$C$7816,Assumptions!$E$58))</f>
        <v>0.0425</v>
      </c>
      <c r="K7854" s="31" t="n">
        <f aca="false">IF(J7974=1,$C$7817,IF(Assumptions!$I$58=1,MAX(K7815,Assumptions!$G$58)+Assumptions!$F$58+$C$7816,Assumptions!$E$58))</f>
        <v>0.0425</v>
      </c>
    </row>
    <row r="7855" customFormat="false" ht="15" hidden="false" customHeight="false" outlineLevel="0" collapsed="false">
      <c r="A7855" s="3" t="s">
        <v>312</v>
      </c>
      <c r="G7855" s="25" t="n">
        <f aca="false">G7851*G7854</f>
        <v>6.109375</v>
      </c>
      <c r="H7855" s="25" t="n">
        <f aca="false">H7851*H7854</f>
        <v>6.109375</v>
      </c>
      <c r="I7855" s="25" t="n">
        <f aca="false">I7851*I7854</f>
        <v>6.109375</v>
      </c>
      <c r="J7855" s="25" t="n">
        <f aca="false">J7851*J7854</f>
        <v>0</v>
      </c>
      <c r="K7855" s="25" t="n">
        <f aca="false">K7851*K7854</f>
        <v>0</v>
      </c>
    </row>
    <row r="7856" customFormat="false" ht="15" hidden="false" customHeight="false" outlineLevel="0" collapsed="false">
      <c r="A7856" s="3" t="s">
        <v>313</v>
      </c>
      <c r="G7856" s="25" t="n">
        <f aca="false">G7851*Assumptions!$H$58</f>
        <v>0</v>
      </c>
      <c r="H7856" s="25" t="n">
        <f aca="false">H7851*Assumptions!$H$58</f>
        <v>0</v>
      </c>
      <c r="I7856" s="25" t="n">
        <f aca="false">I7851*Assumptions!$H$58</f>
        <v>0</v>
      </c>
      <c r="J7856" s="25" t="n">
        <f aca="false">J7851*Assumptions!$H$58</f>
        <v>0</v>
      </c>
      <c r="K7856" s="25" t="n">
        <f aca="false">K7851*Assumptions!$H$58</f>
        <v>0</v>
      </c>
    </row>
    <row r="7857" customFormat="false" ht="15" hidden="false" customHeight="false" outlineLevel="0" collapsed="false">
      <c r="A7857" s="3" t="s">
        <v>314</v>
      </c>
      <c r="G7857" s="25" t="n">
        <f aca="false">MIN(G7851,Assumptions!$L$58*Assumptions!$C$58)</f>
        <v>0</v>
      </c>
      <c r="H7857" s="25" t="n">
        <f aca="false">MIN(H7851,Assumptions!$L$58*Assumptions!$C$58)</f>
        <v>0</v>
      </c>
      <c r="I7857" s="25" t="n">
        <f aca="false">MIN(I7851,Assumptions!$L$58*Assumptions!$C$58)</f>
        <v>0</v>
      </c>
      <c r="J7857" s="25" t="n">
        <f aca="false">MIN(J7851,Assumptions!$L$58*Assumptions!$C$58)</f>
        <v>0</v>
      </c>
      <c r="K7857" s="25" t="n">
        <f aca="false">MIN(K7851,Assumptions!$L$58*Assumptions!$C$58)</f>
        <v>0</v>
      </c>
    </row>
    <row r="7858" customFormat="false" ht="15" hidden="false" customHeight="false" outlineLevel="0" collapsed="false">
      <c r="A7858" s="3" t="s">
        <v>315</v>
      </c>
      <c r="G7858" s="25" t="n">
        <f aca="false">IF(AND(Assumptions!$P$58=1,G7789&lt;Assumptions!$K$58),MIN(MAX(0,-G7886),MAX(0,Assumptions!$D$58-G7851)),0)</f>
        <v>0</v>
      </c>
      <c r="H7858" s="25" t="n">
        <f aca="false">IF(AND(Assumptions!$P$58=1,OR(H7789&lt;Assumptions!$K$58,G7974=1)),MIN(MAX(0,-H7886),MAX(0,Assumptions!$D$58-H7851)),0)</f>
        <v>0</v>
      </c>
      <c r="I7858" s="25" t="n">
        <f aca="false">IF(AND(Assumptions!$P$58=1,OR(I7789&lt;Assumptions!$K$58,H7974=1)),MIN(MAX(0,-I7886),MAX(0,Assumptions!$D$58-I7851)),0)</f>
        <v>0</v>
      </c>
      <c r="J7858" s="25" t="n">
        <f aca="false">IF(AND(Assumptions!$P$58=1,OR(J7789&lt;Assumptions!$K$58,I7974=1)),MIN(MAX(0,-J7886),MAX(0,Assumptions!$D$58-J7851)),0)</f>
        <v>0</v>
      </c>
      <c r="K7858" s="25" t="n">
        <f aca="false">IF(AND(Assumptions!$P$58=1,OR(K7789&lt;Assumptions!$K$58,J7974=1)),MIN(MAX(0,-K7886),MAX(0,Assumptions!$D$58-K7851)),0)</f>
        <v>0</v>
      </c>
    </row>
    <row r="7859" customFormat="false" ht="15" hidden="false" customHeight="false" outlineLevel="0" collapsed="false">
      <c r="A7859" s="3" t="s">
        <v>316</v>
      </c>
      <c r="G7859" s="25" t="n">
        <f aca="false">G7852*MIN(G7851-G7857+G7856,MAX(0,G7888-Assumptions!$C$12*G7823-G7833-G7846))</f>
        <v>0</v>
      </c>
      <c r="H7859" s="25" t="n">
        <f aca="false">H7852*MIN(H7851-H7857+H7856,MAX(0,H7888-Assumptions!$C$12*H7823-H7833-H7846))</f>
        <v>0</v>
      </c>
      <c r="I7859" s="25" t="n">
        <f aca="false">I7852*MIN(I7851-I7857+I7856,MAX(0,I7888-Assumptions!$C$12*I7823-I7833-I7846))</f>
        <v>143.75</v>
      </c>
      <c r="J7859" s="25" t="n">
        <f aca="false">J7852*MIN(J7851-J7857+J7856,MAX(0,J7888-Assumptions!$C$12*J7823-J7833-J7846))</f>
        <v>0</v>
      </c>
      <c r="K7859" s="25" t="n">
        <f aca="false">K7852*MIN(K7851-K7857+K7856,MAX(0,K7888-Assumptions!$C$12*K7823-K7833-K7846))</f>
        <v>0</v>
      </c>
    </row>
    <row r="7860" customFormat="false" ht="15" hidden="false" customHeight="false" outlineLevel="0" collapsed="false">
      <c r="A7860" s="3" t="s">
        <v>317</v>
      </c>
      <c r="G7860" s="25" t="n">
        <f aca="false">Assumptions!$N$58*MIN(G7851+G7858+G7856-G7857-G7859,MAX(0,G7892-G7834-G7847))</f>
        <v>0</v>
      </c>
      <c r="H7860" s="25" t="n">
        <f aca="false">Assumptions!$N$58*MIN(H7851+H7858+H7856-H7857-H7859,MAX(0,H7892-H7834-H7847))</f>
        <v>0</v>
      </c>
      <c r="I7860" s="25" t="n">
        <f aca="false">Assumptions!$N$58*MIN(I7851+I7858+I7856-I7857-I7859,MAX(0,I7892-I7834-I7847))</f>
        <v>0</v>
      </c>
      <c r="J7860" s="25" t="n">
        <f aca="false">Assumptions!$N$58*MIN(J7851+J7858+J7856-J7857-J7859,MAX(0,J7892-J7834-J7847))</f>
        <v>0</v>
      </c>
      <c r="K7860" s="25" t="n">
        <f aca="false">Assumptions!$N$58*MIN(K7851+K7858+K7856-K7857-K7859,MAX(0,K7892-K7834-K7847))</f>
        <v>0</v>
      </c>
    </row>
    <row r="7861" customFormat="false" ht="15" hidden="false" customHeight="false" outlineLevel="0" collapsed="false">
      <c r="A7861" s="3" t="s">
        <v>318</v>
      </c>
      <c r="G7861" s="25" t="n">
        <f aca="false">G7852*(1-G7823)*(G7851-G7857+G7856-G7859)</f>
        <v>0</v>
      </c>
      <c r="H7861" s="25" t="n">
        <f aca="false">H7852*(1-H7823)*(H7851-H7857+H7856-H7859)</f>
        <v>0</v>
      </c>
      <c r="I7861" s="25" t="n">
        <f aca="false">I7852*(1-I7823)*(I7851-I7857+I7856-I7859)</f>
        <v>0</v>
      </c>
      <c r="J7861" s="25" t="n">
        <f aca="false">J7852*(1-J7823)*(J7851-J7857+J7856-J7859)</f>
        <v>0</v>
      </c>
      <c r="K7861" s="25" t="n">
        <f aca="false">K7852*(1-K7823)*(K7851-K7857+K7856-K7859)</f>
        <v>0</v>
      </c>
    </row>
    <row r="7862" customFormat="false" ht="15" hidden="false" customHeight="false" outlineLevel="0" collapsed="false">
      <c r="A7862" s="2" t="s">
        <v>319</v>
      </c>
      <c r="F7862" s="28" t="n">
        <f aca="false">Assumptions!$C$58</f>
        <v>143.75</v>
      </c>
      <c r="G7862" s="16" t="n">
        <f aca="false">G7851+G7858+G7856-G7857-G7859-G7860</f>
        <v>143.75</v>
      </c>
      <c r="H7862" s="16" t="n">
        <f aca="false">H7851+H7858+H7856-H7857-H7859-H7860</f>
        <v>143.75</v>
      </c>
      <c r="I7862" s="16" t="n">
        <f aca="false">I7851+I7858+I7856-I7857-I7859-I7860</f>
        <v>0</v>
      </c>
      <c r="J7862" s="16" t="n">
        <f aca="false">J7851+J7858+J7856-J7857-J7859-J7860</f>
        <v>0</v>
      </c>
      <c r="K7862" s="16" t="n">
        <f aca="false">K7851+K7858+K7856-K7857-K7859-K7860</f>
        <v>0</v>
      </c>
    </row>
    <row r="7863" customFormat="false" ht="15" hidden="false" customHeight="false" outlineLevel="0" collapsed="false">
      <c r="A7863" s="23" t="s">
        <v>322</v>
      </c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</row>
    <row r="7864" customFormat="false" ht="15" hidden="false" customHeight="false" outlineLevel="0" collapsed="false">
      <c r="A7864" s="2" t="s">
        <v>323</v>
      </c>
      <c r="F7864" s="16" t="n">
        <f aca="false">F7836+F7849+F7862</f>
        <v>1735.554</v>
      </c>
      <c r="G7864" s="16" t="n">
        <f aca="false">G7836+G7849+G7862</f>
        <v>1735.554</v>
      </c>
      <c r="H7864" s="16" t="n">
        <f aca="false">H7836+H7849+H7862</f>
        <v>1735.554</v>
      </c>
      <c r="I7864" s="16" t="n">
        <f aca="false">I7836+I7849+I7862</f>
        <v>1315.098</v>
      </c>
      <c r="J7864" s="16" t="n">
        <f aca="false">J7836+J7849+J7862</f>
        <v>1315.098</v>
      </c>
      <c r="K7864" s="16" t="n">
        <f aca="false">K7836+K7849+K7862</f>
        <v>1315.098</v>
      </c>
    </row>
    <row r="7865" customFormat="false" ht="15" hidden="false" customHeight="false" outlineLevel="0" collapsed="false">
      <c r="A7865" s="3" t="s">
        <v>324</v>
      </c>
      <c r="G7865" s="25" t="n">
        <f aca="false">G7826*Assumptions!$C$56+G7839*Assumptions!$C$57+G7852*Assumptions!$C$58</f>
        <v>0</v>
      </c>
      <c r="H7865" s="25" t="n">
        <f aca="false">H7826*Assumptions!$C$56+H7839*Assumptions!$C$57+H7852*Assumptions!$C$58</f>
        <v>0</v>
      </c>
      <c r="I7865" s="25" t="n">
        <f aca="false">I7826*Assumptions!$C$56+I7839*Assumptions!$C$57+I7852*Assumptions!$C$58</f>
        <v>420.456</v>
      </c>
      <c r="J7865" s="25" t="n">
        <f aca="false">J7826*Assumptions!$C$56+J7839*Assumptions!$C$57+J7852*Assumptions!$C$58</f>
        <v>0</v>
      </c>
      <c r="K7865" s="25" t="n">
        <f aca="false">K7826*Assumptions!$C$56+K7839*Assumptions!$C$57+K7852*Assumptions!$C$58</f>
        <v>0</v>
      </c>
    </row>
    <row r="7866" customFormat="false" ht="15" hidden="false" customHeight="false" outlineLevel="0" collapsed="false">
      <c r="A7866" s="23" t="s">
        <v>325</v>
      </c>
      <c r="B7866" s="24"/>
      <c r="C7866" s="24"/>
      <c r="D7866" s="24"/>
      <c r="E7866" s="24"/>
      <c r="F7866" s="24"/>
      <c r="G7866" s="24"/>
      <c r="H7866" s="24"/>
      <c r="I7866" s="24"/>
      <c r="J7866" s="24"/>
      <c r="K7866" s="24"/>
    </row>
    <row r="7867" customFormat="false" ht="15" hidden="false" customHeight="false" outlineLevel="0" collapsed="false">
      <c r="A7867" s="3" t="s">
        <v>326</v>
      </c>
      <c r="C7867" s="25" t="n">
        <f aca="false">SUMPRODUCT($G$7826:$K$7826,$G$7825:$K$7825-$G$7831:$K$7831+$G$7830:$K$7830)</f>
        <v>0</v>
      </c>
    </row>
    <row r="7868" customFormat="false" ht="15" hidden="false" customHeight="false" outlineLevel="0" collapsed="false">
      <c r="A7868" s="3" t="s">
        <v>327</v>
      </c>
      <c r="C7868" s="25" t="n">
        <f aca="false">SUMPRODUCT($G$7826:$K$7826,$G$7833:$K$7833)</f>
        <v>0</v>
      </c>
    </row>
    <row r="7869" customFormat="false" ht="15" hidden="false" customHeight="false" outlineLevel="0" collapsed="false">
      <c r="A7869" s="3" t="s">
        <v>328</v>
      </c>
      <c r="C7869" s="3" t="str">
        <f aca="false">IF(SUM($G$7826:$K$7826)=0,"n/a (beyond horizon)",IF(SUMPRODUCT($G$7826:$K$7826,$G$7823:$K$7823)&gt;0,"REFINANCING PASS","REFINANCING FAILURE"))</f>
        <v>n/a (beyond horizon)</v>
      </c>
    </row>
    <row r="7870" customFormat="false" ht="15" hidden="false" customHeight="false" outlineLevel="0" collapsed="false">
      <c r="A7870" s="3" t="s">
        <v>329</v>
      </c>
      <c r="C7870" s="3" t="str">
        <f aca="false">IF(SUM($G$7826:$K$7826)=0,"n/a",IF(C7868&gt;=C7867-0.001,"Repaid from cash",IF(SUMPRODUCT($G$7826:$K$7826,$G$7823:$K$7823)&gt;0,IF(C7868&gt;0,"Partly repaid; remainder refinanced","Refinanced"),IF(SUM($G$7835:$K$7835)&gt;0.001,IF(C7868&gt;0,"Partial repayment; PAYMENT DEFAULT","PAYMENT DEFAULT"),"Repaid from cash"))))</f>
        <v>n/a</v>
      </c>
    </row>
    <row r="7871" customFormat="false" ht="15" hidden="false" customHeight="false" outlineLevel="0" collapsed="false">
      <c r="A7871" s="3" t="s">
        <v>330</v>
      </c>
      <c r="C7871" s="25" t="n">
        <f aca="false">SUMPRODUCT($G$7839:$K$7839,$G$7838:$K$7838-$G$7844:$K$7844+$G$7843:$K$7843)</f>
        <v>276.706</v>
      </c>
    </row>
    <row r="7872" customFormat="false" ht="15" hidden="false" customHeight="false" outlineLevel="0" collapsed="false">
      <c r="A7872" s="3" t="s">
        <v>331</v>
      </c>
      <c r="C7872" s="25" t="n">
        <f aca="false">SUMPRODUCT($G$7839:$K$7839,$G$7846:$K$7846)</f>
        <v>276.706</v>
      </c>
    </row>
    <row r="7873" customFormat="false" ht="15" hidden="false" customHeight="false" outlineLevel="0" collapsed="false">
      <c r="A7873" s="3" t="s">
        <v>332</v>
      </c>
      <c r="C7873" s="3" t="str">
        <f aca="false">IF(SUM($G$7839:$K$7839)=0,"n/a (beyond horizon)",IF(SUMPRODUCT($G$7839:$K$7839,$G$7823:$K$7823)&gt;0,"REFINANCING PASS","REFINANCING FAILURE"))</f>
        <v>REFINANCING FAILURE</v>
      </c>
    </row>
    <row r="7874" customFormat="false" ht="15" hidden="false" customHeight="false" outlineLevel="0" collapsed="false">
      <c r="A7874" s="3" t="s">
        <v>333</v>
      </c>
      <c r="C7874" s="3" t="str">
        <f aca="false">IF(SUM($G$7839:$K$7839)=0,"n/a",IF(C7872&gt;=C7871-0.001,"Repaid from cash",IF(SUMPRODUCT($G$7839:$K$7839,$G$7823:$K$7823)&gt;0,IF(C7872&gt;0,"Partly repaid; remainder refinanced","Refinanced"),IF(SUM($G$7848:$K$7848)&gt;0.001,IF(C7872&gt;0,"Partial repayment; PAYMENT DEFAULT","PAYMENT DEFAULT"),"Repaid from cash"))))</f>
        <v>Repaid from cash</v>
      </c>
    </row>
    <row r="7875" customFormat="false" ht="15" hidden="false" customHeight="false" outlineLevel="0" collapsed="false">
      <c r="A7875" s="3" t="s">
        <v>334</v>
      </c>
      <c r="C7875" s="25" t="n">
        <f aca="false">SUMPRODUCT($G$7852:$K$7852,$G$7851:$K$7851-$G$7857:$K$7857+$G$7856:$K$7856)</f>
        <v>143.75</v>
      </c>
    </row>
    <row r="7876" customFormat="false" ht="15" hidden="false" customHeight="false" outlineLevel="0" collapsed="false">
      <c r="A7876" s="3" t="s">
        <v>335</v>
      </c>
      <c r="C7876" s="25" t="n">
        <f aca="false">SUMPRODUCT($G$7852:$K$7852,$G$7859:$K$7859)</f>
        <v>143.75</v>
      </c>
    </row>
    <row r="7877" customFormat="false" ht="15" hidden="false" customHeight="false" outlineLevel="0" collapsed="false">
      <c r="A7877" s="3" t="s">
        <v>336</v>
      </c>
      <c r="C7877" s="3" t="str">
        <f aca="false">IF(SUM($G$7852:$K$7852)=0,"n/a (beyond horizon)",IF(SUMPRODUCT($G$7852:$K$7852,$G$7823:$K$7823)&gt;0,"REFINANCING PASS","REFINANCING FAILURE"))</f>
        <v>REFINANCING FAILURE</v>
      </c>
    </row>
    <row r="7878" customFormat="false" ht="15" hidden="false" customHeight="false" outlineLevel="0" collapsed="false">
      <c r="A7878" s="3" t="s">
        <v>337</v>
      </c>
      <c r="C7878" s="3" t="str">
        <f aca="false">IF(SUM($G$7852:$K$7852)=0,"n/a",IF(C7876&gt;=C7875-0.001,"Repaid from cash",IF(SUMPRODUCT($G$7852:$K$7852,$G$7823:$K$7823)&gt;0,IF(C7876&gt;0,"Partly repaid; remainder refinanced","Refinanced"),IF(SUM($G$7861:$K$7861)&gt;0.001,IF(C7876&gt;0,"Partial repayment; PAYMENT DEFAULT","PAYMENT DEFAULT"),"Repaid from cash"))))</f>
        <v>Repaid from cash</v>
      </c>
    </row>
    <row r="7879" customFormat="false" ht="15" hidden="false" customHeight="false" outlineLevel="0" collapsed="false">
      <c r="A7879" s="3" t="s">
        <v>338</v>
      </c>
      <c r="C7879" s="20" t="n">
        <f aca="false">IF(C7869="REFINANCING FAILURE",1,0)+IF(C7873="REFINANCING FAILURE",1,0)+IF(C7877="REFINANCING FAILURE",1,0)</f>
        <v>2</v>
      </c>
    </row>
    <row r="7881" customFormat="false" ht="15" hidden="false" customHeight="false" outlineLevel="0" collapsed="false">
      <c r="A7881" s="23" t="s">
        <v>340</v>
      </c>
      <c r="B7881" s="24"/>
      <c r="C7881" s="24"/>
      <c r="D7881" s="24"/>
      <c r="E7881" s="24"/>
      <c r="F7881" s="24"/>
      <c r="G7881" s="24"/>
      <c r="H7881" s="24"/>
      <c r="I7881" s="24"/>
      <c r="J7881" s="24"/>
      <c r="K7881" s="24"/>
    </row>
    <row r="7882" customFormat="false" ht="15" hidden="false" customHeight="false" outlineLevel="0" collapsed="false">
      <c r="A7882" s="3" t="s">
        <v>305</v>
      </c>
      <c r="G7882" s="25" t="n">
        <f aca="false">F7894</f>
        <v>463.996</v>
      </c>
      <c r="H7882" s="25" t="n">
        <f aca="false">G7894</f>
        <v>507.36610084</v>
      </c>
      <c r="I7882" s="25" t="n">
        <f aca="false">H7894</f>
        <v>509.6205822832</v>
      </c>
      <c r="J7882" s="25" t="n">
        <f aca="false">I7894</f>
        <v>66.363549198928</v>
      </c>
      <c r="K7882" s="25" t="n">
        <f aca="false">J7894</f>
        <v>41.2292753412352</v>
      </c>
    </row>
    <row r="7883" customFormat="false" ht="15" hidden="false" customHeight="false" outlineLevel="0" collapsed="false">
      <c r="A7883" s="3" t="s">
        <v>341</v>
      </c>
      <c r="G7883" s="25" t="n">
        <f aca="false">G7812</f>
        <v>43.37010084</v>
      </c>
      <c r="H7883" s="25" t="n">
        <f aca="false">H7812</f>
        <v>2.2544814432</v>
      </c>
      <c r="I7883" s="25" t="n">
        <f aca="false">I7812</f>
        <v>-22.801033084272</v>
      </c>
      <c r="J7883" s="25" t="n">
        <f aca="false">J7812</f>
        <v>-25.1342738576928</v>
      </c>
      <c r="K7883" s="25" t="n">
        <f aca="false">K7812</f>
        <v>-36.4293754719235</v>
      </c>
    </row>
    <row r="7884" customFormat="false" ht="15" hidden="false" customHeight="false" outlineLevel="0" collapsed="false">
      <c r="A7884" s="3" t="s">
        <v>342</v>
      </c>
      <c r="G7884" s="25" t="n">
        <f aca="false">CHOOSE($C$7782,Assumptions!$G$74,Assumptions!$G$93,Assumptions!$G$112)</f>
        <v>0</v>
      </c>
      <c r="H7884" s="25" t="n">
        <f aca="false">CHOOSE($C$7782,Assumptions!$H$74,Assumptions!$H$93,Assumptions!$H$112)</f>
        <v>0</v>
      </c>
      <c r="I7884" s="25" t="n">
        <f aca="false">CHOOSE($C$7782,Assumptions!$I$74,Assumptions!$I$93,Assumptions!$I$112)</f>
        <v>0</v>
      </c>
      <c r="J7884" s="25" t="n">
        <f aca="false">CHOOSE($C$7782,Assumptions!$J$74,Assumptions!$J$93,Assumptions!$J$112)</f>
        <v>0</v>
      </c>
      <c r="K7884" s="25" t="n">
        <f aca="false">CHOOSE($C$7782,Assumptions!$K$74,Assumptions!$K$93,Assumptions!$K$112)</f>
        <v>0</v>
      </c>
    </row>
    <row r="7885" customFormat="false" ht="15" hidden="false" customHeight="false" outlineLevel="0" collapsed="false">
      <c r="A7885" s="3" t="s">
        <v>343</v>
      </c>
      <c r="G7885" s="25" t="n">
        <f aca="false">G7831+G7844+G7857</f>
        <v>0</v>
      </c>
      <c r="H7885" s="25" t="n">
        <f aca="false">H7831+H7844+H7857</f>
        <v>0</v>
      </c>
      <c r="I7885" s="25" t="n">
        <f aca="false">I7831+I7844+I7857</f>
        <v>0</v>
      </c>
      <c r="J7885" s="25" t="n">
        <f aca="false">J7831+J7844+J7857</f>
        <v>0</v>
      </c>
      <c r="K7885" s="25" t="n">
        <f aca="false">K7831+K7844+K7857</f>
        <v>0</v>
      </c>
    </row>
    <row r="7886" customFormat="false" ht="15" hidden="false" customHeight="false" outlineLevel="0" collapsed="false">
      <c r="A7886" s="2" t="s">
        <v>344</v>
      </c>
      <c r="G7886" s="16" t="n">
        <f aca="false">G7882+G7883+G7884-G7885</f>
        <v>507.36610084</v>
      </c>
      <c r="H7886" s="16" t="n">
        <f aca="false">H7882+H7883+H7884-H7885</f>
        <v>509.6205822832</v>
      </c>
      <c r="I7886" s="16" t="n">
        <f aca="false">I7882+I7883+I7884-I7885</f>
        <v>486.819549198928</v>
      </c>
      <c r="J7886" s="16" t="n">
        <f aca="false">J7882+J7883+J7884-J7885</f>
        <v>41.2292753412352</v>
      </c>
      <c r="K7886" s="16" t="n">
        <f aca="false">K7882+K7883+K7884-K7885</f>
        <v>4.79989986931171</v>
      </c>
    </row>
    <row r="7887" customFormat="false" ht="15" hidden="false" customHeight="false" outlineLevel="0" collapsed="false">
      <c r="A7887" s="3" t="s">
        <v>345</v>
      </c>
      <c r="G7887" s="25" t="n">
        <f aca="false">G7832+G7845+G7858</f>
        <v>0</v>
      </c>
      <c r="H7887" s="25" t="n">
        <f aca="false">H7832+H7845+H7858</f>
        <v>0</v>
      </c>
      <c r="I7887" s="25" t="n">
        <f aca="false">I7832+I7845+I7858</f>
        <v>0</v>
      </c>
      <c r="J7887" s="25" t="n">
        <f aca="false">J7832+J7845+J7858</f>
        <v>0</v>
      </c>
      <c r="K7887" s="25" t="n">
        <f aca="false">K7832+K7845+K7858</f>
        <v>0</v>
      </c>
    </row>
    <row r="7888" customFormat="false" ht="15" hidden="false" customHeight="false" outlineLevel="0" collapsed="false">
      <c r="A7888" s="2" t="s">
        <v>346</v>
      </c>
      <c r="G7888" s="16" t="n">
        <f aca="false">G7886+G7887</f>
        <v>507.36610084</v>
      </c>
      <c r="H7888" s="16" t="n">
        <f aca="false">H7886+H7887</f>
        <v>509.6205822832</v>
      </c>
      <c r="I7888" s="16" t="n">
        <f aca="false">I7886+I7887</f>
        <v>486.819549198928</v>
      </c>
      <c r="J7888" s="16" t="n">
        <f aca="false">J7886+J7887</f>
        <v>41.2292753412352</v>
      </c>
      <c r="K7888" s="16" t="n">
        <f aca="false">K7886+K7887</f>
        <v>4.79989986931171</v>
      </c>
    </row>
    <row r="7889" customFormat="false" ht="15" hidden="false" customHeight="false" outlineLevel="0" collapsed="false">
      <c r="A7889" s="3" t="s">
        <v>347</v>
      </c>
      <c r="G7889" s="25" t="n">
        <f aca="false">G7833+G7846+G7859</f>
        <v>0</v>
      </c>
      <c r="H7889" s="25" t="n">
        <f aca="false">H7833+H7846+H7859</f>
        <v>0</v>
      </c>
      <c r="I7889" s="25" t="n">
        <f aca="false">I7833+I7846+I7859</f>
        <v>420.456</v>
      </c>
      <c r="J7889" s="25" t="n">
        <f aca="false">J7833+J7846+J7859</f>
        <v>0</v>
      </c>
      <c r="K7889" s="25" t="n">
        <f aca="false">K7833+K7846+K7859</f>
        <v>0</v>
      </c>
    </row>
    <row r="7890" customFormat="false" ht="15" hidden="false" customHeight="false" outlineLevel="0" collapsed="false">
      <c r="A7890" s="2" t="s">
        <v>348</v>
      </c>
      <c r="G7890" s="16" t="n">
        <f aca="false">G7888-G7889</f>
        <v>507.36610084</v>
      </c>
      <c r="H7890" s="16" t="n">
        <f aca="false">H7888-H7889</f>
        <v>509.6205822832</v>
      </c>
      <c r="I7890" s="16" t="n">
        <f aca="false">I7888-I7889</f>
        <v>66.363549198928</v>
      </c>
      <c r="J7890" s="16" t="n">
        <f aca="false">J7888-J7889</f>
        <v>41.2292753412352</v>
      </c>
      <c r="K7890" s="16" t="n">
        <f aca="false">K7888-K7889</f>
        <v>4.79989986931171</v>
      </c>
    </row>
    <row r="7891" customFormat="false" ht="15" hidden="false" customHeight="false" outlineLevel="0" collapsed="false">
      <c r="A7891" s="3" t="s">
        <v>349</v>
      </c>
      <c r="G7891" s="25" t="n">
        <f aca="false">MAX(0,-G7890)</f>
        <v>0</v>
      </c>
      <c r="H7891" s="25" t="n">
        <f aca="false">MAX(0,-H7890)</f>
        <v>0</v>
      </c>
      <c r="I7891" s="25" t="n">
        <f aca="false">MAX(0,-I7890)</f>
        <v>0</v>
      </c>
      <c r="J7891" s="25" t="n">
        <f aca="false">MAX(0,-J7890)</f>
        <v>0</v>
      </c>
      <c r="K7891" s="25" t="n">
        <f aca="false">MAX(0,-K7890)</f>
        <v>0</v>
      </c>
    </row>
    <row r="7892" customFormat="false" ht="15" hidden="false" customHeight="false" outlineLevel="0" collapsed="false">
      <c r="A7892" s="3" t="s">
        <v>350</v>
      </c>
      <c r="G7892" s="25" t="n">
        <f aca="false">MAX(0,G7890-Assumptions!$C$12)*Assumptions!$C$13</f>
        <v>0</v>
      </c>
      <c r="H7892" s="25" t="n">
        <f aca="false">MAX(0,H7890-Assumptions!$C$12)*Assumptions!$C$13</f>
        <v>0</v>
      </c>
      <c r="I7892" s="25" t="n">
        <f aca="false">MAX(0,I7890-Assumptions!$C$12)*Assumptions!$C$13</f>
        <v>0</v>
      </c>
      <c r="J7892" s="25" t="n">
        <f aca="false">MAX(0,J7890-Assumptions!$C$12)*Assumptions!$C$13</f>
        <v>0</v>
      </c>
      <c r="K7892" s="25" t="n">
        <f aca="false">MAX(0,K7890-Assumptions!$C$12)*Assumptions!$C$13</f>
        <v>0</v>
      </c>
    </row>
    <row r="7893" customFormat="false" ht="15" hidden="false" customHeight="false" outlineLevel="0" collapsed="false">
      <c r="A7893" s="3" t="s">
        <v>351</v>
      </c>
      <c r="G7893" s="25" t="n">
        <f aca="false">G7834+G7847+G7860</f>
        <v>0</v>
      </c>
      <c r="H7893" s="25" t="n">
        <f aca="false">H7834+H7847+H7860</f>
        <v>0</v>
      </c>
      <c r="I7893" s="25" t="n">
        <f aca="false">I7834+I7847+I7860</f>
        <v>0</v>
      </c>
      <c r="J7893" s="25" t="n">
        <f aca="false">J7834+J7847+J7860</f>
        <v>0</v>
      </c>
      <c r="K7893" s="25" t="n">
        <f aca="false">K7834+K7847+K7860</f>
        <v>0</v>
      </c>
    </row>
    <row r="7894" customFormat="false" ht="15" hidden="false" customHeight="false" outlineLevel="0" collapsed="false">
      <c r="A7894" s="2" t="s">
        <v>352</v>
      </c>
      <c r="F7894" s="28" t="n">
        <f aca="false">Assumptions!$C$11</f>
        <v>463.996</v>
      </c>
      <c r="G7894" s="16" t="n">
        <f aca="false">G7890-G7893</f>
        <v>507.36610084</v>
      </c>
      <c r="H7894" s="16" t="n">
        <f aca="false">H7890-H7893</f>
        <v>509.6205822832</v>
      </c>
      <c r="I7894" s="16" t="n">
        <f aca="false">I7890-I7893</f>
        <v>66.363549198928</v>
      </c>
      <c r="J7894" s="16" t="n">
        <f aca="false">J7890-J7893</f>
        <v>41.2292753412352</v>
      </c>
      <c r="K7894" s="16" t="n">
        <f aca="false">K7890-K7893</f>
        <v>4.79989986931171</v>
      </c>
    </row>
    <row r="7895" customFormat="false" ht="15" hidden="false" customHeight="false" outlineLevel="0" collapsed="false">
      <c r="A7895" s="3" t="s">
        <v>353</v>
      </c>
      <c r="G7895" s="25" t="n">
        <f aca="false">G7835+G7848+G7861</f>
        <v>0</v>
      </c>
      <c r="H7895" s="25" t="n">
        <f aca="false">H7835+H7848+H7861</f>
        <v>0</v>
      </c>
      <c r="I7895" s="25" t="n">
        <f aca="false">I7835+I7848+I7861</f>
        <v>0</v>
      </c>
      <c r="J7895" s="25" t="n">
        <f aca="false">J7835+J7848+J7861</f>
        <v>0</v>
      </c>
      <c r="K7895" s="25" t="n">
        <f aca="false">K7835+K7848+K7861</f>
        <v>0</v>
      </c>
    </row>
    <row r="7896" customFormat="false" ht="15" hidden="false" customHeight="false" outlineLevel="0" collapsed="false">
      <c r="A7896" s="3" t="s">
        <v>354</v>
      </c>
      <c r="G7896" s="20" t="n">
        <f aca="false">IF(OR(G7891&gt;0.001,G7895&gt;0.001),1,0)</f>
        <v>0</v>
      </c>
      <c r="H7896" s="20" t="n">
        <f aca="false">IF(OR(H7891&gt;0.001,H7895&gt;0.001),1,0)</f>
        <v>0</v>
      </c>
      <c r="I7896" s="20" t="n">
        <f aca="false">IF(OR(I7891&gt;0.001,I7895&gt;0.001),1,0)</f>
        <v>0</v>
      </c>
      <c r="J7896" s="20" t="n">
        <f aca="false">IF(OR(J7891&gt;0.001,J7895&gt;0.001),1,0)</f>
        <v>0</v>
      </c>
      <c r="K7896" s="20" t="n">
        <f aca="false">IF(OR(K7891&gt;0.001,K7895&gt;0.001),1,0)</f>
        <v>0</v>
      </c>
    </row>
    <row r="7897" customFormat="false" ht="15" hidden="false" customHeight="false" outlineLevel="0" collapsed="false">
      <c r="A7897" s="3" t="s">
        <v>355</v>
      </c>
      <c r="G7897" s="20" t="n">
        <f aca="false">IF(G7896=1,1,0)</f>
        <v>0</v>
      </c>
      <c r="H7897" s="20" t="n">
        <f aca="false">IF(AND(H7896=1,SUM($G$7896:G7896)=0),1,0)</f>
        <v>0</v>
      </c>
      <c r="I7897" s="20" t="n">
        <f aca="false">IF(AND(I7896=1,SUM($G$7896:H7896)=0),1,0)</f>
        <v>0</v>
      </c>
      <c r="J7897" s="20" t="n">
        <f aca="false">IF(AND(J7896=1,SUM($G$7896:I7896)=0),1,0)</f>
        <v>0</v>
      </c>
      <c r="K7897" s="20" t="n">
        <f aca="false">IF(AND(K7896=1,SUM($G$7896:J7896)=0),1,0)</f>
        <v>0</v>
      </c>
    </row>
    <row r="7898" customFormat="false" ht="15" hidden="false" customHeight="false" outlineLevel="0" collapsed="false">
      <c r="A7898" s="3" t="s">
        <v>356</v>
      </c>
      <c r="G7898" s="25" t="n">
        <f aca="false">(G7864-F7864)-(G7887+G7804-G7885-G7889-G7893)</f>
        <v>0</v>
      </c>
      <c r="H7898" s="25" t="n">
        <f aca="false">(H7864-G7864)-(H7887+H7804-H7885-H7889-H7893)</f>
        <v>0</v>
      </c>
      <c r="I7898" s="25" t="n">
        <f aca="false">(I7864-H7864)-(I7887+I7804-I7885-I7889-I7893)</f>
        <v>0</v>
      </c>
      <c r="J7898" s="25" t="n">
        <f aca="false">(J7864-I7864)-(J7887+J7804-J7885-J7889-J7893)</f>
        <v>0</v>
      </c>
      <c r="K7898" s="25" t="n">
        <f aca="false">(K7864-J7864)-(K7887+K7804-K7885-K7889-K7893)</f>
        <v>0</v>
      </c>
    </row>
    <row r="7900" customFormat="false" ht="15" hidden="false" customHeight="false" outlineLevel="0" collapsed="false">
      <c r="A7900" s="23" t="s">
        <v>358</v>
      </c>
      <c r="B7900" s="24"/>
      <c r="C7900" s="24"/>
      <c r="D7900" s="24"/>
      <c r="E7900" s="24"/>
      <c r="F7900" s="24"/>
      <c r="G7900" s="24"/>
      <c r="H7900" s="24"/>
      <c r="I7900" s="24"/>
      <c r="J7900" s="24"/>
      <c r="K7900" s="24"/>
    </row>
    <row r="7901" customFormat="false" ht="15" hidden="false" customHeight="false" outlineLevel="0" collapsed="false">
      <c r="A7901" s="3" t="s">
        <v>359</v>
      </c>
      <c r="G7901" s="25" t="n">
        <f aca="false">G7864</f>
        <v>1735.554</v>
      </c>
      <c r="H7901" s="25" t="n">
        <f aca="false">H7864</f>
        <v>1735.554</v>
      </c>
      <c r="I7901" s="25" t="n">
        <f aca="false">I7864</f>
        <v>1315.098</v>
      </c>
      <c r="J7901" s="25" t="n">
        <f aca="false">J7864</f>
        <v>1315.098</v>
      </c>
      <c r="K7901" s="25" t="n">
        <f aca="false">K7864</f>
        <v>1315.098</v>
      </c>
    </row>
    <row r="7902" customFormat="false" ht="15" hidden="false" customHeight="false" outlineLevel="0" collapsed="false">
      <c r="A7902" s="3" t="s">
        <v>360</v>
      </c>
      <c r="G7902" s="25" t="n">
        <f aca="false">Assumptions!$O$56*G7836+Assumptions!$O$57*G7849+Assumptions!$O$58*G7862</f>
        <v>1315.098</v>
      </c>
      <c r="H7902" s="25" t="n">
        <f aca="false">Assumptions!$O$56*H7836+Assumptions!$O$57*H7849+Assumptions!$O$58*H7862</f>
        <v>1315.098</v>
      </c>
      <c r="I7902" s="25" t="n">
        <f aca="false">Assumptions!$O$56*I7836+Assumptions!$O$57*I7849+Assumptions!$O$58*I7862</f>
        <v>1315.098</v>
      </c>
      <c r="J7902" s="25" t="n">
        <f aca="false">Assumptions!$O$56*J7836+Assumptions!$O$57*J7849+Assumptions!$O$58*J7862</f>
        <v>1315.098</v>
      </c>
      <c r="K7902" s="25" t="n">
        <f aca="false">Assumptions!$O$56*K7836+Assumptions!$O$57*K7849+Assumptions!$O$58*K7862</f>
        <v>1315.098</v>
      </c>
    </row>
    <row r="7903" customFormat="false" ht="15" hidden="false" customHeight="false" outlineLevel="0" collapsed="false">
      <c r="A7903" s="3" t="s">
        <v>361</v>
      </c>
      <c r="G7903" s="25" t="n">
        <f aca="false">G7901-G7894</f>
        <v>1228.18789916</v>
      </c>
      <c r="H7903" s="25" t="n">
        <f aca="false">H7901-H7894</f>
        <v>1225.9334177168</v>
      </c>
      <c r="I7903" s="25" t="n">
        <f aca="false">I7901-I7894</f>
        <v>1248.73445080107</v>
      </c>
      <c r="J7903" s="25" t="n">
        <f aca="false">J7901-J7894</f>
        <v>1273.86872465876</v>
      </c>
      <c r="K7903" s="25" t="n">
        <f aca="false">K7901-K7894</f>
        <v>1310.29810013069</v>
      </c>
    </row>
    <row r="7904" customFormat="false" ht="15" hidden="false" customHeight="false" outlineLevel="0" collapsed="false">
      <c r="A7904" s="3" t="s">
        <v>362</v>
      </c>
      <c r="G7904" s="32" t="n">
        <f aca="false">IF(G7799&gt;0,G7901/G7799,0)</f>
        <v>7.40109166453865</v>
      </c>
      <c r="H7904" s="32" t="n">
        <f aca="false">IF(H7799&gt;0,H7901/H7799,0)</f>
        <v>9.17490702215535</v>
      </c>
      <c r="I7904" s="32" t="n">
        <f aca="false">IF(I7799&gt;0,I7901/I7799,0)</f>
        <v>8.18342370371049</v>
      </c>
      <c r="J7904" s="32" t="n">
        <f aca="false">IF(J7799&gt;0,J7901/J7799,0)</f>
        <v>9.5473276543289</v>
      </c>
      <c r="K7904" s="32" t="n">
        <f aca="false">IF(K7799&gt;0,K7901/K7799,0)</f>
        <v>10.6081418381432</v>
      </c>
    </row>
    <row r="7905" customFormat="false" ht="15" hidden="false" customHeight="false" outlineLevel="0" collapsed="false">
      <c r="A7905" s="3" t="s">
        <v>363</v>
      </c>
      <c r="G7905" s="32" t="n">
        <f aca="false">IF(G7799&gt;0,G7903/G7799,0)</f>
        <v>5.23748107115095</v>
      </c>
      <c r="H7905" s="32" t="n">
        <f aca="false">IF(H7799&gt;0,H7903/H7799,0)</f>
        <v>6.48082694223561</v>
      </c>
      <c r="I7905" s="32" t="n">
        <f aca="false">IF(I7799&gt;0,I7903/I7799,0)</f>
        <v>7.77046509410355</v>
      </c>
      <c r="J7905" s="32" t="n">
        <f aca="false">IF(J7799&gt;0,J7903/J7799,0)</f>
        <v>9.24801201349201</v>
      </c>
      <c r="K7905" s="32" t="n">
        <f aca="false">IF(K7799&gt;0,K7903/K7799,0)</f>
        <v>10.569423796885</v>
      </c>
    </row>
    <row r="7906" customFormat="false" ht="15" hidden="false" customHeight="false" outlineLevel="0" collapsed="false">
      <c r="A7906" s="3" t="s">
        <v>364</v>
      </c>
      <c r="G7906" s="32" t="n">
        <f aca="false">IF(G7803&gt;0,G7799/G7803,0)</f>
        <v>1.50364032317852</v>
      </c>
      <c r="H7906" s="32" t="n">
        <f aca="false">IF(H7803&gt;0,H7799/H7803,0)</f>
        <v>1.21293652736401</v>
      </c>
      <c r="I7906" s="32" t="n">
        <f aca="false">IF(I7803&gt;0,I7799/I7803,0)</f>
        <v>1.03044471347424</v>
      </c>
      <c r="J7906" s="32" t="n">
        <f aca="false">IF(J7803&gt;0,J7799/J7803,0)</f>
        <v>0.997536679228903</v>
      </c>
      <c r="K7906" s="32" t="n">
        <f aca="false">IF(K7803&gt;0,K7799/K7803,0)</f>
        <v>0.897783011306013</v>
      </c>
    </row>
    <row r="7907" customFormat="false" ht="15" hidden="false" customHeight="false" outlineLevel="0" collapsed="false">
      <c r="A7907" s="3" t="s">
        <v>365</v>
      </c>
      <c r="G7907" s="32" t="n">
        <f aca="false">IF(G7803&gt;0,G7802/G7803,0)</f>
        <v>0.891941808475501</v>
      </c>
      <c r="H7907" s="32" t="n">
        <f aca="false">IF(H7803&gt;0,H7802/H7803,0)</f>
        <v>0.674641834425349</v>
      </c>
      <c r="I7907" s="32" t="n">
        <f aca="false">IF(I7803&gt;0,I7802/I7803,0)</f>
        <v>0.551362436758835</v>
      </c>
      <c r="J7907" s="32" t="n">
        <f aca="false">IF(J7803&gt;0,J7802/J7803,0)</f>
        <v>0.51056513771858</v>
      </c>
      <c r="K7907" s="32" t="n">
        <f aca="false">IF(K7803&gt;0,K7802/K7803,0)</f>
        <v>0.459508623946722</v>
      </c>
    </row>
    <row r="7908" customFormat="false" ht="15" hidden="false" customHeight="false" outlineLevel="0" collapsed="false">
      <c r="A7908" s="3" t="s">
        <v>198</v>
      </c>
      <c r="G7908" s="21" t="n">
        <f aca="false">IF(G7901&gt;0,G7812/G7901,0)</f>
        <v>0.024989197017206</v>
      </c>
      <c r="H7908" s="21" t="n">
        <f aca="false">IF(H7901&gt;0,H7812/H7901,0)</f>
        <v>0.00129899815459502</v>
      </c>
      <c r="I7908" s="21" t="n">
        <f aca="false">IF(I7901&gt;0,I7812/I7901,0)</f>
        <v>-0.0173378965554445</v>
      </c>
      <c r="J7908" s="21" t="n">
        <f aca="false">IF(J7901&gt;0,J7812/J7901,0)</f>
        <v>-0.0191120919183914</v>
      </c>
      <c r="K7908" s="21" t="n">
        <f aca="false">IF(K7901&gt;0,K7812/K7901,0)</f>
        <v>-0.0277008827265523</v>
      </c>
    </row>
    <row r="7909" customFormat="false" ht="15" hidden="false" customHeight="false" outlineLevel="0" collapsed="false">
      <c r="A7909" s="3" t="s">
        <v>366</v>
      </c>
      <c r="G7909" s="32" t="n">
        <f aca="false">IF(G7803+G7885&gt;0,(G7799-G7810-G7807)/(G7803+G7885),0)</f>
        <v>1.34074595483418</v>
      </c>
      <c r="H7909" s="32" t="n">
        <f aca="false">IF(H7803+H7885&gt;0,(H7799-H7810-H7807)/(H7803+H7885),0)</f>
        <v>1.06958948322099</v>
      </c>
      <c r="I7909" s="32" t="n">
        <f aca="false">IF(I7803+I7885&gt;0,(I7799-I7810-I7807)/(I7803+I7885),0)</f>
        <v>0.902865844186955</v>
      </c>
      <c r="J7909" s="32" t="n">
        <f aca="false">IF(J7803+J7885&gt;0,(J7799-J7810-J7807)/(J7803+J7885),0)</f>
        <v>0.867856910929146</v>
      </c>
      <c r="K7909" s="32" t="n">
        <f aca="false">IF(K7803+K7885&gt;0,(K7799-K7810-K7807)/(K7803+K7885),0)</f>
        <v>0.781071219836231</v>
      </c>
    </row>
    <row r="7910" customFormat="false" ht="15" hidden="false" customHeight="false" outlineLevel="0" collapsed="false">
      <c r="A7910" s="3" t="s">
        <v>367</v>
      </c>
      <c r="G7910" s="25" t="n">
        <f aca="false">MAX(0,G7894)+Assumptions!$P$56*MAX(0,Assumptions!$D$56-G7836)+Assumptions!$P$57*MAX(0,Assumptions!$D$57-G7849)+Assumptions!$P$58*MAX(0,Assumptions!$D$58-G7862)</f>
        <v>507.36610084</v>
      </c>
      <c r="H7910" s="25" t="n">
        <f aca="false">MAX(0,H7894)+Assumptions!$P$56*MAX(0,Assumptions!$D$56-H7836)+Assumptions!$P$57*MAX(0,Assumptions!$D$57-H7849)+Assumptions!$P$58*MAX(0,Assumptions!$D$58-H7862)</f>
        <v>509.6205822832</v>
      </c>
      <c r="I7910" s="25" t="n">
        <f aca="false">MAX(0,I7894)+Assumptions!$P$56*MAX(0,Assumptions!$D$56-I7836)+Assumptions!$P$57*MAX(0,Assumptions!$D$57-I7849)+Assumptions!$P$58*MAX(0,Assumptions!$D$58-I7862)</f>
        <v>66.363549198928</v>
      </c>
      <c r="J7910" s="25" t="n">
        <f aca="false">MAX(0,J7894)+Assumptions!$P$56*MAX(0,Assumptions!$D$56-J7836)+Assumptions!$P$57*MAX(0,Assumptions!$D$57-J7849)+Assumptions!$P$58*MAX(0,Assumptions!$D$58-J7862)</f>
        <v>41.2292753412352</v>
      </c>
      <c r="K7910" s="25" t="n">
        <f aca="false">MAX(0,K7894)+Assumptions!$P$56*MAX(0,Assumptions!$D$56-K7836)+Assumptions!$P$57*MAX(0,Assumptions!$D$57-K7849)+Assumptions!$P$58*MAX(0,Assumptions!$D$58-K7862)</f>
        <v>4.79989986931171</v>
      </c>
    </row>
    <row r="7911" customFormat="false" ht="15" hidden="false" customHeight="false" outlineLevel="0" collapsed="false">
      <c r="A7911" s="3" t="s">
        <v>368</v>
      </c>
      <c r="G7911" s="21" t="n">
        <f aca="false">IF(G7901&gt;0,G7901/(G7901+MAX(0,G7799*CHOOSE($C$7782,Assumptions!$C$82,Assumptions!$C$101,Assumptions!$C$120)-G7903)),0)</f>
        <v>1</v>
      </c>
      <c r="H7911" s="21" t="n">
        <f aca="false">IF(H7901&gt;0,H7901/(H7901+MAX(0,H7799*CHOOSE($C$7782,Assumptions!$C$82,Assumptions!$C$101,Assumptions!$C$120)-H7903)),0)</f>
        <v>1</v>
      </c>
      <c r="I7911" s="21" t="n">
        <f aca="false">IF(I7901&gt;0,I7901/(I7901+MAX(0,I7799*CHOOSE($C$7782,Assumptions!$C$82,Assumptions!$C$101,Assumptions!$C$120)-I7903)),0)</f>
        <v>1</v>
      </c>
      <c r="J7911" s="21" t="n">
        <f aca="false">IF(J7901&gt;0,J7901/(J7901+MAX(0,J7799*CHOOSE($C$7782,Assumptions!$C$82,Assumptions!$C$101,Assumptions!$C$120)-J7903)),0)</f>
        <v>1</v>
      </c>
      <c r="K7911" s="21" t="n">
        <f aca="false">IF(K7901&gt;0,K7901/(K7901+MAX(0,K7799*CHOOSE($C$7782,Assumptions!$C$82,Assumptions!$C$101,Assumptions!$C$120)-K7903)),0)</f>
        <v>1</v>
      </c>
    </row>
    <row r="7912" customFormat="false" ht="15" hidden="false" customHeight="false" outlineLevel="0" collapsed="false">
      <c r="A7912" s="3" t="s">
        <v>369</v>
      </c>
      <c r="G7912" s="21" t="n">
        <f aca="false">IF(G7901&gt;0,MAX(0,G7894)/G7901,0)</f>
        <v>0.292336683756311</v>
      </c>
      <c r="H7912" s="21" t="n">
        <f aca="false">IF(H7901&gt;0,MAX(0,H7894)/H7901,0)</f>
        <v>0.293635681910906</v>
      </c>
      <c r="I7912" s="21" t="n">
        <f aca="false">IF(I7901&gt;0,MAX(0,I7894)/I7901,0)</f>
        <v>0.0504628166105704</v>
      </c>
      <c r="J7912" s="21" t="n">
        <f aca="false">IF(J7901&gt;0,MAX(0,J7894)/J7901,0)</f>
        <v>0.031350724692179</v>
      </c>
      <c r="K7912" s="21" t="n">
        <f aca="false">IF(K7901&gt;0,MAX(0,K7894)/K7901,0)</f>
        <v>0.00364984196562668</v>
      </c>
    </row>
    <row r="7913" customFormat="false" ht="15" hidden="false" customHeight="false" outlineLevel="0" collapsed="false">
      <c r="A7913" s="3" t="s">
        <v>370</v>
      </c>
      <c r="G7913" s="25" t="n">
        <f aca="false">Assumptions!$C$30*(1-CHOOSE($C$7782,Assumptions!$C$85,Assumptions!$C$104,Assumptions!$C$123))</f>
        <v>2086.72535</v>
      </c>
      <c r="H7913" s="25" t="n">
        <f aca="false">Assumptions!$C$30*(1-CHOOSE($C$7782,Assumptions!$C$85,Assumptions!$C$104,Assumptions!$C$123))</f>
        <v>2086.72535</v>
      </c>
      <c r="I7913" s="25" t="n">
        <f aca="false">Assumptions!$C$30*(1-CHOOSE($C$7782,Assumptions!$C$85,Assumptions!$C$104,Assumptions!$C$123))</f>
        <v>2086.72535</v>
      </c>
      <c r="J7913" s="25" t="n">
        <f aca="false">Assumptions!$C$30*(1-CHOOSE($C$7782,Assumptions!$C$85,Assumptions!$C$104,Assumptions!$C$123))</f>
        <v>2086.72535</v>
      </c>
      <c r="K7913" s="25" t="n">
        <f aca="false">Assumptions!$C$30*(1-CHOOSE($C$7782,Assumptions!$C$85,Assumptions!$C$104,Assumptions!$C$123))</f>
        <v>2086.72535</v>
      </c>
    </row>
    <row r="7914" customFormat="false" ht="15" hidden="false" customHeight="false" outlineLevel="0" collapsed="false">
      <c r="A7914" s="23" t="s">
        <v>371</v>
      </c>
      <c r="B7914" s="24"/>
      <c r="C7914" s="24"/>
      <c r="D7914" s="24"/>
      <c r="E7914" s="24"/>
      <c r="F7914" s="24"/>
      <c r="G7914" s="24"/>
      <c r="H7914" s="24"/>
      <c r="I7914" s="24"/>
      <c r="J7914" s="24"/>
      <c r="K7914" s="24"/>
    </row>
    <row r="7915" customFormat="false" ht="15" hidden="false" customHeight="false" outlineLevel="0" collapsed="false">
      <c r="A7915" s="23" t="s">
        <v>372</v>
      </c>
      <c r="B7915" s="24"/>
      <c r="C7915" s="24"/>
      <c r="D7915" s="24"/>
      <c r="E7915" s="24"/>
      <c r="F7915" s="24"/>
      <c r="G7915" s="24"/>
      <c r="H7915" s="24"/>
      <c r="I7915" s="24"/>
      <c r="J7915" s="24"/>
      <c r="K7915" s="24"/>
    </row>
    <row r="7916" customFormat="false" ht="15" hidden="false" customHeight="false" outlineLevel="0" collapsed="false">
      <c r="A7916" s="3" t="s">
        <v>373</v>
      </c>
      <c r="G7916" s="32" t="n">
        <f aca="false">IF(G7799&gt;0,G7903/G7799,99)</f>
        <v>5.23748107115095</v>
      </c>
      <c r="H7916" s="32" t="n">
        <f aca="false">IF(H7799&gt;0,H7903/H7799,99)</f>
        <v>6.48082694223561</v>
      </c>
      <c r="I7916" s="32" t="n">
        <f aca="false">IF(I7799&gt;0,I7903/I7799,99)</f>
        <v>7.77046509410355</v>
      </c>
      <c r="J7916" s="32" t="n">
        <f aca="false">IF(J7799&gt;0,J7903/J7799,99)</f>
        <v>9.24801201349201</v>
      </c>
      <c r="K7916" s="32" t="n">
        <f aca="false">IF(K7799&gt;0,K7903/K7799,99)</f>
        <v>10.569423796885</v>
      </c>
    </row>
    <row r="7917" customFormat="false" ht="15" hidden="false" customHeight="false" outlineLevel="0" collapsed="false">
      <c r="A7917" s="3" t="s">
        <v>374</v>
      </c>
      <c r="G7917" s="33" t="n">
        <f aca="false">Assumptions!$G$65</f>
        <v>5.25</v>
      </c>
      <c r="H7917" s="33" t="n">
        <f aca="false">Assumptions!$H$65</f>
        <v>5.25</v>
      </c>
      <c r="I7917" s="33" t="n">
        <f aca="false">Assumptions!$I$65</f>
        <v>5</v>
      </c>
      <c r="J7917" s="33" t="n">
        <f aca="false">Assumptions!$J$65</f>
        <v>5</v>
      </c>
      <c r="K7917" s="33" t="n">
        <f aca="false">Assumptions!$K$65</f>
        <v>5</v>
      </c>
    </row>
    <row r="7918" customFormat="false" ht="15" hidden="false" customHeight="false" outlineLevel="0" collapsed="false">
      <c r="A7918" s="3" t="s">
        <v>375</v>
      </c>
      <c r="G7918" s="32" t="n">
        <f aca="false">G7917-G7916</f>
        <v>0.0125189288490528</v>
      </c>
      <c r="H7918" s="32" t="n">
        <f aca="false">H7917-H7916</f>
        <v>-1.23082694223561</v>
      </c>
      <c r="I7918" s="32" t="n">
        <f aca="false">I7917-I7916</f>
        <v>-2.77046509410355</v>
      </c>
      <c r="J7918" s="32" t="n">
        <f aca="false">J7917-J7916</f>
        <v>-4.24801201349201</v>
      </c>
      <c r="K7918" s="32" t="n">
        <f aca="false">K7917-K7916</f>
        <v>-5.56942379688505</v>
      </c>
    </row>
    <row r="7919" customFormat="false" ht="15" hidden="false" customHeight="false" outlineLevel="0" collapsed="false">
      <c r="A7919" s="3" t="s">
        <v>376</v>
      </c>
      <c r="G7919" s="21" t="n">
        <f aca="false">IF(G7917=0,0,G7918/ABS(G7917))</f>
        <v>0.00238455787601006</v>
      </c>
      <c r="H7919" s="21" t="n">
        <f aca="false">IF(H7917=0,0,H7918/ABS(H7917))</f>
        <v>-0.234443227092496</v>
      </c>
      <c r="I7919" s="21" t="n">
        <f aca="false">IF(I7917=0,0,I7918/ABS(I7917))</f>
        <v>-0.55409301882071</v>
      </c>
      <c r="J7919" s="21" t="n">
        <f aca="false">IF(J7917=0,0,J7918/ABS(J7917))</f>
        <v>-0.849602402698402</v>
      </c>
      <c r="K7919" s="21" t="n">
        <f aca="false">IF(K7917=0,0,K7918/ABS(K7917))</f>
        <v>-1.11388475937701</v>
      </c>
    </row>
    <row r="7920" customFormat="false" ht="15" hidden="false" customHeight="false" outlineLevel="0" collapsed="false">
      <c r="A7920" s="3" t="s">
        <v>377</v>
      </c>
      <c r="G7920" s="20" t="n">
        <f aca="false">IF(G7918&lt;0,1,0)</f>
        <v>0</v>
      </c>
      <c r="H7920" s="20" t="n">
        <f aca="false">IF(H7918&lt;0,1,0)</f>
        <v>1</v>
      </c>
      <c r="I7920" s="20" t="n">
        <f aca="false">IF(I7918&lt;0,1,0)</f>
        <v>1</v>
      </c>
      <c r="J7920" s="20" t="n">
        <f aca="false">IF(J7918&lt;0,1,0)</f>
        <v>1</v>
      </c>
      <c r="K7920" s="20" t="n">
        <f aca="false">IF(K7918&lt;0,1,0)</f>
        <v>1</v>
      </c>
    </row>
    <row r="7921" customFormat="false" ht="15" hidden="false" customHeight="false" outlineLevel="0" collapsed="false">
      <c r="A7921" s="3" t="s">
        <v>378</v>
      </c>
      <c r="C7921" s="20" t="n">
        <f aca="false">IFERROR(INDEX($G$7789:$K$7789,MATCH(1,$G$7920:$K$7920,0)),0)</f>
        <v>2028</v>
      </c>
    </row>
    <row r="7922" customFormat="false" ht="15" hidden="false" customHeight="false" outlineLevel="0" collapsed="false">
      <c r="A7922" s="3" t="s">
        <v>379</v>
      </c>
      <c r="C7922" s="21" t="n">
        <f aca="false">MIN($G$7919:$K$7919)</f>
        <v>-1.11388475937701</v>
      </c>
    </row>
    <row r="7923" customFormat="false" ht="15" hidden="false" customHeight="false" outlineLevel="0" collapsed="false">
      <c r="A7923" s="23" t="s">
        <v>380</v>
      </c>
      <c r="B7923" s="24"/>
      <c r="C7923" s="24"/>
      <c r="D7923" s="24"/>
      <c r="E7923" s="24"/>
      <c r="F7923" s="24"/>
      <c r="G7923" s="24"/>
      <c r="H7923" s="24"/>
      <c r="I7923" s="24"/>
      <c r="J7923" s="24"/>
      <c r="K7923" s="24"/>
    </row>
    <row r="7924" customFormat="false" ht="15" hidden="false" customHeight="false" outlineLevel="0" collapsed="false">
      <c r="A7924" s="3" t="s">
        <v>373</v>
      </c>
      <c r="G7924" s="32" t="n">
        <f aca="false">IF(G7803&gt;0,G7799/G7803,99)</f>
        <v>1.50364032317852</v>
      </c>
      <c r="H7924" s="32" t="n">
        <f aca="false">IF(H7803&gt;0,H7799/H7803,99)</f>
        <v>1.21293652736401</v>
      </c>
      <c r="I7924" s="32" t="n">
        <f aca="false">IF(I7803&gt;0,I7799/I7803,99)</f>
        <v>1.03044471347424</v>
      </c>
      <c r="J7924" s="32" t="n">
        <f aca="false">IF(J7803&gt;0,J7799/J7803,99)</f>
        <v>0.997536679228903</v>
      </c>
      <c r="K7924" s="32" t="n">
        <f aca="false">IF(K7803&gt;0,K7799/K7803,99)</f>
        <v>0.897783011306013</v>
      </c>
    </row>
    <row r="7925" customFormat="false" ht="15" hidden="false" customHeight="false" outlineLevel="0" collapsed="false">
      <c r="A7925" s="3" t="s">
        <v>374</v>
      </c>
      <c r="G7925" s="33" t="n">
        <f aca="false">Assumptions!$G$66</f>
        <v>1.4</v>
      </c>
      <c r="H7925" s="33" t="n">
        <f aca="false">Assumptions!$H$66</f>
        <v>1.4</v>
      </c>
      <c r="I7925" s="33" t="n">
        <f aca="false">Assumptions!$I$66</f>
        <v>1.4</v>
      </c>
      <c r="J7925" s="33" t="n">
        <f aca="false">Assumptions!$J$66</f>
        <v>1.5</v>
      </c>
      <c r="K7925" s="33" t="n">
        <f aca="false">Assumptions!$K$66</f>
        <v>1.5</v>
      </c>
    </row>
    <row r="7926" customFormat="false" ht="15" hidden="false" customHeight="false" outlineLevel="0" collapsed="false">
      <c r="A7926" s="3" t="s">
        <v>375</v>
      </c>
      <c r="G7926" s="32" t="n">
        <f aca="false">G7924-G7925</f>
        <v>0.103640323178524</v>
      </c>
      <c r="H7926" s="32" t="n">
        <f aca="false">H7924-H7925</f>
        <v>-0.187063472635991</v>
      </c>
      <c r="I7926" s="32" t="n">
        <f aca="false">I7924-I7925</f>
        <v>-0.369555286525758</v>
      </c>
      <c r="J7926" s="32" t="n">
        <f aca="false">J7924-J7925</f>
        <v>-0.502463320771097</v>
      </c>
      <c r="K7926" s="32" t="n">
        <f aca="false">K7924-K7925</f>
        <v>-0.602216988693987</v>
      </c>
    </row>
    <row r="7927" customFormat="false" ht="15" hidden="false" customHeight="false" outlineLevel="0" collapsed="false">
      <c r="A7927" s="3" t="s">
        <v>376</v>
      </c>
      <c r="G7927" s="21" t="n">
        <f aca="false">IF(G7925=0,0,G7926/ABS(G7925))</f>
        <v>0.0740288022703741</v>
      </c>
      <c r="H7927" s="21" t="n">
        <f aca="false">IF(H7925=0,0,H7926/ABS(H7925))</f>
        <v>-0.133616766168565</v>
      </c>
      <c r="I7927" s="21" t="n">
        <f aca="false">IF(I7925=0,0,I7926/ABS(I7925))</f>
        <v>-0.263968061804113</v>
      </c>
      <c r="J7927" s="21" t="n">
        <f aca="false">IF(J7925=0,0,J7926/ABS(J7925))</f>
        <v>-0.334975547180731</v>
      </c>
      <c r="K7927" s="21" t="n">
        <f aca="false">IF(K7925=0,0,K7926/ABS(K7925))</f>
        <v>-0.401477992462658</v>
      </c>
    </row>
    <row r="7928" customFormat="false" ht="15" hidden="false" customHeight="false" outlineLevel="0" collapsed="false">
      <c r="A7928" s="3" t="s">
        <v>377</v>
      </c>
      <c r="G7928" s="20" t="n">
        <f aca="false">IF(G7926&lt;0,1,0)</f>
        <v>0</v>
      </c>
      <c r="H7928" s="20" t="n">
        <f aca="false">IF(H7926&lt;0,1,0)</f>
        <v>1</v>
      </c>
      <c r="I7928" s="20" t="n">
        <f aca="false">IF(I7926&lt;0,1,0)</f>
        <v>1</v>
      </c>
      <c r="J7928" s="20" t="n">
        <f aca="false">IF(J7926&lt;0,1,0)</f>
        <v>1</v>
      </c>
      <c r="K7928" s="20" t="n">
        <f aca="false">IF(K7926&lt;0,1,0)</f>
        <v>1</v>
      </c>
    </row>
    <row r="7929" customFormat="false" ht="15" hidden="false" customHeight="false" outlineLevel="0" collapsed="false">
      <c r="A7929" s="3" t="s">
        <v>378</v>
      </c>
      <c r="C7929" s="20" t="n">
        <f aca="false">IFERROR(INDEX($G$7789:$K$7789,MATCH(1,$G$7928:$K$7928,0)),0)</f>
        <v>2028</v>
      </c>
    </row>
    <row r="7930" customFormat="false" ht="15" hidden="false" customHeight="false" outlineLevel="0" collapsed="false">
      <c r="A7930" s="3" t="s">
        <v>379</v>
      </c>
      <c r="C7930" s="21" t="n">
        <f aca="false">MIN($G$7927:$K$7927)</f>
        <v>-0.401477992462658</v>
      </c>
    </row>
    <row r="7931" customFormat="false" ht="15" hidden="false" customHeight="false" outlineLevel="0" collapsed="false">
      <c r="A7931" s="23" t="s">
        <v>381</v>
      </c>
      <c r="B7931" s="24"/>
      <c r="C7931" s="24"/>
      <c r="D7931" s="24"/>
      <c r="E7931" s="24"/>
      <c r="F7931" s="24"/>
      <c r="G7931" s="24"/>
      <c r="H7931" s="24"/>
      <c r="I7931" s="24"/>
      <c r="J7931" s="24"/>
      <c r="K7931" s="24"/>
    </row>
    <row r="7932" customFormat="false" ht="15" hidden="false" customHeight="false" outlineLevel="0" collapsed="false">
      <c r="A7932" s="3" t="s">
        <v>373</v>
      </c>
      <c r="G7932" s="25" t="n">
        <f aca="false">G7910</f>
        <v>507.36610084</v>
      </c>
      <c r="H7932" s="25" t="n">
        <f aca="false">H7910</f>
        <v>509.6205822832</v>
      </c>
      <c r="I7932" s="25" t="n">
        <f aca="false">I7910</f>
        <v>66.363549198928</v>
      </c>
      <c r="J7932" s="25" t="n">
        <f aca="false">J7910</f>
        <v>41.2292753412352</v>
      </c>
      <c r="K7932" s="25" t="n">
        <f aca="false">K7910</f>
        <v>4.79989986931171</v>
      </c>
    </row>
    <row r="7933" customFormat="false" ht="15" hidden="false" customHeight="false" outlineLevel="0" collapsed="false">
      <c r="A7933" s="3" t="s">
        <v>374</v>
      </c>
      <c r="G7933" s="29" t="n">
        <f aca="false">Assumptions!$G$67</f>
        <v>200</v>
      </c>
      <c r="H7933" s="29" t="n">
        <f aca="false">Assumptions!$H$67</f>
        <v>200</v>
      </c>
      <c r="I7933" s="29" t="n">
        <f aca="false">Assumptions!$I$67</f>
        <v>200</v>
      </c>
      <c r="J7933" s="29" t="n">
        <f aca="false">Assumptions!$J$67</f>
        <v>200</v>
      </c>
      <c r="K7933" s="29" t="n">
        <f aca="false">Assumptions!$K$67</f>
        <v>200</v>
      </c>
    </row>
    <row r="7934" customFormat="false" ht="15" hidden="false" customHeight="false" outlineLevel="0" collapsed="false">
      <c r="A7934" s="3" t="s">
        <v>375</v>
      </c>
      <c r="G7934" s="25" t="n">
        <f aca="false">G7932-G7933</f>
        <v>307.36610084</v>
      </c>
      <c r="H7934" s="25" t="n">
        <f aca="false">H7932-H7933</f>
        <v>309.6205822832</v>
      </c>
      <c r="I7934" s="25" t="n">
        <f aca="false">I7932-I7933</f>
        <v>-133.636450801072</v>
      </c>
      <c r="J7934" s="25" t="n">
        <f aca="false">J7932-J7933</f>
        <v>-158.770724658765</v>
      </c>
      <c r="K7934" s="25" t="n">
        <f aca="false">K7932-K7933</f>
        <v>-195.200100130688</v>
      </c>
    </row>
    <row r="7935" customFormat="false" ht="15" hidden="false" customHeight="false" outlineLevel="0" collapsed="false">
      <c r="A7935" s="3" t="s">
        <v>376</v>
      </c>
      <c r="G7935" s="21" t="n">
        <f aca="false">IF(G7933=0,0,G7934/ABS(G7933))</f>
        <v>1.5368305042</v>
      </c>
      <c r="H7935" s="21" t="n">
        <f aca="false">IF(H7933=0,0,H7934/ABS(H7933))</f>
        <v>1.548102911416</v>
      </c>
      <c r="I7935" s="21" t="n">
        <f aca="false">IF(I7933=0,0,I7934/ABS(I7933))</f>
        <v>-0.66818225400536</v>
      </c>
      <c r="J7935" s="21" t="n">
        <f aca="false">IF(J7933=0,0,J7934/ABS(J7933))</f>
        <v>-0.793853623293824</v>
      </c>
      <c r="K7935" s="21" t="n">
        <f aca="false">IF(K7933=0,0,K7934/ABS(K7933))</f>
        <v>-0.976000500653442</v>
      </c>
    </row>
    <row r="7936" customFormat="false" ht="15" hidden="false" customHeight="false" outlineLevel="0" collapsed="false">
      <c r="A7936" s="3" t="s">
        <v>377</v>
      </c>
      <c r="G7936" s="20" t="n">
        <f aca="false">IF(G7934&lt;0,1,0)</f>
        <v>0</v>
      </c>
      <c r="H7936" s="20" t="n">
        <f aca="false">IF(H7934&lt;0,1,0)</f>
        <v>0</v>
      </c>
      <c r="I7936" s="20" t="n">
        <f aca="false">IF(I7934&lt;0,1,0)</f>
        <v>1</v>
      </c>
      <c r="J7936" s="20" t="n">
        <f aca="false">IF(J7934&lt;0,1,0)</f>
        <v>1</v>
      </c>
      <c r="K7936" s="20" t="n">
        <f aca="false">IF(K7934&lt;0,1,0)</f>
        <v>1</v>
      </c>
    </row>
    <row r="7937" customFormat="false" ht="15" hidden="false" customHeight="false" outlineLevel="0" collapsed="false">
      <c r="A7937" s="3" t="s">
        <v>378</v>
      </c>
      <c r="C7937" s="20" t="n">
        <f aca="false">IFERROR(INDEX($G$7789:$K$7789,MATCH(1,$G$7936:$K$7936,0)),0)</f>
        <v>2029</v>
      </c>
    </row>
    <row r="7938" customFormat="false" ht="15" hidden="false" customHeight="false" outlineLevel="0" collapsed="false">
      <c r="A7938" s="3" t="s">
        <v>379</v>
      </c>
      <c r="C7938" s="21" t="n">
        <f aca="false">MIN($G$7935:$K$7935)</f>
        <v>-0.976000500653442</v>
      </c>
    </row>
    <row r="7939" customFormat="false" ht="15" hidden="false" customHeight="false" outlineLevel="0" collapsed="false">
      <c r="A7939" s="3" t="s">
        <v>382</v>
      </c>
      <c r="G7939" s="20" t="n">
        <f aca="false">G7920+G7928+G7936</f>
        <v>0</v>
      </c>
      <c r="H7939" s="20" t="n">
        <f aca="false">H7920+H7928+H7936</f>
        <v>2</v>
      </c>
      <c r="I7939" s="20" t="n">
        <f aca="false">I7920+I7928+I7936</f>
        <v>3</v>
      </c>
      <c r="J7939" s="20" t="n">
        <f aca="false">J7920+J7928+J7936</f>
        <v>3</v>
      </c>
      <c r="K7939" s="20" t="n">
        <f aca="false">K7920+K7928+K7936</f>
        <v>3</v>
      </c>
    </row>
    <row r="7940" customFormat="false" ht="15" hidden="false" customHeight="false" outlineLevel="0" collapsed="false">
      <c r="A7940" s="3" t="s">
        <v>383</v>
      </c>
      <c r="C7940" s="20" t="n">
        <f aca="false">SUM($G$7939:$K$7939)</f>
        <v>11</v>
      </c>
    </row>
    <row r="7941" customFormat="false" ht="15" hidden="false" customHeight="false" outlineLevel="0" collapsed="false">
      <c r="A7941" s="3" t="s">
        <v>384</v>
      </c>
      <c r="C7941" s="21" t="n">
        <f aca="false">MIN(C7922,C7930,C7938)</f>
        <v>-1.11388475937701</v>
      </c>
    </row>
    <row r="7943" customFormat="false" ht="15" hidden="false" customHeight="false" outlineLevel="0" collapsed="false">
      <c r="A7943" s="23" t="s">
        <v>486</v>
      </c>
      <c r="B7943" s="24"/>
      <c r="C7943" s="24"/>
      <c r="D7943" s="24"/>
      <c r="E7943" s="24"/>
      <c r="F7943" s="24"/>
      <c r="G7943" s="24"/>
      <c r="H7943" s="24"/>
      <c r="I7943" s="24"/>
      <c r="J7943" s="24"/>
      <c r="K7943" s="24"/>
    </row>
    <row r="7944" customFormat="false" ht="15" hidden="false" customHeight="false" outlineLevel="0" collapsed="false">
      <c r="A7944" s="3" t="s">
        <v>487</v>
      </c>
      <c r="G7944" s="20" t="n">
        <f aca="false">IF($C$7945=1,G7897,IF(G7799=MIN($G$7799:$K$7799),1,0))</f>
        <v>0</v>
      </c>
      <c r="H7944" s="20" t="n">
        <f aca="false">IF($C$7945=1,H7897,IF(AND(H7799=MIN($G$7799:$K$7799),SUM($G$7944:G7944)=0),1,0))</f>
        <v>0</v>
      </c>
      <c r="I7944" s="20" t="n">
        <f aca="false">IF($C$7945=1,I7897,IF(AND(I7799=MIN($G$7799:$K$7799),SUM($G$7944:H7944)=0),1,0))</f>
        <v>0</v>
      </c>
      <c r="J7944" s="20" t="n">
        <f aca="false">IF($C$7945=1,J7897,IF(AND(J7799=MIN($G$7799:$K$7799),SUM($G$7944:I7944)=0),1,0))</f>
        <v>0</v>
      </c>
      <c r="K7944" s="20" t="n">
        <f aca="false">IF($C$7945=1,K7897,IF(AND(K7799=MIN($G$7799:$K$7799),SUM($G$7944:J7944)=0),1,0))</f>
        <v>1</v>
      </c>
    </row>
    <row r="7945" customFormat="false" ht="15" hidden="false" customHeight="false" outlineLevel="0" collapsed="false">
      <c r="A7945" s="3" t="s">
        <v>488</v>
      </c>
      <c r="C7945" s="20" t="n">
        <f aca="false">IF(SUM($G$7897:$K$7897)&gt;0,1,0)</f>
        <v>0</v>
      </c>
    </row>
    <row r="7946" customFormat="false" ht="15" hidden="false" customHeight="false" outlineLevel="0" collapsed="false">
      <c r="A7946" s="3" t="s">
        <v>489</v>
      </c>
      <c r="C7946" s="20" t="n">
        <f aca="false">SUMPRODUCT($G$7944:$K$7944,$G$7789:$K$7789)</f>
        <v>2031</v>
      </c>
    </row>
    <row r="7947" customFormat="false" ht="15" hidden="false" customHeight="false" outlineLevel="0" collapsed="false">
      <c r="A7947" s="3" t="s">
        <v>490</v>
      </c>
      <c r="C7947" s="25" t="n">
        <f aca="false">SUMPRODUCT($G$7944:$K$7944,$G$7799:$K$7799)</f>
        <v>123.970627473264</v>
      </c>
    </row>
    <row r="7948" customFormat="false" ht="15" hidden="false" customHeight="false" outlineLevel="0" collapsed="false">
      <c r="A7948" s="3" t="s">
        <v>491</v>
      </c>
      <c r="C7948" s="25" t="n">
        <f aca="false">MAX(0,SUMPRODUCT($G$7944:$K$7944,$G$7894:$K$7894))</f>
        <v>4.79989986931171</v>
      </c>
    </row>
    <row r="7949" customFormat="false" ht="15" hidden="false" customHeight="false" outlineLevel="0" collapsed="false">
      <c r="A7949" s="3" t="s">
        <v>492</v>
      </c>
      <c r="C7949" s="25" t="n">
        <f aca="false">(CHOOSE($C$7782,Assumptions!$C$84,Assumptions!$C$103,Assumptions!$C$122)+$C$7786)*C7947</f>
        <v>557.867823629688</v>
      </c>
    </row>
    <row r="7950" customFormat="false" ht="15" hidden="false" customHeight="false" outlineLevel="0" collapsed="false">
      <c r="A7950" s="3" t="s">
        <v>493</v>
      </c>
      <c r="C7950" s="25" t="n">
        <f aca="false">Assumptions!$C$30*(1-CHOOSE($C$7782,Assumptions!$C$85,Assumptions!$C$104,Assumptions!$C$123))*CHOOSE($C$7782,Assumptions!$C$86,Assumptions!$C$105,Assumptions!$C$124)</f>
        <v>626.017605</v>
      </c>
    </row>
    <row r="7951" customFormat="false" ht="15" hidden="false" customHeight="false" outlineLevel="0" collapsed="false">
      <c r="A7951" s="3" t="s">
        <v>494</v>
      </c>
      <c r="C7951" s="25" t="n">
        <f aca="false">MAX(C7949,C7950)+C7948</f>
        <v>630.817504869312</v>
      </c>
    </row>
    <row r="7952" customFormat="false" ht="15" hidden="false" customHeight="false" outlineLevel="0" collapsed="false">
      <c r="A7952" s="2" t="s">
        <v>495</v>
      </c>
      <c r="C7952" s="16" t="n">
        <f aca="false">IF(ISNUMBER(Assumptions!$C$14),Assumptions!$C$14,C7951)</f>
        <v>630.817504869312</v>
      </c>
    </row>
    <row r="7953" customFormat="false" ht="15" hidden="false" customHeight="false" outlineLevel="0" collapsed="false">
      <c r="A7953" s="3" t="s">
        <v>496</v>
      </c>
      <c r="C7953" s="25" t="n">
        <f aca="false">C7952*Assumptions!$C$15</f>
        <v>25.2327001947725</v>
      </c>
    </row>
    <row r="7954" customFormat="false" ht="15" hidden="false" customHeight="false" outlineLevel="0" collapsed="false">
      <c r="A7954" s="2" t="s">
        <v>497</v>
      </c>
      <c r="C7954" s="16" t="n">
        <f aca="false">C7952-C7953</f>
        <v>605.584804674539</v>
      </c>
    </row>
    <row r="7955" customFormat="false" ht="15" hidden="false" customHeight="false" outlineLevel="0" collapsed="false">
      <c r="A7955" s="23" t="s">
        <v>498</v>
      </c>
      <c r="B7955" s="24"/>
      <c r="C7955" s="24"/>
      <c r="D7955" s="24"/>
      <c r="E7955" s="24"/>
      <c r="F7955" s="24"/>
      <c r="G7955" s="24"/>
      <c r="H7955" s="24"/>
      <c r="I7955" s="24"/>
      <c r="J7955" s="24"/>
      <c r="K7955" s="24"/>
    </row>
    <row r="7956" customFormat="false" ht="15" hidden="false" customHeight="false" outlineLevel="0" collapsed="false">
      <c r="A7956" s="3" t="s">
        <v>499</v>
      </c>
      <c r="C7956" s="25" t="n">
        <f aca="false">SUMPRODUCT($G$7944:$K$7944,$G$7836:$K$7836)*(1+SUMPRODUCT($G$7944:$K$7944,$G$7828:$K$7828)*Assumptions!$C$16/12)</f>
        <v>1349.6193225</v>
      </c>
    </row>
    <row r="7957" customFormat="false" ht="15" hidden="false" customHeight="false" outlineLevel="0" collapsed="false">
      <c r="A7957" s="3" t="s">
        <v>500</v>
      </c>
      <c r="C7957" s="25" t="n">
        <f aca="false">SUMPRODUCT($G$7944:$K$7944,$G$7849:$K$7849)*(1+SUMPRODUCT($G$7944:$K$7944,$G$7841:$K$7841)*Assumptions!$C$16/12)</f>
        <v>0</v>
      </c>
    </row>
    <row r="7958" customFormat="false" ht="15" hidden="false" customHeight="false" outlineLevel="0" collapsed="false">
      <c r="A7958" s="3" t="s">
        <v>501</v>
      </c>
      <c r="C7958" s="25" t="n">
        <f aca="false">SUMPRODUCT($G$7944:$K$7944,$G$7862:$K$7862)*(1+SUMPRODUCT($G$7944:$K$7944,$G$7854:$K$7854)*Assumptions!$C$16/12)</f>
        <v>0</v>
      </c>
    </row>
    <row r="7959" customFormat="false" ht="15" hidden="false" customHeight="false" outlineLevel="0" collapsed="false">
      <c r="A7959" s="23" t="s">
        <v>502</v>
      </c>
      <c r="B7959" s="24"/>
      <c r="C7959" s="24"/>
      <c r="D7959" s="24"/>
      <c r="E7959" s="24"/>
      <c r="F7959" s="24"/>
      <c r="G7959" s="24"/>
      <c r="H7959" s="24"/>
      <c r="I7959" s="24"/>
      <c r="J7959" s="24"/>
      <c r="K7959" s="24"/>
    </row>
    <row r="7960" customFormat="false" ht="15" hidden="false" customHeight="false" outlineLevel="0" collapsed="false">
      <c r="A7960" s="3" t="s">
        <v>499</v>
      </c>
      <c r="C7960" s="27" t="n">
        <f aca="false">Assumptions!$M$56</f>
        <v>1</v>
      </c>
    </row>
    <row r="7961" customFormat="false" ht="15" hidden="false" customHeight="false" outlineLevel="0" collapsed="false">
      <c r="A7961" s="3" t="s">
        <v>500</v>
      </c>
      <c r="C7961" s="27" t="n">
        <f aca="false">Assumptions!$M$57</f>
        <v>2</v>
      </c>
    </row>
    <row r="7962" customFormat="false" ht="15" hidden="false" customHeight="false" outlineLevel="0" collapsed="false">
      <c r="A7962" s="3" t="s">
        <v>501</v>
      </c>
      <c r="C7962" s="27" t="n">
        <f aca="false">Assumptions!$M$58</f>
        <v>2</v>
      </c>
    </row>
    <row r="7963" customFormat="false" ht="15" hidden="false" customHeight="false" outlineLevel="0" collapsed="false">
      <c r="A7963" s="23" t="s">
        <v>503</v>
      </c>
      <c r="B7963" s="24"/>
      <c r="C7963" s="24"/>
      <c r="D7963" s="24"/>
      <c r="E7963" s="24"/>
      <c r="F7963" s="24"/>
      <c r="G7963" s="24"/>
      <c r="H7963" s="24"/>
      <c r="I7963" s="24"/>
      <c r="J7963" s="24"/>
      <c r="K7963" s="24"/>
    </row>
    <row r="7964" customFormat="false" ht="15" hidden="false" customHeight="false" outlineLevel="0" collapsed="false">
      <c r="A7964" s="3" t="s">
        <v>499</v>
      </c>
      <c r="C7964" s="35" t="n">
        <f aca="false">Assumptions!$Q$56</f>
        <v>0</v>
      </c>
    </row>
    <row r="7965" customFormat="false" ht="15" hidden="false" customHeight="false" outlineLevel="0" collapsed="false">
      <c r="A7965" s="3" t="s">
        <v>500</v>
      </c>
      <c r="C7965" s="35" t="n">
        <f aca="false">Assumptions!$Q$57</f>
        <v>0</v>
      </c>
    </row>
    <row r="7966" customFormat="false" ht="15" hidden="false" customHeight="false" outlineLevel="0" collapsed="false">
      <c r="A7966" s="3" t="s">
        <v>501</v>
      </c>
      <c r="C7966" s="35" t="n">
        <f aca="false">Assumptions!$Q$58</f>
        <v>0</v>
      </c>
    </row>
    <row r="7967" customFormat="false" ht="15" hidden="false" customHeight="false" outlineLevel="0" collapsed="false">
      <c r="A7967" s="23" t="s">
        <v>504</v>
      </c>
      <c r="B7967" s="24"/>
      <c r="C7967" s="24"/>
      <c r="D7967" s="24"/>
      <c r="E7967" s="24"/>
      <c r="F7967" s="24"/>
      <c r="G7967" s="24"/>
      <c r="H7967" s="24"/>
      <c r="I7967" s="24"/>
      <c r="J7967" s="24"/>
      <c r="K7967" s="24"/>
    </row>
    <row r="7968" customFormat="false" ht="15" hidden="false" customHeight="false" outlineLevel="0" collapsed="false">
      <c r="A7968" s="3" t="s">
        <v>499</v>
      </c>
      <c r="C7968" s="25" t="n">
        <f aca="false">IF(C7964&gt;0,MIN(C7956,C7964*$C$7954),0)</f>
        <v>0</v>
      </c>
    </row>
    <row r="7969" customFormat="false" ht="15" hidden="false" customHeight="false" outlineLevel="0" collapsed="false">
      <c r="A7969" s="3" t="s">
        <v>500</v>
      </c>
      <c r="C7969" s="25" t="n">
        <f aca="false">IF(C7965&gt;0,MIN(C7957,C7965*$C$7954),0)</f>
        <v>0</v>
      </c>
    </row>
    <row r="7970" customFormat="false" ht="15" hidden="false" customHeight="false" outlineLevel="0" collapsed="false">
      <c r="A7970" s="3" t="s">
        <v>501</v>
      </c>
      <c r="C7970" s="25" t="n">
        <f aca="false">IF(C7966&gt;0,MIN(C7958,C7966*$C$7954),0)</f>
        <v>0</v>
      </c>
    </row>
    <row r="7971" customFormat="false" ht="15" hidden="false" customHeight="false" outlineLevel="0" collapsed="false">
      <c r="A7971" s="23" t="s">
        <v>505</v>
      </c>
      <c r="B7971" s="24"/>
      <c r="C7971" s="24"/>
      <c r="D7971" s="24"/>
      <c r="E7971" s="24"/>
      <c r="F7971" s="24"/>
      <c r="G7971" s="24"/>
      <c r="H7971" s="24"/>
      <c r="I7971" s="24"/>
      <c r="J7971" s="24"/>
      <c r="K7971" s="24"/>
    </row>
    <row r="7972" customFormat="false" ht="15" hidden="false" customHeight="false" outlineLevel="0" collapsed="false">
      <c r="A7972" s="3" t="s">
        <v>499</v>
      </c>
      <c r="C7972" s="25" t="n">
        <f aca="false">IF(C7964&gt;0,C7956-C7968,0)</f>
        <v>0</v>
      </c>
      <c r="G7972" s="20" t="n">
        <f aca="false">IF(AND(G7826=1,G7823=1),1,0)</f>
        <v>0</v>
      </c>
      <c r="H7972" s="20" t="n">
        <f aca="false">IF(G7972=1,1,IF(AND(H7826=1,H7823=1),1,0))</f>
        <v>0</v>
      </c>
      <c r="I7972" s="20" t="n">
        <f aca="false">IF(H7972=1,1,IF(AND(I7826=1,I7823=1),1,0))</f>
        <v>0</v>
      </c>
      <c r="J7972" s="20" t="n">
        <f aca="false">IF(I7972=1,1,IF(AND(J7826=1,J7823=1),1,0))</f>
        <v>0</v>
      </c>
      <c r="K7972" s="20" t="n">
        <f aca="false">IF(J7972=1,1,IF(AND(K7826=1,K7823=1),1,0))</f>
        <v>0</v>
      </c>
    </row>
    <row r="7973" customFormat="false" ht="15" hidden="false" customHeight="false" outlineLevel="0" collapsed="false">
      <c r="A7973" s="3" t="s">
        <v>500</v>
      </c>
      <c r="C7973" s="25" t="n">
        <f aca="false">IF(C7965&gt;0,C7957-C7969,0)</f>
        <v>0</v>
      </c>
      <c r="G7973" s="20" t="n">
        <f aca="false">IF(AND(G7839=1,G7823=1),1,0)</f>
        <v>0</v>
      </c>
      <c r="H7973" s="20" t="n">
        <f aca="false">IF(G7973=1,1,IF(AND(H7839=1,H7823=1),1,0))</f>
        <v>0</v>
      </c>
      <c r="I7973" s="20" t="n">
        <f aca="false">IF(H7973=1,1,IF(AND(I7839=1,I7823=1),1,0))</f>
        <v>0</v>
      </c>
      <c r="J7973" s="20" t="n">
        <f aca="false">IF(I7973=1,1,IF(AND(J7839=1,J7823=1),1,0))</f>
        <v>0</v>
      </c>
      <c r="K7973" s="20" t="n">
        <f aca="false">IF(J7973=1,1,IF(AND(K7839=1,K7823=1),1,0))</f>
        <v>0</v>
      </c>
    </row>
    <row r="7974" customFormat="false" ht="15" hidden="false" customHeight="false" outlineLevel="0" collapsed="false">
      <c r="A7974" s="3" t="s">
        <v>501</v>
      </c>
      <c r="C7974" s="25" t="n">
        <f aca="false">IF(C7966&gt;0,C7958-C7970,0)</f>
        <v>0</v>
      </c>
      <c r="G7974" s="20" t="n">
        <f aca="false">IF(AND(G7852=1,G7823=1),1,0)</f>
        <v>0</v>
      </c>
      <c r="H7974" s="20" t="n">
        <f aca="false">IF(G7974=1,1,IF(AND(H7852=1,H7823=1),1,0))</f>
        <v>0</v>
      </c>
      <c r="I7974" s="20" t="n">
        <f aca="false">IF(H7974=1,1,IF(AND(I7852=1,I7823=1),1,0))</f>
        <v>0</v>
      </c>
      <c r="J7974" s="20" t="n">
        <f aca="false">IF(I7974=1,1,IF(AND(J7852=1,J7823=1),1,0))</f>
        <v>0</v>
      </c>
      <c r="K7974" s="20" t="n">
        <f aca="false">IF(J7974=1,1,IF(AND(K7852=1,K7823=1),1,0))</f>
        <v>0</v>
      </c>
    </row>
    <row r="7975" customFormat="false" ht="15" hidden="false" customHeight="false" outlineLevel="0" collapsed="false">
      <c r="A7975" s="23" t="s">
        <v>506</v>
      </c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</row>
    <row r="7976" customFormat="false" ht="15" hidden="false" customHeight="false" outlineLevel="0" collapsed="false">
      <c r="A7976" s="3" t="s">
        <v>499</v>
      </c>
      <c r="C7976" s="25" t="n">
        <f aca="false">IF(C7964&gt;0,C7972,C7956)</f>
        <v>1349.6193225</v>
      </c>
    </row>
    <row r="7977" customFormat="false" ht="15" hidden="false" customHeight="false" outlineLevel="0" collapsed="false">
      <c r="A7977" s="3" t="s">
        <v>500</v>
      </c>
      <c r="C7977" s="25" t="n">
        <f aca="false">IF(C7965&gt;0,C7973,C7957)</f>
        <v>0</v>
      </c>
    </row>
    <row r="7978" customFormat="false" ht="15" hidden="false" customHeight="false" outlineLevel="0" collapsed="false">
      <c r="A7978" s="3" t="s">
        <v>501</v>
      </c>
      <c r="C7978" s="25" t="n">
        <f aca="false">IF(C7966&gt;0,C7974,C7958)</f>
        <v>0</v>
      </c>
    </row>
    <row r="7979" customFormat="false" ht="15" hidden="false" customHeight="false" outlineLevel="0" collapsed="false">
      <c r="A7979" s="23" t="s">
        <v>507</v>
      </c>
      <c r="B7979" s="24"/>
      <c r="C7979" s="24"/>
      <c r="D7979" s="24"/>
      <c r="E7979" s="24"/>
      <c r="F7979" s="24"/>
      <c r="G7979" s="24"/>
      <c r="H7979" s="24"/>
      <c r="I7979" s="24"/>
      <c r="J7979" s="24"/>
      <c r="K7979" s="24"/>
    </row>
    <row r="7980" customFormat="false" ht="15" hidden="false" customHeight="false" outlineLevel="0" collapsed="false">
      <c r="A7980" s="3" t="s">
        <v>499</v>
      </c>
      <c r="C7980" s="20" t="n">
        <f aca="false">IF(C7964&gt;0,Assumptions!$C$17,C7960)</f>
        <v>1</v>
      </c>
    </row>
    <row r="7981" customFormat="false" ht="15" hidden="false" customHeight="false" outlineLevel="0" collapsed="false">
      <c r="A7981" s="3" t="s">
        <v>500</v>
      </c>
      <c r="C7981" s="20" t="n">
        <f aca="false">IF(C7965&gt;0,Assumptions!$C$17,C7961)</f>
        <v>2</v>
      </c>
    </row>
    <row r="7982" customFormat="false" ht="15" hidden="false" customHeight="false" outlineLevel="0" collapsed="false">
      <c r="A7982" s="3" t="s">
        <v>501</v>
      </c>
      <c r="C7982" s="20" t="n">
        <f aca="false">IF(C7966&gt;0,Assumptions!$C$17,C7962)</f>
        <v>2</v>
      </c>
    </row>
    <row r="7983" customFormat="false" ht="15" hidden="false" customHeight="false" outlineLevel="0" collapsed="false">
      <c r="A7983" s="23" t="s">
        <v>508</v>
      </c>
      <c r="B7983" s="24"/>
      <c r="C7983" s="24"/>
      <c r="D7983" s="24"/>
      <c r="E7983" s="24"/>
      <c r="F7983" s="24"/>
      <c r="G7983" s="24"/>
      <c r="H7983" s="24"/>
      <c r="I7983" s="24"/>
      <c r="J7983" s="24"/>
      <c r="K7983" s="24"/>
    </row>
    <row r="7984" customFormat="false" ht="15" hidden="false" customHeight="false" outlineLevel="0" collapsed="false">
      <c r="A7984" s="3" t="s">
        <v>499</v>
      </c>
      <c r="C7984" s="25" t="n">
        <f aca="false">SUMPRODUCT(($C$7980:$C$7982&lt;C7980)*$C$7976:$C$7978)</f>
        <v>0</v>
      </c>
    </row>
    <row r="7985" customFormat="false" ht="15" hidden="false" customHeight="false" outlineLevel="0" collapsed="false">
      <c r="A7985" s="3" t="s">
        <v>500</v>
      </c>
      <c r="C7985" s="25" t="n">
        <f aca="false">SUMPRODUCT(($C$7980:$C$7982&lt;C7981)*$C$7976:$C$7978)</f>
        <v>1349.6193225</v>
      </c>
    </row>
    <row r="7986" customFormat="false" ht="15" hidden="false" customHeight="false" outlineLevel="0" collapsed="false">
      <c r="A7986" s="3" t="s">
        <v>501</v>
      </c>
      <c r="C7986" s="25" t="n">
        <f aca="false">SUMPRODUCT(($C$7980:$C$7982&lt;C7982)*$C$7976:$C$7978)</f>
        <v>1349.6193225</v>
      </c>
    </row>
    <row r="7987" customFormat="false" ht="15" hidden="false" customHeight="false" outlineLevel="0" collapsed="false">
      <c r="A7987" s="23" t="s">
        <v>509</v>
      </c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</row>
    <row r="7988" customFormat="false" ht="15" hidden="false" customHeight="false" outlineLevel="0" collapsed="false">
      <c r="A7988" s="3" t="s">
        <v>499</v>
      </c>
      <c r="C7988" s="25" t="n">
        <f aca="false">SUMPRODUCT(($C$7980:$C$7982=C7980)*$C$7976:$C$7978)</f>
        <v>1349.6193225</v>
      </c>
    </row>
    <row r="7989" customFormat="false" ht="15" hidden="false" customHeight="false" outlineLevel="0" collapsed="false">
      <c r="A7989" s="3" t="s">
        <v>500</v>
      </c>
      <c r="C7989" s="25" t="n">
        <f aca="false">SUMPRODUCT(($C$7980:$C$7982=C7981)*$C$7976:$C$7978)</f>
        <v>0</v>
      </c>
    </row>
    <row r="7990" customFormat="false" ht="15" hidden="false" customHeight="false" outlineLevel="0" collapsed="false">
      <c r="A7990" s="3" t="s">
        <v>501</v>
      </c>
      <c r="C7990" s="25" t="n">
        <f aca="false">SUMPRODUCT(($C$7980:$C$7982=C7982)*$C$7976:$C$7978)</f>
        <v>0</v>
      </c>
    </row>
    <row r="7991" customFormat="false" ht="15" hidden="false" customHeight="false" outlineLevel="0" collapsed="false">
      <c r="A7991" s="23" t="s">
        <v>510</v>
      </c>
      <c r="B7991" s="24"/>
      <c r="C7991" s="24"/>
      <c r="D7991" s="24"/>
      <c r="E7991" s="24"/>
      <c r="F7991" s="24"/>
      <c r="G7991" s="24"/>
      <c r="H7991" s="24"/>
      <c r="I7991" s="24"/>
      <c r="J7991" s="24"/>
      <c r="K7991" s="24"/>
    </row>
    <row r="7992" customFormat="false" ht="15" hidden="false" customHeight="false" outlineLevel="0" collapsed="false">
      <c r="A7992" s="3" t="s">
        <v>499</v>
      </c>
      <c r="C7992" s="25" t="n">
        <f aca="false">IF(C7988=0,0,C7976/C7988*MAX(0,MIN(C7988,$C$7954-SUM($C$7968:$C$7970)-C7984)))</f>
        <v>605.584804674539</v>
      </c>
    </row>
    <row r="7993" customFormat="false" ht="15" hidden="false" customHeight="false" outlineLevel="0" collapsed="false">
      <c r="A7993" s="3" t="s">
        <v>500</v>
      </c>
      <c r="C7993" s="25" t="n">
        <f aca="false">IF(C7989=0,0,C7977/C7989*MAX(0,MIN(C7989,$C$7954-SUM($C$7968:$C$7970)-C7985)))</f>
        <v>0</v>
      </c>
    </row>
    <row r="7994" customFormat="false" ht="15" hidden="false" customHeight="false" outlineLevel="0" collapsed="false">
      <c r="A7994" s="3" t="s">
        <v>501</v>
      </c>
      <c r="C7994" s="25" t="n">
        <f aca="false">IF(C7990=0,0,C7978/C7990*MAX(0,MIN(C7990,$C$7954-SUM($C$7968:$C$7970)-C7986)))</f>
        <v>0</v>
      </c>
    </row>
    <row r="7995" customFormat="false" ht="15" hidden="false" customHeight="false" outlineLevel="0" collapsed="false">
      <c r="A7995" s="23" t="s">
        <v>511</v>
      </c>
      <c r="B7995" s="24"/>
      <c r="C7995" s="24"/>
      <c r="D7995" s="24"/>
      <c r="E7995" s="24"/>
      <c r="F7995" s="24"/>
      <c r="G7995" s="24"/>
      <c r="H7995" s="24"/>
      <c r="I7995" s="24"/>
      <c r="J7995" s="24"/>
      <c r="K7995" s="24"/>
    </row>
    <row r="7996" customFormat="false" ht="15" hidden="false" customHeight="false" outlineLevel="0" collapsed="false">
      <c r="A7996" s="2" t="s">
        <v>499</v>
      </c>
      <c r="C7996" s="16" t="n">
        <f aca="false">C7968+C7992</f>
        <v>605.584804674539</v>
      </c>
    </row>
    <row r="7997" customFormat="false" ht="15" hidden="false" customHeight="false" outlineLevel="0" collapsed="false">
      <c r="A7997" s="2" t="s">
        <v>500</v>
      </c>
      <c r="C7997" s="16" t="n">
        <f aca="false">C7969+C7993</f>
        <v>0</v>
      </c>
    </row>
    <row r="7998" customFormat="false" ht="15" hidden="false" customHeight="false" outlineLevel="0" collapsed="false">
      <c r="A7998" s="2" t="s">
        <v>501</v>
      </c>
      <c r="C7998" s="16" t="n">
        <f aca="false">C7970+C7994</f>
        <v>0</v>
      </c>
    </row>
    <row r="7999" customFormat="false" ht="15" hidden="false" customHeight="false" outlineLevel="0" collapsed="false">
      <c r="A7999" s="23" t="s">
        <v>512</v>
      </c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</row>
    <row r="8000" customFormat="false" ht="15" hidden="false" customHeight="false" outlineLevel="0" collapsed="false">
      <c r="A8000" s="3" t="s">
        <v>499</v>
      </c>
      <c r="C8000" s="21" t="n">
        <f aca="false">IF(C7956=0,1,C7996/C7956)</f>
        <v>0.448707864935402</v>
      </c>
    </row>
    <row r="8001" customFormat="false" ht="15" hidden="false" customHeight="false" outlineLevel="0" collapsed="false">
      <c r="A8001" s="3" t="s">
        <v>500</v>
      </c>
      <c r="C8001" s="21" t="n">
        <f aca="false">IF(C7957=0,1,C7997/C7957)</f>
        <v>1</v>
      </c>
    </row>
    <row r="8002" customFormat="false" ht="15" hidden="false" customHeight="false" outlineLevel="0" collapsed="false">
      <c r="A8002" s="3" t="s">
        <v>501</v>
      </c>
      <c r="C8002" s="21" t="n">
        <f aca="false">IF(C7958=0,1,C7998/C7958)</f>
        <v>1</v>
      </c>
    </row>
    <row r="8003" customFormat="false" ht="15" hidden="false" customHeight="false" outlineLevel="0" collapsed="false">
      <c r="A8003" s="23" t="s">
        <v>513</v>
      </c>
      <c r="B8003" s="24"/>
      <c r="C8003" s="24"/>
      <c r="D8003" s="24"/>
      <c r="E8003" s="24"/>
      <c r="F8003" s="24"/>
      <c r="G8003" s="24"/>
      <c r="H8003" s="24"/>
      <c r="I8003" s="24"/>
      <c r="J8003" s="24"/>
      <c r="K8003" s="24"/>
    </row>
    <row r="8004" customFormat="false" ht="15" hidden="false" customHeight="false" outlineLevel="0" collapsed="false">
      <c r="A8004" s="3" t="s">
        <v>499</v>
      </c>
      <c r="C8004" s="25" t="n">
        <f aca="false">C7956-C7996</f>
        <v>744.034517825461</v>
      </c>
    </row>
    <row r="8005" customFormat="false" ht="15" hidden="false" customHeight="false" outlineLevel="0" collapsed="false">
      <c r="A8005" s="3" t="s">
        <v>500</v>
      </c>
      <c r="C8005" s="25" t="n">
        <f aca="false">C7957-C7997</f>
        <v>0</v>
      </c>
    </row>
    <row r="8006" customFormat="false" ht="15" hidden="false" customHeight="false" outlineLevel="0" collapsed="false">
      <c r="A8006" s="3" t="s">
        <v>501</v>
      </c>
      <c r="C8006" s="25" t="n">
        <f aca="false">C7958-C7998</f>
        <v>0</v>
      </c>
    </row>
    <row r="8007" customFormat="false" ht="15" hidden="false" customHeight="false" outlineLevel="0" collapsed="false">
      <c r="A8007" s="23" t="s">
        <v>514</v>
      </c>
      <c r="B8007" s="24"/>
      <c r="C8007" s="24"/>
      <c r="D8007" s="24"/>
      <c r="E8007" s="24"/>
      <c r="F8007" s="24"/>
      <c r="G8007" s="24"/>
      <c r="H8007" s="24"/>
      <c r="I8007" s="24"/>
      <c r="J8007" s="24"/>
      <c r="K8007" s="24"/>
    </row>
    <row r="8008" customFormat="false" ht="15" hidden="false" customHeight="false" outlineLevel="0" collapsed="false">
      <c r="A8008" s="3" t="s">
        <v>499</v>
      </c>
      <c r="C8008" s="21" t="n">
        <f aca="false">IF(C7956=0,0,C8004/C7956)</f>
        <v>0.551292135064598</v>
      </c>
    </row>
    <row r="8009" customFormat="false" ht="15" hidden="false" customHeight="false" outlineLevel="0" collapsed="false">
      <c r="A8009" s="3" t="s">
        <v>500</v>
      </c>
      <c r="C8009" s="21" t="n">
        <f aca="false">IF(C7957=0,0,C8005/C7957)</f>
        <v>0</v>
      </c>
    </row>
    <row r="8010" customFormat="false" ht="15" hidden="false" customHeight="false" outlineLevel="0" collapsed="false">
      <c r="A8010" s="3" t="s">
        <v>501</v>
      </c>
      <c r="C8010" s="21" t="n">
        <f aca="false">IF(C7958=0,0,C8006/C7958)</f>
        <v>0</v>
      </c>
    </row>
    <row r="8011" customFormat="false" ht="15" hidden="false" customHeight="false" outlineLevel="0" collapsed="false">
      <c r="A8011" s="2" t="s">
        <v>515</v>
      </c>
      <c r="C8011" s="16" t="n">
        <f aca="false">MAX(0,$C$7954-SUM($C$7968:$C$7970)-SUM($C$7976:$C$7978))</f>
        <v>0</v>
      </c>
    </row>
    <row r="8012" customFormat="false" ht="15" hidden="false" customHeight="false" outlineLevel="0" collapsed="false">
      <c r="A8012" s="3" t="s">
        <v>516</v>
      </c>
      <c r="C8012" s="25" t="n">
        <f aca="false">SUM($C$7996:$C$7998)+C8011+C7953-C7952</f>
        <v>0</v>
      </c>
    </row>
    <row r="8014" customFormat="false" ht="15" hidden="false" customHeight="false" outlineLevel="0" collapsed="false">
      <c r="A8014" s="23" t="s">
        <v>519</v>
      </c>
      <c r="B8014" s="24"/>
      <c r="C8014" s="24"/>
      <c r="D8014" s="24"/>
      <c r="E8014" s="24"/>
      <c r="F8014" s="24"/>
      <c r="G8014" s="24"/>
      <c r="H8014" s="24"/>
      <c r="I8014" s="24"/>
      <c r="J8014" s="24"/>
      <c r="K8014" s="24"/>
    </row>
    <row r="8015" customFormat="false" ht="15" hidden="false" customHeight="false" outlineLevel="0" collapsed="false">
      <c r="A8015" s="3" t="s">
        <v>520</v>
      </c>
      <c r="C8015" s="27" t="n">
        <f aca="false">Assumptions!$C$33</f>
        <v>1</v>
      </c>
    </row>
    <row r="8016" customFormat="false" ht="15" hidden="false" customHeight="false" outlineLevel="0" collapsed="false">
      <c r="A8016" s="3" t="s">
        <v>521</v>
      </c>
      <c r="C8016" s="29" t="n">
        <f aca="false">Assumptions!$C$34</f>
        <v>100</v>
      </c>
    </row>
    <row r="8017" customFormat="false" ht="15" hidden="false" customHeight="false" outlineLevel="0" collapsed="false">
      <c r="A8017" s="3" t="s">
        <v>522</v>
      </c>
      <c r="C8017" s="40" t="n">
        <f aca="false">Assumptions!$C$35</f>
        <v>95</v>
      </c>
    </row>
    <row r="8018" customFormat="false" ht="15" hidden="false" customHeight="false" outlineLevel="0" collapsed="false">
      <c r="A8018" s="3" t="s">
        <v>523</v>
      </c>
      <c r="C8018" s="25" t="n">
        <f aca="false">C8016*C8017/100*(1+Assumptions!$C$36)</f>
        <v>95</v>
      </c>
    </row>
    <row r="8019" customFormat="false" ht="15" hidden="false" customHeight="false" outlineLevel="0" collapsed="false">
      <c r="A8019" s="3" t="s">
        <v>524</v>
      </c>
      <c r="C8019" s="27" t="n">
        <f aca="false">Assumptions!$C$37</f>
        <v>3</v>
      </c>
    </row>
    <row r="8020" customFormat="false" ht="15" hidden="false" customHeight="false" outlineLevel="0" collapsed="false">
      <c r="A8020" s="3" t="s">
        <v>525</v>
      </c>
      <c r="C8020" s="20" t="n">
        <f aca="false">IF(C7945=1,SUMPRODUCT($G$7897:$K$7897,$G$7790:$K$7790),0)</f>
        <v>0</v>
      </c>
    </row>
    <row r="8021" customFormat="false" ht="15" hidden="false" customHeight="false" outlineLevel="0" collapsed="false">
      <c r="A8021" s="3" t="s">
        <v>526</v>
      </c>
      <c r="C8021" s="21" t="n">
        <f aca="false">IFERROR(C8016/CHOOSE(C8015,SUMPRODUCT($G$7944:$K$7944,$G$7836:$K$7836),SUMPRODUCT($G$7944:$K$7944,$G$7849:$K$7849),SUMPRODUCT($G$7944:$K$7944,$G$7862:$K$7862)),0)</f>
        <v>0.0760399605200525</v>
      </c>
    </row>
    <row r="8022" customFormat="false" ht="15" hidden="false" customHeight="false" outlineLevel="0" collapsed="false">
      <c r="A8022" s="3" t="s">
        <v>527</v>
      </c>
      <c r="C8022" s="25" t="n">
        <f aca="false">CHOOSE(C8015,C7996,C7997,C7998)*C8021</f>
        <v>46.0486446389957</v>
      </c>
    </row>
    <row r="8023" customFormat="false" ht="15" hidden="false" customHeight="false" outlineLevel="0" collapsed="false">
      <c r="A8023" s="3" t="s">
        <v>528</v>
      </c>
      <c r="C8023" s="21" t="n">
        <f aca="false">CHOOSE(C8015,C8000,C8001,C8002)</f>
        <v>0.448707864935402</v>
      </c>
    </row>
    <row r="8024" customFormat="false" ht="15" hidden="false" customHeight="false" outlineLevel="0" collapsed="false">
      <c r="A8024" s="3" t="s">
        <v>529</v>
      </c>
      <c r="C8024" s="20" t="n">
        <f aca="false">IF(C7945=1,C8020,C8019)</f>
        <v>3</v>
      </c>
    </row>
    <row r="8025" customFormat="false" ht="15" hidden="false" customHeight="false" outlineLevel="0" collapsed="false">
      <c r="A8025" s="3" t="s">
        <v>530</v>
      </c>
      <c r="C8025" s="34" t="n">
        <f aca="false">CHOOSE($C$7782,Assumptions!$C$83,Assumptions!$C$102,Assumptions!$C$121)</f>
        <v>95</v>
      </c>
    </row>
    <row r="8026" customFormat="false" ht="15" hidden="false" customHeight="false" outlineLevel="0" collapsed="false">
      <c r="A8026" s="3" t="s">
        <v>531</v>
      </c>
      <c r="C8026" s="25" t="n">
        <f aca="false">INDEX($G$7799:$K$7799,C8019)*CHOOSE($C$7782,Assumptions!$C$82,Assumptions!$C$101,Assumptions!$C$120)+MAX(0,INDEX($G$7894:$K$7894,C8019))</f>
        <v>869.876875414528</v>
      </c>
    </row>
    <row r="8027" customFormat="false" ht="15" hidden="false" customHeight="false" outlineLevel="0" collapsed="false">
      <c r="A8027" s="23" t="s">
        <v>532</v>
      </c>
      <c r="B8027" s="24"/>
      <c r="C8027" s="24"/>
      <c r="D8027" s="24"/>
      <c r="E8027" s="24"/>
      <c r="F8027" s="24"/>
      <c r="G8027" s="24"/>
      <c r="H8027" s="24"/>
      <c r="I8027" s="24"/>
      <c r="J8027" s="24"/>
      <c r="K8027" s="24"/>
    </row>
    <row r="8028" customFormat="false" ht="15" hidden="false" customHeight="false" outlineLevel="0" collapsed="false">
      <c r="A8028" s="3" t="s">
        <v>499</v>
      </c>
      <c r="C8028" s="25" t="n">
        <f aca="false">INDEX($G$7836:$K$7836,C8019)</f>
        <v>1315.098</v>
      </c>
    </row>
    <row r="8029" customFormat="false" ht="15" hidden="false" customHeight="false" outlineLevel="0" collapsed="false">
      <c r="A8029" s="3" t="s">
        <v>500</v>
      </c>
      <c r="C8029" s="25" t="n">
        <f aca="false">INDEX($G$7849:$K$7849,C8019)</f>
        <v>0</v>
      </c>
    </row>
    <row r="8030" customFormat="false" ht="15" hidden="false" customHeight="false" outlineLevel="0" collapsed="false">
      <c r="A8030" s="3" t="s">
        <v>501</v>
      </c>
      <c r="C8030" s="25" t="n">
        <f aca="false">INDEX($G$7862:$K$7862,C8019)</f>
        <v>0</v>
      </c>
    </row>
    <row r="8031" customFormat="false" ht="15" hidden="false" customHeight="false" outlineLevel="0" collapsed="false">
      <c r="A8031" s="23" t="s">
        <v>502</v>
      </c>
      <c r="B8031" s="24"/>
      <c r="C8031" s="24"/>
      <c r="D8031" s="24"/>
      <c r="E8031" s="24"/>
      <c r="F8031" s="24"/>
      <c r="G8031" s="24"/>
      <c r="H8031" s="24"/>
      <c r="I8031" s="24"/>
      <c r="J8031" s="24"/>
      <c r="K8031" s="24"/>
    </row>
    <row r="8032" customFormat="false" ht="15" hidden="false" customHeight="false" outlineLevel="0" collapsed="false">
      <c r="A8032" s="3" t="s">
        <v>499</v>
      </c>
      <c r="C8032" s="27" t="n">
        <f aca="false">Assumptions!$M$56</f>
        <v>1</v>
      </c>
    </row>
    <row r="8033" customFormat="false" ht="15" hidden="false" customHeight="false" outlineLevel="0" collapsed="false">
      <c r="A8033" s="3" t="s">
        <v>500</v>
      </c>
      <c r="C8033" s="27" t="n">
        <f aca="false">Assumptions!$M$57</f>
        <v>2</v>
      </c>
    </row>
    <row r="8034" customFormat="false" ht="15" hidden="false" customHeight="false" outlineLevel="0" collapsed="false">
      <c r="A8034" s="3" t="s">
        <v>501</v>
      </c>
      <c r="C8034" s="27" t="n">
        <f aca="false">Assumptions!$M$58</f>
        <v>2</v>
      </c>
    </row>
    <row r="8035" customFormat="false" ht="15" hidden="false" customHeight="false" outlineLevel="0" collapsed="false">
      <c r="A8035" s="23" t="s">
        <v>503</v>
      </c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</row>
    <row r="8036" customFormat="false" ht="15" hidden="false" customHeight="false" outlineLevel="0" collapsed="false">
      <c r="A8036" s="3" t="s">
        <v>499</v>
      </c>
      <c r="C8036" s="35" t="n">
        <f aca="false">Assumptions!$Q$56</f>
        <v>0</v>
      </c>
    </row>
    <row r="8037" customFormat="false" ht="15" hidden="false" customHeight="false" outlineLevel="0" collapsed="false">
      <c r="A8037" s="3" t="s">
        <v>500</v>
      </c>
      <c r="C8037" s="35" t="n">
        <f aca="false">Assumptions!$Q$57</f>
        <v>0</v>
      </c>
    </row>
    <row r="8038" customFormat="false" ht="15" hidden="false" customHeight="false" outlineLevel="0" collapsed="false">
      <c r="A8038" s="3" t="s">
        <v>501</v>
      </c>
      <c r="C8038" s="35" t="n">
        <f aca="false">Assumptions!$Q$58</f>
        <v>0</v>
      </c>
    </row>
    <row r="8039" customFormat="false" ht="15" hidden="false" customHeight="false" outlineLevel="0" collapsed="false">
      <c r="A8039" s="23" t="s">
        <v>504</v>
      </c>
      <c r="B8039" s="24"/>
      <c r="C8039" s="24"/>
      <c r="D8039" s="24"/>
      <c r="E8039" s="24"/>
      <c r="F8039" s="24"/>
      <c r="G8039" s="24"/>
      <c r="H8039" s="24"/>
      <c r="I8039" s="24"/>
      <c r="J8039" s="24"/>
      <c r="K8039" s="24"/>
    </row>
    <row r="8040" customFormat="false" ht="15" hidden="false" customHeight="false" outlineLevel="0" collapsed="false">
      <c r="A8040" s="3" t="s">
        <v>499</v>
      </c>
      <c r="C8040" s="25" t="n">
        <f aca="false">IF(C8036&gt;0,MIN(C8028,C8036*$C$8026),0)</f>
        <v>0</v>
      </c>
    </row>
    <row r="8041" customFormat="false" ht="15" hidden="false" customHeight="false" outlineLevel="0" collapsed="false">
      <c r="A8041" s="3" t="s">
        <v>500</v>
      </c>
      <c r="C8041" s="25" t="n">
        <f aca="false">IF(C8037&gt;0,MIN(C8029,C8037*$C$8026),0)</f>
        <v>0</v>
      </c>
    </row>
    <row r="8042" customFormat="false" ht="15" hidden="false" customHeight="false" outlineLevel="0" collapsed="false">
      <c r="A8042" s="3" t="s">
        <v>501</v>
      </c>
      <c r="C8042" s="25" t="n">
        <f aca="false">IF(C8038&gt;0,MIN(C8030,C8038*$C$8026),0)</f>
        <v>0</v>
      </c>
    </row>
    <row r="8043" customFormat="false" ht="15" hidden="false" customHeight="false" outlineLevel="0" collapsed="false">
      <c r="A8043" s="23" t="s">
        <v>505</v>
      </c>
      <c r="B8043" s="24"/>
      <c r="C8043" s="24"/>
      <c r="D8043" s="24"/>
      <c r="E8043" s="24"/>
      <c r="F8043" s="24"/>
      <c r="G8043" s="24"/>
      <c r="H8043" s="24"/>
      <c r="I8043" s="24"/>
      <c r="J8043" s="24"/>
      <c r="K8043" s="24"/>
    </row>
    <row r="8044" customFormat="false" ht="15" hidden="false" customHeight="false" outlineLevel="0" collapsed="false">
      <c r="A8044" s="3" t="s">
        <v>499</v>
      </c>
      <c r="C8044" s="25" t="n">
        <f aca="false">IF(C8036&gt;0,C8028-C8040,0)</f>
        <v>0</v>
      </c>
    </row>
    <row r="8045" customFormat="false" ht="15" hidden="false" customHeight="false" outlineLevel="0" collapsed="false">
      <c r="A8045" s="3" t="s">
        <v>500</v>
      </c>
      <c r="C8045" s="25" t="n">
        <f aca="false">IF(C8037&gt;0,C8029-C8041,0)</f>
        <v>0</v>
      </c>
    </row>
    <row r="8046" customFormat="false" ht="15" hidden="false" customHeight="false" outlineLevel="0" collapsed="false">
      <c r="A8046" s="3" t="s">
        <v>501</v>
      </c>
      <c r="C8046" s="25" t="n">
        <f aca="false">IF(C8038&gt;0,C8030-C8042,0)</f>
        <v>0</v>
      </c>
    </row>
    <row r="8047" customFormat="false" ht="15" hidden="false" customHeight="false" outlineLevel="0" collapsed="false">
      <c r="A8047" s="23" t="s">
        <v>506</v>
      </c>
      <c r="B8047" s="24"/>
      <c r="C8047" s="24"/>
      <c r="D8047" s="24"/>
      <c r="E8047" s="24"/>
      <c r="F8047" s="24"/>
      <c r="G8047" s="24"/>
      <c r="H8047" s="24"/>
      <c r="I8047" s="24"/>
      <c r="J8047" s="24"/>
      <c r="K8047" s="24"/>
    </row>
    <row r="8048" customFormat="false" ht="15" hidden="false" customHeight="false" outlineLevel="0" collapsed="false">
      <c r="A8048" s="3" t="s">
        <v>499</v>
      </c>
      <c r="C8048" s="25" t="n">
        <f aca="false">IF(C8036&gt;0,C8044,C8028)</f>
        <v>1315.098</v>
      </c>
    </row>
    <row r="8049" customFormat="false" ht="15" hidden="false" customHeight="false" outlineLevel="0" collapsed="false">
      <c r="A8049" s="3" t="s">
        <v>500</v>
      </c>
      <c r="C8049" s="25" t="n">
        <f aca="false">IF(C8037&gt;0,C8045,C8029)</f>
        <v>0</v>
      </c>
    </row>
    <row r="8050" customFormat="false" ht="15" hidden="false" customHeight="false" outlineLevel="0" collapsed="false">
      <c r="A8050" s="3" t="s">
        <v>501</v>
      </c>
      <c r="C8050" s="25" t="n">
        <f aca="false">IF(C8038&gt;0,C8046,C8030)</f>
        <v>0</v>
      </c>
    </row>
    <row r="8051" customFormat="false" ht="15" hidden="false" customHeight="false" outlineLevel="0" collapsed="false">
      <c r="A8051" s="23" t="s">
        <v>507</v>
      </c>
      <c r="B8051" s="24"/>
      <c r="C8051" s="24"/>
      <c r="D8051" s="24"/>
      <c r="E8051" s="24"/>
      <c r="F8051" s="24"/>
      <c r="G8051" s="24"/>
      <c r="H8051" s="24"/>
      <c r="I8051" s="24"/>
      <c r="J8051" s="24"/>
      <c r="K8051" s="24"/>
    </row>
    <row r="8052" customFormat="false" ht="15" hidden="false" customHeight="false" outlineLevel="0" collapsed="false">
      <c r="A8052" s="3" t="s">
        <v>499</v>
      </c>
      <c r="C8052" s="20" t="n">
        <f aca="false">IF(C8036&gt;0,Assumptions!$C$17,C8032)</f>
        <v>1</v>
      </c>
    </row>
    <row r="8053" customFormat="false" ht="15" hidden="false" customHeight="false" outlineLevel="0" collapsed="false">
      <c r="A8053" s="3" t="s">
        <v>500</v>
      </c>
      <c r="C8053" s="20" t="n">
        <f aca="false">IF(C8037&gt;0,Assumptions!$C$17,C8033)</f>
        <v>2</v>
      </c>
    </row>
    <row r="8054" customFormat="false" ht="15" hidden="false" customHeight="false" outlineLevel="0" collapsed="false">
      <c r="A8054" s="3" t="s">
        <v>501</v>
      </c>
      <c r="C8054" s="20" t="n">
        <f aca="false">IF(C8038&gt;0,Assumptions!$C$17,C8034)</f>
        <v>2</v>
      </c>
    </row>
    <row r="8055" customFormat="false" ht="15" hidden="false" customHeight="false" outlineLevel="0" collapsed="false">
      <c r="A8055" s="23" t="s">
        <v>508</v>
      </c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</row>
    <row r="8056" customFormat="false" ht="15" hidden="false" customHeight="false" outlineLevel="0" collapsed="false">
      <c r="A8056" s="3" t="s">
        <v>499</v>
      </c>
      <c r="C8056" s="25" t="n">
        <f aca="false">SUMPRODUCT(($C$8052:$C$8054&lt;C8052)*$C$8048:$C$8050)</f>
        <v>0</v>
      </c>
    </row>
    <row r="8057" customFormat="false" ht="15" hidden="false" customHeight="false" outlineLevel="0" collapsed="false">
      <c r="A8057" s="3" t="s">
        <v>500</v>
      </c>
      <c r="C8057" s="25" t="n">
        <f aca="false">SUMPRODUCT(($C$8052:$C$8054&lt;C8053)*$C$8048:$C$8050)</f>
        <v>1315.098</v>
      </c>
    </row>
    <row r="8058" customFormat="false" ht="15" hidden="false" customHeight="false" outlineLevel="0" collapsed="false">
      <c r="A8058" s="3" t="s">
        <v>501</v>
      </c>
      <c r="C8058" s="25" t="n">
        <f aca="false">SUMPRODUCT(($C$8052:$C$8054&lt;C8054)*$C$8048:$C$8050)</f>
        <v>1315.098</v>
      </c>
    </row>
    <row r="8059" customFormat="false" ht="15" hidden="false" customHeight="false" outlineLevel="0" collapsed="false">
      <c r="A8059" s="23" t="s">
        <v>509</v>
      </c>
      <c r="B8059" s="24"/>
      <c r="C8059" s="24"/>
      <c r="D8059" s="24"/>
      <c r="E8059" s="24"/>
      <c r="F8059" s="24"/>
      <c r="G8059" s="24"/>
      <c r="H8059" s="24"/>
      <c r="I8059" s="24"/>
      <c r="J8059" s="24"/>
      <c r="K8059" s="24"/>
    </row>
    <row r="8060" customFormat="false" ht="15" hidden="false" customHeight="false" outlineLevel="0" collapsed="false">
      <c r="A8060" s="3" t="s">
        <v>499</v>
      </c>
      <c r="C8060" s="25" t="n">
        <f aca="false">SUMPRODUCT(($C$8052:$C$8054=C8052)*$C$8048:$C$8050)</f>
        <v>1315.098</v>
      </c>
    </row>
    <row r="8061" customFormat="false" ht="15" hidden="false" customHeight="false" outlineLevel="0" collapsed="false">
      <c r="A8061" s="3" t="s">
        <v>500</v>
      </c>
      <c r="C8061" s="25" t="n">
        <f aca="false">SUMPRODUCT(($C$8052:$C$8054=C8053)*$C$8048:$C$8050)</f>
        <v>0</v>
      </c>
    </row>
    <row r="8062" customFormat="false" ht="15" hidden="false" customHeight="false" outlineLevel="0" collapsed="false">
      <c r="A8062" s="3" t="s">
        <v>501</v>
      </c>
      <c r="C8062" s="25" t="n">
        <f aca="false">SUMPRODUCT(($C$8052:$C$8054=C8054)*$C$8048:$C$8050)</f>
        <v>0</v>
      </c>
    </row>
    <row r="8063" customFormat="false" ht="15" hidden="false" customHeight="false" outlineLevel="0" collapsed="false">
      <c r="A8063" s="23" t="s">
        <v>510</v>
      </c>
      <c r="B8063" s="24"/>
      <c r="C8063" s="24"/>
      <c r="D8063" s="24"/>
      <c r="E8063" s="24"/>
      <c r="F8063" s="24"/>
      <c r="G8063" s="24"/>
      <c r="H8063" s="24"/>
      <c r="I8063" s="24"/>
      <c r="J8063" s="24"/>
      <c r="K8063" s="24"/>
    </row>
    <row r="8064" customFormat="false" ht="15" hidden="false" customHeight="false" outlineLevel="0" collapsed="false">
      <c r="A8064" s="3" t="s">
        <v>499</v>
      </c>
      <c r="C8064" s="25" t="n">
        <f aca="false">IF(C8060=0,0,C8048/C8060*MAX(0,MIN(C8060,$C$8026-SUM($C$8040:$C$8042)-C8056)))</f>
        <v>869.876875414528</v>
      </c>
    </row>
    <row r="8065" customFormat="false" ht="15" hidden="false" customHeight="false" outlineLevel="0" collapsed="false">
      <c r="A8065" s="3" t="s">
        <v>500</v>
      </c>
      <c r="C8065" s="25" t="n">
        <f aca="false">IF(C8061=0,0,C8049/C8061*MAX(0,MIN(C8061,$C$8026-SUM($C$8040:$C$8042)-C8057)))</f>
        <v>0</v>
      </c>
    </row>
    <row r="8066" customFormat="false" ht="15" hidden="false" customHeight="false" outlineLevel="0" collapsed="false">
      <c r="A8066" s="3" t="s">
        <v>501</v>
      </c>
      <c r="C8066" s="25" t="n">
        <f aca="false">IF(C8062=0,0,C8050/C8062*MAX(0,MIN(C8062,$C$8026-SUM($C$8040:$C$8042)-C8058)))</f>
        <v>0</v>
      </c>
    </row>
    <row r="8067" customFormat="false" ht="15" hidden="false" customHeight="false" outlineLevel="0" collapsed="false">
      <c r="A8067" s="23" t="s">
        <v>511</v>
      </c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</row>
    <row r="8068" customFormat="false" ht="15" hidden="false" customHeight="false" outlineLevel="0" collapsed="false">
      <c r="A8068" s="2" t="s">
        <v>499</v>
      </c>
      <c r="C8068" s="16" t="n">
        <f aca="false">C8040+C8064</f>
        <v>869.876875414528</v>
      </c>
    </row>
    <row r="8069" customFormat="false" ht="15" hidden="false" customHeight="false" outlineLevel="0" collapsed="false">
      <c r="A8069" s="2" t="s">
        <v>500</v>
      </c>
      <c r="C8069" s="16" t="n">
        <f aca="false">C8041+C8065</f>
        <v>0</v>
      </c>
    </row>
    <row r="8070" customFormat="false" ht="15" hidden="false" customHeight="false" outlineLevel="0" collapsed="false">
      <c r="A8070" s="2" t="s">
        <v>501</v>
      </c>
      <c r="C8070" s="16" t="n">
        <f aca="false">C8042+C8066</f>
        <v>0</v>
      </c>
    </row>
    <row r="8071" customFormat="false" ht="15" hidden="false" customHeight="false" outlineLevel="0" collapsed="false">
      <c r="A8071" s="23" t="s">
        <v>512</v>
      </c>
      <c r="B8071" s="24"/>
      <c r="C8071" s="24"/>
      <c r="D8071" s="24"/>
      <c r="E8071" s="24"/>
      <c r="F8071" s="24"/>
      <c r="G8071" s="24"/>
      <c r="H8071" s="24"/>
      <c r="I8071" s="24"/>
      <c r="J8071" s="24"/>
      <c r="K8071" s="24"/>
    </row>
    <row r="8072" customFormat="false" ht="15" hidden="false" customHeight="false" outlineLevel="0" collapsed="false">
      <c r="A8072" s="3" t="s">
        <v>499</v>
      </c>
      <c r="C8072" s="21" t="n">
        <f aca="false">IF(C8028=0,1,C8068/C8028)</f>
        <v>0.661454032638273</v>
      </c>
    </row>
    <row r="8073" customFormat="false" ht="15" hidden="false" customHeight="false" outlineLevel="0" collapsed="false">
      <c r="A8073" s="3" t="s">
        <v>500</v>
      </c>
      <c r="C8073" s="21" t="n">
        <f aca="false">IF(C8029=0,1,C8069/C8029)</f>
        <v>1</v>
      </c>
    </row>
    <row r="8074" customFormat="false" ht="15" hidden="false" customHeight="false" outlineLevel="0" collapsed="false">
      <c r="A8074" s="3" t="s">
        <v>501</v>
      </c>
      <c r="C8074" s="21" t="n">
        <f aca="false">IF(C8030=0,1,C8070/C8030)</f>
        <v>1</v>
      </c>
    </row>
    <row r="8075" customFormat="false" ht="15" hidden="false" customHeight="false" outlineLevel="0" collapsed="false">
      <c r="A8075" s="23" t="s">
        <v>513</v>
      </c>
      <c r="B8075" s="24"/>
      <c r="C8075" s="24"/>
      <c r="D8075" s="24"/>
      <c r="E8075" s="24"/>
      <c r="F8075" s="24"/>
      <c r="G8075" s="24"/>
      <c r="H8075" s="24"/>
      <c r="I8075" s="24"/>
      <c r="J8075" s="24"/>
      <c r="K8075" s="24"/>
    </row>
    <row r="8076" customFormat="false" ht="15" hidden="false" customHeight="false" outlineLevel="0" collapsed="false">
      <c r="A8076" s="3" t="s">
        <v>499</v>
      </c>
      <c r="C8076" s="25" t="n">
        <f aca="false">C8028-C8068</f>
        <v>445.221124585472</v>
      </c>
    </row>
    <row r="8077" customFormat="false" ht="15" hidden="false" customHeight="false" outlineLevel="0" collapsed="false">
      <c r="A8077" s="3" t="s">
        <v>500</v>
      </c>
      <c r="C8077" s="25" t="n">
        <f aca="false">C8029-C8069</f>
        <v>0</v>
      </c>
    </row>
    <row r="8078" customFormat="false" ht="15" hidden="false" customHeight="false" outlineLevel="0" collapsed="false">
      <c r="A8078" s="3" t="s">
        <v>501</v>
      </c>
      <c r="C8078" s="25" t="n">
        <f aca="false">C8030-C8070</f>
        <v>0</v>
      </c>
    </row>
    <row r="8079" customFormat="false" ht="15" hidden="false" customHeight="false" outlineLevel="0" collapsed="false">
      <c r="A8079" s="23" t="s">
        <v>514</v>
      </c>
      <c r="B8079" s="24"/>
      <c r="C8079" s="24"/>
      <c r="D8079" s="24"/>
      <c r="E8079" s="24"/>
      <c r="F8079" s="24"/>
      <c r="G8079" s="24"/>
      <c r="H8079" s="24"/>
      <c r="I8079" s="24"/>
      <c r="J8079" s="24"/>
      <c r="K8079" s="24"/>
    </row>
    <row r="8080" customFormat="false" ht="15" hidden="false" customHeight="false" outlineLevel="0" collapsed="false">
      <c r="A8080" s="3" t="s">
        <v>499</v>
      </c>
      <c r="C8080" s="21" t="n">
        <f aca="false">IF(C8028=0,0,C8076/C8028)</f>
        <v>0.338545967361727</v>
      </c>
    </row>
    <row r="8081" customFormat="false" ht="15" hidden="false" customHeight="false" outlineLevel="0" collapsed="false">
      <c r="A8081" s="3" t="s">
        <v>500</v>
      </c>
      <c r="C8081" s="21" t="n">
        <f aca="false">IF(C8029=0,0,C8077/C8029)</f>
        <v>0</v>
      </c>
    </row>
    <row r="8082" customFormat="false" ht="15" hidden="false" customHeight="false" outlineLevel="0" collapsed="false">
      <c r="A8082" s="3" t="s">
        <v>501</v>
      </c>
      <c r="C8082" s="21" t="n">
        <f aca="false">IF(C8030=0,0,C8078/C8030)</f>
        <v>0</v>
      </c>
    </row>
    <row r="8083" customFormat="false" ht="15" hidden="false" customHeight="false" outlineLevel="0" collapsed="false">
      <c r="A8083" s="2" t="s">
        <v>515</v>
      </c>
      <c r="C8083" s="16" t="n">
        <f aca="false">MAX(0,$C$8026-SUM($C$8040:$C$8042)-SUM($C$8048:$C$8050))</f>
        <v>0</v>
      </c>
    </row>
    <row r="8084" customFormat="false" ht="15" hidden="false" customHeight="false" outlineLevel="0" collapsed="false">
      <c r="A8084" s="3" t="s">
        <v>533</v>
      </c>
      <c r="C8084" s="34" t="n">
        <f aca="false">MIN(C8025,100*CHOOSE(C8015,C8072,C8073,C8074))</f>
        <v>66.1454032638274</v>
      </c>
    </row>
    <row r="8085" customFormat="false" ht="15" hidden="false" customHeight="false" outlineLevel="0" collapsed="false">
      <c r="A8085" s="3" t="s">
        <v>534</v>
      </c>
      <c r="C8085" s="20" t="n">
        <f aca="false">IF(C7945=1,C8020+Assumptions!$C$39,C8019)</f>
        <v>3</v>
      </c>
    </row>
    <row r="8086" customFormat="false" ht="15" hidden="false" customHeight="false" outlineLevel="0" collapsed="false">
      <c r="A8086" s="23" t="s">
        <v>535</v>
      </c>
      <c r="B8086" s="24"/>
      <c r="C8086" s="24"/>
      <c r="D8086" s="24"/>
      <c r="E8086" s="24"/>
      <c r="F8086" s="24"/>
      <c r="G8086" s="24"/>
      <c r="H8086" s="24"/>
      <c r="I8086" s="24"/>
      <c r="J8086" s="24"/>
      <c r="K8086" s="24"/>
    </row>
    <row r="8087" customFormat="false" ht="15" hidden="false" customHeight="false" outlineLevel="0" collapsed="false">
      <c r="A8087" s="3" t="s">
        <v>536</v>
      </c>
      <c r="C8087" s="20" t="n">
        <f aca="false">COLUMN()-COLUMN($C$1)</f>
        <v>0</v>
      </c>
      <c r="D8087" s="20" t="n">
        <f aca="false">COLUMN()-COLUMN($C$1)</f>
        <v>1</v>
      </c>
      <c r="E8087" s="20" t="n">
        <f aca="false">COLUMN()-COLUMN($C$1)</f>
        <v>2</v>
      </c>
      <c r="F8087" s="20" t="n">
        <f aca="false">COLUMN()-COLUMN($C$1)</f>
        <v>3</v>
      </c>
      <c r="G8087" s="20" t="n">
        <f aca="false">COLUMN()-COLUMN($C$1)</f>
        <v>4</v>
      </c>
      <c r="H8087" s="20" t="n">
        <f aca="false">COLUMN()-COLUMN($C$1)</f>
        <v>5</v>
      </c>
      <c r="I8087" s="20" t="n">
        <f aca="false">COLUMN()-COLUMN($C$1)</f>
        <v>6</v>
      </c>
    </row>
    <row r="8088" customFormat="false" ht="15" hidden="false" customHeight="false" outlineLevel="0" collapsed="false">
      <c r="A8088" s="3" t="s">
        <v>537</v>
      </c>
      <c r="D8088" s="31" t="n">
        <f aca="false">CHOOSE($C$8015,G7828,G7841,G7854)</f>
        <v>0.105</v>
      </c>
      <c r="E8088" s="31" t="n">
        <f aca="false">CHOOSE($C$8015,H7828,H7841,H7854)</f>
        <v>0.105</v>
      </c>
      <c r="F8088" s="31" t="n">
        <f aca="false">CHOOSE($C$8015,I7828,I7841,I7854)</f>
        <v>0.105</v>
      </c>
      <c r="G8088" s="31" t="n">
        <f aca="false">CHOOSE($C$8015,J7828,J7841,J7854)</f>
        <v>0.105</v>
      </c>
      <c r="H8088" s="31" t="n">
        <f aca="false">CHOOSE($C$8015,K7828,K7841,K7854)</f>
        <v>0.105</v>
      </c>
    </row>
    <row r="8089" customFormat="false" ht="15" hidden="false" customHeight="false" outlineLevel="0" collapsed="false">
      <c r="A8089" s="3" t="s">
        <v>538</v>
      </c>
      <c r="D8089" s="25" t="n">
        <f aca="false">IF(D8087&lt;=$C$8024,$C$8016*D8088,0)</f>
        <v>10.5</v>
      </c>
      <c r="E8089" s="25" t="n">
        <f aca="false">IF(E8087&lt;=$C$8024,$C$8016*E8088,0)</f>
        <v>10.5</v>
      </c>
      <c r="F8089" s="25" t="n">
        <f aca="false">IF(F8087&lt;=$C$8024,$C$8016*F8088,0)</f>
        <v>10.5</v>
      </c>
      <c r="G8089" s="25" t="n">
        <f aca="false">IF(G8087&lt;=$C$8024,$C$8016*G8088,0)</f>
        <v>0</v>
      </c>
      <c r="H8089" s="25" t="n">
        <f aca="false">IF(H8087&lt;=$C$8024,$C$8016*H8088,0)</f>
        <v>0</v>
      </c>
    </row>
    <row r="8090" customFormat="false" ht="15" hidden="false" customHeight="false" outlineLevel="0" collapsed="false">
      <c r="A8090" s="3" t="s">
        <v>539</v>
      </c>
      <c r="D8090" s="25" t="n">
        <f aca="false">IF(AND($C$7945=0,D8087=$C$8019),$C$8016*$C$8084/100,0)+IF(AND($C$7945=1,D8087=$C$8085),$C$8022,0)</f>
        <v>0</v>
      </c>
      <c r="E8090" s="25" t="n">
        <f aca="false">IF(AND($C$7945=0,E8087=$C$8019),$C$8016*$C$8084/100,0)+IF(AND($C$7945=1,E8087=$C$8085),$C$8022,0)</f>
        <v>0</v>
      </c>
      <c r="F8090" s="25" t="n">
        <f aca="false">IF(AND($C$7945=0,F8087=$C$8019),$C$8016*$C$8084/100,0)+IF(AND($C$7945=1,F8087=$C$8085),$C$8022,0)</f>
        <v>66.1454032638274</v>
      </c>
      <c r="G8090" s="25" t="n">
        <f aca="false">IF(AND($C$7945=0,G8087=$C$8019),$C$8016*$C$8084/100,0)+IF(AND($C$7945=1,G8087=$C$8085),$C$8022,0)</f>
        <v>0</v>
      </c>
      <c r="H8090" s="25" t="n">
        <f aca="false">IF(AND($C$7945=0,H8087=$C$8019),$C$8016*$C$8084/100,0)+IF(AND($C$7945=1,H8087=$C$8085),$C$8022,0)</f>
        <v>0</v>
      </c>
      <c r="I8090" s="25" t="n">
        <f aca="false">IF(AND($C$7945=0,I8087=$C$8019),$C$8016*$C$8084/100,0)+IF(AND($C$7945=1,I8087=$C$8085),$C$8022,0)</f>
        <v>0</v>
      </c>
    </row>
    <row r="8091" customFormat="false" ht="15" hidden="false" customHeight="false" outlineLevel="0" collapsed="false">
      <c r="A8091" s="2" t="s">
        <v>540</v>
      </c>
      <c r="C8091" s="16" t="n">
        <f aca="false">-$C$8018</f>
        <v>-95</v>
      </c>
      <c r="D8091" s="16" t="n">
        <f aca="false">D8089+D8090</f>
        <v>10.5</v>
      </c>
      <c r="E8091" s="16" t="n">
        <f aca="false">E8089+E8090</f>
        <v>10.5</v>
      </c>
      <c r="F8091" s="16" t="n">
        <f aca="false">F8089+F8090</f>
        <v>76.6454032638274</v>
      </c>
      <c r="G8091" s="16" t="n">
        <f aca="false">G8089+G8090</f>
        <v>0</v>
      </c>
      <c r="H8091" s="16" t="n">
        <f aca="false">H8089+H8090</f>
        <v>0</v>
      </c>
      <c r="I8091" s="16" t="n">
        <f aca="false">I8089+I8090</f>
        <v>0</v>
      </c>
    </row>
    <row r="8092" customFormat="false" ht="15" hidden="false" customHeight="false" outlineLevel="0" collapsed="false">
      <c r="A8092" s="3" t="s">
        <v>541</v>
      </c>
      <c r="C8092" s="25" t="n">
        <f aca="false">SUM($C$8089:$I$8089)</f>
        <v>31.5</v>
      </c>
    </row>
    <row r="8093" customFormat="false" ht="15" hidden="false" customHeight="false" outlineLevel="0" collapsed="false">
      <c r="A8093" s="3" t="s">
        <v>542</v>
      </c>
      <c r="C8093" s="25" t="n">
        <f aca="false">SUM($C$8090:$I$8090)</f>
        <v>66.1454032638274</v>
      </c>
    </row>
    <row r="8094" customFormat="false" ht="15" hidden="false" customHeight="false" outlineLevel="0" collapsed="false">
      <c r="A8094" s="3" t="s">
        <v>543</v>
      </c>
      <c r="C8094" s="25" t="n">
        <f aca="false">C8092+C8093</f>
        <v>97.6454032638274</v>
      </c>
    </row>
    <row r="8095" customFormat="false" ht="15" hidden="false" customHeight="false" outlineLevel="0" collapsed="false">
      <c r="A8095" s="3" t="s">
        <v>544</v>
      </c>
      <c r="C8095" s="25" t="n">
        <f aca="false">C8093-C8016*C8017/100</f>
        <v>-28.8545967361727</v>
      </c>
    </row>
    <row r="8096" customFormat="false" ht="15" hidden="false" customHeight="false" outlineLevel="0" collapsed="false">
      <c r="A8096" s="3" t="s">
        <v>545</v>
      </c>
      <c r="C8096" s="25" t="n">
        <f aca="false">C8094-C8018</f>
        <v>2.64540326382735</v>
      </c>
    </row>
    <row r="8097" customFormat="false" ht="15" hidden="false" customHeight="false" outlineLevel="0" collapsed="false">
      <c r="A8097" s="2" t="s">
        <v>427</v>
      </c>
      <c r="C8097" s="44" t="n">
        <f aca="false">C8094/C8018</f>
        <v>1.02784635014555</v>
      </c>
    </row>
    <row r="8098" customFormat="false" ht="15" hidden="false" customHeight="false" outlineLevel="0" collapsed="false">
      <c r="A8098" s="2" t="s">
        <v>426</v>
      </c>
      <c r="C8098" s="42" t="n">
        <f aca="false">IF(C8094&lt;=0,-1,IFERROR(IRR($C$8091:$I$8091,MAX(-0.9,C8097^(1/C8085)-1)),IRR($C$8091:$I$8091,0.1)))</f>
        <v>0.0103197837160626</v>
      </c>
    </row>
    <row r="8099" customFormat="false" ht="15" hidden="false" customHeight="false" outlineLevel="0" collapsed="false">
      <c r="A8099" s="3" t="s">
        <v>546</v>
      </c>
      <c r="C8099" s="32" t="n">
        <f aca="false">MAX($G$7905:$K$7905)</f>
        <v>10.569423796885</v>
      </c>
    </row>
    <row r="8100" customFormat="false" ht="15" hidden="false" customHeight="false" outlineLevel="0" collapsed="false">
      <c r="A8100" s="3" t="s">
        <v>547</v>
      </c>
      <c r="C8100" s="32" t="n">
        <f aca="false">MIN($G$7906:$K$7906)</f>
        <v>0.897783011306013</v>
      </c>
    </row>
    <row r="8101" customFormat="false" ht="15" hidden="false" customHeight="false" outlineLevel="0" collapsed="false">
      <c r="A8101" s="3" t="s">
        <v>548</v>
      </c>
      <c r="C8101" s="25" t="n">
        <f aca="false">SUM($G$7812:$K$7812)</f>
        <v>-38.7401001306883</v>
      </c>
    </row>
    <row r="8105" customFormat="false" ht="15" hidden="false" customHeight="false" outlineLevel="0" collapsed="false">
      <c r="A8105" s="9" t="s">
        <v>1039</v>
      </c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</row>
    <row r="8106" customFormat="false" ht="15" hidden="false" customHeight="false" outlineLevel="0" collapsed="false">
      <c r="A8106" s="3" t="s">
        <v>1010</v>
      </c>
      <c r="C8106" s="11" t="n">
        <v>2</v>
      </c>
    </row>
    <row r="8107" customFormat="false" ht="15" hidden="false" customHeight="false" outlineLevel="0" collapsed="false">
      <c r="A8107" s="3" t="s">
        <v>1011</v>
      </c>
      <c r="C8107" s="30" t="n">
        <f aca="false">Sensitivities!$A$42</f>
        <v>0</v>
      </c>
    </row>
    <row r="8108" customFormat="false" ht="15" hidden="false" customHeight="false" outlineLevel="0" collapsed="false">
      <c r="A8108" s="3" t="s">
        <v>1012</v>
      </c>
      <c r="C8108" s="18" t="n">
        <v>0</v>
      </c>
    </row>
    <row r="8109" customFormat="false" ht="15" hidden="false" customHeight="false" outlineLevel="0" collapsed="false">
      <c r="A8109" s="3" t="s">
        <v>1013</v>
      </c>
      <c r="C8109" s="18" t="n">
        <v>0</v>
      </c>
    </row>
    <row r="8110" customFormat="false" ht="15" hidden="false" customHeight="false" outlineLevel="0" collapsed="false">
      <c r="A8110" s="3" t="s">
        <v>1014</v>
      </c>
      <c r="C8110" s="15" t="n">
        <v>0</v>
      </c>
    </row>
    <row r="8112" customFormat="false" ht="15" hidden="false" customHeight="false" outlineLevel="0" collapsed="false">
      <c r="A8112" s="23" t="s">
        <v>281</v>
      </c>
      <c r="B8112" s="24"/>
      <c r="C8112" s="24"/>
      <c r="D8112" s="24"/>
      <c r="E8112" s="24"/>
      <c r="F8112" s="24"/>
      <c r="G8112" s="24"/>
      <c r="H8112" s="24"/>
      <c r="I8112" s="24"/>
      <c r="J8112" s="24"/>
      <c r="K8112" s="24"/>
    </row>
    <row r="8113" customFormat="false" ht="15" hidden="false" customHeight="false" outlineLevel="0" collapsed="false">
      <c r="A8113" s="3" t="s">
        <v>282</v>
      </c>
      <c r="F8113" s="27" t="n">
        <f aca="false">Assumptions!$C$6</f>
        <v>2026</v>
      </c>
      <c r="G8113" s="20" t="n">
        <f aca="false">F8113+1</f>
        <v>2027</v>
      </c>
      <c r="H8113" s="20" t="n">
        <f aca="false">G8113+1</f>
        <v>2028</v>
      </c>
      <c r="I8113" s="20" t="n">
        <f aca="false">H8113+1</f>
        <v>2029</v>
      </c>
      <c r="J8113" s="20" t="n">
        <f aca="false">I8113+1</f>
        <v>2030</v>
      </c>
      <c r="K8113" s="20" t="n">
        <f aca="false">J8113+1</f>
        <v>2031</v>
      </c>
    </row>
    <row r="8114" customFormat="false" ht="15" hidden="false" customHeight="false" outlineLevel="0" collapsed="false">
      <c r="A8114" s="3" t="s">
        <v>283</v>
      </c>
      <c r="G8114" s="20" t="n">
        <f aca="false">G8113-Assumptions!$C$6</f>
        <v>1</v>
      </c>
      <c r="H8114" s="20" t="n">
        <f aca="false">H8113-Assumptions!$C$6</f>
        <v>2</v>
      </c>
      <c r="I8114" s="20" t="n">
        <f aca="false">I8113-Assumptions!$C$6</f>
        <v>3</v>
      </c>
      <c r="J8114" s="20" t="n">
        <f aca="false">J8113-Assumptions!$C$6</f>
        <v>4</v>
      </c>
      <c r="K8114" s="20" t="n">
        <f aca="false">K8113-Assumptions!$C$6</f>
        <v>5</v>
      </c>
    </row>
    <row r="8115" customFormat="false" ht="15" hidden="false" customHeight="false" outlineLevel="0" collapsed="false">
      <c r="A8115" s="3" t="s">
        <v>165</v>
      </c>
      <c r="G8115" s="21" t="n">
        <f aca="false">CHOOSE($C$8106,Assumptions!$G$71,Assumptions!$G$90,Assumptions!$G$109)+$C$8107</f>
        <v>-0.08</v>
      </c>
      <c r="H8115" s="21" t="n">
        <f aca="false">CHOOSE($C$8106,Assumptions!$H$71,Assumptions!$H$90,Assumptions!$H$109)+$C$8107</f>
        <v>-0.07</v>
      </c>
      <c r="I8115" s="21" t="n">
        <f aca="false">CHOOSE($C$8106,Assumptions!$I$71,Assumptions!$I$90,Assumptions!$I$109)+$C$8107</f>
        <v>-0.06</v>
      </c>
      <c r="J8115" s="21" t="n">
        <f aca="false">CHOOSE($C$8106,Assumptions!$J$71,Assumptions!$J$90,Assumptions!$J$109)+$C$8107</f>
        <v>-0.05</v>
      </c>
      <c r="K8115" s="21" t="n">
        <f aca="false">CHOOSE($C$8106,Assumptions!$K$71,Assumptions!$K$90,Assumptions!$K$109)+$C$8107</f>
        <v>-0.05</v>
      </c>
    </row>
    <row r="8116" customFormat="false" ht="15" hidden="false" customHeight="false" outlineLevel="0" collapsed="false">
      <c r="A8116" s="3" t="s">
        <v>166</v>
      </c>
      <c r="G8116" s="21" t="n">
        <f aca="false">CHOOSE($C$8106,Assumptions!$G$72,Assumptions!$G$91,Assumptions!$G$110)</f>
        <v>0.463246670103635</v>
      </c>
      <c r="H8116" s="21" t="n">
        <f aca="false">CHOOSE($C$8106,Assumptions!$H$72,Assumptions!$H$91,Assumptions!$H$110)</f>
        <v>0.453246670103635</v>
      </c>
      <c r="I8116" s="21" t="n">
        <f aca="false">CHOOSE($C$8106,Assumptions!$I$72,Assumptions!$I$91,Assumptions!$I$110)</f>
        <v>0.448246670103634</v>
      </c>
      <c r="J8116" s="21" t="n">
        <f aca="false">CHOOSE($C$8106,Assumptions!$J$72,Assumptions!$J$91,Assumptions!$J$110)</f>
        <v>0.443246670103635</v>
      </c>
      <c r="K8116" s="21" t="n">
        <f aca="false">CHOOSE($C$8106,Assumptions!$K$72,Assumptions!$K$91,Assumptions!$K$110)</f>
        <v>0.443246670103635</v>
      </c>
    </row>
    <row r="8117" customFormat="false" ht="15" hidden="false" customHeight="false" outlineLevel="0" collapsed="false">
      <c r="A8117" s="3" t="s">
        <v>167</v>
      </c>
      <c r="G8117" s="21" t="n">
        <f aca="false">CHOOSE($C$8106,Assumptions!$G$73,Assumptions!$G$92,Assumptions!$G$111)+$C$8108</f>
        <v>0.12</v>
      </c>
      <c r="H8117" s="21" t="n">
        <f aca="false">CHOOSE($C$8106,Assumptions!$H$73,Assumptions!$H$92,Assumptions!$H$111)+$C$8108</f>
        <v>0.11</v>
      </c>
      <c r="I8117" s="21" t="n">
        <f aca="false">CHOOSE($C$8106,Assumptions!$I$73,Assumptions!$I$92,Assumptions!$I$111)+$C$8108</f>
        <v>0.105</v>
      </c>
      <c r="J8117" s="21" t="n">
        <f aca="false">CHOOSE($C$8106,Assumptions!$J$73,Assumptions!$J$92,Assumptions!$J$111)+$C$8108</f>
        <v>0.1</v>
      </c>
      <c r="K8117" s="21" t="n">
        <f aca="false">CHOOSE($C$8106,Assumptions!$K$73,Assumptions!$K$92,Assumptions!$K$111)+$C$8108</f>
        <v>0.1</v>
      </c>
    </row>
    <row r="8118" customFormat="false" ht="15" hidden="false" customHeight="false" outlineLevel="0" collapsed="false">
      <c r="A8118" s="23" t="s">
        <v>284</v>
      </c>
      <c r="B8118" s="24"/>
      <c r="C8118" s="24"/>
      <c r="D8118" s="24"/>
      <c r="E8118" s="24"/>
      <c r="F8118" s="24"/>
      <c r="G8118" s="24"/>
      <c r="H8118" s="24"/>
      <c r="I8118" s="24"/>
      <c r="J8118" s="24"/>
      <c r="K8118" s="24"/>
    </row>
    <row r="8119" customFormat="false" ht="15" hidden="false" customHeight="false" outlineLevel="0" collapsed="false">
      <c r="A8119" s="2" t="s">
        <v>256</v>
      </c>
      <c r="F8119" s="28" t="n">
        <f aca="false">'Historical Financials'!G23</f>
        <v>2246.166</v>
      </c>
      <c r="G8119" s="16" t="n">
        <f aca="false">F8119*(1+G8115)</f>
        <v>2066.47272</v>
      </c>
      <c r="H8119" s="16" t="n">
        <f aca="false">G8119*(1+H8115)</f>
        <v>1921.8196296</v>
      </c>
      <c r="I8119" s="16" t="n">
        <f aca="false">H8119*(1+I8115)</f>
        <v>1806.510451824</v>
      </c>
      <c r="J8119" s="16" t="n">
        <f aca="false">I8119*(1+J8115)</f>
        <v>1716.1849292328</v>
      </c>
      <c r="K8119" s="16" t="n">
        <f aca="false">J8119*(1+K8115)</f>
        <v>1630.37568277116</v>
      </c>
    </row>
    <row r="8120" customFormat="false" ht="15" hidden="false" customHeight="false" outlineLevel="0" collapsed="false">
      <c r="A8120" s="3" t="s">
        <v>257</v>
      </c>
      <c r="G8120" s="25" t="n">
        <f aca="false">G8119*(1-G8116)</f>
        <v>1109.1861136</v>
      </c>
      <c r="H8120" s="25" t="n">
        <f aca="false">H8119*(1-H8116)</f>
        <v>1050.761281944</v>
      </c>
      <c r="I8120" s="25" t="n">
        <f aca="false">I8119*(1-I8116)</f>
        <v>996.74815728648</v>
      </c>
      <c r="J8120" s="25" t="n">
        <f aca="false">J8119*(1-J8116)</f>
        <v>955.49167406832</v>
      </c>
      <c r="K8120" s="25" t="n">
        <f aca="false">K8119*(1-K8116)</f>
        <v>907.717090364904</v>
      </c>
    </row>
    <row r="8121" customFormat="false" ht="15" hidden="false" customHeight="false" outlineLevel="0" collapsed="false">
      <c r="A8121" s="2" t="s">
        <v>258</v>
      </c>
      <c r="G8121" s="16" t="n">
        <f aca="false">G8119-G8120</f>
        <v>957.2866064</v>
      </c>
      <c r="H8121" s="16" t="n">
        <f aca="false">H8119-H8120</f>
        <v>871.058347656</v>
      </c>
      <c r="I8121" s="16" t="n">
        <f aca="false">I8119-I8120</f>
        <v>809.76229453752</v>
      </c>
      <c r="J8121" s="16" t="n">
        <f aca="false">J8119-J8120</f>
        <v>760.69325516448</v>
      </c>
      <c r="K8121" s="16" t="n">
        <f aca="false">K8119-K8120</f>
        <v>722.658592406256</v>
      </c>
    </row>
    <row r="8122" customFormat="false" ht="15" hidden="false" customHeight="false" outlineLevel="0" collapsed="false">
      <c r="A8122" s="3" t="s">
        <v>285</v>
      </c>
      <c r="G8122" s="25" t="n">
        <f aca="false">G8121-G8123</f>
        <v>709.30988</v>
      </c>
      <c r="H8122" s="25" t="n">
        <f aca="false">H8121-H8123</f>
        <v>659.6581884</v>
      </c>
      <c r="I8122" s="25" t="n">
        <f aca="false">I8121-I8123</f>
        <v>620.078697096</v>
      </c>
      <c r="J8122" s="25" t="n">
        <f aca="false">J8121-J8123</f>
        <v>589.0747622412</v>
      </c>
      <c r="K8122" s="25" t="n">
        <f aca="false">K8121-K8123</f>
        <v>559.62102412914</v>
      </c>
    </row>
    <row r="8123" customFormat="false" ht="15" hidden="false" customHeight="false" outlineLevel="0" collapsed="false">
      <c r="A8123" s="2" t="s">
        <v>286</v>
      </c>
      <c r="G8123" s="16" t="n">
        <f aca="false">G8119*G8117</f>
        <v>247.9767264</v>
      </c>
      <c r="H8123" s="16" t="n">
        <f aca="false">H8119*H8117</f>
        <v>211.400159256</v>
      </c>
      <c r="I8123" s="16" t="n">
        <f aca="false">I8119*I8117</f>
        <v>189.68359744152</v>
      </c>
      <c r="J8123" s="16" t="n">
        <f aca="false">J8119*J8117</f>
        <v>171.61849292328</v>
      </c>
      <c r="K8123" s="16" t="n">
        <f aca="false">K8119*K8117</f>
        <v>163.037568277116</v>
      </c>
    </row>
    <row r="8124" customFormat="false" ht="15" hidden="false" customHeight="false" outlineLevel="0" collapsed="false">
      <c r="A8124" s="3" t="s">
        <v>287</v>
      </c>
      <c r="G8124" s="25" t="n">
        <f aca="false">G8119*'Historical Financials'!G28/'Historical Financials'!G23</f>
        <v>78.47232</v>
      </c>
      <c r="H8124" s="25" t="n">
        <f aca="false">H8119*'Historical Financials'!G28/'Historical Financials'!G23</f>
        <v>72.9792576</v>
      </c>
      <c r="I8124" s="25" t="n">
        <f aca="false">I8119*'Historical Financials'!G28/'Historical Financials'!G23</f>
        <v>68.600502144</v>
      </c>
      <c r="J8124" s="25" t="n">
        <f aca="false">J8119*'Historical Financials'!G28/'Historical Financials'!G23</f>
        <v>65.1704770368</v>
      </c>
      <c r="K8124" s="25" t="n">
        <f aca="false">K8119*'Historical Financials'!G28/'Historical Financials'!G23</f>
        <v>61.91195318496</v>
      </c>
    </row>
    <row r="8125" customFormat="false" ht="15" hidden="false" customHeight="false" outlineLevel="0" collapsed="false">
      <c r="A8125" s="3" t="s">
        <v>288</v>
      </c>
      <c r="G8125" s="25" t="n">
        <f aca="false">G8119*'Historical Financials'!G29/'Historical Financials'!G23</f>
        <v>22.40752</v>
      </c>
      <c r="H8125" s="25" t="n">
        <f aca="false">H8119*'Historical Financials'!G29/'Historical Financials'!G23</f>
        <v>20.8389936</v>
      </c>
      <c r="I8125" s="25" t="n">
        <f aca="false">I8119*'Historical Financials'!G29/'Historical Financials'!G23</f>
        <v>19.588653984</v>
      </c>
      <c r="J8125" s="25" t="n">
        <f aca="false">J8119*'Historical Financials'!G29/'Historical Financials'!G23</f>
        <v>18.6092212848</v>
      </c>
      <c r="K8125" s="25" t="n">
        <f aca="false">K8119*'Historical Financials'!G29/'Historical Financials'!G23</f>
        <v>17.67876022056</v>
      </c>
    </row>
    <row r="8126" customFormat="false" ht="15" hidden="false" customHeight="false" outlineLevel="0" collapsed="false">
      <c r="A8126" s="2" t="s">
        <v>289</v>
      </c>
      <c r="G8126" s="16" t="n">
        <f aca="false">G8123-G8124-G8125</f>
        <v>147.0968864</v>
      </c>
      <c r="H8126" s="16" t="n">
        <f aca="false">H8123-H8124-H8125</f>
        <v>117.581908056</v>
      </c>
      <c r="I8126" s="16" t="n">
        <f aca="false">I8123-I8124-I8125</f>
        <v>101.49444131352</v>
      </c>
      <c r="J8126" s="16" t="n">
        <f aca="false">J8123-J8124-J8125</f>
        <v>87.83879460168</v>
      </c>
      <c r="K8126" s="16" t="n">
        <f aca="false">K8123-K8124-K8125</f>
        <v>83.446854871596</v>
      </c>
    </row>
    <row r="8127" customFormat="false" ht="15" hidden="false" customHeight="false" outlineLevel="0" collapsed="false">
      <c r="A8127" s="3" t="s">
        <v>290</v>
      </c>
      <c r="G8127" s="25" t="n">
        <f aca="false">G8153+G8166+G8179</f>
        <v>155.95467</v>
      </c>
      <c r="H8127" s="25" t="n">
        <f aca="false">H8153+H8166+H8179</f>
        <v>155.95467</v>
      </c>
      <c r="I8127" s="25" t="n">
        <f aca="false">I8153+I8166+I8179</f>
        <v>155.95467</v>
      </c>
      <c r="J8127" s="25" t="n">
        <f aca="false">J8153+J8166+J8179</f>
        <v>138.08529</v>
      </c>
      <c r="K8127" s="25" t="n">
        <f aca="false">K8153+K8166+K8179</f>
        <v>138.08529</v>
      </c>
    </row>
    <row r="8128" customFormat="false" ht="15" hidden="false" customHeight="false" outlineLevel="0" collapsed="false">
      <c r="A8128" s="3" t="s">
        <v>291</v>
      </c>
      <c r="G8128" s="25" t="n">
        <f aca="false">G8154+G8167+G8180</f>
        <v>0</v>
      </c>
      <c r="H8128" s="25" t="n">
        <f aca="false">H8154+H8167+H8180</f>
        <v>0</v>
      </c>
      <c r="I8128" s="25" t="n">
        <f aca="false">I8154+I8167+I8180</f>
        <v>0</v>
      </c>
      <c r="J8128" s="25" t="n">
        <f aca="false">J8154+J8167+J8180</f>
        <v>0</v>
      </c>
      <c r="K8128" s="25" t="n">
        <f aca="false">K8154+K8167+K8180</f>
        <v>0</v>
      </c>
    </row>
    <row r="8129" customFormat="false" ht="15" hidden="false" customHeight="false" outlineLevel="0" collapsed="false">
      <c r="A8129" s="3" t="s">
        <v>239</v>
      </c>
      <c r="G8129" s="25" t="n">
        <f aca="false">G8127+G8128</f>
        <v>155.95467</v>
      </c>
      <c r="H8129" s="25" t="n">
        <f aca="false">H8127+H8128</f>
        <v>155.95467</v>
      </c>
      <c r="I8129" s="25" t="n">
        <f aca="false">I8127+I8128</f>
        <v>155.95467</v>
      </c>
      <c r="J8129" s="25" t="n">
        <f aca="false">J8127+J8128</f>
        <v>138.08529</v>
      </c>
      <c r="K8129" s="25" t="n">
        <f aca="false">K8127+K8128</f>
        <v>138.08529</v>
      </c>
    </row>
    <row r="8130" customFormat="false" ht="15" hidden="false" customHeight="false" outlineLevel="0" collapsed="false">
      <c r="A8130" s="2" t="s">
        <v>264</v>
      </c>
      <c r="G8130" s="16" t="n">
        <f aca="false">G8126-G8129</f>
        <v>-8.85778360000006</v>
      </c>
      <c r="H8130" s="16" t="n">
        <f aca="false">H8126-H8129</f>
        <v>-38.372761944</v>
      </c>
      <c r="I8130" s="16" t="n">
        <f aca="false">I8126-I8129</f>
        <v>-54.46022868648</v>
      </c>
      <c r="J8130" s="16" t="n">
        <f aca="false">J8126-J8129</f>
        <v>-50.24649539832</v>
      </c>
      <c r="K8130" s="16" t="n">
        <f aca="false">K8126-K8129</f>
        <v>-54.638435128404</v>
      </c>
    </row>
    <row r="8131" customFormat="false" ht="15" hidden="false" customHeight="false" outlineLevel="0" collapsed="false">
      <c r="A8131" s="3" t="s">
        <v>292</v>
      </c>
      <c r="G8131" s="25" t="n">
        <f aca="false">MAX(0,G8130)*Assumptions!$C$9</f>
        <v>0</v>
      </c>
      <c r="H8131" s="25" t="n">
        <f aca="false">MAX(0,H8130)*Assumptions!$C$9</f>
        <v>0</v>
      </c>
      <c r="I8131" s="25" t="n">
        <f aca="false">MAX(0,I8130)*Assumptions!$C$9</f>
        <v>0</v>
      </c>
      <c r="J8131" s="25" t="n">
        <f aca="false">MAX(0,J8130)*Assumptions!$C$9</f>
        <v>0</v>
      </c>
      <c r="K8131" s="25" t="n">
        <f aca="false">MAX(0,K8130)*Assumptions!$C$9</f>
        <v>0</v>
      </c>
    </row>
    <row r="8132" customFormat="false" ht="15" hidden="false" customHeight="false" outlineLevel="0" collapsed="false">
      <c r="A8132" s="2" t="s">
        <v>293</v>
      </c>
      <c r="G8132" s="16" t="n">
        <f aca="false">G8130-G8131</f>
        <v>-8.85778360000006</v>
      </c>
      <c r="H8132" s="16" t="n">
        <f aca="false">H8130-H8131</f>
        <v>-38.372761944</v>
      </c>
      <c r="I8132" s="16" t="n">
        <f aca="false">I8130-I8131</f>
        <v>-54.46022868648</v>
      </c>
      <c r="J8132" s="16" t="n">
        <f aca="false">J8130-J8131</f>
        <v>-50.24649539832</v>
      </c>
      <c r="K8132" s="16" t="n">
        <f aca="false">K8130-K8131</f>
        <v>-54.638435128404</v>
      </c>
    </row>
    <row r="8133" customFormat="false" ht="15" hidden="false" customHeight="false" outlineLevel="0" collapsed="false">
      <c r="A8133" s="23" t="s">
        <v>294</v>
      </c>
      <c r="B8133" s="24"/>
      <c r="C8133" s="24"/>
      <c r="D8133" s="24"/>
      <c r="E8133" s="24"/>
      <c r="F8133" s="24"/>
      <c r="G8133" s="24"/>
      <c r="H8133" s="24"/>
      <c r="I8133" s="24"/>
      <c r="J8133" s="24"/>
      <c r="K8133" s="24"/>
    </row>
    <row r="8134" customFormat="false" ht="15" hidden="false" customHeight="false" outlineLevel="0" collapsed="false">
      <c r="A8134" s="3" t="s">
        <v>169</v>
      </c>
      <c r="G8134" s="25" t="n">
        <f aca="false">G8119*CHOOSE($C$8106,Assumptions!$C$75,Assumptions!$C$94,Assumptions!$C$113)</f>
        <v>26.86414536</v>
      </c>
      <c r="H8134" s="25" t="n">
        <f aca="false">H8119*CHOOSE($C$8106,Assumptions!$C$75,Assumptions!$C$94,Assumptions!$C$113)</f>
        <v>24.9836551848</v>
      </c>
      <c r="I8134" s="25" t="n">
        <f aca="false">I8119*CHOOSE($C$8106,Assumptions!$C$75,Assumptions!$C$94,Assumptions!$C$113)</f>
        <v>23.484635873712</v>
      </c>
      <c r="J8134" s="25" t="n">
        <f aca="false">J8119*CHOOSE($C$8106,Assumptions!$C$75,Assumptions!$C$94,Assumptions!$C$113)</f>
        <v>22.3104040800264</v>
      </c>
      <c r="K8134" s="25" t="n">
        <f aca="false">K8119*CHOOSE($C$8106,Assumptions!$C$75,Assumptions!$C$94,Assumptions!$C$113)</f>
        <v>21.1948838760251</v>
      </c>
    </row>
    <row r="8135" customFormat="false" ht="15" hidden="false" customHeight="false" outlineLevel="0" collapsed="false">
      <c r="A8135" s="3" t="s">
        <v>295</v>
      </c>
      <c r="G8135" s="25" t="n">
        <f aca="false">CHOOSE($C$8106,Assumptions!$C$76,Assumptions!$C$95,Assumptions!$C$114)*(G8119-F8119)+CHOOSE($C$8106,Assumptions!$C$77,Assumptions!$C$96,Assumptions!$C$115)*G8119</f>
        <v>10.3323636</v>
      </c>
      <c r="H8135" s="25" t="n">
        <f aca="false">CHOOSE($C$8106,Assumptions!$C$76,Assumptions!$C$95,Assumptions!$C$114)*(H8119-G8119)+CHOOSE($C$8106,Assumptions!$C$77,Assumptions!$C$96,Assumptions!$C$115)*H8119</f>
        <v>9.609098148</v>
      </c>
      <c r="I8135" s="25" t="n">
        <f aca="false">CHOOSE($C$8106,Assumptions!$C$76,Assumptions!$C$95,Assumptions!$C$114)*(I8119-H8119)+CHOOSE($C$8106,Assumptions!$C$77,Assumptions!$C$96,Assumptions!$C$115)*I8119</f>
        <v>9.03255225912</v>
      </c>
      <c r="J8135" s="25" t="n">
        <f aca="false">CHOOSE($C$8106,Assumptions!$C$76,Assumptions!$C$95,Assumptions!$C$114)*(J8119-I8119)+CHOOSE($C$8106,Assumptions!$C$77,Assumptions!$C$96,Assumptions!$C$115)*J8119</f>
        <v>8.580924646164</v>
      </c>
      <c r="K8135" s="25" t="n">
        <f aca="false">CHOOSE($C$8106,Assumptions!$C$76,Assumptions!$C$95,Assumptions!$C$114)*(K8119-J8119)+CHOOSE($C$8106,Assumptions!$C$77,Assumptions!$C$96,Assumptions!$C$115)*K8119</f>
        <v>8.1518784138558</v>
      </c>
    </row>
    <row r="8136" customFormat="false" ht="15" hidden="false" customHeight="false" outlineLevel="0" collapsed="false">
      <c r="A8136" s="2" t="s">
        <v>296</v>
      </c>
      <c r="G8136" s="16" t="n">
        <f aca="false">G8132+G8124+G8125+G8128-G8134-G8135</f>
        <v>54.8255474399999</v>
      </c>
      <c r="H8136" s="16" t="n">
        <f aca="false">H8132+H8124+H8125+H8128-H8134-H8135</f>
        <v>20.8527359232</v>
      </c>
      <c r="I8136" s="16" t="n">
        <f aca="false">I8132+I8124+I8125+I8128-I8134-I8135</f>
        <v>1.21173930868796</v>
      </c>
      <c r="J8136" s="16" t="n">
        <f aca="false">J8132+J8124+J8125+J8128-J8134-J8135</f>
        <v>2.6418741970896</v>
      </c>
      <c r="K8136" s="16" t="n">
        <f aca="false">K8132+K8124+K8125+K8128-K8134-K8135</f>
        <v>-4.39448401276491</v>
      </c>
    </row>
    <row r="8138" customFormat="false" ht="15" hidden="false" customHeight="false" outlineLevel="0" collapsed="false">
      <c r="A8138" s="23" t="s">
        <v>298</v>
      </c>
      <c r="B8138" s="24"/>
      <c r="C8138" s="24"/>
      <c r="D8138" s="24"/>
      <c r="E8138" s="24"/>
      <c r="F8138" s="24"/>
      <c r="G8138" s="24"/>
      <c r="H8138" s="24"/>
      <c r="I8138" s="24"/>
      <c r="J8138" s="24"/>
      <c r="K8138" s="24"/>
    </row>
    <row r="8139" customFormat="false" ht="15" hidden="false" customHeight="false" outlineLevel="0" collapsed="false">
      <c r="A8139" s="3" t="s">
        <v>299</v>
      </c>
      <c r="G8139" s="30" t="n">
        <f aca="false">Assumptions!$G$52</f>
        <v>0.039</v>
      </c>
      <c r="H8139" s="30" t="n">
        <f aca="false">Assumptions!$H$52</f>
        <v>0.0375</v>
      </c>
      <c r="I8139" s="30" t="n">
        <f aca="false">Assumptions!$I$52</f>
        <v>0.035</v>
      </c>
      <c r="J8139" s="30" t="n">
        <f aca="false">Assumptions!$J$52</f>
        <v>0.035</v>
      </c>
      <c r="K8139" s="30" t="n">
        <f aca="false">Assumptions!$K$52</f>
        <v>0.035</v>
      </c>
    </row>
    <row r="8140" customFormat="false" ht="15" hidden="false" customHeight="false" outlineLevel="0" collapsed="false">
      <c r="A8140" s="3" t="s">
        <v>300</v>
      </c>
      <c r="C8140" s="31" t="n">
        <f aca="false">CHOOSE($C$8106,Assumptions!$C$78,Assumptions!$C$97,Assumptions!$C$116)+$C$8109</f>
        <v>0.015</v>
      </c>
    </row>
    <row r="8141" customFormat="false" ht="15" hidden="false" customHeight="false" outlineLevel="0" collapsed="false">
      <c r="A8141" s="3" t="s">
        <v>301</v>
      </c>
      <c r="C8141" s="31" t="n">
        <f aca="false">CHOOSE($C$8106,Assumptions!$C$79,Assumptions!$C$98,Assumptions!$C$117)</f>
        <v>0.13</v>
      </c>
    </row>
    <row r="8142" customFormat="false" ht="15" hidden="false" customHeight="false" outlineLevel="0" collapsed="false">
      <c r="A8142" s="3" t="s">
        <v>302</v>
      </c>
      <c r="C8142" s="32" t="n">
        <f aca="false">CHOOSE($C$8106,Assumptions!$C$80,Assumptions!$C$99,Assumptions!$C$118)</f>
        <v>5.5</v>
      </c>
    </row>
    <row r="8143" customFormat="false" ht="15" hidden="false" customHeight="false" outlineLevel="0" collapsed="false">
      <c r="A8143" s="3" t="s">
        <v>303</v>
      </c>
      <c r="C8143" s="32" t="n">
        <f aca="false">CHOOSE($C$8106,Assumptions!$C$81,Assumptions!$C$100,Assumptions!$C$119)</f>
        <v>1.5</v>
      </c>
    </row>
    <row r="8144" customFormat="false" ht="15" hidden="false" customHeight="false" outlineLevel="0" collapsed="false">
      <c r="A8144" s="3" t="s">
        <v>304</v>
      </c>
      <c r="G8144" s="25" t="n">
        <f aca="false">G8149+G8162+G8175</f>
        <v>1735.554</v>
      </c>
      <c r="H8144" s="25" t="n">
        <f aca="false">H8149+H8162+H8175</f>
        <v>1735.554</v>
      </c>
      <c r="I8144" s="25" t="n">
        <f aca="false">I8149+I8162+I8175</f>
        <v>1735.554</v>
      </c>
      <c r="J8144" s="25" t="n">
        <f aca="false">J8149+J8162+J8175</f>
        <v>1315.098</v>
      </c>
      <c r="K8144" s="25" t="n">
        <f aca="false">K8149+K8162+K8175</f>
        <v>1315.098</v>
      </c>
    </row>
    <row r="8145" customFormat="false" ht="15" hidden="false" customHeight="false" outlineLevel="0" collapsed="false">
      <c r="A8145" s="3" t="s">
        <v>305</v>
      </c>
      <c r="G8145" s="25" t="n">
        <f aca="false">F8218</f>
        <v>463.996</v>
      </c>
      <c r="H8145" s="25" t="n">
        <f aca="false">G8218</f>
        <v>518.82154744</v>
      </c>
      <c r="I8145" s="25" t="n">
        <f aca="false">H8218</f>
        <v>539.6742833632</v>
      </c>
      <c r="J8145" s="25" t="n">
        <f aca="false">I8218</f>
        <v>120.430022671888</v>
      </c>
      <c r="K8145" s="25" t="n">
        <f aca="false">J8218</f>
        <v>123.071896868977</v>
      </c>
    </row>
    <row r="8146" customFormat="false" ht="15" hidden="false" customHeight="false" outlineLevel="0" collapsed="false">
      <c r="A8146" s="3" t="s">
        <v>306</v>
      </c>
      <c r="G8146" s="25" t="n">
        <f aca="false">G8149*IF(G8150=1,$C$8141,IF(Assumptions!$I$56=1,MAX(G8139,Assumptions!$G$56)+Assumptions!$F$56+$C$8140,Assumptions!$E$56))+G8162*IF(G8163=1,$C$8141,IF(Assumptions!$I$57=1,MAX(G8139,Assumptions!$G$57)+Assumptions!$F$57+$C$8140,Assumptions!$E$57))+G8175*IF(G8176=1,$C$8141,IF(Assumptions!$I$58=1,MAX(G8139,Assumptions!$G$58)+Assumptions!$F$58+$C$8140,Assumptions!$E$58))</f>
        <v>155.95467</v>
      </c>
      <c r="H8146" s="25" t="n">
        <f aca="false">H8149*IF(OR(H8150=1,G8296=1),$C$8141,IF(Assumptions!$I$56=1,MAX(H8139,Assumptions!$G$56)+Assumptions!$F$56+$C$8140,Assumptions!$E$56))+H8162*IF(OR(H8163=1,G8297=1),$C$8141,IF(Assumptions!$I$57=1,MAX(H8139,Assumptions!$G$57)+Assumptions!$F$57+$C$8140,Assumptions!$E$57))+H8175*IF(OR(H8176=1,G8298=1),$C$8141,IF(Assumptions!$I$58=1,MAX(H8139,Assumptions!$G$58)+Assumptions!$F$58+$C$8140,Assumptions!$E$58))</f>
        <v>155.95467</v>
      </c>
      <c r="I8146" s="25" t="n">
        <f aca="false">I8149*IF(OR(I8150=1,H8296=1),$C$8141,IF(Assumptions!$I$56=1,MAX(I8139,Assumptions!$G$56)+Assumptions!$F$56+$C$8140,Assumptions!$E$56))+I8162*IF(OR(I8163=1,H8297=1),$C$8141,IF(Assumptions!$I$57=1,MAX(I8139,Assumptions!$G$57)+Assumptions!$F$57+$C$8140,Assumptions!$E$57))+I8175*IF(OR(I8176=1,H8298=1),$C$8141,IF(Assumptions!$I$58=1,MAX(I8139,Assumptions!$G$58)+Assumptions!$F$58+$C$8140,Assumptions!$E$58))</f>
        <v>192.74457</v>
      </c>
      <c r="J8146" s="25" t="n">
        <f aca="false">J8149*IF(OR(J8150=1,I8296=1),$C$8141,IF(Assumptions!$I$56=1,MAX(J8139,Assumptions!$G$56)+Assumptions!$F$56+$C$8140,Assumptions!$E$56))+J8162*IF(OR(J8163=1,I8297=1),$C$8141,IF(Assumptions!$I$57=1,MAX(J8139,Assumptions!$G$57)+Assumptions!$F$57+$C$8140,Assumptions!$E$57))+J8175*IF(OR(J8176=1,I8298=1),$C$8141,IF(Assumptions!$I$58=1,MAX(J8139,Assumptions!$G$58)+Assumptions!$F$58+$C$8140,Assumptions!$E$58))</f>
        <v>138.08529</v>
      </c>
      <c r="K8146" s="25" t="n">
        <f aca="false">K8149*IF(OR(K8150=1,J8296=1),$C$8141,IF(Assumptions!$I$56=1,MAX(K8139,Assumptions!$G$56)+Assumptions!$F$56+$C$8140,Assumptions!$E$56))+K8162*IF(OR(K8163=1,J8297=1),$C$8141,IF(Assumptions!$I$57=1,MAX(K8139,Assumptions!$G$57)+Assumptions!$F$57+$C$8140,Assumptions!$E$57))+K8175*IF(OR(K8176=1,J8298=1),$C$8141,IF(Assumptions!$I$58=1,MAX(K8139,Assumptions!$G$58)+Assumptions!$F$58+$C$8140,Assumptions!$E$58))</f>
        <v>138.08529</v>
      </c>
    </row>
    <row r="8147" customFormat="false" ht="15" hidden="false" customHeight="false" outlineLevel="0" collapsed="false">
      <c r="A8147" s="3" t="s">
        <v>307</v>
      </c>
      <c r="G8147" s="20" t="n">
        <f aca="false">IF(G8123&lt;=0,0,IF(AND((G8144-G8145)/G8123&lt;=$C$8142,G8123/G8146&gt;=$C$8143),1,0))</f>
        <v>1</v>
      </c>
      <c r="H8147" s="20" t="n">
        <f aca="false">IF(H8123&lt;=0,0,IF(AND((H8144-H8145)/H8123&lt;=$C$8142,H8123/H8146&gt;=$C$8143),1,0))</f>
        <v>0</v>
      </c>
      <c r="I8147" s="20" t="n">
        <f aca="false">IF(I8123&lt;=0,0,IF(AND((I8144-I8145)/I8123&lt;=$C$8142,I8123/I8146&gt;=$C$8143),1,0))</f>
        <v>0</v>
      </c>
      <c r="J8147" s="20" t="n">
        <f aca="false">IF(J8123&lt;=0,0,IF(AND((J8144-J8145)/J8123&lt;=$C$8142,J8123/J8146&gt;=$C$8143),1,0))</f>
        <v>0</v>
      </c>
      <c r="K8147" s="20" t="n">
        <f aca="false">IF(K8123&lt;=0,0,IF(AND((K8144-K8145)/K8123&lt;=$C$8142,K8123/K8146&gt;=$C$8143),1,0))</f>
        <v>0</v>
      </c>
    </row>
    <row r="8148" customFormat="false" ht="15" hidden="false" customHeight="false" outlineLevel="0" collapsed="false">
      <c r="A8148" s="23" t="s">
        <v>308</v>
      </c>
      <c r="B8148" s="24"/>
      <c r="C8148" s="24"/>
      <c r="D8148" s="24"/>
      <c r="E8148" s="24"/>
      <c r="F8148" s="24"/>
      <c r="G8148" s="24"/>
      <c r="H8148" s="24"/>
      <c r="I8148" s="24"/>
      <c r="J8148" s="24"/>
      <c r="K8148" s="24"/>
    </row>
    <row r="8149" customFormat="false" ht="15" hidden="false" customHeight="false" outlineLevel="0" collapsed="false">
      <c r="A8149" s="3" t="s">
        <v>309</v>
      </c>
      <c r="G8149" s="25" t="n">
        <f aca="false">F8160</f>
        <v>1315.098</v>
      </c>
      <c r="H8149" s="25" t="n">
        <f aca="false">G8160</f>
        <v>1315.098</v>
      </c>
      <c r="I8149" s="25" t="n">
        <f aca="false">H8160</f>
        <v>1315.098</v>
      </c>
      <c r="J8149" s="25" t="n">
        <f aca="false">I8160</f>
        <v>1315.098</v>
      </c>
      <c r="K8149" s="25" t="n">
        <f aca="false">J8160</f>
        <v>1315.098</v>
      </c>
    </row>
    <row r="8150" customFormat="false" ht="15" hidden="false" customHeight="false" outlineLevel="0" collapsed="false">
      <c r="A8150" s="3" t="s">
        <v>310</v>
      </c>
      <c r="G8150" s="20" t="n">
        <f aca="false">IF(G8113=Assumptions!$K$56,1,0)</f>
        <v>0</v>
      </c>
      <c r="H8150" s="20" t="n">
        <f aca="false">IF(H8113=Assumptions!$K$56,1,0)</f>
        <v>0</v>
      </c>
      <c r="I8150" s="20" t="n">
        <f aca="false">IF(I8113=Assumptions!$K$56,1,0)</f>
        <v>0</v>
      </c>
      <c r="J8150" s="20" t="n">
        <f aca="false">IF(J8113=Assumptions!$K$56,1,0)</f>
        <v>0</v>
      </c>
      <c r="K8150" s="20" t="n">
        <f aca="false">IF(K8113=Assumptions!$K$56,1,0)</f>
        <v>0</v>
      </c>
    </row>
    <row r="8152" customFormat="false" ht="15" hidden="false" customHeight="false" outlineLevel="0" collapsed="false">
      <c r="A8152" s="3" t="s">
        <v>311</v>
      </c>
      <c r="G8152" s="31" t="n">
        <f aca="false">IF(Assumptions!$I$56=1,MAX(G8139,Assumptions!$G$56)+Assumptions!$F$56+$C$8140,Assumptions!$E$56)</f>
        <v>0.105</v>
      </c>
      <c r="H8152" s="31" t="n">
        <f aca="false">IF(G8296=1,$C$8141,IF(Assumptions!$I$56=1,MAX(H8139,Assumptions!$G$56)+Assumptions!$F$56+$C$8140,Assumptions!$E$56))</f>
        <v>0.105</v>
      </c>
      <c r="I8152" s="31" t="n">
        <f aca="false">IF(H8296=1,$C$8141,IF(Assumptions!$I$56=1,MAX(I8139,Assumptions!$G$56)+Assumptions!$F$56+$C$8140,Assumptions!$E$56))</f>
        <v>0.105</v>
      </c>
      <c r="J8152" s="31" t="n">
        <f aca="false">IF(I8296=1,$C$8141,IF(Assumptions!$I$56=1,MAX(J8139,Assumptions!$G$56)+Assumptions!$F$56+$C$8140,Assumptions!$E$56))</f>
        <v>0.105</v>
      </c>
      <c r="K8152" s="31" t="n">
        <f aca="false">IF(J8296=1,$C$8141,IF(Assumptions!$I$56=1,MAX(K8139,Assumptions!$G$56)+Assumptions!$F$56+$C$8140,Assumptions!$E$56))</f>
        <v>0.105</v>
      </c>
    </row>
    <row r="8153" customFormat="false" ht="15" hidden="false" customHeight="false" outlineLevel="0" collapsed="false">
      <c r="A8153" s="3" t="s">
        <v>312</v>
      </c>
      <c r="G8153" s="25" t="n">
        <f aca="false">G8149*G8152</f>
        <v>138.08529</v>
      </c>
      <c r="H8153" s="25" t="n">
        <f aca="false">H8149*H8152</f>
        <v>138.08529</v>
      </c>
      <c r="I8153" s="25" t="n">
        <f aca="false">I8149*I8152</f>
        <v>138.08529</v>
      </c>
      <c r="J8153" s="25" t="n">
        <f aca="false">J8149*J8152</f>
        <v>138.08529</v>
      </c>
      <c r="K8153" s="25" t="n">
        <f aca="false">K8149*K8152</f>
        <v>138.08529</v>
      </c>
    </row>
    <row r="8154" customFormat="false" ht="15" hidden="false" customHeight="false" outlineLevel="0" collapsed="false">
      <c r="A8154" s="3" t="s">
        <v>313</v>
      </c>
      <c r="G8154" s="25" t="n">
        <f aca="false">G8149*Assumptions!$H$56</f>
        <v>0</v>
      </c>
      <c r="H8154" s="25" t="n">
        <f aca="false">H8149*Assumptions!$H$56</f>
        <v>0</v>
      </c>
      <c r="I8154" s="25" t="n">
        <f aca="false">I8149*Assumptions!$H$56</f>
        <v>0</v>
      </c>
      <c r="J8154" s="25" t="n">
        <f aca="false">J8149*Assumptions!$H$56</f>
        <v>0</v>
      </c>
      <c r="K8154" s="25" t="n">
        <f aca="false">K8149*Assumptions!$H$56</f>
        <v>0</v>
      </c>
    </row>
    <row r="8155" customFormat="false" ht="15" hidden="false" customHeight="false" outlineLevel="0" collapsed="false">
      <c r="A8155" s="3" t="s">
        <v>314</v>
      </c>
      <c r="G8155" s="25" t="n">
        <f aca="false">MIN(G8149,Assumptions!$L$56*Assumptions!$C$56)</f>
        <v>0</v>
      </c>
      <c r="H8155" s="25" t="n">
        <f aca="false">MIN(H8149,Assumptions!$L$56*Assumptions!$C$56)</f>
        <v>0</v>
      </c>
      <c r="I8155" s="25" t="n">
        <f aca="false">MIN(I8149,Assumptions!$L$56*Assumptions!$C$56)</f>
        <v>0</v>
      </c>
      <c r="J8155" s="25" t="n">
        <f aca="false">MIN(J8149,Assumptions!$L$56*Assumptions!$C$56)</f>
        <v>0</v>
      </c>
      <c r="K8155" s="25" t="n">
        <f aca="false">MIN(K8149,Assumptions!$L$56*Assumptions!$C$56)</f>
        <v>0</v>
      </c>
    </row>
    <row r="8156" customFormat="false" ht="15" hidden="false" customHeight="false" outlineLevel="0" collapsed="false">
      <c r="A8156" s="3" t="s">
        <v>315</v>
      </c>
      <c r="G8156" s="25" t="n">
        <f aca="false">IF(AND(Assumptions!$P$56=1,G8113&lt;Assumptions!$K$56),MIN(MAX(0,-G8210),MAX(0,Assumptions!$D$56-G8149)),0)</f>
        <v>0</v>
      </c>
      <c r="H8156" s="25" t="n">
        <f aca="false">IF(AND(Assumptions!$P$56=1,OR(H8113&lt;Assumptions!$K$56,G8296=1)),MIN(MAX(0,-H8210),MAX(0,Assumptions!$D$56-H8149)),0)</f>
        <v>0</v>
      </c>
      <c r="I8156" s="25" t="n">
        <f aca="false">IF(AND(Assumptions!$P$56=1,OR(I8113&lt;Assumptions!$K$56,H8296=1)),MIN(MAX(0,-I8210),MAX(0,Assumptions!$D$56-I8149)),0)</f>
        <v>0</v>
      </c>
      <c r="J8156" s="25" t="n">
        <f aca="false">IF(AND(Assumptions!$P$56=1,OR(J8113&lt;Assumptions!$K$56,I8296=1)),MIN(MAX(0,-J8210),MAX(0,Assumptions!$D$56-J8149)),0)</f>
        <v>0</v>
      </c>
      <c r="K8156" s="25" t="n">
        <f aca="false">IF(AND(Assumptions!$P$56=1,OR(K8113&lt;Assumptions!$K$56,J8296=1)),MIN(MAX(0,-K8210),MAX(0,Assumptions!$D$56-K8149)),0)</f>
        <v>0</v>
      </c>
    </row>
    <row r="8157" customFormat="false" ht="15" hidden="false" customHeight="false" outlineLevel="0" collapsed="false">
      <c r="A8157" s="3" t="s">
        <v>316</v>
      </c>
      <c r="G8157" s="25" t="n">
        <f aca="false">G8150*MIN(G8149-G8155+G8154,MAX(0,G8212-Assumptions!$C$12*G8147))</f>
        <v>0</v>
      </c>
      <c r="H8157" s="25" t="n">
        <f aca="false">H8150*MIN(H8149-H8155+H8154,MAX(0,H8212-Assumptions!$C$12*H8147))</f>
        <v>0</v>
      </c>
      <c r="I8157" s="25" t="n">
        <f aca="false">I8150*MIN(I8149-I8155+I8154,MAX(0,I8212-Assumptions!$C$12*I8147))</f>
        <v>0</v>
      </c>
      <c r="J8157" s="25" t="n">
        <f aca="false">J8150*MIN(J8149-J8155+J8154,MAX(0,J8212-Assumptions!$C$12*J8147))</f>
        <v>0</v>
      </c>
      <c r="K8157" s="25" t="n">
        <f aca="false">K8150*MIN(K8149-K8155+K8154,MAX(0,K8212-Assumptions!$C$12*K8147))</f>
        <v>0</v>
      </c>
    </row>
    <row r="8158" customFormat="false" ht="15" hidden="false" customHeight="false" outlineLevel="0" collapsed="false">
      <c r="A8158" s="3" t="s">
        <v>317</v>
      </c>
      <c r="G8158" s="25" t="n">
        <f aca="false">Assumptions!$N$56*MIN(G8149+G8156+G8154-G8155-G8157,MAX(0,G8216))</f>
        <v>0</v>
      </c>
      <c r="H8158" s="25" t="n">
        <f aca="false">Assumptions!$N$56*MIN(H8149+H8156+H8154-H8155-H8157,MAX(0,H8216))</f>
        <v>0</v>
      </c>
      <c r="I8158" s="25" t="n">
        <f aca="false">Assumptions!$N$56*MIN(I8149+I8156+I8154-I8155-I8157,MAX(0,I8216))</f>
        <v>0</v>
      </c>
      <c r="J8158" s="25" t="n">
        <f aca="false">Assumptions!$N$56*MIN(J8149+J8156+J8154-J8155-J8157,MAX(0,J8216))</f>
        <v>0</v>
      </c>
      <c r="K8158" s="25" t="n">
        <f aca="false">Assumptions!$N$56*MIN(K8149+K8156+K8154-K8155-K8157,MAX(0,K8216))</f>
        <v>0</v>
      </c>
    </row>
    <row r="8159" customFormat="false" ht="15" hidden="false" customHeight="false" outlineLevel="0" collapsed="false">
      <c r="A8159" s="3" t="s">
        <v>318</v>
      </c>
      <c r="G8159" s="25" t="n">
        <f aca="false">G8150*(1-G8147)*(G8149-G8155+G8154-G8157)</f>
        <v>0</v>
      </c>
      <c r="H8159" s="25" t="n">
        <f aca="false">H8150*(1-H8147)*(H8149-H8155+H8154-H8157)</f>
        <v>0</v>
      </c>
      <c r="I8159" s="25" t="n">
        <f aca="false">I8150*(1-I8147)*(I8149-I8155+I8154-I8157)</f>
        <v>0</v>
      </c>
      <c r="J8159" s="25" t="n">
        <f aca="false">J8150*(1-J8147)*(J8149-J8155+J8154-J8157)</f>
        <v>0</v>
      </c>
      <c r="K8159" s="25" t="n">
        <f aca="false">K8150*(1-K8147)*(K8149-K8155+K8154-K8157)</f>
        <v>0</v>
      </c>
    </row>
    <row r="8160" customFormat="false" ht="15" hidden="false" customHeight="false" outlineLevel="0" collapsed="false">
      <c r="A8160" s="2" t="s">
        <v>319</v>
      </c>
      <c r="F8160" s="28" t="n">
        <f aca="false">Assumptions!$C$56</f>
        <v>1315.098</v>
      </c>
      <c r="G8160" s="16" t="n">
        <f aca="false">G8149+G8156+G8154-G8155-G8157-G8158</f>
        <v>1315.098</v>
      </c>
      <c r="H8160" s="16" t="n">
        <f aca="false">H8149+H8156+H8154-H8155-H8157-H8158</f>
        <v>1315.098</v>
      </c>
      <c r="I8160" s="16" t="n">
        <f aca="false">I8149+I8156+I8154-I8155-I8157-I8158</f>
        <v>1315.098</v>
      </c>
      <c r="J8160" s="16" t="n">
        <f aca="false">J8149+J8156+J8154-J8155-J8157-J8158</f>
        <v>1315.098</v>
      </c>
      <c r="K8160" s="16" t="n">
        <f aca="false">K8149+K8156+K8154-K8155-K8157-K8158</f>
        <v>1315.098</v>
      </c>
    </row>
    <row r="8161" customFormat="false" ht="15" hidden="false" customHeight="false" outlineLevel="0" collapsed="false">
      <c r="A8161" s="23" t="s">
        <v>320</v>
      </c>
      <c r="B8161" s="24"/>
      <c r="C8161" s="24"/>
      <c r="D8161" s="24"/>
      <c r="E8161" s="24"/>
      <c r="F8161" s="24"/>
      <c r="G8161" s="24"/>
      <c r="H8161" s="24"/>
      <c r="I8161" s="24"/>
      <c r="J8161" s="24"/>
      <c r="K8161" s="24"/>
    </row>
    <row r="8162" customFormat="false" ht="15" hidden="false" customHeight="false" outlineLevel="0" collapsed="false">
      <c r="A8162" s="3" t="s">
        <v>309</v>
      </c>
      <c r="G8162" s="25" t="n">
        <f aca="false">F8173</f>
        <v>276.706</v>
      </c>
      <c r="H8162" s="25" t="n">
        <f aca="false">G8173</f>
        <v>276.706</v>
      </c>
      <c r="I8162" s="25" t="n">
        <f aca="false">H8173</f>
        <v>276.706</v>
      </c>
      <c r="J8162" s="25" t="n">
        <f aca="false">I8173</f>
        <v>0</v>
      </c>
      <c r="K8162" s="25" t="n">
        <f aca="false">J8173</f>
        <v>0</v>
      </c>
    </row>
    <row r="8163" customFormat="false" ht="15" hidden="false" customHeight="false" outlineLevel="0" collapsed="false">
      <c r="A8163" s="3" t="s">
        <v>310</v>
      </c>
      <c r="G8163" s="20" t="n">
        <f aca="false">IF(G8113=Assumptions!$K$57,1,0)</f>
        <v>0</v>
      </c>
      <c r="H8163" s="20" t="n">
        <f aca="false">IF(H8113=Assumptions!$K$57,1,0)</f>
        <v>0</v>
      </c>
      <c r="I8163" s="20" t="n">
        <f aca="false">IF(I8113=Assumptions!$K$57,1,0)</f>
        <v>1</v>
      </c>
      <c r="J8163" s="20" t="n">
        <f aca="false">IF(J8113=Assumptions!$K$57,1,0)</f>
        <v>0</v>
      </c>
      <c r="K8163" s="20" t="n">
        <f aca="false">IF(K8113=Assumptions!$K$57,1,0)</f>
        <v>0</v>
      </c>
    </row>
    <row r="8165" customFormat="false" ht="15" hidden="false" customHeight="false" outlineLevel="0" collapsed="false">
      <c r="A8165" s="3" t="s">
        <v>311</v>
      </c>
      <c r="G8165" s="31" t="n">
        <f aca="false">IF(Assumptions!$I$57=1,MAX(G8139,Assumptions!$G$57)+Assumptions!$F$57+$C$8140,Assumptions!$E$57)</f>
        <v>0.0425</v>
      </c>
      <c r="H8165" s="31" t="n">
        <f aca="false">IF(G8297=1,$C$8141,IF(Assumptions!$I$57=1,MAX(H8139,Assumptions!$G$57)+Assumptions!$F$57+$C$8140,Assumptions!$E$57))</f>
        <v>0.0425</v>
      </c>
      <c r="I8165" s="31" t="n">
        <f aca="false">IF(H8297=1,$C$8141,IF(Assumptions!$I$57=1,MAX(I8139,Assumptions!$G$57)+Assumptions!$F$57+$C$8140,Assumptions!$E$57))</f>
        <v>0.0425</v>
      </c>
      <c r="J8165" s="31" t="n">
        <f aca="false">IF(I8297=1,$C$8141,IF(Assumptions!$I$57=1,MAX(J8139,Assumptions!$G$57)+Assumptions!$F$57+$C$8140,Assumptions!$E$57))</f>
        <v>0.0425</v>
      </c>
      <c r="K8165" s="31" t="n">
        <f aca="false">IF(J8297=1,$C$8141,IF(Assumptions!$I$57=1,MAX(K8139,Assumptions!$G$57)+Assumptions!$F$57+$C$8140,Assumptions!$E$57))</f>
        <v>0.0425</v>
      </c>
    </row>
    <row r="8166" customFormat="false" ht="15" hidden="false" customHeight="false" outlineLevel="0" collapsed="false">
      <c r="A8166" s="3" t="s">
        <v>312</v>
      </c>
      <c r="G8166" s="25" t="n">
        <f aca="false">G8162*G8165</f>
        <v>11.760005</v>
      </c>
      <c r="H8166" s="25" t="n">
        <f aca="false">H8162*H8165</f>
        <v>11.760005</v>
      </c>
      <c r="I8166" s="25" t="n">
        <f aca="false">I8162*I8165</f>
        <v>11.760005</v>
      </c>
      <c r="J8166" s="25" t="n">
        <f aca="false">J8162*J8165</f>
        <v>0</v>
      </c>
      <c r="K8166" s="25" t="n">
        <f aca="false">K8162*K8165</f>
        <v>0</v>
      </c>
    </row>
    <row r="8167" customFormat="false" ht="15" hidden="false" customHeight="false" outlineLevel="0" collapsed="false">
      <c r="A8167" s="3" t="s">
        <v>313</v>
      </c>
      <c r="G8167" s="25" t="n">
        <f aca="false">G8162*Assumptions!$H$57</f>
        <v>0</v>
      </c>
      <c r="H8167" s="25" t="n">
        <f aca="false">H8162*Assumptions!$H$57</f>
        <v>0</v>
      </c>
      <c r="I8167" s="25" t="n">
        <f aca="false">I8162*Assumptions!$H$57</f>
        <v>0</v>
      </c>
      <c r="J8167" s="25" t="n">
        <f aca="false">J8162*Assumptions!$H$57</f>
        <v>0</v>
      </c>
      <c r="K8167" s="25" t="n">
        <f aca="false">K8162*Assumptions!$H$57</f>
        <v>0</v>
      </c>
    </row>
    <row r="8168" customFormat="false" ht="15" hidden="false" customHeight="false" outlineLevel="0" collapsed="false">
      <c r="A8168" s="3" t="s">
        <v>314</v>
      </c>
      <c r="G8168" s="25" t="n">
        <f aca="false">MIN(G8162,Assumptions!$L$57*Assumptions!$C$57)</f>
        <v>0</v>
      </c>
      <c r="H8168" s="25" t="n">
        <f aca="false">MIN(H8162,Assumptions!$L$57*Assumptions!$C$57)</f>
        <v>0</v>
      </c>
      <c r="I8168" s="25" t="n">
        <f aca="false">MIN(I8162,Assumptions!$L$57*Assumptions!$C$57)</f>
        <v>0</v>
      </c>
      <c r="J8168" s="25" t="n">
        <f aca="false">MIN(J8162,Assumptions!$L$57*Assumptions!$C$57)</f>
        <v>0</v>
      </c>
      <c r="K8168" s="25" t="n">
        <f aca="false">MIN(K8162,Assumptions!$L$57*Assumptions!$C$57)</f>
        <v>0</v>
      </c>
    </row>
    <row r="8169" customFormat="false" ht="15" hidden="false" customHeight="false" outlineLevel="0" collapsed="false">
      <c r="A8169" s="3" t="s">
        <v>315</v>
      </c>
      <c r="G8169" s="25" t="n">
        <f aca="false">IF(AND(Assumptions!$P$57=1,G8113&lt;Assumptions!$K$57),MIN(MAX(0,-G8210),MAX(0,Assumptions!$D$57-G8162)),0)</f>
        <v>0</v>
      </c>
      <c r="H8169" s="25" t="n">
        <f aca="false">IF(AND(Assumptions!$P$57=1,OR(H8113&lt;Assumptions!$K$57,G8297=1)),MIN(MAX(0,-H8210),MAX(0,Assumptions!$D$57-H8162)),0)</f>
        <v>0</v>
      </c>
      <c r="I8169" s="25" t="n">
        <f aca="false">IF(AND(Assumptions!$P$57=1,OR(I8113&lt;Assumptions!$K$57,H8297=1)),MIN(MAX(0,-I8210),MAX(0,Assumptions!$D$57-I8162)),0)</f>
        <v>0</v>
      </c>
      <c r="J8169" s="25" t="n">
        <f aca="false">IF(AND(Assumptions!$P$57=1,OR(J8113&lt;Assumptions!$K$57,I8297=1)),MIN(MAX(0,-J8210),MAX(0,Assumptions!$D$57-J8162)),0)</f>
        <v>0</v>
      </c>
      <c r="K8169" s="25" t="n">
        <f aca="false">IF(AND(Assumptions!$P$57=1,OR(K8113&lt;Assumptions!$K$57,J8297=1)),MIN(MAX(0,-K8210),MAX(0,Assumptions!$D$57-K8162)),0)</f>
        <v>0</v>
      </c>
    </row>
    <row r="8170" customFormat="false" ht="15" hidden="false" customHeight="false" outlineLevel="0" collapsed="false">
      <c r="A8170" s="3" t="s">
        <v>316</v>
      </c>
      <c r="G8170" s="25" t="n">
        <f aca="false">G8163*MIN(G8162-G8168+G8167,MAX(0,G8212-Assumptions!$C$12*G8147-G8157))</f>
        <v>0</v>
      </c>
      <c r="H8170" s="25" t="n">
        <f aca="false">H8163*MIN(H8162-H8168+H8167,MAX(0,H8212-Assumptions!$C$12*H8147-H8157))</f>
        <v>0</v>
      </c>
      <c r="I8170" s="25" t="n">
        <f aca="false">I8163*MIN(I8162-I8168+I8167,MAX(0,I8212-Assumptions!$C$12*I8147-I8157))</f>
        <v>276.706</v>
      </c>
      <c r="J8170" s="25" t="n">
        <f aca="false">J8163*MIN(J8162-J8168+J8167,MAX(0,J8212-Assumptions!$C$12*J8147-J8157))</f>
        <v>0</v>
      </c>
      <c r="K8170" s="25" t="n">
        <f aca="false">K8163*MIN(K8162-K8168+K8167,MAX(0,K8212-Assumptions!$C$12*K8147-K8157))</f>
        <v>0</v>
      </c>
    </row>
    <row r="8171" customFormat="false" ht="15" hidden="false" customHeight="false" outlineLevel="0" collapsed="false">
      <c r="A8171" s="3" t="s">
        <v>317</v>
      </c>
      <c r="G8171" s="25" t="n">
        <f aca="false">Assumptions!$N$57*MIN(G8162+G8169+G8167-G8168-G8170,MAX(0,G8216-G8158))</f>
        <v>0</v>
      </c>
      <c r="H8171" s="25" t="n">
        <f aca="false">Assumptions!$N$57*MIN(H8162+H8169+H8167-H8168-H8170,MAX(0,H8216-H8158))</f>
        <v>0</v>
      </c>
      <c r="I8171" s="25" t="n">
        <f aca="false">Assumptions!$N$57*MIN(I8162+I8169+I8167-I8168-I8170,MAX(0,I8216-I8158))</f>
        <v>0</v>
      </c>
      <c r="J8171" s="25" t="n">
        <f aca="false">Assumptions!$N$57*MIN(J8162+J8169+J8167-J8168-J8170,MAX(0,J8216-J8158))</f>
        <v>0</v>
      </c>
      <c r="K8171" s="25" t="n">
        <f aca="false">Assumptions!$N$57*MIN(K8162+K8169+K8167-K8168-K8170,MAX(0,K8216-K8158))</f>
        <v>0</v>
      </c>
    </row>
    <row r="8172" customFormat="false" ht="15" hidden="false" customHeight="false" outlineLevel="0" collapsed="false">
      <c r="A8172" s="3" t="s">
        <v>318</v>
      </c>
      <c r="G8172" s="25" t="n">
        <f aca="false">G8163*(1-G8147)*(G8162-G8168+G8167-G8170)</f>
        <v>0</v>
      </c>
      <c r="H8172" s="25" t="n">
        <f aca="false">H8163*(1-H8147)*(H8162-H8168+H8167-H8170)</f>
        <v>0</v>
      </c>
      <c r="I8172" s="25" t="n">
        <f aca="false">I8163*(1-I8147)*(I8162-I8168+I8167-I8170)</f>
        <v>0</v>
      </c>
      <c r="J8172" s="25" t="n">
        <f aca="false">J8163*(1-J8147)*(J8162-J8168+J8167-J8170)</f>
        <v>0</v>
      </c>
      <c r="K8172" s="25" t="n">
        <f aca="false">K8163*(1-K8147)*(K8162-K8168+K8167-K8170)</f>
        <v>0</v>
      </c>
    </row>
    <row r="8173" customFormat="false" ht="15" hidden="false" customHeight="false" outlineLevel="0" collapsed="false">
      <c r="A8173" s="2" t="s">
        <v>319</v>
      </c>
      <c r="F8173" s="28" t="n">
        <f aca="false">Assumptions!$C$57</f>
        <v>276.706</v>
      </c>
      <c r="G8173" s="16" t="n">
        <f aca="false">G8162+G8169+G8167-G8168-G8170-G8171</f>
        <v>276.706</v>
      </c>
      <c r="H8173" s="16" t="n">
        <f aca="false">H8162+H8169+H8167-H8168-H8170-H8171</f>
        <v>276.706</v>
      </c>
      <c r="I8173" s="16" t="n">
        <f aca="false">I8162+I8169+I8167-I8168-I8170-I8171</f>
        <v>0</v>
      </c>
      <c r="J8173" s="16" t="n">
        <f aca="false">J8162+J8169+J8167-J8168-J8170-J8171</f>
        <v>0</v>
      </c>
      <c r="K8173" s="16" t="n">
        <f aca="false">K8162+K8169+K8167-K8168-K8170-K8171</f>
        <v>0</v>
      </c>
    </row>
    <row r="8174" customFormat="false" ht="15" hidden="false" customHeight="false" outlineLevel="0" collapsed="false">
      <c r="A8174" s="23" t="s">
        <v>321</v>
      </c>
      <c r="B8174" s="24"/>
      <c r="C8174" s="24"/>
      <c r="D8174" s="24"/>
      <c r="E8174" s="24"/>
      <c r="F8174" s="24"/>
      <c r="G8174" s="24"/>
      <c r="H8174" s="24"/>
      <c r="I8174" s="24"/>
      <c r="J8174" s="24"/>
      <c r="K8174" s="24"/>
    </row>
    <row r="8175" customFormat="false" ht="15" hidden="false" customHeight="false" outlineLevel="0" collapsed="false">
      <c r="A8175" s="3" t="s">
        <v>309</v>
      </c>
      <c r="G8175" s="25" t="n">
        <f aca="false">F8186</f>
        <v>143.75</v>
      </c>
      <c r="H8175" s="25" t="n">
        <f aca="false">G8186</f>
        <v>143.75</v>
      </c>
      <c r="I8175" s="25" t="n">
        <f aca="false">H8186</f>
        <v>143.75</v>
      </c>
      <c r="J8175" s="25" t="n">
        <f aca="false">I8186</f>
        <v>0</v>
      </c>
      <c r="K8175" s="25" t="n">
        <f aca="false">J8186</f>
        <v>0</v>
      </c>
    </row>
    <row r="8176" customFormat="false" ht="15" hidden="false" customHeight="false" outlineLevel="0" collapsed="false">
      <c r="A8176" s="3" t="s">
        <v>310</v>
      </c>
      <c r="G8176" s="20" t="n">
        <f aca="false">IF(G8113=Assumptions!$K$58,1,0)</f>
        <v>0</v>
      </c>
      <c r="H8176" s="20" t="n">
        <f aca="false">IF(H8113=Assumptions!$K$58,1,0)</f>
        <v>0</v>
      </c>
      <c r="I8176" s="20" t="n">
        <f aca="false">IF(I8113=Assumptions!$K$58,1,0)</f>
        <v>1</v>
      </c>
      <c r="J8176" s="20" t="n">
        <f aca="false">IF(J8113=Assumptions!$K$58,1,0)</f>
        <v>0</v>
      </c>
      <c r="K8176" s="20" t="n">
        <f aca="false">IF(K8113=Assumptions!$K$58,1,0)</f>
        <v>0</v>
      </c>
    </row>
    <row r="8178" customFormat="false" ht="15" hidden="false" customHeight="false" outlineLevel="0" collapsed="false">
      <c r="A8178" s="3" t="s">
        <v>311</v>
      </c>
      <c r="G8178" s="31" t="n">
        <f aca="false">IF(Assumptions!$I$58=1,MAX(G8139,Assumptions!$G$58)+Assumptions!$F$58+$C$8140,Assumptions!$E$58)</f>
        <v>0.0425</v>
      </c>
      <c r="H8178" s="31" t="n">
        <f aca="false">IF(G8298=1,$C$8141,IF(Assumptions!$I$58=1,MAX(H8139,Assumptions!$G$58)+Assumptions!$F$58+$C$8140,Assumptions!$E$58))</f>
        <v>0.0425</v>
      </c>
      <c r="I8178" s="31" t="n">
        <f aca="false">IF(H8298=1,$C$8141,IF(Assumptions!$I$58=1,MAX(I8139,Assumptions!$G$58)+Assumptions!$F$58+$C$8140,Assumptions!$E$58))</f>
        <v>0.0425</v>
      </c>
      <c r="J8178" s="31" t="n">
        <f aca="false">IF(I8298=1,$C$8141,IF(Assumptions!$I$58=1,MAX(J8139,Assumptions!$G$58)+Assumptions!$F$58+$C$8140,Assumptions!$E$58))</f>
        <v>0.0425</v>
      </c>
      <c r="K8178" s="31" t="n">
        <f aca="false">IF(J8298=1,$C$8141,IF(Assumptions!$I$58=1,MAX(K8139,Assumptions!$G$58)+Assumptions!$F$58+$C$8140,Assumptions!$E$58))</f>
        <v>0.0425</v>
      </c>
    </row>
    <row r="8179" customFormat="false" ht="15" hidden="false" customHeight="false" outlineLevel="0" collapsed="false">
      <c r="A8179" s="3" t="s">
        <v>312</v>
      </c>
      <c r="G8179" s="25" t="n">
        <f aca="false">G8175*G8178</f>
        <v>6.109375</v>
      </c>
      <c r="H8179" s="25" t="n">
        <f aca="false">H8175*H8178</f>
        <v>6.109375</v>
      </c>
      <c r="I8179" s="25" t="n">
        <f aca="false">I8175*I8178</f>
        <v>6.109375</v>
      </c>
      <c r="J8179" s="25" t="n">
        <f aca="false">J8175*J8178</f>
        <v>0</v>
      </c>
      <c r="K8179" s="25" t="n">
        <f aca="false">K8175*K8178</f>
        <v>0</v>
      </c>
    </row>
    <row r="8180" customFormat="false" ht="15" hidden="false" customHeight="false" outlineLevel="0" collapsed="false">
      <c r="A8180" s="3" t="s">
        <v>313</v>
      </c>
      <c r="G8180" s="25" t="n">
        <f aca="false">G8175*Assumptions!$H$58</f>
        <v>0</v>
      </c>
      <c r="H8180" s="25" t="n">
        <f aca="false">H8175*Assumptions!$H$58</f>
        <v>0</v>
      </c>
      <c r="I8180" s="25" t="n">
        <f aca="false">I8175*Assumptions!$H$58</f>
        <v>0</v>
      </c>
      <c r="J8180" s="25" t="n">
        <f aca="false">J8175*Assumptions!$H$58</f>
        <v>0</v>
      </c>
      <c r="K8180" s="25" t="n">
        <f aca="false">K8175*Assumptions!$H$58</f>
        <v>0</v>
      </c>
    </row>
    <row r="8181" customFormat="false" ht="15" hidden="false" customHeight="false" outlineLevel="0" collapsed="false">
      <c r="A8181" s="3" t="s">
        <v>314</v>
      </c>
      <c r="G8181" s="25" t="n">
        <f aca="false">MIN(G8175,Assumptions!$L$58*Assumptions!$C$58)</f>
        <v>0</v>
      </c>
      <c r="H8181" s="25" t="n">
        <f aca="false">MIN(H8175,Assumptions!$L$58*Assumptions!$C$58)</f>
        <v>0</v>
      </c>
      <c r="I8181" s="25" t="n">
        <f aca="false">MIN(I8175,Assumptions!$L$58*Assumptions!$C$58)</f>
        <v>0</v>
      </c>
      <c r="J8181" s="25" t="n">
        <f aca="false">MIN(J8175,Assumptions!$L$58*Assumptions!$C$58)</f>
        <v>0</v>
      </c>
      <c r="K8181" s="25" t="n">
        <f aca="false">MIN(K8175,Assumptions!$L$58*Assumptions!$C$58)</f>
        <v>0</v>
      </c>
    </row>
    <row r="8182" customFormat="false" ht="15" hidden="false" customHeight="false" outlineLevel="0" collapsed="false">
      <c r="A8182" s="3" t="s">
        <v>315</v>
      </c>
      <c r="G8182" s="25" t="n">
        <f aca="false">IF(AND(Assumptions!$P$58=1,G8113&lt;Assumptions!$K$58),MIN(MAX(0,-G8210),MAX(0,Assumptions!$D$58-G8175)),0)</f>
        <v>0</v>
      </c>
      <c r="H8182" s="25" t="n">
        <f aca="false">IF(AND(Assumptions!$P$58=1,OR(H8113&lt;Assumptions!$K$58,G8298=1)),MIN(MAX(0,-H8210),MAX(0,Assumptions!$D$58-H8175)),0)</f>
        <v>0</v>
      </c>
      <c r="I8182" s="25" t="n">
        <f aca="false">IF(AND(Assumptions!$P$58=1,OR(I8113&lt;Assumptions!$K$58,H8298=1)),MIN(MAX(0,-I8210),MAX(0,Assumptions!$D$58-I8175)),0)</f>
        <v>0</v>
      </c>
      <c r="J8182" s="25" t="n">
        <f aca="false">IF(AND(Assumptions!$P$58=1,OR(J8113&lt;Assumptions!$K$58,I8298=1)),MIN(MAX(0,-J8210),MAX(0,Assumptions!$D$58-J8175)),0)</f>
        <v>0</v>
      </c>
      <c r="K8182" s="25" t="n">
        <f aca="false">IF(AND(Assumptions!$P$58=1,OR(K8113&lt;Assumptions!$K$58,J8298=1)),MIN(MAX(0,-K8210),MAX(0,Assumptions!$D$58-K8175)),0)</f>
        <v>0</v>
      </c>
    </row>
    <row r="8183" customFormat="false" ht="15" hidden="false" customHeight="false" outlineLevel="0" collapsed="false">
      <c r="A8183" s="3" t="s">
        <v>316</v>
      </c>
      <c r="G8183" s="25" t="n">
        <f aca="false">G8176*MIN(G8175-G8181+G8180,MAX(0,G8212-Assumptions!$C$12*G8147-G8157-G8170))</f>
        <v>0</v>
      </c>
      <c r="H8183" s="25" t="n">
        <f aca="false">H8176*MIN(H8175-H8181+H8180,MAX(0,H8212-Assumptions!$C$12*H8147-H8157-H8170))</f>
        <v>0</v>
      </c>
      <c r="I8183" s="25" t="n">
        <f aca="false">I8176*MIN(I8175-I8181+I8180,MAX(0,I8212-Assumptions!$C$12*I8147-I8157-I8170))</f>
        <v>143.75</v>
      </c>
      <c r="J8183" s="25" t="n">
        <f aca="false">J8176*MIN(J8175-J8181+J8180,MAX(0,J8212-Assumptions!$C$12*J8147-J8157-J8170))</f>
        <v>0</v>
      </c>
      <c r="K8183" s="25" t="n">
        <f aca="false">K8176*MIN(K8175-K8181+K8180,MAX(0,K8212-Assumptions!$C$12*K8147-K8157-K8170))</f>
        <v>0</v>
      </c>
    </row>
    <row r="8184" customFormat="false" ht="15" hidden="false" customHeight="false" outlineLevel="0" collapsed="false">
      <c r="A8184" s="3" t="s">
        <v>317</v>
      </c>
      <c r="G8184" s="25" t="n">
        <f aca="false">Assumptions!$N$58*MIN(G8175+G8182+G8180-G8181-G8183,MAX(0,G8216-G8158-G8171))</f>
        <v>0</v>
      </c>
      <c r="H8184" s="25" t="n">
        <f aca="false">Assumptions!$N$58*MIN(H8175+H8182+H8180-H8181-H8183,MAX(0,H8216-H8158-H8171))</f>
        <v>0</v>
      </c>
      <c r="I8184" s="25" t="n">
        <f aca="false">Assumptions!$N$58*MIN(I8175+I8182+I8180-I8181-I8183,MAX(0,I8216-I8158-I8171))</f>
        <v>0</v>
      </c>
      <c r="J8184" s="25" t="n">
        <f aca="false">Assumptions!$N$58*MIN(J8175+J8182+J8180-J8181-J8183,MAX(0,J8216-J8158-J8171))</f>
        <v>0</v>
      </c>
      <c r="K8184" s="25" t="n">
        <f aca="false">Assumptions!$N$58*MIN(K8175+K8182+K8180-K8181-K8183,MAX(0,K8216-K8158-K8171))</f>
        <v>0</v>
      </c>
    </row>
    <row r="8185" customFormat="false" ht="15" hidden="false" customHeight="false" outlineLevel="0" collapsed="false">
      <c r="A8185" s="3" t="s">
        <v>318</v>
      </c>
      <c r="G8185" s="25" t="n">
        <f aca="false">G8176*(1-G8147)*(G8175-G8181+G8180-G8183)</f>
        <v>0</v>
      </c>
      <c r="H8185" s="25" t="n">
        <f aca="false">H8176*(1-H8147)*(H8175-H8181+H8180-H8183)</f>
        <v>0</v>
      </c>
      <c r="I8185" s="25" t="n">
        <f aca="false">I8176*(1-I8147)*(I8175-I8181+I8180-I8183)</f>
        <v>0</v>
      </c>
      <c r="J8185" s="25" t="n">
        <f aca="false">J8176*(1-J8147)*(J8175-J8181+J8180-J8183)</f>
        <v>0</v>
      </c>
      <c r="K8185" s="25" t="n">
        <f aca="false">K8176*(1-K8147)*(K8175-K8181+K8180-K8183)</f>
        <v>0</v>
      </c>
    </row>
    <row r="8186" customFormat="false" ht="15" hidden="false" customHeight="false" outlineLevel="0" collapsed="false">
      <c r="A8186" s="2" t="s">
        <v>319</v>
      </c>
      <c r="F8186" s="28" t="n">
        <f aca="false">Assumptions!$C$58</f>
        <v>143.75</v>
      </c>
      <c r="G8186" s="16" t="n">
        <f aca="false">G8175+G8182+G8180-G8181-G8183-G8184</f>
        <v>143.75</v>
      </c>
      <c r="H8186" s="16" t="n">
        <f aca="false">H8175+H8182+H8180-H8181-H8183-H8184</f>
        <v>143.75</v>
      </c>
      <c r="I8186" s="16" t="n">
        <f aca="false">I8175+I8182+I8180-I8181-I8183-I8184</f>
        <v>0</v>
      </c>
      <c r="J8186" s="16" t="n">
        <f aca="false">J8175+J8182+J8180-J8181-J8183-J8184</f>
        <v>0</v>
      </c>
      <c r="K8186" s="16" t="n">
        <f aca="false">K8175+K8182+K8180-K8181-K8183-K8184</f>
        <v>0</v>
      </c>
    </row>
    <row r="8187" customFormat="false" ht="15" hidden="false" customHeight="false" outlineLevel="0" collapsed="false">
      <c r="A8187" s="23" t="s">
        <v>322</v>
      </c>
      <c r="B8187" s="24"/>
      <c r="C8187" s="24"/>
      <c r="D8187" s="24"/>
      <c r="E8187" s="24"/>
      <c r="F8187" s="24"/>
      <c r="G8187" s="24"/>
      <c r="H8187" s="24"/>
      <c r="I8187" s="24"/>
      <c r="J8187" s="24"/>
      <c r="K8187" s="24"/>
    </row>
    <row r="8188" customFormat="false" ht="15" hidden="false" customHeight="false" outlineLevel="0" collapsed="false">
      <c r="A8188" s="2" t="s">
        <v>323</v>
      </c>
      <c r="F8188" s="16" t="n">
        <f aca="false">F8160+F8173+F8186</f>
        <v>1735.554</v>
      </c>
      <c r="G8188" s="16" t="n">
        <f aca="false">G8160+G8173+G8186</f>
        <v>1735.554</v>
      </c>
      <c r="H8188" s="16" t="n">
        <f aca="false">H8160+H8173+H8186</f>
        <v>1735.554</v>
      </c>
      <c r="I8188" s="16" t="n">
        <f aca="false">I8160+I8173+I8186</f>
        <v>1315.098</v>
      </c>
      <c r="J8188" s="16" t="n">
        <f aca="false">J8160+J8173+J8186</f>
        <v>1315.098</v>
      </c>
      <c r="K8188" s="16" t="n">
        <f aca="false">K8160+K8173+K8186</f>
        <v>1315.098</v>
      </c>
    </row>
    <row r="8189" customFormat="false" ht="15" hidden="false" customHeight="false" outlineLevel="0" collapsed="false">
      <c r="A8189" s="3" t="s">
        <v>324</v>
      </c>
      <c r="G8189" s="25" t="n">
        <f aca="false">G8150*Assumptions!$C$56+G8163*Assumptions!$C$57+G8176*Assumptions!$C$58</f>
        <v>0</v>
      </c>
      <c r="H8189" s="25" t="n">
        <f aca="false">H8150*Assumptions!$C$56+H8163*Assumptions!$C$57+H8176*Assumptions!$C$58</f>
        <v>0</v>
      </c>
      <c r="I8189" s="25" t="n">
        <f aca="false">I8150*Assumptions!$C$56+I8163*Assumptions!$C$57+I8176*Assumptions!$C$58</f>
        <v>420.456</v>
      </c>
      <c r="J8189" s="25" t="n">
        <f aca="false">J8150*Assumptions!$C$56+J8163*Assumptions!$C$57+J8176*Assumptions!$C$58</f>
        <v>0</v>
      </c>
      <c r="K8189" s="25" t="n">
        <f aca="false">K8150*Assumptions!$C$56+K8163*Assumptions!$C$57+K8176*Assumptions!$C$58</f>
        <v>0</v>
      </c>
    </row>
    <row r="8190" customFormat="false" ht="15" hidden="false" customHeight="false" outlineLevel="0" collapsed="false">
      <c r="A8190" s="23" t="s">
        <v>325</v>
      </c>
      <c r="B8190" s="24"/>
      <c r="C8190" s="24"/>
      <c r="D8190" s="24"/>
      <c r="E8190" s="24"/>
      <c r="F8190" s="24"/>
      <c r="G8190" s="24"/>
      <c r="H8190" s="24"/>
      <c r="I8190" s="24"/>
      <c r="J8190" s="24"/>
      <c r="K8190" s="24"/>
    </row>
    <row r="8191" customFormat="false" ht="15" hidden="false" customHeight="false" outlineLevel="0" collapsed="false">
      <c r="A8191" s="3" t="s">
        <v>326</v>
      </c>
      <c r="C8191" s="25" t="n">
        <f aca="false">SUMPRODUCT($G$8150:$K$8150,$G$8149:$K$8149-$G$8155:$K$8155+$G$8154:$K$8154)</f>
        <v>0</v>
      </c>
    </row>
    <row r="8192" customFormat="false" ht="15" hidden="false" customHeight="false" outlineLevel="0" collapsed="false">
      <c r="A8192" s="3" t="s">
        <v>327</v>
      </c>
      <c r="C8192" s="25" t="n">
        <f aca="false">SUMPRODUCT($G$8150:$K$8150,$G$8157:$K$8157)</f>
        <v>0</v>
      </c>
    </row>
    <row r="8193" customFormat="false" ht="15" hidden="false" customHeight="false" outlineLevel="0" collapsed="false">
      <c r="A8193" s="3" t="s">
        <v>328</v>
      </c>
      <c r="C8193" s="3" t="str">
        <f aca="false">IF(SUM($G$8150:$K$8150)=0,"n/a (beyond horizon)",IF(SUMPRODUCT($G$8150:$K$8150,$G$8147:$K$8147)&gt;0,"REFINANCING PASS","REFINANCING FAILURE"))</f>
        <v>n/a (beyond horizon)</v>
      </c>
    </row>
    <row r="8194" customFormat="false" ht="15" hidden="false" customHeight="false" outlineLevel="0" collapsed="false">
      <c r="A8194" s="3" t="s">
        <v>329</v>
      </c>
      <c r="C8194" s="3" t="str">
        <f aca="false">IF(SUM($G$8150:$K$8150)=0,"n/a",IF(C8192&gt;=C8191-0.001,"Repaid from cash",IF(SUMPRODUCT($G$8150:$K$8150,$G$8147:$K$8147)&gt;0,IF(C8192&gt;0,"Partly repaid; remainder refinanced","Refinanced"),IF(SUM($G$8159:$K$8159)&gt;0.001,IF(C8192&gt;0,"Partial repayment; PAYMENT DEFAULT","PAYMENT DEFAULT"),"Repaid from cash"))))</f>
        <v>n/a</v>
      </c>
    </row>
    <row r="8195" customFormat="false" ht="15" hidden="false" customHeight="false" outlineLevel="0" collapsed="false">
      <c r="A8195" s="3" t="s">
        <v>330</v>
      </c>
      <c r="C8195" s="25" t="n">
        <f aca="false">SUMPRODUCT($G$8163:$K$8163,$G$8162:$K$8162-$G$8168:$K$8168+$G$8167:$K$8167)</f>
        <v>276.706</v>
      </c>
    </row>
    <row r="8196" customFormat="false" ht="15" hidden="false" customHeight="false" outlineLevel="0" collapsed="false">
      <c r="A8196" s="3" t="s">
        <v>331</v>
      </c>
      <c r="C8196" s="25" t="n">
        <f aca="false">SUMPRODUCT($G$8163:$K$8163,$G$8170:$K$8170)</f>
        <v>276.706</v>
      </c>
    </row>
    <row r="8197" customFormat="false" ht="15" hidden="false" customHeight="false" outlineLevel="0" collapsed="false">
      <c r="A8197" s="3" t="s">
        <v>332</v>
      </c>
      <c r="C8197" s="3" t="str">
        <f aca="false">IF(SUM($G$8163:$K$8163)=0,"n/a (beyond horizon)",IF(SUMPRODUCT($G$8163:$K$8163,$G$8147:$K$8147)&gt;0,"REFINANCING PASS","REFINANCING FAILURE"))</f>
        <v>REFINANCING FAILURE</v>
      </c>
    </row>
    <row r="8198" customFormat="false" ht="15" hidden="false" customHeight="false" outlineLevel="0" collapsed="false">
      <c r="A8198" s="3" t="s">
        <v>333</v>
      </c>
      <c r="C8198" s="3" t="str">
        <f aca="false">IF(SUM($G$8163:$K$8163)=0,"n/a",IF(C8196&gt;=C8195-0.001,"Repaid from cash",IF(SUMPRODUCT($G$8163:$K$8163,$G$8147:$K$8147)&gt;0,IF(C8196&gt;0,"Partly repaid; remainder refinanced","Refinanced"),IF(SUM($G$8172:$K$8172)&gt;0.001,IF(C8196&gt;0,"Partial repayment; PAYMENT DEFAULT","PAYMENT DEFAULT"),"Repaid from cash"))))</f>
        <v>Repaid from cash</v>
      </c>
    </row>
    <row r="8199" customFormat="false" ht="15" hidden="false" customHeight="false" outlineLevel="0" collapsed="false">
      <c r="A8199" s="3" t="s">
        <v>334</v>
      </c>
      <c r="C8199" s="25" t="n">
        <f aca="false">SUMPRODUCT($G$8176:$K$8176,$G$8175:$K$8175-$G$8181:$K$8181+$G$8180:$K$8180)</f>
        <v>143.75</v>
      </c>
    </row>
    <row r="8200" customFormat="false" ht="15" hidden="false" customHeight="false" outlineLevel="0" collapsed="false">
      <c r="A8200" s="3" t="s">
        <v>335</v>
      </c>
      <c r="C8200" s="25" t="n">
        <f aca="false">SUMPRODUCT($G$8176:$K$8176,$G$8183:$K$8183)</f>
        <v>143.75</v>
      </c>
    </row>
    <row r="8201" customFormat="false" ht="15" hidden="false" customHeight="false" outlineLevel="0" collapsed="false">
      <c r="A8201" s="3" t="s">
        <v>336</v>
      </c>
      <c r="C8201" s="3" t="str">
        <f aca="false">IF(SUM($G$8176:$K$8176)=0,"n/a (beyond horizon)",IF(SUMPRODUCT($G$8176:$K$8176,$G$8147:$K$8147)&gt;0,"REFINANCING PASS","REFINANCING FAILURE"))</f>
        <v>REFINANCING FAILURE</v>
      </c>
    </row>
    <row r="8202" customFormat="false" ht="15" hidden="false" customHeight="false" outlineLevel="0" collapsed="false">
      <c r="A8202" s="3" t="s">
        <v>337</v>
      </c>
      <c r="C8202" s="3" t="str">
        <f aca="false">IF(SUM($G$8176:$K$8176)=0,"n/a",IF(C8200&gt;=C8199-0.001,"Repaid from cash",IF(SUMPRODUCT($G$8176:$K$8176,$G$8147:$K$8147)&gt;0,IF(C8200&gt;0,"Partly repaid; remainder refinanced","Refinanced"),IF(SUM($G$8185:$K$8185)&gt;0.001,IF(C8200&gt;0,"Partial repayment; PAYMENT DEFAULT","PAYMENT DEFAULT"),"Repaid from cash"))))</f>
        <v>Repaid from cash</v>
      </c>
    </row>
    <row r="8203" customFormat="false" ht="15" hidden="false" customHeight="false" outlineLevel="0" collapsed="false">
      <c r="A8203" s="3" t="s">
        <v>338</v>
      </c>
      <c r="C8203" s="20" t="n">
        <f aca="false">IF(C8193="REFINANCING FAILURE",1,0)+IF(C8197="REFINANCING FAILURE",1,0)+IF(C8201="REFINANCING FAILURE",1,0)</f>
        <v>2</v>
      </c>
    </row>
    <row r="8205" customFormat="false" ht="15" hidden="false" customHeight="false" outlineLevel="0" collapsed="false">
      <c r="A8205" s="23" t="s">
        <v>340</v>
      </c>
      <c r="B8205" s="24"/>
      <c r="C8205" s="24"/>
      <c r="D8205" s="24"/>
      <c r="E8205" s="24"/>
      <c r="F8205" s="24"/>
      <c r="G8205" s="24"/>
      <c r="H8205" s="24"/>
      <c r="I8205" s="24"/>
      <c r="J8205" s="24"/>
      <c r="K8205" s="24"/>
    </row>
    <row r="8206" customFormat="false" ht="15" hidden="false" customHeight="false" outlineLevel="0" collapsed="false">
      <c r="A8206" s="3" t="s">
        <v>305</v>
      </c>
      <c r="G8206" s="25" t="n">
        <f aca="false">F8218</f>
        <v>463.996</v>
      </c>
      <c r="H8206" s="25" t="n">
        <f aca="false">G8218</f>
        <v>518.82154744</v>
      </c>
      <c r="I8206" s="25" t="n">
        <f aca="false">H8218</f>
        <v>539.6742833632</v>
      </c>
      <c r="J8206" s="25" t="n">
        <f aca="false">I8218</f>
        <v>120.430022671888</v>
      </c>
      <c r="K8206" s="25" t="n">
        <f aca="false">J8218</f>
        <v>123.071896868977</v>
      </c>
    </row>
    <row r="8207" customFormat="false" ht="15" hidden="false" customHeight="false" outlineLevel="0" collapsed="false">
      <c r="A8207" s="3" t="s">
        <v>341</v>
      </c>
      <c r="G8207" s="25" t="n">
        <f aca="false">G8136</f>
        <v>54.8255474399999</v>
      </c>
      <c r="H8207" s="25" t="n">
        <f aca="false">H8136</f>
        <v>20.8527359232</v>
      </c>
      <c r="I8207" s="25" t="n">
        <f aca="false">I8136</f>
        <v>1.21173930868796</v>
      </c>
      <c r="J8207" s="25" t="n">
        <f aca="false">J8136</f>
        <v>2.6418741970896</v>
      </c>
      <c r="K8207" s="25" t="n">
        <f aca="false">K8136</f>
        <v>-4.39448401276491</v>
      </c>
    </row>
    <row r="8208" customFormat="false" ht="15" hidden="false" customHeight="false" outlineLevel="0" collapsed="false">
      <c r="A8208" s="3" t="s">
        <v>342</v>
      </c>
      <c r="G8208" s="25" t="n">
        <f aca="false">CHOOSE($C$8106,Assumptions!$G$74,Assumptions!$G$93,Assumptions!$G$112)</f>
        <v>0</v>
      </c>
      <c r="H8208" s="25" t="n">
        <f aca="false">CHOOSE($C$8106,Assumptions!$H$74,Assumptions!$H$93,Assumptions!$H$112)</f>
        <v>0</v>
      </c>
      <c r="I8208" s="25" t="n">
        <f aca="false">CHOOSE($C$8106,Assumptions!$I$74,Assumptions!$I$93,Assumptions!$I$112)</f>
        <v>0</v>
      </c>
      <c r="J8208" s="25" t="n">
        <f aca="false">CHOOSE($C$8106,Assumptions!$J$74,Assumptions!$J$93,Assumptions!$J$112)</f>
        <v>0</v>
      </c>
      <c r="K8208" s="25" t="n">
        <f aca="false">CHOOSE($C$8106,Assumptions!$K$74,Assumptions!$K$93,Assumptions!$K$112)</f>
        <v>0</v>
      </c>
    </row>
    <row r="8209" customFormat="false" ht="15" hidden="false" customHeight="false" outlineLevel="0" collapsed="false">
      <c r="A8209" s="3" t="s">
        <v>343</v>
      </c>
      <c r="G8209" s="25" t="n">
        <f aca="false">G8155+G8168+G8181</f>
        <v>0</v>
      </c>
      <c r="H8209" s="25" t="n">
        <f aca="false">H8155+H8168+H8181</f>
        <v>0</v>
      </c>
      <c r="I8209" s="25" t="n">
        <f aca="false">I8155+I8168+I8181</f>
        <v>0</v>
      </c>
      <c r="J8209" s="25" t="n">
        <f aca="false">J8155+J8168+J8181</f>
        <v>0</v>
      </c>
      <c r="K8209" s="25" t="n">
        <f aca="false">K8155+K8168+K8181</f>
        <v>0</v>
      </c>
    </row>
    <row r="8210" customFormat="false" ht="15" hidden="false" customHeight="false" outlineLevel="0" collapsed="false">
      <c r="A8210" s="2" t="s">
        <v>344</v>
      </c>
      <c r="G8210" s="16" t="n">
        <f aca="false">G8206+G8207+G8208-G8209</f>
        <v>518.82154744</v>
      </c>
      <c r="H8210" s="16" t="n">
        <f aca="false">H8206+H8207+H8208-H8209</f>
        <v>539.6742833632</v>
      </c>
      <c r="I8210" s="16" t="n">
        <f aca="false">I8206+I8207+I8208-I8209</f>
        <v>540.886022671888</v>
      </c>
      <c r="J8210" s="16" t="n">
        <f aca="false">J8206+J8207+J8208-J8209</f>
        <v>123.071896868977</v>
      </c>
      <c r="K8210" s="16" t="n">
        <f aca="false">K8206+K8207+K8208-K8209</f>
        <v>118.677412856212</v>
      </c>
    </row>
    <row r="8211" customFormat="false" ht="15" hidden="false" customHeight="false" outlineLevel="0" collapsed="false">
      <c r="A8211" s="3" t="s">
        <v>345</v>
      </c>
      <c r="G8211" s="25" t="n">
        <f aca="false">G8156+G8169+G8182</f>
        <v>0</v>
      </c>
      <c r="H8211" s="25" t="n">
        <f aca="false">H8156+H8169+H8182</f>
        <v>0</v>
      </c>
      <c r="I8211" s="25" t="n">
        <f aca="false">I8156+I8169+I8182</f>
        <v>0</v>
      </c>
      <c r="J8211" s="25" t="n">
        <f aca="false">J8156+J8169+J8182</f>
        <v>0</v>
      </c>
      <c r="K8211" s="25" t="n">
        <f aca="false">K8156+K8169+K8182</f>
        <v>0</v>
      </c>
    </row>
    <row r="8212" customFormat="false" ht="15" hidden="false" customHeight="false" outlineLevel="0" collapsed="false">
      <c r="A8212" s="2" t="s">
        <v>346</v>
      </c>
      <c r="G8212" s="16" t="n">
        <f aca="false">G8210+G8211</f>
        <v>518.82154744</v>
      </c>
      <c r="H8212" s="16" t="n">
        <f aca="false">H8210+H8211</f>
        <v>539.6742833632</v>
      </c>
      <c r="I8212" s="16" t="n">
        <f aca="false">I8210+I8211</f>
        <v>540.886022671888</v>
      </c>
      <c r="J8212" s="16" t="n">
        <f aca="false">J8210+J8211</f>
        <v>123.071896868977</v>
      </c>
      <c r="K8212" s="16" t="n">
        <f aca="false">K8210+K8211</f>
        <v>118.677412856212</v>
      </c>
    </row>
    <row r="8213" customFormat="false" ht="15" hidden="false" customHeight="false" outlineLevel="0" collapsed="false">
      <c r="A8213" s="3" t="s">
        <v>347</v>
      </c>
      <c r="G8213" s="25" t="n">
        <f aca="false">G8157+G8170+G8183</f>
        <v>0</v>
      </c>
      <c r="H8213" s="25" t="n">
        <f aca="false">H8157+H8170+H8183</f>
        <v>0</v>
      </c>
      <c r="I8213" s="25" t="n">
        <f aca="false">I8157+I8170+I8183</f>
        <v>420.456</v>
      </c>
      <c r="J8213" s="25" t="n">
        <f aca="false">J8157+J8170+J8183</f>
        <v>0</v>
      </c>
      <c r="K8213" s="25" t="n">
        <f aca="false">K8157+K8170+K8183</f>
        <v>0</v>
      </c>
    </row>
    <row r="8214" customFormat="false" ht="15" hidden="false" customHeight="false" outlineLevel="0" collapsed="false">
      <c r="A8214" s="2" t="s">
        <v>348</v>
      </c>
      <c r="G8214" s="16" t="n">
        <f aca="false">G8212-G8213</f>
        <v>518.82154744</v>
      </c>
      <c r="H8214" s="16" t="n">
        <f aca="false">H8212-H8213</f>
        <v>539.6742833632</v>
      </c>
      <c r="I8214" s="16" t="n">
        <f aca="false">I8212-I8213</f>
        <v>120.430022671888</v>
      </c>
      <c r="J8214" s="16" t="n">
        <f aca="false">J8212-J8213</f>
        <v>123.071896868977</v>
      </c>
      <c r="K8214" s="16" t="n">
        <f aca="false">K8212-K8213</f>
        <v>118.677412856212</v>
      </c>
    </row>
    <row r="8215" customFormat="false" ht="15" hidden="false" customHeight="false" outlineLevel="0" collapsed="false">
      <c r="A8215" s="3" t="s">
        <v>349</v>
      </c>
      <c r="G8215" s="25" t="n">
        <f aca="false">MAX(0,-G8214)</f>
        <v>0</v>
      </c>
      <c r="H8215" s="25" t="n">
        <f aca="false">MAX(0,-H8214)</f>
        <v>0</v>
      </c>
      <c r="I8215" s="25" t="n">
        <f aca="false">MAX(0,-I8214)</f>
        <v>0</v>
      </c>
      <c r="J8215" s="25" t="n">
        <f aca="false">MAX(0,-J8214)</f>
        <v>0</v>
      </c>
      <c r="K8215" s="25" t="n">
        <f aca="false">MAX(0,-K8214)</f>
        <v>0</v>
      </c>
    </row>
    <row r="8216" customFormat="false" ht="15" hidden="false" customHeight="false" outlineLevel="0" collapsed="false">
      <c r="A8216" s="3" t="s">
        <v>350</v>
      </c>
      <c r="G8216" s="25" t="n">
        <f aca="false">MAX(0,G8214-Assumptions!$C$12)*Assumptions!$C$13</f>
        <v>0</v>
      </c>
      <c r="H8216" s="25" t="n">
        <f aca="false">MAX(0,H8214-Assumptions!$C$12)*Assumptions!$C$13</f>
        <v>0</v>
      </c>
      <c r="I8216" s="25" t="n">
        <f aca="false">MAX(0,I8214-Assumptions!$C$12)*Assumptions!$C$13</f>
        <v>0</v>
      </c>
      <c r="J8216" s="25" t="n">
        <f aca="false">MAX(0,J8214-Assumptions!$C$12)*Assumptions!$C$13</f>
        <v>0</v>
      </c>
      <c r="K8216" s="25" t="n">
        <f aca="false">MAX(0,K8214-Assumptions!$C$12)*Assumptions!$C$13</f>
        <v>0</v>
      </c>
    </row>
    <row r="8217" customFormat="false" ht="15" hidden="false" customHeight="false" outlineLevel="0" collapsed="false">
      <c r="A8217" s="3" t="s">
        <v>351</v>
      </c>
      <c r="G8217" s="25" t="n">
        <f aca="false">G8158+G8171+G8184</f>
        <v>0</v>
      </c>
      <c r="H8217" s="25" t="n">
        <f aca="false">H8158+H8171+H8184</f>
        <v>0</v>
      </c>
      <c r="I8217" s="25" t="n">
        <f aca="false">I8158+I8171+I8184</f>
        <v>0</v>
      </c>
      <c r="J8217" s="25" t="n">
        <f aca="false">J8158+J8171+J8184</f>
        <v>0</v>
      </c>
      <c r="K8217" s="25" t="n">
        <f aca="false">K8158+K8171+K8184</f>
        <v>0</v>
      </c>
    </row>
    <row r="8218" customFormat="false" ht="15" hidden="false" customHeight="false" outlineLevel="0" collapsed="false">
      <c r="A8218" s="2" t="s">
        <v>352</v>
      </c>
      <c r="F8218" s="28" t="n">
        <f aca="false">Assumptions!$C$11</f>
        <v>463.996</v>
      </c>
      <c r="G8218" s="16" t="n">
        <f aca="false">G8214-G8217</f>
        <v>518.82154744</v>
      </c>
      <c r="H8218" s="16" t="n">
        <f aca="false">H8214-H8217</f>
        <v>539.6742833632</v>
      </c>
      <c r="I8218" s="16" t="n">
        <f aca="false">I8214-I8217</f>
        <v>120.430022671888</v>
      </c>
      <c r="J8218" s="16" t="n">
        <f aca="false">J8214-J8217</f>
        <v>123.071896868977</v>
      </c>
      <c r="K8218" s="16" t="n">
        <f aca="false">K8214-K8217</f>
        <v>118.677412856212</v>
      </c>
    </row>
    <row r="8219" customFormat="false" ht="15" hidden="false" customHeight="false" outlineLevel="0" collapsed="false">
      <c r="A8219" s="3" t="s">
        <v>353</v>
      </c>
      <c r="G8219" s="25" t="n">
        <f aca="false">G8159+G8172+G8185</f>
        <v>0</v>
      </c>
      <c r="H8219" s="25" t="n">
        <f aca="false">H8159+H8172+H8185</f>
        <v>0</v>
      </c>
      <c r="I8219" s="25" t="n">
        <f aca="false">I8159+I8172+I8185</f>
        <v>0</v>
      </c>
      <c r="J8219" s="25" t="n">
        <f aca="false">J8159+J8172+J8185</f>
        <v>0</v>
      </c>
      <c r="K8219" s="25" t="n">
        <f aca="false">K8159+K8172+K8185</f>
        <v>0</v>
      </c>
    </row>
    <row r="8220" customFormat="false" ht="15" hidden="false" customHeight="false" outlineLevel="0" collapsed="false">
      <c r="A8220" s="3" t="s">
        <v>354</v>
      </c>
      <c r="G8220" s="20" t="n">
        <f aca="false">IF(OR(G8215&gt;0.001,G8219&gt;0.001),1,0)</f>
        <v>0</v>
      </c>
      <c r="H8220" s="20" t="n">
        <f aca="false">IF(OR(H8215&gt;0.001,H8219&gt;0.001),1,0)</f>
        <v>0</v>
      </c>
      <c r="I8220" s="20" t="n">
        <f aca="false">IF(OR(I8215&gt;0.001,I8219&gt;0.001),1,0)</f>
        <v>0</v>
      </c>
      <c r="J8220" s="20" t="n">
        <f aca="false">IF(OR(J8215&gt;0.001,J8219&gt;0.001),1,0)</f>
        <v>0</v>
      </c>
      <c r="K8220" s="20" t="n">
        <f aca="false">IF(OR(K8215&gt;0.001,K8219&gt;0.001),1,0)</f>
        <v>0</v>
      </c>
    </row>
    <row r="8221" customFormat="false" ht="15" hidden="false" customHeight="false" outlineLevel="0" collapsed="false">
      <c r="A8221" s="3" t="s">
        <v>355</v>
      </c>
      <c r="G8221" s="20" t="n">
        <f aca="false">IF(G8220=1,1,0)</f>
        <v>0</v>
      </c>
      <c r="H8221" s="20" t="n">
        <f aca="false">IF(AND(H8220=1,SUM($G$8220:G8220)=0),1,0)</f>
        <v>0</v>
      </c>
      <c r="I8221" s="20" t="n">
        <f aca="false">IF(AND(I8220=1,SUM($G$8220:H8220)=0),1,0)</f>
        <v>0</v>
      </c>
      <c r="J8221" s="20" t="n">
        <f aca="false">IF(AND(J8220=1,SUM($G$8220:I8220)=0),1,0)</f>
        <v>0</v>
      </c>
      <c r="K8221" s="20" t="n">
        <f aca="false">IF(AND(K8220=1,SUM($G$8220:J8220)=0),1,0)</f>
        <v>0</v>
      </c>
    </row>
    <row r="8222" customFormat="false" ht="15" hidden="false" customHeight="false" outlineLevel="0" collapsed="false">
      <c r="A8222" s="3" t="s">
        <v>356</v>
      </c>
      <c r="G8222" s="25" t="n">
        <f aca="false">(G8188-F8188)-(G8211+G8128-G8209-G8213-G8217)</f>
        <v>0</v>
      </c>
      <c r="H8222" s="25" t="n">
        <f aca="false">(H8188-G8188)-(H8211+H8128-H8209-H8213-H8217)</f>
        <v>0</v>
      </c>
      <c r="I8222" s="25" t="n">
        <f aca="false">(I8188-H8188)-(I8211+I8128-I8209-I8213-I8217)</f>
        <v>0</v>
      </c>
      <c r="J8222" s="25" t="n">
        <f aca="false">(J8188-I8188)-(J8211+J8128-J8209-J8213-J8217)</f>
        <v>0</v>
      </c>
      <c r="K8222" s="25" t="n">
        <f aca="false">(K8188-J8188)-(K8211+K8128-K8209-K8213-K8217)</f>
        <v>0</v>
      </c>
    </row>
    <row r="8224" customFormat="false" ht="15" hidden="false" customHeight="false" outlineLevel="0" collapsed="false">
      <c r="A8224" s="23" t="s">
        <v>358</v>
      </c>
      <c r="B8224" s="24"/>
      <c r="C8224" s="24"/>
      <c r="D8224" s="24"/>
      <c r="E8224" s="24"/>
      <c r="F8224" s="24"/>
      <c r="G8224" s="24"/>
      <c r="H8224" s="24"/>
      <c r="I8224" s="24"/>
      <c r="J8224" s="24"/>
      <c r="K8224" s="24"/>
    </row>
    <row r="8225" customFormat="false" ht="15" hidden="false" customHeight="false" outlineLevel="0" collapsed="false">
      <c r="A8225" s="3" t="s">
        <v>359</v>
      </c>
      <c r="G8225" s="25" t="n">
        <f aca="false">G8188</f>
        <v>1735.554</v>
      </c>
      <c r="H8225" s="25" t="n">
        <f aca="false">H8188</f>
        <v>1735.554</v>
      </c>
      <c r="I8225" s="25" t="n">
        <f aca="false">I8188</f>
        <v>1315.098</v>
      </c>
      <c r="J8225" s="25" t="n">
        <f aca="false">J8188</f>
        <v>1315.098</v>
      </c>
      <c r="K8225" s="25" t="n">
        <f aca="false">K8188</f>
        <v>1315.098</v>
      </c>
    </row>
    <row r="8226" customFormat="false" ht="15" hidden="false" customHeight="false" outlineLevel="0" collapsed="false">
      <c r="A8226" s="3" t="s">
        <v>360</v>
      </c>
      <c r="G8226" s="25" t="n">
        <f aca="false">Assumptions!$O$56*G8160+Assumptions!$O$57*G8173+Assumptions!$O$58*G8186</f>
        <v>1315.098</v>
      </c>
      <c r="H8226" s="25" t="n">
        <f aca="false">Assumptions!$O$56*H8160+Assumptions!$O$57*H8173+Assumptions!$O$58*H8186</f>
        <v>1315.098</v>
      </c>
      <c r="I8226" s="25" t="n">
        <f aca="false">Assumptions!$O$56*I8160+Assumptions!$O$57*I8173+Assumptions!$O$58*I8186</f>
        <v>1315.098</v>
      </c>
      <c r="J8226" s="25" t="n">
        <f aca="false">Assumptions!$O$56*J8160+Assumptions!$O$57*J8173+Assumptions!$O$58*J8186</f>
        <v>1315.098</v>
      </c>
      <c r="K8226" s="25" t="n">
        <f aca="false">Assumptions!$O$56*K8160+Assumptions!$O$57*K8173+Assumptions!$O$58*K8186</f>
        <v>1315.098</v>
      </c>
    </row>
    <row r="8227" customFormat="false" ht="15" hidden="false" customHeight="false" outlineLevel="0" collapsed="false">
      <c r="A8227" s="3" t="s">
        <v>361</v>
      </c>
      <c r="G8227" s="25" t="n">
        <f aca="false">G8225-G8218</f>
        <v>1216.73245256</v>
      </c>
      <c r="H8227" s="25" t="n">
        <f aca="false">H8225-H8218</f>
        <v>1195.8797166368</v>
      </c>
      <c r="I8227" s="25" t="n">
        <f aca="false">I8225-I8218</f>
        <v>1194.66797732811</v>
      </c>
      <c r="J8227" s="25" t="n">
        <f aca="false">J8225-J8218</f>
        <v>1192.02610313102</v>
      </c>
      <c r="K8227" s="25" t="n">
        <f aca="false">K8225-K8218</f>
        <v>1196.42058714379</v>
      </c>
    </row>
    <row r="8228" customFormat="false" ht="15" hidden="false" customHeight="false" outlineLevel="0" collapsed="false">
      <c r="A8228" s="3" t="s">
        <v>362</v>
      </c>
      <c r="G8228" s="32" t="n">
        <f aca="false">IF(G8123&gt;0,G8225/G8123,0)</f>
        <v>6.99885842190068</v>
      </c>
      <c r="H8228" s="32" t="n">
        <f aca="false">IF(H8123&gt;0,H8225/H8123,0)</f>
        <v>8.20980460047</v>
      </c>
      <c r="I8228" s="32" t="n">
        <f aca="false">IF(I8123&gt;0,I8225/I8123,0)</f>
        <v>6.93311397368161</v>
      </c>
      <c r="J8228" s="32" t="n">
        <f aca="false">IF(J8123&gt;0,J8225/J8123,0)</f>
        <v>7.66291544459547</v>
      </c>
      <c r="K8228" s="32" t="n">
        <f aca="false">IF(K8123&gt;0,K8225/K8123,0)</f>
        <v>8.0662267837847</v>
      </c>
    </row>
    <row r="8229" customFormat="false" ht="15" hidden="false" customHeight="false" outlineLevel="0" collapsed="false">
      <c r="A8229" s="3" t="s">
        <v>363</v>
      </c>
      <c r="G8229" s="32" t="n">
        <f aca="false">IF(G8123&gt;0,G8227/G8123,0)</f>
        <v>4.9066397085884</v>
      </c>
      <c r="H8229" s="32" t="n">
        <f aca="false">IF(H8123&gt;0,H8227/H8123,0)</f>
        <v>5.65694804036842</v>
      </c>
      <c r="I8229" s="32" t="n">
        <f aca="false">IF(I8123&gt;0,I8227/I8123,0)</f>
        <v>6.29821446578391</v>
      </c>
      <c r="J8229" s="32" t="n">
        <f aca="false">IF(J8123&gt;0,J8227/J8123,0)</f>
        <v>6.94579053123316</v>
      </c>
      <c r="K8229" s="32" t="n">
        <f aca="false">IF(K8123&gt;0,K8227/K8123,0)</f>
        <v>7.33831226622703</v>
      </c>
    </row>
    <row r="8230" customFormat="false" ht="15" hidden="false" customHeight="false" outlineLevel="0" collapsed="false">
      <c r="A8230" s="3" t="s">
        <v>364</v>
      </c>
      <c r="G8230" s="32" t="n">
        <f aca="false">IF(G8127&gt;0,G8123/G8127,0)</f>
        <v>1.59005643370602</v>
      </c>
      <c r="H8230" s="32" t="n">
        <f aca="false">IF(H8127&gt;0,H8123/H8127,0)</f>
        <v>1.35552310973439</v>
      </c>
      <c r="I8230" s="32" t="n">
        <f aca="false">IF(I8127&gt;0,I8123/I8127,0)</f>
        <v>1.21627391755258</v>
      </c>
      <c r="J8230" s="32" t="n">
        <f aca="false">IF(J8127&gt;0,J8123/J8127,0)</f>
        <v>1.24284413584734</v>
      </c>
      <c r="K8230" s="32" t="n">
        <f aca="false">IF(K8127&gt;0,K8123/K8127,0)</f>
        <v>1.18070192905498</v>
      </c>
    </row>
    <row r="8231" customFormat="false" ht="15" hidden="false" customHeight="false" outlineLevel="0" collapsed="false">
      <c r="A8231" s="3" t="s">
        <v>365</v>
      </c>
      <c r="G8231" s="32" t="n">
        <f aca="false">IF(G8127&gt;0,G8126/G8127,0)</f>
        <v>0.943202831951104</v>
      </c>
      <c r="H8231" s="32" t="n">
        <f aca="false">IF(H8127&gt;0,H8126/H8127,0)</f>
        <v>0.75394926010231</v>
      </c>
      <c r="I8231" s="32" t="n">
        <f aca="false">IF(I8127&gt;0,I8126/I8127,0)</f>
        <v>0.65079449889843</v>
      </c>
      <c r="J8231" s="32" t="n">
        <f aca="false">IF(J8127&gt;0,J8126/J8127,0)</f>
        <v>0.636119854632452</v>
      </c>
      <c r="K8231" s="32" t="n">
        <f aca="false">IF(K8127&gt;0,K8126/K8127,0)</f>
        <v>0.604313861900829</v>
      </c>
    </row>
    <row r="8232" customFormat="false" ht="15" hidden="false" customHeight="false" outlineLevel="0" collapsed="false">
      <c r="A8232" s="3" t="s">
        <v>198</v>
      </c>
      <c r="G8232" s="21" t="n">
        <f aca="false">IF(G8225&gt;0,G8136/G8225,0)</f>
        <v>0.0315896523185104</v>
      </c>
      <c r="H8232" s="21" t="n">
        <f aca="false">IF(H8225&gt;0,H8136/H8225,0)</f>
        <v>0.0120150314673009</v>
      </c>
      <c r="I8232" s="21" t="n">
        <f aca="false">IF(I8225&gt;0,I8136/I8225,0)</f>
        <v>0.000921406091932281</v>
      </c>
      <c r="J8232" s="21" t="n">
        <f aca="false">IF(J8225&gt;0,J8136/J8225,0)</f>
        <v>0.00200888009645638</v>
      </c>
      <c r="K8232" s="21" t="n">
        <f aca="false">IF(K8225&gt;0,K8136/K8225,0)</f>
        <v>-0.00334156390836645</v>
      </c>
    </row>
    <row r="8233" customFormat="false" ht="15" hidden="false" customHeight="false" outlineLevel="0" collapsed="false">
      <c r="A8233" s="3" t="s">
        <v>366</v>
      </c>
      <c r="G8233" s="32" t="n">
        <f aca="false">IF(G8127+G8209&gt;0,(G8123-G8134-G8131)/(G8127+G8209),0)</f>
        <v>1.41780032005454</v>
      </c>
      <c r="H8233" s="32" t="n">
        <f aca="false">IF(H8127+H8209&gt;0,(H8123-H8134-H8131)/(H8127+H8209),0)</f>
        <v>1.1953249240385</v>
      </c>
      <c r="I8233" s="32" t="n">
        <f aca="false">IF(I8127+I8209&gt;0,(I8123-I8134-I8131)/(I8127+I8209),0)</f>
        <v>1.06568762299845</v>
      </c>
      <c r="J8233" s="32" t="n">
        <f aca="false">IF(J8127+J8209&gt;0,(J8123-J8134-J8131)/(J8127+J8209),0)</f>
        <v>1.08127439818719</v>
      </c>
      <c r="K8233" s="32" t="n">
        <f aca="false">IF(K8127+K8209&gt;0,(K8123-K8134-K8131)/(K8127+K8209),0)</f>
        <v>1.02721067827783</v>
      </c>
    </row>
    <row r="8234" customFormat="false" ht="15" hidden="false" customHeight="false" outlineLevel="0" collapsed="false">
      <c r="A8234" s="3" t="s">
        <v>367</v>
      </c>
      <c r="G8234" s="25" t="n">
        <f aca="false">MAX(0,G8218)+Assumptions!$P$56*MAX(0,Assumptions!$D$56-G8160)+Assumptions!$P$57*MAX(0,Assumptions!$D$57-G8173)+Assumptions!$P$58*MAX(0,Assumptions!$D$58-G8186)</f>
        <v>518.82154744</v>
      </c>
      <c r="H8234" s="25" t="n">
        <f aca="false">MAX(0,H8218)+Assumptions!$P$56*MAX(0,Assumptions!$D$56-H8160)+Assumptions!$P$57*MAX(0,Assumptions!$D$57-H8173)+Assumptions!$P$58*MAX(0,Assumptions!$D$58-H8186)</f>
        <v>539.6742833632</v>
      </c>
      <c r="I8234" s="25" t="n">
        <f aca="false">MAX(0,I8218)+Assumptions!$P$56*MAX(0,Assumptions!$D$56-I8160)+Assumptions!$P$57*MAX(0,Assumptions!$D$57-I8173)+Assumptions!$P$58*MAX(0,Assumptions!$D$58-I8186)</f>
        <v>120.430022671888</v>
      </c>
      <c r="J8234" s="25" t="n">
        <f aca="false">MAX(0,J8218)+Assumptions!$P$56*MAX(0,Assumptions!$D$56-J8160)+Assumptions!$P$57*MAX(0,Assumptions!$D$57-J8173)+Assumptions!$P$58*MAX(0,Assumptions!$D$58-J8186)</f>
        <v>123.071896868977</v>
      </c>
      <c r="K8234" s="25" t="n">
        <f aca="false">MAX(0,K8218)+Assumptions!$P$56*MAX(0,Assumptions!$D$56-K8160)+Assumptions!$P$57*MAX(0,Assumptions!$D$57-K8173)+Assumptions!$P$58*MAX(0,Assumptions!$D$58-K8186)</f>
        <v>118.677412856212</v>
      </c>
    </row>
    <row r="8235" customFormat="false" ht="15" hidden="false" customHeight="false" outlineLevel="0" collapsed="false">
      <c r="A8235" s="3" t="s">
        <v>368</v>
      </c>
      <c r="G8235" s="21" t="n">
        <f aca="false">IF(G8225&gt;0,G8225/(G8225+MAX(0,G8123*CHOOSE($C$8106,Assumptions!$C$82,Assumptions!$C$101,Assumptions!$C$120)-G8227)),0)</f>
        <v>0.986836236277321</v>
      </c>
      <c r="H8235" s="21" t="n">
        <f aca="false">IF(H8225&gt;0,H8225/(H8225+MAX(0,H8123*CHOOSE($C$8106,Assumptions!$C$82,Assumptions!$C$101,Assumptions!$C$120)-H8227)),0)</f>
        <v>1</v>
      </c>
      <c r="I8235" s="21" t="n">
        <f aca="false">IF(I8225&gt;0,I8225/(I8225+MAX(0,I8123*CHOOSE($C$8106,Assumptions!$C$82,Assumptions!$C$101,Assumptions!$C$120)-I8227)),0)</f>
        <v>1</v>
      </c>
      <c r="J8235" s="21" t="n">
        <f aca="false">IF(J8225&gt;0,J8225/(J8225+MAX(0,J8123*CHOOSE($C$8106,Assumptions!$C$82,Assumptions!$C$101,Assumptions!$C$120)-J8227)),0)</f>
        <v>1</v>
      </c>
      <c r="K8235" s="21" t="n">
        <f aca="false">IF(K8225&gt;0,K8225/(K8225+MAX(0,K8123*CHOOSE($C$8106,Assumptions!$C$82,Assumptions!$C$101,Assumptions!$C$120)-K8227)),0)</f>
        <v>1</v>
      </c>
    </row>
    <row r="8236" customFormat="false" ht="15" hidden="false" customHeight="false" outlineLevel="0" collapsed="false">
      <c r="A8236" s="3" t="s">
        <v>369</v>
      </c>
      <c r="G8236" s="21" t="n">
        <f aca="false">IF(G8225&gt;0,MAX(0,G8218)/G8225,0)</f>
        <v>0.298937139057615</v>
      </c>
      <c r="H8236" s="21" t="n">
        <f aca="false">IF(H8225&gt;0,MAX(0,H8218)/H8225,0)</f>
        <v>0.310952170524916</v>
      </c>
      <c r="I8236" s="21" t="n">
        <f aca="false">IF(I8225&gt;0,MAX(0,I8218)/I8225,0)</f>
        <v>0.0915749416939937</v>
      </c>
      <c r="J8236" s="21" t="n">
        <f aca="false">IF(J8225&gt;0,MAX(0,J8218)/J8225,0)</f>
        <v>0.0935838217904501</v>
      </c>
      <c r="K8236" s="21" t="n">
        <f aca="false">IF(K8225&gt;0,MAX(0,K8218)/K8225,0)</f>
        <v>0.0902422578820836</v>
      </c>
    </row>
    <row r="8237" customFormat="false" ht="15" hidden="false" customHeight="false" outlineLevel="0" collapsed="false">
      <c r="A8237" s="3" t="s">
        <v>370</v>
      </c>
      <c r="G8237" s="25" t="n">
        <f aca="false">Assumptions!$C$30*(1-CHOOSE($C$8106,Assumptions!$C$85,Assumptions!$C$104,Assumptions!$C$123))</f>
        <v>2086.72535</v>
      </c>
      <c r="H8237" s="25" t="n">
        <f aca="false">Assumptions!$C$30*(1-CHOOSE($C$8106,Assumptions!$C$85,Assumptions!$C$104,Assumptions!$C$123))</f>
        <v>2086.72535</v>
      </c>
      <c r="I8237" s="25" t="n">
        <f aca="false">Assumptions!$C$30*(1-CHOOSE($C$8106,Assumptions!$C$85,Assumptions!$C$104,Assumptions!$C$123))</f>
        <v>2086.72535</v>
      </c>
      <c r="J8237" s="25" t="n">
        <f aca="false">Assumptions!$C$30*(1-CHOOSE($C$8106,Assumptions!$C$85,Assumptions!$C$104,Assumptions!$C$123))</f>
        <v>2086.72535</v>
      </c>
      <c r="K8237" s="25" t="n">
        <f aca="false">Assumptions!$C$30*(1-CHOOSE($C$8106,Assumptions!$C$85,Assumptions!$C$104,Assumptions!$C$123))</f>
        <v>2086.72535</v>
      </c>
    </row>
    <row r="8238" customFormat="false" ht="15" hidden="false" customHeight="false" outlineLevel="0" collapsed="false">
      <c r="A8238" s="23" t="s">
        <v>371</v>
      </c>
      <c r="B8238" s="24"/>
      <c r="C8238" s="24"/>
      <c r="D8238" s="24"/>
      <c r="E8238" s="24"/>
      <c r="F8238" s="24"/>
      <c r="G8238" s="24"/>
      <c r="H8238" s="24"/>
      <c r="I8238" s="24"/>
      <c r="J8238" s="24"/>
      <c r="K8238" s="24"/>
    </row>
    <row r="8239" customFormat="false" ht="15" hidden="false" customHeight="false" outlineLevel="0" collapsed="false">
      <c r="A8239" s="23" t="s">
        <v>372</v>
      </c>
      <c r="B8239" s="24"/>
      <c r="C8239" s="24"/>
      <c r="D8239" s="24"/>
      <c r="E8239" s="24"/>
      <c r="F8239" s="24"/>
      <c r="G8239" s="24"/>
      <c r="H8239" s="24"/>
      <c r="I8239" s="24"/>
      <c r="J8239" s="24"/>
      <c r="K8239" s="24"/>
    </row>
    <row r="8240" customFormat="false" ht="15" hidden="false" customHeight="false" outlineLevel="0" collapsed="false">
      <c r="A8240" s="3" t="s">
        <v>373</v>
      </c>
      <c r="G8240" s="32" t="n">
        <f aca="false">IF(G8123&gt;0,G8227/G8123,99)</f>
        <v>4.9066397085884</v>
      </c>
      <c r="H8240" s="32" t="n">
        <f aca="false">IF(H8123&gt;0,H8227/H8123,99)</f>
        <v>5.65694804036842</v>
      </c>
      <c r="I8240" s="32" t="n">
        <f aca="false">IF(I8123&gt;0,I8227/I8123,99)</f>
        <v>6.29821446578391</v>
      </c>
      <c r="J8240" s="32" t="n">
        <f aca="false">IF(J8123&gt;0,J8227/J8123,99)</f>
        <v>6.94579053123316</v>
      </c>
      <c r="K8240" s="32" t="n">
        <f aca="false">IF(K8123&gt;0,K8227/K8123,99)</f>
        <v>7.33831226622703</v>
      </c>
    </row>
    <row r="8241" customFormat="false" ht="15" hidden="false" customHeight="false" outlineLevel="0" collapsed="false">
      <c r="A8241" s="3" t="s">
        <v>374</v>
      </c>
      <c r="G8241" s="33" t="n">
        <f aca="false">Assumptions!$G$65</f>
        <v>5.25</v>
      </c>
      <c r="H8241" s="33" t="n">
        <f aca="false">Assumptions!$H$65</f>
        <v>5.25</v>
      </c>
      <c r="I8241" s="33" t="n">
        <f aca="false">Assumptions!$I$65</f>
        <v>5</v>
      </c>
      <c r="J8241" s="33" t="n">
        <f aca="false">Assumptions!$J$65</f>
        <v>5</v>
      </c>
      <c r="K8241" s="33" t="n">
        <f aca="false">Assumptions!$K$65</f>
        <v>5</v>
      </c>
    </row>
    <row r="8242" customFormat="false" ht="15" hidden="false" customHeight="false" outlineLevel="0" collapsed="false">
      <c r="A8242" s="3" t="s">
        <v>375</v>
      </c>
      <c r="G8242" s="32" t="n">
        <f aca="false">G8241-G8240</f>
        <v>0.343360291411604</v>
      </c>
      <c r="H8242" s="32" t="n">
        <f aca="false">H8241-H8240</f>
        <v>-0.406948040368418</v>
      </c>
      <c r="I8242" s="32" t="n">
        <f aca="false">I8241-I8240</f>
        <v>-1.29821446578391</v>
      </c>
      <c r="J8242" s="32" t="n">
        <f aca="false">J8241-J8240</f>
        <v>-1.94579053123316</v>
      </c>
      <c r="K8242" s="32" t="n">
        <f aca="false">K8241-K8240</f>
        <v>-2.33831226622703</v>
      </c>
    </row>
    <row r="8243" customFormat="false" ht="15" hidden="false" customHeight="false" outlineLevel="0" collapsed="false">
      <c r="A8243" s="3" t="s">
        <v>376</v>
      </c>
      <c r="G8243" s="21" t="n">
        <f aca="false">IF(G8241=0,0,G8242/ABS(G8241))</f>
        <v>0.0654019602688769</v>
      </c>
      <c r="H8243" s="21" t="n">
        <f aca="false">IF(H8241=0,0,H8242/ABS(H8241))</f>
        <v>-0.0775139124511272</v>
      </c>
      <c r="I8243" s="21" t="n">
        <f aca="false">IF(I8241=0,0,I8242/ABS(I8241))</f>
        <v>-0.259642893156781</v>
      </c>
      <c r="J8243" s="21" t="n">
        <f aca="false">IF(J8241=0,0,J8242/ABS(J8241))</f>
        <v>-0.389158106246632</v>
      </c>
      <c r="K8243" s="21" t="n">
        <f aca="false">IF(K8241=0,0,K8242/ABS(K8241))</f>
        <v>-0.467662453245407</v>
      </c>
    </row>
    <row r="8244" customFormat="false" ht="15" hidden="false" customHeight="false" outlineLevel="0" collapsed="false">
      <c r="A8244" s="3" t="s">
        <v>377</v>
      </c>
      <c r="G8244" s="20" t="n">
        <f aca="false">IF(G8242&lt;0,1,0)</f>
        <v>0</v>
      </c>
      <c r="H8244" s="20" t="n">
        <f aca="false">IF(H8242&lt;0,1,0)</f>
        <v>1</v>
      </c>
      <c r="I8244" s="20" t="n">
        <f aca="false">IF(I8242&lt;0,1,0)</f>
        <v>1</v>
      </c>
      <c r="J8244" s="20" t="n">
        <f aca="false">IF(J8242&lt;0,1,0)</f>
        <v>1</v>
      </c>
      <c r="K8244" s="20" t="n">
        <f aca="false">IF(K8242&lt;0,1,0)</f>
        <v>1</v>
      </c>
    </row>
    <row r="8245" customFormat="false" ht="15" hidden="false" customHeight="false" outlineLevel="0" collapsed="false">
      <c r="A8245" s="3" t="s">
        <v>378</v>
      </c>
      <c r="C8245" s="20" t="n">
        <f aca="false">IFERROR(INDEX($G$8113:$K$8113,MATCH(1,$G$8244:$K$8244,0)),0)</f>
        <v>2028</v>
      </c>
    </row>
    <row r="8246" customFormat="false" ht="15" hidden="false" customHeight="false" outlineLevel="0" collapsed="false">
      <c r="A8246" s="3" t="s">
        <v>379</v>
      </c>
      <c r="C8246" s="21" t="n">
        <f aca="false">MIN($G$8243:$K$8243)</f>
        <v>-0.467662453245407</v>
      </c>
    </row>
    <row r="8247" customFormat="false" ht="15" hidden="false" customHeight="false" outlineLevel="0" collapsed="false">
      <c r="A8247" s="23" t="s">
        <v>380</v>
      </c>
      <c r="B8247" s="24"/>
      <c r="C8247" s="24"/>
      <c r="D8247" s="24"/>
      <c r="E8247" s="24"/>
      <c r="F8247" s="24"/>
      <c r="G8247" s="24"/>
      <c r="H8247" s="24"/>
      <c r="I8247" s="24"/>
      <c r="J8247" s="24"/>
      <c r="K8247" s="24"/>
    </row>
    <row r="8248" customFormat="false" ht="15" hidden="false" customHeight="false" outlineLevel="0" collapsed="false">
      <c r="A8248" s="3" t="s">
        <v>373</v>
      </c>
      <c r="G8248" s="32" t="n">
        <f aca="false">IF(G8127&gt;0,G8123/G8127,99)</f>
        <v>1.59005643370602</v>
      </c>
      <c r="H8248" s="32" t="n">
        <f aca="false">IF(H8127&gt;0,H8123/H8127,99)</f>
        <v>1.35552310973439</v>
      </c>
      <c r="I8248" s="32" t="n">
        <f aca="false">IF(I8127&gt;0,I8123/I8127,99)</f>
        <v>1.21627391755258</v>
      </c>
      <c r="J8248" s="32" t="n">
        <f aca="false">IF(J8127&gt;0,J8123/J8127,99)</f>
        <v>1.24284413584734</v>
      </c>
      <c r="K8248" s="32" t="n">
        <f aca="false">IF(K8127&gt;0,K8123/K8127,99)</f>
        <v>1.18070192905498</v>
      </c>
    </row>
    <row r="8249" customFormat="false" ht="15" hidden="false" customHeight="false" outlineLevel="0" collapsed="false">
      <c r="A8249" s="3" t="s">
        <v>374</v>
      </c>
      <c r="G8249" s="33" t="n">
        <f aca="false">Assumptions!$G$66</f>
        <v>1.4</v>
      </c>
      <c r="H8249" s="33" t="n">
        <f aca="false">Assumptions!$H$66</f>
        <v>1.4</v>
      </c>
      <c r="I8249" s="33" t="n">
        <f aca="false">Assumptions!$I$66</f>
        <v>1.4</v>
      </c>
      <c r="J8249" s="33" t="n">
        <f aca="false">Assumptions!$J$66</f>
        <v>1.5</v>
      </c>
      <c r="K8249" s="33" t="n">
        <f aca="false">Assumptions!$K$66</f>
        <v>1.5</v>
      </c>
    </row>
    <row r="8250" customFormat="false" ht="15" hidden="false" customHeight="false" outlineLevel="0" collapsed="false">
      <c r="A8250" s="3" t="s">
        <v>375</v>
      </c>
      <c r="G8250" s="32" t="n">
        <f aca="false">G8248-G8249</f>
        <v>0.190056433706025</v>
      </c>
      <c r="H8250" s="32" t="n">
        <f aca="false">H8248-H8249</f>
        <v>-0.0444768902656139</v>
      </c>
      <c r="I8250" s="32" t="n">
        <f aca="false">I8248-I8249</f>
        <v>-0.183726082447419</v>
      </c>
      <c r="J8250" s="32" t="n">
        <f aca="false">J8248-J8249</f>
        <v>-0.257155864152655</v>
      </c>
      <c r="K8250" s="32" t="n">
        <f aca="false">K8248-K8249</f>
        <v>-0.319298070945023</v>
      </c>
    </row>
    <row r="8251" customFormat="false" ht="15" hidden="false" customHeight="false" outlineLevel="0" collapsed="false">
      <c r="A8251" s="3" t="s">
        <v>376</v>
      </c>
      <c r="G8251" s="21" t="n">
        <f aca="false">IF(G8249=0,0,G8250/ABS(G8249))</f>
        <v>0.135754595504304</v>
      </c>
      <c r="H8251" s="21" t="n">
        <f aca="false">IF(H8249=0,0,H8250/ABS(H8249))</f>
        <v>-0.0317692073325813</v>
      </c>
      <c r="I8251" s="21" t="n">
        <f aca="false">IF(I8249=0,0,I8250/ABS(I8249))</f>
        <v>-0.131232916033871</v>
      </c>
      <c r="J8251" s="21" t="n">
        <f aca="false">IF(J8249=0,0,J8250/ABS(J8249))</f>
        <v>-0.171437242768437</v>
      </c>
      <c r="K8251" s="21" t="n">
        <f aca="false">IF(K8249=0,0,K8250/ABS(K8249))</f>
        <v>-0.212865380630015</v>
      </c>
    </row>
    <row r="8252" customFormat="false" ht="15" hidden="false" customHeight="false" outlineLevel="0" collapsed="false">
      <c r="A8252" s="3" t="s">
        <v>377</v>
      </c>
      <c r="G8252" s="20" t="n">
        <f aca="false">IF(G8250&lt;0,1,0)</f>
        <v>0</v>
      </c>
      <c r="H8252" s="20" t="n">
        <f aca="false">IF(H8250&lt;0,1,0)</f>
        <v>1</v>
      </c>
      <c r="I8252" s="20" t="n">
        <f aca="false">IF(I8250&lt;0,1,0)</f>
        <v>1</v>
      </c>
      <c r="J8252" s="20" t="n">
        <f aca="false">IF(J8250&lt;0,1,0)</f>
        <v>1</v>
      </c>
      <c r="K8252" s="20" t="n">
        <f aca="false">IF(K8250&lt;0,1,0)</f>
        <v>1</v>
      </c>
    </row>
    <row r="8253" customFormat="false" ht="15" hidden="false" customHeight="false" outlineLevel="0" collapsed="false">
      <c r="A8253" s="3" t="s">
        <v>378</v>
      </c>
      <c r="C8253" s="20" t="n">
        <f aca="false">IFERROR(INDEX($G$8113:$K$8113,MATCH(1,$G$8252:$K$8252,0)),0)</f>
        <v>2028</v>
      </c>
    </row>
    <row r="8254" customFormat="false" ht="15" hidden="false" customHeight="false" outlineLevel="0" collapsed="false">
      <c r="A8254" s="3" t="s">
        <v>379</v>
      </c>
      <c r="C8254" s="21" t="n">
        <f aca="false">MIN($G$8251:$K$8251)</f>
        <v>-0.212865380630015</v>
      </c>
    </row>
    <row r="8255" customFormat="false" ht="15" hidden="false" customHeight="false" outlineLevel="0" collapsed="false">
      <c r="A8255" s="23" t="s">
        <v>381</v>
      </c>
      <c r="B8255" s="24"/>
      <c r="C8255" s="24"/>
      <c r="D8255" s="24"/>
      <c r="E8255" s="24"/>
      <c r="F8255" s="24"/>
      <c r="G8255" s="24"/>
      <c r="H8255" s="24"/>
      <c r="I8255" s="24"/>
      <c r="J8255" s="24"/>
      <c r="K8255" s="24"/>
    </row>
    <row r="8256" customFormat="false" ht="15" hidden="false" customHeight="false" outlineLevel="0" collapsed="false">
      <c r="A8256" s="3" t="s">
        <v>373</v>
      </c>
      <c r="G8256" s="25" t="n">
        <f aca="false">G8234</f>
        <v>518.82154744</v>
      </c>
      <c r="H8256" s="25" t="n">
        <f aca="false">H8234</f>
        <v>539.6742833632</v>
      </c>
      <c r="I8256" s="25" t="n">
        <f aca="false">I8234</f>
        <v>120.430022671888</v>
      </c>
      <c r="J8256" s="25" t="n">
        <f aca="false">J8234</f>
        <v>123.071896868977</v>
      </c>
      <c r="K8256" s="25" t="n">
        <f aca="false">K8234</f>
        <v>118.677412856212</v>
      </c>
    </row>
    <row r="8257" customFormat="false" ht="15" hidden="false" customHeight="false" outlineLevel="0" collapsed="false">
      <c r="A8257" s="3" t="s">
        <v>374</v>
      </c>
      <c r="G8257" s="29" t="n">
        <f aca="false">Assumptions!$G$67</f>
        <v>200</v>
      </c>
      <c r="H8257" s="29" t="n">
        <f aca="false">Assumptions!$H$67</f>
        <v>200</v>
      </c>
      <c r="I8257" s="29" t="n">
        <f aca="false">Assumptions!$I$67</f>
        <v>200</v>
      </c>
      <c r="J8257" s="29" t="n">
        <f aca="false">Assumptions!$J$67</f>
        <v>200</v>
      </c>
      <c r="K8257" s="29" t="n">
        <f aca="false">Assumptions!$K$67</f>
        <v>200</v>
      </c>
    </row>
    <row r="8258" customFormat="false" ht="15" hidden="false" customHeight="false" outlineLevel="0" collapsed="false">
      <c r="A8258" s="3" t="s">
        <v>375</v>
      </c>
      <c r="G8258" s="25" t="n">
        <f aca="false">G8256-G8257</f>
        <v>318.82154744</v>
      </c>
      <c r="H8258" s="25" t="n">
        <f aca="false">H8256-H8257</f>
        <v>339.6742833632</v>
      </c>
      <c r="I8258" s="25" t="n">
        <f aca="false">I8256-I8257</f>
        <v>-79.5699773281123</v>
      </c>
      <c r="J8258" s="25" t="n">
        <f aca="false">J8256-J8257</f>
        <v>-76.9281031310227</v>
      </c>
      <c r="K8258" s="25" t="n">
        <f aca="false">K8256-K8257</f>
        <v>-81.3225871437876</v>
      </c>
    </row>
    <row r="8259" customFormat="false" ht="15" hidden="false" customHeight="false" outlineLevel="0" collapsed="false">
      <c r="A8259" s="3" t="s">
        <v>376</v>
      </c>
      <c r="G8259" s="21" t="n">
        <f aca="false">IF(G8257=0,0,G8258/ABS(G8257))</f>
        <v>1.5941077372</v>
      </c>
      <c r="H8259" s="21" t="n">
        <f aca="false">IF(H8257=0,0,H8258/ABS(H8257))</f>
        <v>1.698371416816</v>
      </c>
      <c r="I8259" s="21" t="n">
        <f aca="false">IF(I8257=0,0,I8258/ABS(I8257))</f>
        <v>-0.397849886640561</v>
      </c>
      <c r="J8259" s="21" t="n">
        <f aca="false">IF(J8257=0,0,J8258/ABS(J8257))</f>
        <v>-0.384640515655113</v>
      </c>
      <c r="K8259" s="21" t="n">
        <f aca="false">IF(K8257=0,0,K8258/ABS(K8257))</f>
        <v>-0.406612935718938</v>
      </c>
    </row>
    <row r="8260" customFormat="false" ht="15" hidden="false" customHeight="false" outlineLevel="0" collapsed="false">
      <c r="A8260" s="3" t="s">
        <v>377</v>
      </c>
      <c r="G8260" s="20" t="n">
        <f aca="false">IF(G8258&lt;0,1,0)</f>
        <v>0</v>
      </c>
      <c r="H8260" s="20" t="n">
        <f aca="false">IF(H8258&lt;0,1,0)</f>
        <v>0</v>
      </c>
      <c r="I8260" s="20" t="n">
        <f aca="false">IF(I8258&lt;0,1,0)</f>
        <v>1</v>
      </c>
      <c r="J8260" s="20" t="n">
        <f aca="false">IF(J8258&lt;0,1,0)</f>
        <v>1</v>
      </c>
      <c r="K8260" s="20" t="n">
        <f aca="false">IF(K8258&lt;0,1,0)</f>
        <v>1</v>
      </c>
    </row>
    <row r="8261" customFormat="false" ht="15" hidden="false" customHeight="false" outlineLevel="0" collapsed="false">
      <c r="A8261" s="3" t="s">
        <v>378</v>
      </c>
      <c r="C8261" s="20" t="n">
        <f aca="false">IFERROR(INDEX($G$8113:$K$8113,MATCH(1,$G$8260:$K$8260,0)),0)</f>
        <v>2029</v>
      </c>
    </row>
    <row r="8262" customFormat="false" ht="15" hidden="false" customHeight="false" outlineLevel="0" collapsed="false">
      <c r="A8262" s="3" t="s">
        <v>379</v>
      </c>
      <c r="C8262" s="21" t="n">
        <f aca="false">MIN($G$8259:$K$8259)</f>
        <v>-0.406612935718938</v>
      </c>
    </row>
    <row r="8263" customFormat="false" ht="15" hidden="false" customHeight="false" outlineLevel="0" collapsed="false">
      <c r="A8263" s="3" t="s">
        <v>382</v>
      </c>
      <c r="G8263" s="20" t="n">
        <f aca="false">G8244+G8252+G8260</f>
        <v>0</v>
      </c>
      <c r="H8263" s="20" t="n">
        <f aca="false">H8244+H8252+H8260</f>
        <v>2</v>
      </c>
      <c r="I8263" s="20" t="n">
        <f aca="false">I8244+I8252+I8260</f>
        <v>3</v>
      </c>
      <c r="J8263" s="20" t="n">
        <f aca="false">J8244+J8252+J8260</f>
        <v>3</v>
      </c>
      <c r="K8263" s="20" t="n">
        <f aca="false">K8244+K8252+K8260</f>
        <v>3</v>
      </c>
    </row>
    <row r="8264" customFormat="false" ht="15" hidden="false" customHeight="false" outlineLevel="0" collapsed="false">
      <c r="A8264" s="3" t="s">
        <v>383</v>
      </c>
      <c r="C8264" s="20" t="n">
        <f aca="false">SUM($G$8263:$K$8263)</f>
        <v>11</v>
      </c>
    </row>
    <row r="8265" customFormat="false" ht="15" hidden="false" customHeight="false" outlineLevel="0" collapsed="false">
      <c r="A8265" s="3" t="s">
        <v>384</v>
      </c>
      <c r="C8265" s="21" t="n">
        <f aca="false">MIN(C8246,C8254,C8262)</f>
        <v>-0.467662453245407</v>
      </c>
    </row>
    <row r="8267" customFormat="false" ht="15" hidden="false" customHeight="false" outlineLevel="0" collapsed="false">
      <c r="A8267" s="23" t="s">
        <v>486</v>
      </c>
      <c r="B8267" s="24"/>
      <c r="C8267" s="24"/>
      <c r="D8267" s="24"/>
      <c r="E8267" s="24"/>
      <c r="F8267" s="24"/>
      <c r="G8267" s="24"/>
      <c r="H8267" s="24"/>
      <c r="I8267" s="24"/>
      <c r="J8267" s="24"/>
      <c r="K8267" s="24"/>
    </row>
    <row r="8268" customFormat="false" ht="15" hidden="false" customHeight="false" outlineLevel="0" collapsed="false">
      <c r="A8268" s="3" t="s">
        <v>487</v>
      </c>
      <c r="G8268" s="20" t="n">
        <f aca="false">IF($C$8269=1,G8221,IF(G8123=MIN($G$8123:$K$8123),1,0))</f>
        <v>0</v>
      </c>
      <c r="H8268" s="20" t="n">
        <f aca="false">IF($C$8269=1,H8221,IF(AND(H8123=MIN($G$8123:$K$8123),SUM($G$8268:G8268)=0),1,0))</f>
        <v>0</v>
      </c>
      <c r="I8268" s="20" t="n">
        <f aca="false">IF($C$8269=1,I8221,IF(AND(I8123=MIN($G$8123:$K$8123),SUM($G$8268:H8268)=0),1,0))</f>
        <v>0</v>
      </c>
      <c r="J8268" s="20" t="n">
        <f aca="false">IF($C$8269=1,J8221,IF(AND(J8123=MIN($G$8123:$K$8123),SUM($G$8268:I8268)=0),1,0))</f>
        <v>0</v>
      </c>
      <c r="K8268" s="20" t="n">
        <f aca="false">IF($C$8269=1,K8221,IF(AND(K8123=MIN($G$8123:$K$8123),SUM($G$8268:J8268)=0),1,0))</f>
        <v>1</v>
      </c>
    </row>
    <row r="8269" customFormat="false" ht="15" hidden="false" customHeight="false" outlineLevel="0" collapsed="false">
      <c r="A8269" s="3" t="s">
        <v>488</v>
      </c>
      <c r="C8269" s="20" t="n">
        <f aca="false">IF(SUM($G$8221:$K$8221)&gt;0,1,0)</f>
        <v>0</v>
      </c>
    </row>
    <row r="8270" customFormat="false" ht="15" hidden="false" customHeight="false" outlineLevel="0" collapsed="false">
      <c r="A8270" s="3" t="s">
        <v>489</v>
      </c>
      <c r="C8270" s="20" t="n">
        <f aca="false">SUMPRODUCT($G$8268:$K$8268,$G$8113:$K$8113)</f>
        <v>2031</v>
      </c>
    </row>
    <row r="8271" customFormat="false" ht="15" hidden="false" customHeight="false" outlineLevel="0" collapsed="false">
      <c r="A8271" s="3" t="s">
        <v>490</v>
      </c>
      <c r="C8271" s="25" t="n">
        <f aca="false">SUMPRODUCT($G$8268:$K$8268,$G$8123:$K$8123)</f>
        <v>163.037568277116</v>
      </c>
    </row>
    <row r="8272" customFormat="false" ht="15" hidden="false" customHeight="false" outlineLevel="0" collapsed="false">
      <c r="A8272" s="3" t="s">
        <v>491</v>
      </c>
      <c r="C8272" s="25" t="n">
        <f aca="false">MAX(0,SUMPRODUCT($G$8268:$K$8268,$G$8218:$K$8218))</f>
        <v>118.677412856212</v>
      </c>
    </row>
    <row r="8273" customFormat="false" ht="15" hidden="false" customHeight="false" outlineLevel="0" collapsed="false">
      <c r="A8273" s="3" t="s">
        <v>492</v>
      </c>
      <c r="C8273" s="25" t="n">
        <f aca="false">(CHOOSE($C$8106,Assumptions!$C$84,Assumptions!$C$103,Assumptions!$C$122)+$C$8110)*C8271</f>
        <v>733.669057247022</v>
      </c>
    </row>
    <row r="8274" customFormat="false" ht="15" hidden="false" customHeight="false" outlineLevel="0" collapsed="false">
      <c r="A8274" s="3" t="s">
        <v>493</v>
      </c>
      <c r="C8274" s="25" t="n">
        <f aca="false">Assumptions!$C$30*(1-CHOOSE($C$8106,Assumptions!$C$85,Assumptions!$C$104,Assumptions!$C$123))*CHOOSE($C$8106,Assumptions!$C$86,Assumptions!$C$105,Assumptions!$C$124)</f>
        <v>626.017605</v>
      </c>
    </row>
    <row r="8275" customFormat="false" ht="15" hidden="false" customHeight="false" outlineLevel="0" collapsed="false">
      <c r="A8275" s="3" t="s">
        <v>494</v>
      </c>
      <c r="C8275" s="25" t="n">
        <f aca="false">MAX(C8273,C8274)+C8272</f>
        <v>852.346470103234</v>
      </c>
    </row>
    <row r="8276" customFormat="false" ht="15" hidden="false" customHeight="false" outlineLevel="0" collapsed="false">
      <c r="A8276" s="2" t="s">
        <v>495</v>
      </c>
      <c r="C8276" s="16" t="n">
        <f aca="false">IF(ISNUMBER(Assumptions!$C$14),Assumptions!$C$14,C8275)</f>
        <v>852.346470103234</v>
      </c>
    </row>
    <row r="8277" customFormat="false" ht="15" hidden="false" customHeight="false" outlineLevel="0" collapsed="false">
      <c r="A8277" s="3" t="s">
        <v>496</v>
      </c>
      <c r="C8277" s="25" t="n">
        <f aca="false">C8276*Assumptions!$C$15</f>
        <v>34.0938588041294</v>
      </c>
    </row>
    <row r="8278" customFormat="false" ht="15" hidden="false" customHeight="false" outlineLevel="0" collapsed="false">
      <c r="A8278" s="2" t="s">
        <v>497</v>
      </c>
      <c r="C8278" s="16" t="n">
        <f aca="false">C8276-C8277</f>
        <v>818.252611299105</v>
      </c>
    </row>
    <row r="8279" customFormat="false" ht="15" hidden="false" customHeight="false" outlineLevel="0" collapsed="false">
      <c r="A8279" s="23" t="s">
        <v>498</v>
      </c>
      <c r="B8279" s="24"/>
      <c r="C8279" s="24"/>
      <c r="D8279" s="24"/>
      <c r="E8279" s="24"/>
      <c r="F8279" s="24"/>
      <c r="G8279" s="24"/>
      <c r="H8279" s="24"/>
      <c r="I8279" s="24"/>
      <c r="J8279" s="24"/>
      <c r="K8279" s="24"/>
    </row>
    <row r="8280" customFormat="false" ht="15" hidden="false" customHeight="false" outlineLevel="0" collapsed="false">
      <c r="A8280" s="3" t="s">
        <v>499</v>
      </c>
      <c r="C8280" s="25" t="n">
        <f aca="false">SUMPRODUCT($G$8268:$K$8268,$G$8160:$K$8160)*(1+SUMPRODUCT($G$8268:$K$8268,$G$8152:$K$8152)*Assumptions!$C$16/12)</f>
        <v>1349.6193225</v>
      </c>
    </row>
    <row r="8281" customFormat="false" ht="15" hidden="false" customHeight="false" outlineLevel="0" collapsed="false">
      <c r="A8281" s="3" t="s">
        <v>500</v>
      </c>
      <c r="C8281" s="25" t="n">
        <f aca="false">SUMPRODUCT($G$8268:$K$8268,$G$8173:$K$8173)*(1+SUMPRODUCT($G$8268:$K$8268,$G$8165:$K$8165)*Assumptions!$C$16/12)</f>
        <v>0</v>
      </c>
    </row>
    <row r="8282" customFormat="false" ht="15" hidden="false" customHeight="false" outlineLevel="0" collapsed="false">
      <c r="A8282" s="3" t="s">
        <v>501</v>
      </c>
      <c r="C8282" s="25" t="n">
        <f aca="false">SUMPRODUCT($G$8268:$K$8268,$G$8186:$K$8186)*(1+SUMPRODUCT($G$8268:$K$8268,$G$8178:$K$8178)*Assumptions!$C$16/12)</f>
        <v>0</v>
      </c>
    </row>
    <row r="8283" customFormat="false" ht="15" hidden="false" customHeight="false" outlineLevel="0" collapsed="false">
      <c r="A8283" s="23" t="s">
        <v>502</v>
      </c>
      <c r="B8283" s="24"/>
      <c r="C8283" s="24"/>
      <c r="D8283" s="24"/>
      <c r="E8283" s="24"/>
      <c r="F8283" s="24"/>
      <c r="G8283" s="24"/>
      <c r="H8283" s="24"/>
      <c r="I8283" s="24"/>
      <c r="J8283" s="24"/>
      <c r="K8283" s="24"/>
    </row>
    <row r="8284" customFormat="false" ht="15" hidden="false" customHeight="false" outlineLevel="0" collapsed="false">
      <c r="A8284" s="3" t="s">
        <v>499</v>
      </c>
      <c r="C8284" s="27" t="n">
        <f aca="false">Assumptions!$M$56</f>
        <v>1</v>
      </c>
    </row>
    <row r="8285" customFormat="false" ht="15" hidden="false" customHeight="false" outlineLevel="0" collapsed="false">
      <c r="A8285" s="3" t="s">
        <v>500</v>
      </c>
      <c r="C8285" s="27" t="n">
        <f aca="false">Assumptions!$M$57</f>
        <v>2</v>
      </c>
    </row>
    <row r="8286" customFormat="false" ht="15" hidden="false" customHeight="false" outlineLevel="0" collapsed="false">
      <c r="A8286" s="3" t="s">
        <v>501</v>
      </c>
      <c r="C8286" s="27" t="n">
        <f aca="false">Assumptions!$M$58</f>
        <v>2</v>
      </c>
    </row>
    <row r="8287" customFormat="false" ht="15" hidden="false" customHeight="false" outlineLevel="0" collapsed="false">
      <c r="A8287" s="23" t="s">
        <v>503</v>
      </c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</row>
    <row r="8288" customFormat="false" ht="15" hidden="false" customHeight="false" outlineLevel="0" collapsed="false">
      <c r="A8288" s="3" t="s">
        <v>499</v>
      </c>
      <c r="C8288" s="35" t="n">
        <f aca="false">Assumptions!$Q$56</f>
        <v>0</v>
      </c>
    </row>
    <row r="8289" customFormat="false" ht="15" hidden="false" customHeight="false" outlineLevel="0" collapsed="false">
      <c r="A8289" s="3" t="s">
        <v>500</v>
      </c>
      <c r="C8289" s="35" t="n">
        <f aca="false">Assumptions!$Q$57</f>
        <v>0</v>
      </c>
    </row>
    <row r="8290" customFormat="false" ht="15" hidden="false" customHeight="false" outlineLevel="0" collapsed="false">
      <c r="A8290" s="3" t="s">
        <v>501</v>
      </c>
      <c r="C8290" s="35" t="n">
        <f aca="false">Assumptions!$Q$58</f>
        <v>0</v>
      </c>
    </row>
    <row r="8291" customFormat="false" ht="15" hidden="false" customHeight="false" outlineLevel="0" collapsed="false">
      <c r="A8291" s="23" t="s">
        <v>504</v>
      </c>
      <c r="B8291" s="24"/>
      <c r="C8291" s="24"/>
      <c r="D8291" s="24"/>
      <c r="E8291" s="24"/>
      <c r="F8291" s="24"/>
      <c r="G8291" s="24"/>
      <c r="H8291" s="24"/>
      <c r="I8291" s="24"/>
      <c r="J8291" s="24"/>
      <c r="K8291" s="24"/>
    </row>
    <row r="8292" customFormat="false" ht="15" hidden="false" customHeight="false" outlineLevel="0" collapsed="false">
      <c r="A8292" s="3" t="s">
        <v>499</v>
      </c>
      <c r="C8292" s="25" t="n">
        <f aca="false">IF(C8288&gt;0,MIN(C8280,C8288*$C$8278),0)</f>
        <v>0</v>
      </c>
    </row>
    <row r="8293" customFormat="false" ht="15" hidden="false" customHeight="false" outlineLevel="0" collapsed="false">
      <c r="A8293" s="3" t="s">
        <v>500</v>
      </c>
      <c r="C8293" s="25" t="n">
        <f aca="false">IF(C8289&gt;0,MIN(C8281,C8289*$C$8278),0)</f>
        <v>0</v>
      </c>
    </row>
    <row r="8294" customFormat="false" ht="15" hidden="false" customHeight="false" outlineLevel="0" collapsed="false">
      <c r="A8294" s="3" t="s">
        <v>501</v>
      </c>
      <c r="C8294" s="25" t="n">
        <f aca="false">IF(C8290&gt;0,MIN(C8282,C8290*$C$8278),0)</f>
        <v>0</v>
      </c>
    </row>
    <row r="8295" customFormat="false" ht="15" hidden="false" customHeight="false" outlineLevel="0" collapsed="false">
      <c r="A8295" s="23" t="s">
        <v>505</v>
      </c>
      <c r="B8295" s="24"/>
      <c r="C8295" s="24"/>
      <c r="D8295" s="24"/>
      <c r="E8295" s="24"/>
      <c r="F8295" s="24"/>
      <c r="G8295" s="24"/>
      <c r="H8295" s="24"/>
      <c r="I8295" s="24"/>
      <c r="J8295" s="24"/>
      <c r="K8295" s="24"/>
    </row>
    <row r="8296" customFormat="false" ht="15" hidden="false" customHeight="false" outlineLevel="0" collapsed="false">
      <c r="A8296" s="3" t="s">
        <v>499</v>
      </c>
      <c r="C8296" s="25" t="n">
        <f aca="false">IF(C8288&gt;0,C8280-C8292,0)</f>
        <v>0</v>
      </c>
      <c r="G8296" s="20" t="n">
        <f aca="false">IF(AND(G8150=1,G8147=1),1,0)</f>
        <v>0</v>
      </c>
      <c r="H8296" s="20" t="n">
        <f aca="false">IF(G8296=1,1,IF(AND(H8150=1,H8147=1),1,0))</f>
        <v>0</v>
      </c>
      <c r="I8296" s="20" t="n">
        <f aca="false">IF(H8296=1,1,IF(AND(I8150=1,I8147=1),1,0))</f>
        <v>0</v>
      </c>
      <c r="J8296" s="20" t="n">
        <f aca="false">IF(I8296=1,1,IF(AND(J8150=1,J8147=1),1,0))</f>
        <v>0</v>
      </c>
      <c r="K8296" s="20" t="n">
        <f aca="false">IF(J8296=1,1,IF(AND(K8150=1,K8147=1),1,0))</f>
        <v>0</v>
      </c>
    </row>
    <row r="8297" customFormat="false" ht="15" hidden="false" customHeight="false" outlineLevel="0" collapsed="false">
      <c r="A8297" s="3" t="s">
        <v>500</v>
      </c>
      <c r="C8297" s="25" t="n">
        <f aca="false">IF(C8289&gt;0,C8281-C8293,0)</f>
        <v>0</v>
      </c>
      <c r="G8297" s="20" t="n">
        <f aca="false">IF(AND(G8163=1,G8147=1),1,0)</f>
        <v>0</v>
      </c>
      <c r="H8297" s="20" t="n">
        <f aca="false">IF(G8297=1,1,IF(AND(H8163=1,H8147=1),1,0))</f>
        <v>0</v>
      </c>
      <c r="I8297" s="20" t="n">
        <f aca="false">IF(H8297=1,1,IF(AND(I8163=1,I8147=1),1,0))</f>
        <v>0</v>
      </c>
      <c r="J8297" s="20" t="n">
        <f aca="false">IF(I8297=1,1,IF(AND(J8163=1,J8147=1),1,0))</f>
        <v>0</v>
      </c>
      <c r="K8297" s="20" t="n">
        <f aca="false">IF(J8297=1,1,IF(AND(K8163=1,K8147=1),1,0))</f>
        <v>0</v>
      </c>
    </row>
    <row r="8298" customFormat="false" ht="15" hidden="false" customHeight="false" outlineLevel="0" collapsed="false">
      <c r="A8298" s="3" t="s">
        <v>501</v>
      </c>
      <c r="C8298" s="25" t="n">
        <f aca="false">IF(C8290&gt;0,C8282-C8294,0)</f>
        <v>0</v>
      </c>
      <c r="G8298" s="20" t="n">
        <f aca="false">IF(AND(G8176=1,G8147=1),1,0)</f>
        <v>0</v>
      </c>
      <c r="H8298" s="20" t="n">
        <f aca="false">IF(G8298=1,1,IF(AND(H8176=1,H8147=1),1,0))</f>
        <v>0</v>
      </c>
      <c r="I8298" s="20" t="n">
        <f aca="false">IF(H8298=1,1,IF(AND(I8176=1,I8147=1),1,0))</f>
        <v>0</v>
      </c>
      <c r="J8298" s="20" t="n">
        <f aca="false">IF(I8298=1,1,IF(AND(J8176=1,J8147=1),1,0))</f>
        <v>0</v>
      </c>
      <c r="K8298" s="20" t="n">
        <f aca="false">IF(J8298=1,1,IF(AND(K8176=1,K8147=1),1,0))</f>
        <v>0</v>
      </c>
    </row>
    <row r="8299" customFormat="false" ht="15" hidden="false" customHeight="false" outlineLevel="0" collapsed="false">
      <c r="A8299" s="23" t="s">
        <v>506</v>
      </c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</row>
    <row r="8300" customFormat="false" ht="15" hidden="false" customHeight="false" outlineLevel="0" collapsed="false">
      <c r="A8300" s="3" t="s">
        <v>499</v>
      </c>
      <c r="C8300" s="25" t="n">
        <f aca="false">IF(C8288&gt;0,C8296,C8280)</f>
        <v>1349.6193225</v>
      </c>
    </row>
    <row r="8301" customFormat="false" ht="15" hidden="false" customHeight="false" outlineLevel="0" collapsed="false">
      <c r="A8301" s="3" t="s">
        <v>500</v>
      </c>
      <c r="C8301" s="25" t="n">
        <f aca="false">IF(C8289&gt;0,C8297,C8281)</f>
        <v>0</v>
      </c>
    </row>
    <row r="8302" customFormat="false" ht="15" hidden="false" customHeight="false" outlineLevel="0" collapsed="false">
      <c r="A8302" s="3" t="s">
        <v>501</v>
      </c>
      <c r="C8302" s="25" t="n">
        <f aca="false">IF(C8290&gt;0,C8298,C8282)</f>
        <v>0</v>
      </c>
    </row>
    <row r="8303" customFormat="false" ht="15" hidden="false" customHeight="false" outlineLevel="0" collapsed="false">
      <c r="A8303" s="23" t="s">
        <v>507</v>
      </c>
      <c r="B8303" s="24"/>
      <c r="C8303" s="24"/>
      <c r="D8303" s="24"/>
      <c r="E8303" s="24"/>
      <c r="F8303" s="24"/>
      <c r="G8303" s="24"/>
      <c r="H8303" s="24"/>
      <c r="I8303" s="24"/>
      <c r="J8303" s="24"/>
      <c r="K8303" s="24"/>
    </row>
    <row r="8304" customFormat="false" ht="15" hidden="false" customHeight="false" outlineLevel="0" collapsed="false">
      <c r="A8304" s="3" t="s">
        <v>499</v>
      </c>
      <c r="C8304" s="20" t="n">
        <f aca="false">IF(C8288&gt;0,Assumptions!$C$17,C8284)</f>
        <v>1</v>
      </c>
    </row>
    <row r="8305" customFormat="false" ht="15" hidden="false" customHeight="false" outlineLevel="0" collapsed="false">
      <c r="A8305" s="3" t="s">
        <v>500</v>
      </c>
      <c r="C8305" s="20" t="n">
        <f aca="false">IF(C8289&gt;0,Assumptions!$C$17,C8285)</f>
        <v>2</v>
      </c>
    </row>
    <row r="8306" customFormat="false" ht="15" hidden="false" customHeight="false" outlineLevel="0" collapsed="false">
      <c r="A8306" s="3" t="s">
        <v>501</v>
      </c>
      <c r="C8306" s="20" t="n">
        <f aca="false">IF(C8290&gt;0,Assumptions!$C$17,C8286)</f>
        <v>2</v>
      </c>
    </row>
    <row r="8307" customFormat="false" ht="15" hidden="false" customHeight="false" outlineLevel="0" collapsed="false">
      <c r="A8307" s="23" t="s">
        <v>508</v>
      </c>
      <c r="B8307" s="24"/>
      <c r="C8307" s="24"/>
      <c r="D8307" s="24"/>
      <c r="E8307" s="24"/>
      <c r="F8307" s="24"/>
      <c r="G8307" s="24"/>
      <c r="H8307" s="24"/>
      <c r="I8307" s="24"/>
      <c r="J8307" s="24"/>
      <c r="K8307" s="24"/>
    </row>
    <row r="8308" customFormat="false" ht="15" hidden="false" customHeight="false" outlineLevel="0" collapsed="false">
      <c r="A8308" s="3" t="s">
        <v>499</v>
      </c>
      <c r="C8308" s="25" t="n">
        <f aca="false">SUMPRODUCT(($C$8304:$C$8306&lt;C8304)*$C$8300:$C$8302)</f>
        <v>0</v>
      </c>
    </row>
    <row r="8309" customFormat="false" ht="15" hidden="false" customHeight="false" outlineLevel="0" collapsed="false">
      <c r="A8309" s="3" t="s">
        <v>500</v>
      </c>
      <c r="C8309" s="25" t="n">
        <f aca="false">SUMPRODUCT(($C$8304:$C$8306&lt;C8305)*$C$8300:$C$8302)</f>
        <v>1349.6193225</v>
      </c>
    </row>
    <row r="8310" customFormat="false" ht="15" hidden="false" customHeight="false" outlineLevel="0" collapsed="false">
      <c r="A8310" s="3" t="s">
        <v>501</v>
      </c>
      <c r="C8310" s="25" t="n">
        <f aca="false">SUMPRODUCT(($C$8304:$C$8306&lt;C8306)*$C$8300:$C$8302)</f>
        <v>1349.6193225</v>
      </c>
    </row>
    <row r="8311" customFormat="false" ht="15" hidden="false" customHeight="false" outlineLevel="0" collapsed="false">
      <c r="A8311" s="23" t="s">
        <v>509</v>
      </c>
      <c r="B8311" s="24"/>
      <c r="C8311" s="24"/>
      <c r="D8311" s="24"/>
      <c r="E8311" s="24"/>
      <c r="F8311" s="24"/>
      <c r="G8311" s="24"/>
      <c r="H8311" s="24"/>
      <c r="I8311" s="24"/>
      <c r="J8311" s="24"/>
      <c r="K8311" s="24"/>
    </row>
    <row r="8312" customFormat="false" ht="15" hidden="false" customHeight="false" outlineLevel="0" collapsed="false">
      <c r="A8312" s="3" t="s">
        <v>499</v>
      </c>
      <c r="C8312" s="25" t="n">
        <f aca="false">SUMPRODUCT(($C$8304:$C$8306=C8304)*$C$8300:$C$8302)</f>
        <v>1349.6193225</v>
      </c>
    </row>
    <row r="8313" customFormat="false" ht="15" hidden="false" customHeight="false" outlineLevel="0" collapsed="false">
      <c r="A8313" s="3" t="s">
        <v>500</v>
      </c>
      <c r="C8313" s="25" t="n">
        <f aca="false">SUMPRODUCT(($C$8304:$C$8306=C8305)*$C$8300:$C$8302)</f>
        <v>0</v>
      </c>
    </row>
    <row r="8314" customFormat="false" ht="15" hidden="false" customHeight="false" outlineLevel="0" collapsed="false">
      <c r="A8314" s="3" t="s">
        <v>501</v>
      </c>
      <c r="C8314" s="25" t="n">
        <f aca="false">SUMPRODUCT(($C$8304:$C$8306=C8306)*$C$8300:$C$8302)</f>
        <v>0</v>
      </c>
    </row>
    <row r="8315" customFormat="false" ht="15" hidden="false" customHeight="false" outlineLevel="0" collapsed="false">
      <c r="A8315" s="23" t="s">
        <v>510</v>
      </c>
      <c r="B8315" s="24"/>
      <c r="C8315" s="24"/>
      <c r="D8315" s="24"/>
      <c r="E8315" s="24"/>
      <c r="F8315" s="24"/>
      <c r="G8315" s="24"/>
      <c r="H8315" s="24"/>
      <c r="I8315" s="24"/>
      <c r="J8315" s="24"/>
      <c r="K8315" s="24"/>
    </row>
    <row r="8316" customFormat="false" ht="15" hidden="false" customHeight="false" outlineLevel="0" collapsed="false">
      <c r="A8316" s="3" t="s">
        <v>499</v>
      </c>
      <c r="C8316" s="25" t="n">
        <f aca="false">IF(C8312=0,0,C8300/C8312*MAX(0,MIN(C8312,$C$8278-SUM($C$8292:$C$8294)-C8308)))</f>
        <v>818.252611299105</v>
      </c>
    </row>
    <row r="8317" customFormat="false" ht="15" hidden="false" customHeight="false" outlineLevel="0" collapsed="false">
      <c r="A8317" s="3" t="s">
        <v>500</v>
      </c>
      <c r="C8317" s="25" t="n">
        <f aca="false">IF(C8313=0,0,C8301/C8313*MAX(0,MIN(C8313,$C$8278-SUM($C$8292:$C$8294)-C8309)))</f>
        <v>0</v>
      </c>
    </row>
    <row r="8318" customFormat="false" ht="15" hidden="false" customHeight="false" outlineLevel="0" collapsed="false">
      <c r="A8318" s="3" t="s">
        <v>501</v>
      </c>
      <c r="C8318" s="25" t="n">
        <f aca="false">IF(C8314=0,0,C8302/C8314*MAX(0,MIN(C8314,$C$8278-SUM($C$8292:$C$8294)-C8310)))</f>
        <v>0</v>
      </c>
    </row>
    <row r="8319" customFormat="false" ht="15" hidden="false" customHeight="false" outlineLevel="0" collapsed="false">
      <c r="A8319" s="23" t="s">
        <v>511</v>
      </c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</row>
    <row r="8320" customFormat="false" ht="15" hidden="false" customHeight="false" outlineLevel="0" collapsed="false">
      <c r="A8320" s="2" t="s">
        <v>499</v>
      </c>
      <c r="C8320" s="16" t="n">
        <f aca="false">C8292+C8316</f>
        <v>818.252611299105</v>
      </c>
    </row>
    <row r="8321" customFormat="false" ht="15" hidden="false" customHeight="false" outlineLevel="0" collapsed="false">
      <c r="A8321" s="2" t="s">
        <v>500</v>
      </c>
      <c r="C8321" s="16" t="n">
        <f aca="false">C8293+C8317</f>
        <v>0</v>
      </c>
    </row>
    <row r="8322" customFormat="false" ht="15" hidden="false" customHeight="false" outlineLevel="0" collapsed="false">
      <c r="A8322" s="2" t="s">
        <v>501</v>
      </c>
      <c r="C8322" s="16" t="n">
        <f aca="false">C8294+C8318</f>
        <v>0</v>
      </c>
    </row>
    <row r="8323" customFormat="false" ht="15" hidden="false" customHeight="false" outlineLevel="0" collapsed="false">
      <c r="A8323" s="23" t="s">
        <v>512</v>
      </c>
      <c r="B8323" s="24"/>
      <c r="C8323" s="24"/>
      <c r="D8323" s="24"/>
      <c r="E8323" s="24"/>
      <c r="F8323" s="24"/>
      <c r="G8323" s="24"/>
      <c r="H8323" s="24"/>
      <c r="I8323" s="24"/>
      <c r="J8323" s="24"/>
      <c r="K8323" s="24"/>
    </row>
    <row r="8324" customFormat="false" ht="15" hidden="false" customHeight="false" outlineLevel="0" collapsed="false">
      <c r="A8324" s="3" t="s">
        <v>499</v>
      </c>
      <c r="C8324" s="21" t="n">
        <f aca="false">IF(C8280=0,1,C8320/C8280)</f>
        <v>0.606284007392095</v>
      </c>
    </row>
    <row r="8325" customFormat="false" ht="15" hidden="false" customHeight="false" outlineLevel="0" collapsed="false">
      <c r="A8325" s="3" t="s">
        <v>500</v>
      </c>
      <c r="C8325" s="21" t="n">
        <f aca="false">IF(C8281=0,1,C8321/C8281)</f>
        <v>1</v>
      </c>
    </row>
    <row r="8326" customFormat="false" ht="15" hidden="false" customHeight="false" outlineLevel="0" collapsed="false">
      <c r="A8326" s="3" t="s">
        <v>501</v>
      </c>
      <c r="C8326" s="21" t="n">
        <f aca="false">IF(C8282=0,1,C8322/C8282)</f>
        <v>1</v>
      </c>
    </row>
    <row r="8327" customFormat="false" ht="15" hidden="false" customHeight="false" outlineLevel="0" collapsed="false">
      <c r="A8327" s="23" t="s">
        <v>513</v>
      </c>
      <c r="B8327" s="24"/>
      <c r="C8327" s="24"/>
      <c r="D8327" s="24"/>
      <c r="E8327" s="24"/>
      <c r="F8327" s="24"/>
      <c r="G8327" s="24"/>
      <c r="H8327" s="24"/>
      <c r="I8327" s="24"/>
      <c r="J8327" s="24"/>
      <c r="K8327" s="24"/>
    </row>
    <row r="8328" customFormat="false" ht="15" hidden="false" customHeight="false" outlineLevel="0" collapsed="false">
      <c r="A8328" s="3" t="s">
        <v>499</v>
      </c>
      <c r="C8328" s="25" t="n">
        <f aca="false">C8280-C8320</f>
        <v>531.366711200895</v>
      </c>
    </row>
    <row r="8329" customFormat="false" ht="15" hidden="false" customHeight="false" outlineLevel="0" collapsed="false">
      <c r="A8329" s="3" t="s">
        <v>500</v>
      </c>
      <c r="C8329" s="25" t="n">
        <f aca="false">C8281-C8321</f>
        <v>0</v>
      </c>
    </row>
    <row r="8330" customFormat="false" ht="15" hidden="false" customHeight="false" outlineLevel="0" collapsed="false">
      <c r="A8330" s="3" t="s">
        <v>501</v>
      </c>
      <c r="C8330" s="25" t="n">
        <f aca="false">C8282-C8322</f>
        <v>0</v>
      </c>
    </row>
    <row r="8331" customFormat="false" ht="15" hidden="false" customHeight="false" outlineLevel="0" collapsed="false">
      <c r="A8331" s="23" t="s">
        <v>514</v>
      </c>
      <c r="B8331" s="24"/>
      <c r="C8331" s="24"/>
      <c r="D8331" s="24"/>
      <c r="E8331" s="24"/>
      <c r="F8331" s="24"/>
      <c r="G8331" s="24"/>
      <c r="H8331" s="24"/>
      <c r="I8331" s="24"/>
      <c r="J8331" s="24"/>
      <c r="K8331" s="24"/>
    </row>
    <row r="8332" customFormat="false" ht="15" hidden="false" customHeight="false" outlineLevel="0" collapsed="false">
      <c r="A8332" s="3" t="s">
        <v>499</v>
      </c>
      <c r="C8332" s="21" t="n">
        <f aca="false">IF(C8280=0,0,C8328/C8280)</f>
        <v>0.393715992607905</v>
      </c>
    </row>
    <row r="8333" customFormat="false" ht="15" hidden="false" customHeight="false" outlineLevel="0" collapsed="false">
      <c r="A8333" s="3" t="s">
        <v>500</v>
      </c>
      <c r="C8333" s="21" t="n">
        <f aca="false">IF(C8281=0,0,C8329/C8281)</f>
        <v>0</v>
      </c>
    </row>
    <row r="8334" customFormat="false" ht="15" hidden="false" customHeight="false" outlineLevel="0" collapsed="false">
      <c r="A8334" s="3" t="s">
        <v>501</v>
      </c>
      <c r="C8334" s="21" t="n">
        <f aca="false">IF(C8282=0,0,C8330/C8282)</f>
        <v>0</v>
      </c>
    </row>
    <row r="8335" customFormat="false" ht="15" hidden="false" customHeight="false" outlineLevel="0" collapsed="false">
      <c r="A8335" s="2" t="s">
        <v>515</v>
      </c>
      <c r="C8335" s="16" t="n">
        <f aca="false">MAX(0,$C$8278-SUM($C$8292:$C$8294)-SUM($C$8300:$C$8302))</f>
        <v>0</v>
      </c>
    </row>
    <row r="8336" customFormat="false" ht="15" hidden="false" customHeight="false" outlineLevel="0" collapsed="false">
      <c r="A8336" s="3" t="s">
        <v>516</v>
      </c>
      <c r="C8336" s="25" t="n">
        <f aca="false">SUM($C$8320:$C$8322)+C8335+C8277-C8276</f>
        <v>0</v>
      </c>
    </row>
    <row r="8338" customFormat="false" ht="15" hidden="false" customHeight="false" outlineLevel="0" collapsed="false">
      <c r="A8338" s="23" t="s">
        <v>519</v>
      </c>
      <c r="B8338" s="24"/>
      <c r="C8338" s="24"/>
      <c r="D8338" s="24"/>
      <c r="E8338" s="24"/>
      <c r="F8338" s="24"/>
      <c r="G8338" s="24"/>
      <c r="H8338" s="24"/>
      <c r="I8338" s="24"/>
      <c r="J8338" s="24"/>
      <c r="K8338" s="24"/>
    </row>
    <row r="8339" customFormat="false" ht="15" hidden="false" customHeight="false" outlineLevel="0" collapsed="false">
      <c r="A8339" s="3" t="s">
        <v>520</v>
      </c>
      <c r="C8339" s="27" t="n">
        <f aca="false">Assumptions!$C$33</f>
        <v>1</v>
      </c>
    </row>
    <row r="8340" customFormat="false" ht="15" hidden="false" customHeight="false" outlineLevel="0" collapsed="false">
      <c r="A8340" s="3" t="s">
        <v>521</v>
      </c>
      <c r="C8340" s="29" t="n">
        <f aca="false">Assumptions!$C$34</f>
        <v>100</v>
      </c>
    </row>
    <row r="8341" customFormat="false" ht="15" hidden="false" customHeight="false" outlineLevel="0" collapsed="false">
      <c r="A8341" s="3" t="s">
        <v>522</v>
      </c>
      <c r="C8341" s="40" t="n">
        <f aca="false">Assumptions!$C$35</f>
        <v>95</v>
      </c>
    </row>
    <row r="8342" customFormat="false" ht="15" hidden="false" customHeight="false" outlineLevel="0" collapsed="false">
      <c r="A8342" s="3" t="s">
        <v>523</v>
      </c>
      <c r="C8342" s="25" t="n">
        <f aca="false">C8340*C8341/100*(1+Assumptions!$C$36)</f>
        <v>95</v>
      </c>
    </row>
    <row r="8343" customFormat="false" ht="15" hidden="false" customHeight="false" outlineLevel="0" collapsed="false">
      <c r="A8343" s="3" t="s">
        <v>524</v>
      </c>
      <c r="C8343" s="27" t="n">
        <f aca="false">Assumptions!$C$37</f>
        <v>3</v>
      </c>
    </row>
    <row r="8344" customFormat="false" ht="15" hidden="false" customHeight="false" outlineLevel="0" collapsed="false">
      <c r="A8344" s="3" t="s">
        <v>525</v>
      </c>
      <c r="C8344" s="20" t="n">
        <f aca="false">IF(C8269=1,SUMPRODUCT($G$8221:$K$8221,$G$8114:$K$8114),0)</f>
        <v>0</v>
      </c>
    </row>
    <row r="8345" customFormat="false" ht="15" hidden="false" customHeight="false" outlineLevel="0" collapsed="false">
      <c r="A8345" s="3" t="s">
        <v>526</v>
      </c>
      <c r="C8345" s="21" t="n">
        <f aca="false">IFERROR(C8340/CHOOSE(C8339,SUMPRODUCT($G$8268:$K$8268,$G$8160:$K$8160),SUMPRODUCT($G$8268:$K$8268,$G$8173:$K$8173),SUMPRODUCT($G$8268:$K$8268,$G$8186:$K$8186)),0)</f>
        <v>0.0760399605200525</v>
      </c>
    </row>
    <row r="8346" customFormat="false" ht="15" hidden="false" customHeight="false" outlineLevel="0" collapsed="false">
      <c r="A8346" s="3" t="s">
        <v>527</v>
      </c>
      <c r="C8346" s="25" t="n">
        <f aca="false">CHOOSE(C8339,C8320,C8321,C8322)*C8345</f>
        <v>62.2198962586138</v>
      </c>
    </row>
    <row r="8347" customFormat="false" ht="15" hidden="false" customHeight="false" outlineLevel="0" collapsed="false">
      <c r="A8347" s="3" t="s">
        <v>528</v>
      </c>
      <c r="C8347" s="21" t="n">
        <f aca="false">CHOOSE(C8339,C8324,C8325,C8326)</f>
        <v>0.606284007392095</v>
      </c>
    </row>
    <row r="8348" customFormat="false" ht="15" hidden="false" customHeight="false" outlineLevel="0" collapsed="false">
      <c r="A8348" s="3" t="s">
        <v>529</v>
      </c>
      <c r="C8348" s="20" t="n">
        <f aca="false">IF(C8269=1,C8344,C8343)</f>
        <v>3</v>
      </c>
    </row>
    <row r="8349" customFormat="false" ht="15" hidden="false" customHeight="false" outlineLevel="0" collapsed="false">
      <c r="A8349" s="3" t="s">
        <v>530</v>
      </c>
      <c r="C8349" s="34" t="n">
        <f aca="false">CHOOSE($C$8106,Assumptions!$C$83,Assumptions!$C$102,Assumptions!$C$121)</f>
        <v>95</v>
      </c>
    </row>
    <row r="8350" customFormat="false" ht="15" hidden="false" customHeight="false" outlineLevel="0" collapsed="false">
      <c r="A8350" s="3" t="s">
        <v>531</v>
      </c>
      <c r="C8350" s="25" t="n">
        <f aca="false">INDEX($G$8123:$K$8123,C8343)*CHOOSE($C$8106,Assumptions!$C$82,Assumptions!$C$101,Assumptions!$C$120)+MAX(0,INDEX($G$8218:$K$8218,C8343))</f>
        <v>1068.84800987949</v>
      </c>
    </row>
    <row r="8351" customFormat="false" ht="15" hidden="false" customHeight="false" outlineLevel="0" collapsed="false">
      <c r="A8351" s="23" t="s">
        <v>532</v>
      </c>
      <c r="B8351" s="24"/>
      <c r="C8351" s="24"/>
      <c r="D8351" s="24"/>
      <c r="E8351" s="24"/>
      <c r="F8351" s="24"/>
      <c r="G8351" s="24"/>
      <c r="H8351" s="24"/>
      <c r="I8351" s="24"/>
      <c r="J8351" s="24"/>
      <c r="K8351" s="24"/>
    </row>
    <row r="8352" customFormat="false" ht="15" hidden="false" customHeight="false" outlineLevel="0" collapsed="false">
      <c r="A8352" s="3" t="s">
        <v>499</v>
      </c>
      <c r="C8352" s="25" t="n">
        <f aca="false">INDEX($G$8160:$K$8160,C8343)</f>
        <v>1315.098</v>
      </c>
    </row>
    <row r="8353" customFormat="false" ht="15" hidden="false" customHeight="false" outlineLevel="0" collapsed="false">
      <c r="A8353" s="3" t="s">
        <v>500</v>
      </c>
      <c r="C8353" s="25" t="n">
        <f aca="false">INDEX($G$8173:$K$8173,C8343)</f>
        <v>0</v>
      </c>
    </row>
    <row r="8354" customFormat="false" ht="15" hidden="false" customHeight="false" outlineLevel="0" collapsed="false">
      <c r="A8354" s="3" t="s">
        <v>501</v>
      </c>
      <c r="C8354" s="25" t="n">
        <f aca="false">INDEX($G$8186:$K$8186,C8343)</f>
        <v>0</v>
      </c>
    </row>
    <row r="8355" customFormat="false" ht="15" hidden="false" customHeight="false" outlineLevel="0" collapsed="false">
      <c r="A8355" s="23" t="s">
        <v>502</v>
      </c>
      <c r="B8355" s="24"/>
      <c r="C8355" s="24"/>
      <c r="D8355" s="24"/>
      <c r="E8355" s="24"/>
      <c r="F8355" s="24"/>
      <c r="G8355" s="24"/>
      <c r="H8355" s="24"/>
      <c r="I8355" s="24"/>
      <c r="J8355" s="24"/>
      <c r="K8355" s="24"/>
    </row>
    <row r="8356" customFormat="false" ht="15" hidden="false" customHeight="false" outlineLevel="0" collapsed="false">
      <c r="A8356" s="3" t="s">
        <v>499</v>
      </c>
      <c r="C8356" s="27" t="n">
        <f aca="false">Assumptions!$M$56</f>
        <v>1</v>
      </c>
    </row>
    <row r="8357" customFormat="false" ht="15" hidden="false" customHeight="false" outlineLevel="0" collapsed="false">
      <c r="A8357" s="3" t="s">
        <v>500</v>
      </c>
      <c r="C8357" s="27" t="n">
        <f aca="false">Assumptions!$M$57</f>
        <v>2</v>
      </c>
    </row>
    <row r="8358" customFormat="false" ht="15" hidden="false" customHeight="false" outlineLevel="0" collapsed="false">
      <c r="A8358" s="3" t="s">
        <v>501</v>
      </c>
      <c r="C8358" s="27" t="n">
        <f aca="false">Assumptions!$M$58</f>
        <v>2</v>
      </c>
    </row>
    <row r="8359" customFormat="false" ht="15" hidden="false" customHeight="false" outlineLevel="0" collapsed="false">
      <c r="A8359" s="23" t="s">
        <v>503</v>
      </c>
      <c r="B8359" s="24"/>
      <c r="C8359" s="24"/>
      <c r="D8359" s="24"/>
      <c r="E8359" s="24"/>
      <c r="F8359" s="24"/>
      <c r="G8359" s="24"/>
      <c r="H8359" s="24"/>
      <c r="I8359" s="24"/>
      <c r="J8359" s="24"/>
      <c r="K8359" s="24"/>
    </row>
    <row r="8360" customFormat="false" ht="15" hidden="false" customHeight="false" outlineLevel="0" collapsed="false">
      <c r="A8360" s="3" t="s">
        <v>499</v>
      </c>
      <c r="C8360" s="35" t="n">
        <f aca="false">Assumptions!$Q$56</f>
        <v>0</v>
      </c>
    </row>
    <row r="8361" customFormat="false" ht="15" hidden="false" customHeight="false" outlineLevel="0" collapsed="false">
      <c r="A8361" s="3" t="s">
        <v>500</v>
      </c>
      <c r="C8361" s="35" t="n">
        <f aca="false">Assumptions!$Q$57</f>
        <v>0</v>
      </c>
    </row>
    <row r="8362" customFormat="false" ht="15" hidden="false" customHeight="false" outlineLevel="0" collapsed="false">
      <c r="A8362" s="3" t="s">
        <v>501</v>
      </c>
      <c r="C8362" s="35" t="n">
        <f aca="false">Assumptions!$Q$58</f>
        <v>0</v>
      </c>
    </row>
    <row r="8363" customFormat="false" ht="15" hidden="false" customHeight="false" outlineLevel="0" collapsed="false">
      <c r="A8363" s="23" t="s">
        <v>504</v>
      </c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</row>
    <row r="8364" customFormat="false" ht="15" hidden="false" customHeight="false" outlineLevel="0" collapsed="false">
      <c r="A8364" s="3" t="s">
        <v>499</v>
      </c>
      <c r="C8364" s="25" t="n">
        <f aca="false">IF(C8360&gt;0,MIN(C8352,C8360*$C$8350),0)</f>
        <v>0</v>
      </c>
    </row>
    <row r="8365" customFormat="false" ht="15" hidden="false" customHeight="false" outlineLevel="0" collapsed="false">
      <c r="A8365" s="3" t="s">
        <v>500</v>
      </c>
      <c r="C8365" s="25" t="n">
        <f aca="false">IF(C8361&gt;0,MIN(C8353,C8361*$C$8350),0)</f>
        <v>0</v>
      </c>
    </row>
    <row r="8366" customFormat="false" ht="15" hidden="false" customHeight="false" outlineLevel="0" collapsed="false">
      <c r="A8366" s="3" t="s">
        <v>501</v>
      </c>
      <c r="C8366" s="25" t="n">
        <f aca="false">IF(C8362&gt;0,MIN(C8354,C8362*$C$8350),0)</f>
        <v>0</v>
      </c>
    </row>
    <row r="8367" customFormat="false" ht="15" hidden="false" customHeight="false" outlineLevel="0" collapsed="false">
      <c r="A8367" s="23" t="s">
        <v>505</v>
      </c>
      <c r="B8367" s="24"/>
      <c r="C8367" s="24"/>
      <c r="D8367" s="24"/>
      <c r="E8367" s="24"/>
      <c r="F8367" s="24"/>
      <c r="G8367" s="24"/>
      <c r="H8367" s="24"/>
      <c r="I8367" s="24"/>
      <c r="J8367" s="24"/>
      <c r="K8367" s="24"/>
    </row>
    <row r="8368" customFormat="false" ht="15" hidden="false" customHeight="false" outlineLevel="0" collapsed="false">
      <c r="A8368" s="3" t="s">
        <v>499</v>
      </c>
      <c r="C8368" s="25" t="n">
        <f aca="false">IF(C8360&gt;0,C8352-C8364,0)</f>
        <v>0</v>
      </c>
    </row>
    <row r="8369" customFormat="false" ht="15" hidden="false" customHeight="false" outlineLevel="0" collapsed="false">
      <c r="A8369" s="3" t="s">
        <v>500</v>
      </c>
      <c r="C8369" s="25" t="n">
        <f aca="false">IF(C8361&gt;0,C8353-C8365,0)</f>
        <v>0</v>
      </c>
    </row>
    <row r="8370" customFormat="false" ht="15" hidden="false" customHeight="false" outlineLevel="0" collapsed="false">
      <c r="A8370" s="3" t="s">
        <v>501</v>
      </c>
      <c r="C8370" s="25" t="n">
        <f aca="false">IF(C8362&gt;0,C8354-C8366,0)</f>
        <v>0</v>
      </c>
    </row>
    <row r="8371" customFormat="false" ht="15" hidden="false" customHeight="false" outlineLevel="0" collapsed="false">
      <c r="A8371" s="23" t="s">
        <v>506</v>
      </c>
      <c r="B8371" s="24"/>
      <c r="C8371" s="24"/>
      <c r="D8371" s="24"/>
      <c r="E8371" s="24"/>
      <c r="F8371" s="24"/>
      <c r="G8371" s="24"/>
      <c r="H8371" s="24"/>
      <c r="I8371" s="24"/>
      <c r="J8371" s="24"/>
      <c r="K8371" s="24"/>
    </row>
    <row r="8372" customFormat="false" ht="15" hidden="false" customHeight="false" outlineLevel="0" collapsed="false">
      <c r="A8372" s="3" t="s">
        <v>499</v>
      </c>
      <c r="C8372" s="25" t="n">
        <f aca="false">IF(C8360&gt;0,C8368,C8352)</f>
        <v>1315.098</v>
      </c>
    </row>
    <row r="8373" customFormat="false" ht="15" hidden="false" customHeight="false" outlineLevel="0" collapsed="false">
      <c r="A8373" s="3" t="s">
        <v>500</v>
      </c>
      <c r="C8373" s="25" t="n">
        <f aca="false">IF(C8361&gt;0,C8369,C8353)</f>
        <v>0</v>
      </c>
    </row>
    <row r="8374" customFormat="false" ht="15" hidden="false" customHeight="false" outlineLevel="0" collapsed="false">
      <c r="A8374" s="3" t="s">
        <v>501</v>
      </c>
      <c r="C8374" s="25" t="n">
        <f aca="false">IF(C8362&gt;0,C8370,C8354)</f>
        <v>0</v>
      </c>
    </row>
    <row r="8375" customFormat="false" ht="15" hidden="false" customHeight="false" outlineLevel="0" collapsed="false">
      <c r="A8375" s="23" t="s">
        <v>507</v>
      </c>
      <c r="B8375" s="24"/>
      <c r="C8375" s="24"/>
      <c r="D8375" s="24"/>
      <c r="E8375" s="24"/>
      <c r="F8375" s="24"/>
      <c r="G8375" s="24"/>
      <c r="H8375" s="24"/>
      <c r="I8375" s="24"/>
      <c r="J8375" s="24"/>
      <c r="K8375" s="24"/>
    </row>
    <row r="8376" customFormat="false" ht="15" hidden="false" customHeight="false" outlineLevel="0" collapsed="false">
      <c r="A8376" s="3" t="s">
        <v>499</v>
      </c>
      <c r="C8376" s="20" t="n">
        <f aca="false">IF(C8360&gt;0,Assumptions!$C$17,C8356)</f>
        <v>1</v>
      </c>
    </row>
    <row r="8377" customFormat="false" ht="15" hidden="false" customHeight="false" outlineLevel="0" collapsed="false">
      <c r="A8377" s="3" t="s">
        <v>500</v>
      </c>
      <c r="C8377" s="20" t="n">
        <f aca="false">IF(C8361&gt;0,Assumptions!$C$17,C8357)</f>
        <v>2</v>
      </c>
    </row>
    <row r="8378" customFormat="false" ht="15" hidden="false" customHeight="false" outlineLevel="0" collapsed="false">
      <c r="A8378" s="3" t="s">
        <v>501</v>
      </c>
      <c r="C8378" s="20" t="n">
        <f aca="false">IF(C8362&gt;0,Assumptions!$C$17,C8358)</f>
        <v>2</v>
      </c>
    </row>
    <row r="8379" customFormat="false" ht="15" hidden="false" customHeight="false" outlineLevel="0" collapsed="false">
      <c r="A8379" s="23" t="s">
        <v>508</v>
      </c>
      <c r="B8379" s="24"/>
      <c r="C8379" s="24"/>
      <c r="D8379" s="24"/>
      <c r="E8379" s="24"/>
      <c r="F8379" s="24"/>
      <c r="G8379" s="24"/>
      <c r="H8379" s="24"/>
      <c r="I8379" s="24"/>
      <c r="J8379" s="24"/>
      <c r="K8379" s="24"/>
    </row>
    <row r="8380" customFormat="false" ht="15" hidden="false" customHeight="false" outlineLevel="0" collapsed="false">
      <c r="A8380" s="3" t="s">
        <v>499</v>
      </c>
      <c r="C8380" s="25" t="n">
        <f aca="false">SUMPRODUCT(($C$8376:$C$8378&lt;C8376)*$C$8372:$C$8374)</f>
        <v>0</v>
      </c>
    </row>
    <row r="8381" customFormat="false" ht="15" hidden="false" customHeight="false" outlineLevel="0" collapsed="false">
      <c r="A8381" s="3" t="s">
        <v>500</v>
      </c>
      <c r="C8381" s="25" t="n">
        <f aca="false">SUMPRODUCT(($C$8376:$C$8378&lt;C8377)*$C$8372:$C$8374)</f>
        <v>1315.098</v>
      </c>
    </row>
    <row r="8382" customFormat="false" ht="15" hidden="false" customHeight="false" outlineLevel="0" collapsed="false">
      <c r="A8382" s="3" t="s">
        <v>501</v>
      </c>
      <c r="C8382" s="25" t="n">
        <f aca="false">SUMPRODUCT(($C$8376:$C$8378&lt;C8378)*$C$8372:$C$8374)</f>
        <v>1315.098</v>
      </c>
    </row>
    <row r="8383" customFormat="false" ht="15" hidden="false" customHeight="false" outlineLevel="0" collapsed="false">
      <c r="A8383" s="23" t="s">
        <v>509</v>
      </c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</row>
    <row r="8384" customFormat="false" ht="15" hidden="false" customHeight="false" outlineLevel="0" collapsed="false">
      <c r="A8384" s="3" t="s">
        <v>499</v>
      </c>
      <c r="C8384" s="25" t="n">
        <f aca="false">SUMPRODUCT(($C$8376:$C$8378=C8376)*$C$8372:$C$8374)</f>
        <v>1315.098</v>
      </c>
    </row>
    <row r="8385" customFormat="false" ht="15" hidden="false" customHeight="false" outlineLevel="0" collapsed="false">
      <c r="A8385" s="3" t="s">
        <v>500</v>
      </c>
      <c r="C8385" s="25" t="n">
        <f aca="false">SUMPRODUCT(($C$8376:$C$8378=C8377)*$C$8372:$C$8374)</f>
        <v>0</v>
      </c>
    </row>
    <row r="8386" customFormat="false" ht="15" hidden="false" customHeight="false" outlineLevel="0" collapsed="false">
      <c r="A8386" s="3" t="s">
        <v>501</v>
      </c>
      <c r="C8386" s="25" t="n">
        <f aca="false">SUMPRODUCT(($C$8376:$C$8378=C8378)*$C$8372:$C$8374)</f>
        <v>0</v>
      </c>
    </row>
    <row r="8387" customFormat="false" ht="15" hidden="false" customHeight="false" outlineLevel="0" collapsed="false">
      <c r="A8387" s="23" t="s">
        <v>510</v>
      </c>
      <c r="B8387" s="24"/>
      <c r="C8387" s="24"/>
      <c r="D8387" s="24"/>
      <c r="E8387" s="24"/>
      <c r="F8387" s="24"/>
      <c r="G8387" s="24"/>
      <c r="H8387" s="24"/>
      <c r="I8387" s="24"/>
      <c r="J8387" s="24"/>
      <c r="K8387" s="24"/>
    </row>
    <row r="8388" customFormat="false" ht="15" hidden="false" customHeight="false" outlineLevel="0" collapsed="false">
      <c r="A8388" s="3" t="s">
        <v>499</v>
      </c>
      <c r="C8388" s="25" t="n">
        <f aca="false">IF(C8384=0,0,C8372/C8384*MAX(0,MIN(C8384,$C$8350-SUM($C$8364:$C$8366)-C8380)))</f>
        <v>1068.84800987949</v>
      </c>
    </row>
    <row r="8389" customFormat="false" ht="15" hidden="false" customHeight="false" outlineLevel="0" collapsed="false">
      <c r="A8389" s="3" t="s">
        <v>500</v>
      </c>
      <c r="C8389" s="25" t="n">
        <f aca="false">IF(C8385=0,0,C8373/C8385*MAX(0,MIN(C8385,$C$8350-SUM($C$8364:$C$8366)-C8381)))</f>
        <v>0</v>
      </c>
    </row>
    <row r="8390" customFormat="false" ht="15" hidden="false" customHeight="false" outlineLevel="0" collapsed="false">
      <c r="A8390" s="3" t="s">
        <v>501</v>
      </c>
      <c r="C8390" s="25" t="n">
        <f aca="false">IF(C8386=0,0,C8374/C8386*MAX(0,MIN(C8386,$C$8350-SUM($C$8364:$C$8366)-C8382)))</f>
        <v>0</v>
      </c>
    </row>
    <row r="8391" customFormat="false" ht="15" hidden="false" customHeight="false" outlineLevel="0" collapsed="false">
      <c r="A8391" s="23" t="s">
        <v>511</v>
      </c>
      <c r="B8391" s="24"/>
      <c r="C8391" s="24"/>
      <c r="D8391" s="24"/>
      <c r="E8391" s="24"/>
      <c r="F8391" s="24"/>
      <c r="G8391" s="24"/>
      <c r="H8391" s="24"/>
      <c r="I8391" s="24"/>
      <c r="J8391" s="24"/>
      <c r="K8391" s="24"/>
    </row>
    <row r="8392" customFormat="false" ht="15" hidden="false" customHeight="false" outlineLevel="0" collapsed="false">
      <c r="A8392" s="2" t="s">
        <v>499</v>
      </c>
      <c r="C8392" s="16" t="n">
        <f aca="false">C8364+C8388</f>
        <v>1068.84800987949</v>
      </c>
    </row>
    <row r="8393" customFormat="false" ht="15" hidden="false" customHeight="false" outlineLevel="0" collapsed="false">
      <c r="A8393" s="2" t="s">
        <v>500</v>
      </c>
      <c r="C8393" s="16" t="n">
        <f aca="false">C8365+C8389</f>
        <v>0</v>
      </c>
    </row>
    <row r="8394" customFormat="false" ht="15" hidden="false" customHeight="false" outlineLevel="0" collapsed="false">
      <c r="A8394" s="2" t="s">
        <v>501</v>
      </c>
      <c r="C8394" s="16" t="n">
        <f aca="false">C8366+C8390</f>
        <v>0</v>
      </c>
    </row>
    <row r="8395" customFormat="false" ht="15" hidden="false" customHeight="false" outlineLevel="0" collapsed="false">
      <c r="A8395" s="23" t="s">
        <v>512</v>
      </c>
      <c r="B8395" s="24"/>
      <c r="C8395" s="24"/>
      <c r="D8395" s="24"/>
      <c r="E8395" s="24"/>
      <c r="F8395" s="24"/>
      <c r="G8395" s="24"/>
      <c r="H8395" s="24"/>
      <c r="I8395" s="24"/>
      <c r="J8395" s="24"/>
      <c r="K8395" s="24"/>
    </row>
    <row r="8396" customFormat="false" ht="15" hidden="false" customHeight="false" outlineLevel="0" collapsed="false">
      <c r="A8396" s="3" t="s">
        <v>499</v>
      </c>
      <c r="C8396" s="21" t="n">
        <f aca="false">IF(C8352=0,1,C8392/C8352)</f>
        <v>0.812751604731729</v>
      </c>
    </row>
    <row r="8397" customFormat="false" ht="15" hidden="false" customHeight="false" outlineLevel="0" collapsed="false">
      <c r="A8397" s="3" t="s">
        <v>500</v>
      </c>
      <c r="C8397" s="21" t="n">
        <f aca="false">IF(C8353=0,1,C8393/C8353)</f>
        <v>1</v>
      </c>
    </row>
    <row r="8398" customFormat="false" ht="15" hidden="false" customHeight="false" outlineLevel="0" collapsed="false">
      <c r="A8398" s="3" t="s">
        <v>501</v>
      </c>
      <c r="C8398" s="21" t="n">
        <f aca="false">IF(C8354=0,1,C8394/C8354)</f>
        <v>1</v>
      </c>
    </row>
    <row r="8399" customFormat="false" ht="15" hidden="false" customHeight="false" outlineLevel="0" collapsed="false">
      <c r="A8399" s="23" t="s">
        <v>513</v>
      </c>
      <c r="B8399" s="24"/>
      <c r="C8399" s="24"/>
      <c r="D8399" s="24"/>
      <c r="E8399" s="24"/>
      <c r="F8399" s="24"/>
      <c r="G8399" s="24"/>
      <c r="H8399" s="24"/>
      <c r="I8399" s="24"/>
      <c r="J8399" s="24"/>
      <c r="K8399" s="24"/>
    </row>
    <row r="8400" customFormat="false" ht="15" hidden="false" customHeight="false" outlineLevel="0" collapsed="false">
      <c r="A8400" s="3" t="s">
        <v>499</v>
      </c>
      <c r="C8400" s="25" t="n">
        <f aca="false">C8352-C8392</f>
        <v>246.249990120512</v>
      </c>
    </row>
    <row r="8401" customFormat="false" ht="15" hidden="false" customHeight="false" outlineLevel="0" collapsed="false">
      <c r="A8401" s="3" t="s">
        <v>500</v>
      </c>
      <c r="C8401" s="25" t="n">
        <f aca="false">C8353-C8393</f>
        <v>0</v>
      </c>
    </row>
    <row r="8402" customFormat="false" ht="15" hidden="false" customHeight="false" outlineLevel="0" collapsed="false">
      <c r="A8402" s="3" t="s">
        <v>501</v>
      </c>
      <c r="C8402" s="25" t="n">
        <f aca="false">C8354-C8394</f>
        <v>0</v>
      </c>
    </row>
    <row r="8403" customFormat="false" ht="15" hidden="false" customHeight="false" outlineLevel="0" collapsed="false">
      <c r="A8403" s="23" t="s">
        <v>514</v>
      </c>
      <c r="B8403" s="24"/>
      <c r="C8403" s="24"/>
      <c r="D8403" s="24"/>
      <c r="E8403" s="24"/>
      <c r="F8403" s="24"/>
      <c r="G8403" s="24"/>
      <c r="H8403" s="24"/>
      <c r="I8403" s="24"/>
      <c r="J8403" s="24"/>
      <c r="K8403" s="24"/>
    </row>
    <row r="8404" customFormat="false" ht="15" hidden="false" customHeight="false" outlineLevel="0" collapsed="false">
      <c r="A8404" s="3" t="s">
        <v>499</v>
      </c>
      <c r="C8404" s="21" t="n">
        <f aca="false">IF(C8352=0,0,C8400/C8352)</f>
        <v>0.187248395268271</v>
      </c>
    </row>
    <row r="8405" customFormat="false" ht="15" hidden="false" customHeight="false" outlineLevel="0" collapsed="false">
      <c r="A8405" s="3" t="s">
        <v>500</v>
      </c>
      <c r="C8405" s="21" t="n">
        <f aca="false">IF(C8353=0,0,C8401/C8353)</f>
        <v>0</v>
      </c>
    </row>
    <row r="8406" customFormat="false" ht="15" hidden="false" customHeight="false" outlineLevel="0" collapsed="false">
      <c r="A8406" s="3" t="s">
        <v>501</v>
      </c>
      <c r="C8406" s="21" t="n">
        <f aca="false">IF(C8354=0,0,C8402/C8354)</f>
        <v>0</v>
      </c>
    </row>
    <row r="8407" customFormat="false" ht="15" hidden="false" customHeight="false" outlineLevel="0" collapsed="false">
      <c r="A8407" s="2" t="s">
        <v>515</v>
      </c>
      <c r="C8407" s="16" t="n">
        <f aca="false">MAX(0,$C$8350-SUM($C$8364:$C$8366)-SUM($C$8372:$C$8374))</f>
        <v>0</v>
      </c>
    </row>
    <row r="8408" customFormat="false" ht="15" hidden="false" customHeight="false" outlineLevel="0" collapsed="false">
      <c r="A8408" s="3" t="s">
        <v>533</v>
      </c>
      <c r="C8408" s="34" t="n">
        <f aca="false">MIN(C8349,100*CHOOSE(C8339,C8396,C8397,C8398))</f>
        <v>81.2751604731729</v>
      </c>
    </row>
    <row r="8409" customFormat="false" ht="15" hidden="false" customHeight="false" outlineLevel="0" collapsed="false">
      <c r="A8409" s="3" t="s">
        <v>534</v>
      </c>
      <c r="C8409" s="20" t="n">
        <f aca="false">IF(C8269=1,C8344+Assumptions!$C$39,C8343)</f>
        <v>3</v>
      </c>
    </row>
    <row r="8410" customFormat="false" ht="15" hidden="false" customHeight="false" outlineLevel="0" collapsed="false">
      <c r="A8410" s="23" t="s">
        <v>535</v>
      </c>
      <c r="B8410" s="24"/>
      <c r="C8410" s="24"/>
      <c r="D8410" s="24"/>
      <c r="E8410" s="24"/>
      <c r="F8410" s="24"/>
      <c r="G8410" s="24"/>
      <c r="H8410" s="24"/>
      <c r="I8410" s="24"/>
      <c r="J8410" s="24"/>
      <c r="K8410" s="24"/>
    </row>
    <row r="8411" customFormat="false" ht="15" hidden="false" customHeight="false" outlineLevel="0" collapsed="false">
      <c r="A8411" s="3" t="s">
        <v>536</v>
      </c>
      <c r="C8411" s="20" t="n">
        <f aca="false">COLUMN()-COLUMN($C$1)</f>
        <v>0</v>
      </c>
      <c r="D8411" s="20" t="n">
        <f aca="false">COLUMN()-COLUMN($C$1)</f>
        <v>1</v>
      </c>
      <c r="E8411" s="20" t="n">
        <f aca="false">COLUMN()-COLUMN($C$1)</f>
        <v>2</v>
      </c>
      <c r="F8411" s="20" t="n">
        <f aca="false">COLUMN()-COLUMN($C$1)</f>
        <v>3</v>
      </c>
      <c r="G8411" s="20" t="n">
        <f aca="false">COLUMN()-COLUMN($C$1)</f>
        <v>4</v>
      </c>
      <c r="H8411" s="20" t="n">
        <f aca="false">COLUMN()-COLUMN($C$1)</f>
        <v>5</v>
      </c>
      <c r="I8411" s="20" t="n">
        <f aca="false">COLUMN()-COLUMN($C$1)</f>
        <v>6</v>
      </c>
    </row>
    <row r="8412" customFormat="false" ht="15" hidden="false" customHeight="false" outlineLevel="0" collapsed="false">
      <c r="A8412" s="3" t="s">
        <v>537</v>
      </c>
      <c r="D8412" s="31" t="n">
        <f aca="false">CHOOSE($C$8339,G8152,G8165,G8178)</f>
        <v>0.105</v>
      </c>
      <c r="E8412" s="31" t="n">
        <f aca="false">CHOOSE($C$8339,H8152,H8165,H8178)</f>
        <v>0.105</v>
      </c>
      <c r="F8412" s="31" t="n">
        <f aca="false">CHOOSE($C$8339,I8152,I8165,I8178)</f>
        <v>0.105</v>
      </c>
      <c r="G8412" s="31" t="n">
        <f aca="false">CHOOSE($C$8339,J8152,J8165,J8178)</f>
        <v>0.105</v>
      </c>
      <c r="H8412" s="31" t="n">
        <f aca="false">CHOOSE($C$8339,K8152,K8165,K8178)</f>
        <v>0.105</v>
      </c>
    </row>
    <row r="8413" customFormat="false" ht="15" hidden="false" customHeight="false" outlineLevel="0" collapsed="false">
      <c r="A8413" s="3" t="s">
        <v>538</v>
      </c>
      <c r="D8413" s="25" t="n">
        <f aca="false">IF(D8411&lt;=$C$8348,$C$8340*D8412,0)</f>
        <v>10.5</v>
      </c>
      <c r="E8413" s="25" t="n">
        <f aca="false">IF(E8411&lt;=$C$8348,$C$8340*E8412,0)</f>
        <v>10.5</v>
      </c>
      <c r="F8413" s="25" t="n">
        <f aca="false">IF(F8411&lt;=$C$8348,$C$8340*F8412,0)</f>
        <v>10.5</v>
      </c>
      <c r="G8413" s="25" t="n">
        <f aca="false">IF(G8411&lt;=$C$8348,$C$8340*G8412,0)</f>
        <v>0</v>
      </c>
      <c r="H8413" s="25" t="n">
        <f aca="false">IF(H8411&lt;=$C$8348,$C$8340*H8412,0)</f>
        <v>0</v>
      </c>
    </row>
    <row r="8414" customFormat="false" ht="15" hidden="false" customHeight="false" outlineLevel="0" collapsed="false">
      <c r="A8414" s="3" t="s">
        <v>539</v>
      </c>
      <c r="D8414" s="25" t="n">
        <f aca="false">IF(AND($C$8269=0,D8411=$C$8343),$C$8340*$C$8408/100,0)+IF(AND($C$8269=1,D8411=$C$8409),$C$8346,0)</f>
        <v>0</v>
      </c>
      <c r="E8414" s="25" t="n">
        <f aca="false">IF(AND($C$8269=0,E8411=$C$8343),$C$8340*$C$8408/100,0)+IF(AND($C$8269=1,E8411=$C$8409),$C$8346,0)</f>
        <v>0</v>
      </c>
      <c r="F8414" s="25" t="n">
        <f aca="false">IF(AND($C$8269=0,F8411=$C$8343),$C$8340*$C$8408/100,0)+IF(AND($C$8269=1,F8411=$C$8409),$C$8346,0)</f>
        <v>81.2751604731729</v>
      </c>
      <c r="G8414" s="25" t="n">
        <f aca="false">IF(AND($C$8269=0,G8411=$C$8343),$C$8340*$C$8408/100,0)+IF(AND($C$8269=1,G8411=$C$8409),$C$8346,0)</f>
        <v>0</v>
      </c>
      <c r="H8414" s="25" t="n">
        <f aca="false">IF(AND($C$8269=0,H8411=$C$8343),$C$8340*$C$8408/100,0)+IF(AND($C$8269=1,H8411=$C$8409),$C$8346,0)</f>
        <v>0</v>
      </c>
      <c r="I8414" s="25" t="n">
        <f aca="false">IF(AND($C$8269=0,I8411=$C$8343),$C$8340*$C$8408/100,0)+IF(AND($C$8269=1,I8411=$C$8409),$C$8346,0)</f>
        <v>0</v>
      </c>
    </row>
    <row r="8415" customFormat="false" ht="15" hidden="false" customHeight="false" outlineLevel="0" collapsed="false">
      <c r="A8415" s="2" t="s">
        <v>540</v>
      </c>
      <c r="C8415" s="16" t="n">
        <f aca="false">-$C$8342</f>
        <v>-95</v>
      </c>
      <c r="D8415" s="16" t="n">
        <f aca="false">D8413+D8414</f>
        <v>10.5</v>
      </c>
      <c r="E8415" s="16" t="n">
        <f aca="false">E8413+E8414</f>
        <v>10.5</v>
      </c>
      <c r="F8415" s="16" t="n">
        <f aca="false">F8413+F8414</f>
        <v>91.7751604731729</v>
      </c>
      <c r="G8415" s="16" t="n">
        <f aca="false">G8413+G8414</f>
        <v>0</v>
      </c>
      <c r="H8415" s="16" t="n">
        <f aca="false">H8413+H8414</f>
        <v>0</v>
      </c>
      <c r="I8415" s="16" t="n">
        <f aca="false">I8413+I8414</f>
        <v>0</v>
      </c>
    </row>
    <row r="8416" customFormat="false" ht="15" hidden="false" customHeight="false" outlineLevel="0" collapsed="false">
      <c r="A8416" s="3" t="s">
        <v>541</v>
      </c>
      <c r="C8416" s="25" t="n">
        <f aca="false">SUM($C$8413:$I$8413)</f>
        <v>31.5</v>
      </c>
    </row>
    <row r="8417" customFormat="false" ht="15" hidden="false" customHeight="false" outlineLevel="0" collapsed="false">
      <c r="A8417" s="3" t="s">
        <v>542</v>
      </c>
      <c r="C8417" s="25" t="n">
        <f aca="false">SUM($C$8414:$I$8414)</f>
        <v>81.2751604731729</v>
      </c>
    </row>
    <row r="8418" customFormat="false" ht="15" hidden="false" customHeight="false" outlineLevel="0" collapsed="false">
      <c r="A8418" s="3" t="s">
        <v>543</v>
      </c>
      <c r="C8418" s="25" t="n">
        <f aca="false">C8416+C8417</f>
        <v>112.775160473173</v>
      </c>
    </row>
    <row r="8419" customFormat="false" ht="15" hidden="false" customHeight="false" outlineLevel="0" collapsed="false">
      <c r="A8419" s="3" t="s">
        <v>544</v>
      </c>
      <c r="C8419" s="25" t="n">
        <f aca="false">C8417-C8340*C8341/100</f>
        <v>-13.7248395268271</v>
      </c>
    </row>
    <row r="8420" customFormat="false" ht="15" hidden="false" customHeight="false" outlineLevel="0" collapsed="false">
      <c r="A8420" s="3" t="s">
        <v>545</v>
      </c>
      <c r="C8420" s="25" t="n">
        <f aca="false">C8418-C8342</f>
        <v>17.7751604731729</v>
      </c>
    </row>
    <row r="8421" customFormat="false" ht="15" hidden="false" customHeight="false" outlineLevel="0" collapsed="false">
      <c r="A8421" s="2" t="s">
        <v>427</v>
      </c>
      <c r="C8421" s="44" t="n">
        <f aca="false">C8418/C8342</f>
        <v>1.18710695234919</v>
      </c>
    </row>
    <row r="8422" customFormat="false" ht="15" hidden="false" customHeight="false" outlineLevel="0" collapsed="false">
      <c r="A8422" s="2" t="s">
        <v>426</v>
      </c>
      <c r="C8422" s="42" t="n">
        <f aca="false">IF(C8418&lt;=0,-1,IFERROR(IRR($C$8415:$I$8415,MAX(-0.9,C8421^(1/C8409)-1)),IRR($C$8415:$I$8415,0.1)))</f>
        <v>0.0653848807562152</v>
      </c>
    </row>
    <row r="8423" customFormat="false" ht="15" hidden="false" customHeight="false" outlineLevel="0" collapsed="false">
      <c r="A8423" s="3" t="s">
        <v>546</v>
      </c>
      <c r="C8423" s="32" t="n">
        <f aca="false">MAX($G$8229:$K$8229)</f>
        <v>7.33831226622703</v>
      </c>
    </row>
    <row r="8424" customFormat="false" ht="15" hidden="false" customHeight="false" outlineLevel="0" collapsed="false">
      <c r="A8424" s="3" t="s">
        <v>547</v>
      </c>
      <c r="C8424" s="32" t="n">
        <f aca="false">MIN($G$8230:$K$8230)</f>
        <v>1.18070192905498</v>
      </c>
    </row>
    <row r="8425" customFormat="false" ht="15" hidden="false" customHeight="false" outlineLevel="0" collapsed="false">
      <c r="A8425" s="3" t="s">
        <v>548</v>
      </c>
      <c r="C8425" s="25" t="n">
        <f aca="false">SUM($G$8136:$K$8136)</f>
        <v>75.1374128562126</v>
      </c>
    </row>
    <row r="8429" customFormat="false" ht="15" hidden="false" customHeight="false" outlineLevel="0" collapsed="false">
      <c r="A8429" s="9" t="s">
        <v>1040</v>
      </c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</row>
    <row r="8430" customFormat="false" ht="15" hidden="false" customHeight="false" outlineLevel="0" collapsed="false">
      <c r="A8430" s="3" t="s">
        <v>1010</v>
      </c>
      <c r="C8430" s="11" t="n">
        <v>2</v>
      </c>
    </row>
    <row r="8431" customFormat="false" ht="15" hidden="false" customHeight="false" outlineLevel="0" collapsed="false">
      <c r="A8431" s="3" t="s">
        <v>1011</v>
      </c>
      <c r="C8431" s="30" t="n">
        <f aca="false">Sensitivities!$A$43</f>
        <v>0.05</v>
      </c>
    </row>
    <row r="8432" customFormat="false" ht="15" hidden="false" customHeight="false" outlineLevel="0" collapsed="false">
      <c r="A8432" s="3" t="s">
        <v>1012</v>
      </c>
      <c r="C8432" s="18" t="n">
        <v>0</v>
      </c>
    </row>
    <row r="8433" customFormat="false" ht="15" hidden="false" customHeight="false" outlineLevel="0" collapsed="false">
      <c r="A8433" s="3" t="s">
        <v>1013</v>
      </c>
      <c r="C8433" s="18" t="n">
        <v>0</v>
      </c>
    </row>
    <row r="8434" customFormat="false" ht="15" hidden="false" customHeight="false" outlineLevel="0" collapsed="false">
      <c r="A8434" s="3" t="s">
        <v>1014</v>
      </c>
      <c r="C8434" s="15" t="n">
        <v>0</v>
      </c>
    </row>
    <row r="8436" customFormat="false" ht="15" hidden="false" customHeight="false" outlineLevel="0" collapsed="false">
      <c r="A8436" s="23" t="s">
        <v>281</v>
      </c>
      <c r="B8436" s="24"/>
      <c r="C8436" s="24"/>
      <c r="D8436" s="24"/>
      <c r="E8436" s="24"/>
      <c r="F8436" s="24"/>
      <c r="G8436" s="24"/>
      <c r="H8436" s="24"/>
      <c r="I8436" s="24"/>
      <c r="J8436" s="24"/>
      <c r="K8436" s="24"/>
    </row>
    <row r="8437" customFormat="false" ht="15" hidden="false" customHeight="false" outlineLevel="0" collapsed="false">
      <c r="A8437" s="3" t="s">
        <v>282</v>
      </c>
      <c r="F8437" s="27" t="n">
        <f aca="false">Assumptions!$C$6</f>
        <v>2026</v>
      </c>
      <c r="G8437" s="20" t="n">
        <f aca="false">F8437+1</f>
        <v>2027</v>
      </c>
      <c r="H8437" s="20" t="n">
        <f aca="false">G8437+1</f>
        <v>2028</v>
      </c>
      <c r="I8437" s="20" t="n">
        <f aca="false">H8437+1</f>
        <v>2029</v>
      </c>
      <c r="J8437" s="20" t="n">
        <f aca="false">I8437+1</f>
        <v>2030</v>
      </c>
      <c r="K8437" s="20" t="n">
        <f aca="false">J8437+1</f>
        <v>2031</v>
      </c>
    </row>
    <row r="8438" customFormat="false" ht="15" hidden="false" customHeight="false" outlineLevel="0" collapsed="false">
      <c r="A8438" s="3" t="s">
        <v>283</v>
      </c>
      <c r="G8438" s="20" t="n">
        <f aca="false">G8437-Assumptions!$C$6</f>
        <v>1</v>
      </c>
      <c r="H8438" s="20" t="n">
        <f aca="false">H8437-Assumptions!$C$6</f>
        <v>2</v>
      </c>
      <c r="I8438" s="20" t="n">
        <f aca="false">I8437-Assumptions!$C$6</f>
        <v>3</v>
      </c>
      <c r="J8438" s="20" t="n">
        <f aca="false">J8437-Assumptions!$C$6</f>
        <v>4</v>
      </c>
      <c r="K8438" s="20" t="n">
        <f aca="false">K8437-Assumptions!$C$6</f>
        <v>5</v>
      </c>
    </row>
    <row r="8439" customFormat="false" ht="15" hidden="false" customHeight="false" outlineLevel="0" collapsed="false">
      <c r="A8439" s="3" t="s">
        <v>165</v>
      </c>
      <c r="G8439" s="21" t="n">
        <f aca="false">CHOOSE($C$8430,Assumptions!$G$71,Assumptions!$G$90,Assumptions!$G$109)+$C$8431</f>
        <v>-0.03</v>
      </c>
      <c r="H8439" s="21" t="n">
        <f aca="false">CHOOSE($C$8430,Assumptions!$H$71,Assumptions!$H$90,Assumptions!$H$109)+$C$8431</f>
        <v>-0.02</v>
      </c>
      <c r="I8439" s="21" t="n">
        <f aca="false">CHOOSE($C$8430,Assumptions!$I$71,Assumptions!$I$90,Assumptions!$I$109)+$C$8431</f>
        <v>-0.01</v>
      </c>
      <c r="J8439" s="21" t="n">
        <f aca="false">CHOOSE($C$8430,Assumptions!$J$71,Assumptions!$J$90,Assumptions!$J$109)+$C$8431</f>
        <v>0</v>
      </c>
      <c r="K8439" s="21" t="n">
        <f aca="false">CHOOSE($C$8430,Assumptions!$K$71,Assumptions!$K$90,Assumptions!$K$109)+$C$8431</f>
        <v>0</v>
      </c>
    </row>
    <row r="8440" customFormat="false" ht="15" hidden="false" customHeight="false" outlineLevel="0" collapsed="false">
      <c r="A8440" s="3" t="s">
        <v>166</v>
      </c>
      <c r="G8440" s="21" t="n">
        <f aca="false">CHOOSE($C$8430,Assumptions!$G$72,Assumptions!$G$91,Assumptions!$G$110)</f>
        <v>0.463246670103635</v>
      </c>
      <c r="H8440" s="21" t="n">
        <f aca="false">CHOOSE($C$8430,Assumptions!$H$72,Assumptions!$H$91,Assumptions!$H$110)</f>
        <v>0.453246670103635</v>
      </c>
      <c r="I8440" s="21" t="n">
        <f aca="false">CHOOSE($C$8430,Assumptions!$I$72,Assumptions!$I$91,Assumptions!$I$110)</f>
        <v>0.448246670103634</v>
      </c>
      <c r="J8440" s="21" t="n">
        <f aca="false">CHOOSE($C$8430,Assumptions!$J$72,Assumptions!$J$91,Assumptions!$J$110)</f>
        <v>0.443246670103635</v>
      </c>
      <c r="K8440" s="21" t="n">
        <f aca="false">CHOOSE($C$8430,Assumptions!$K$72,Assumptions!$K$91,Assumptions!$K$110)</f>
        <v>0.443246670103635</v>
      </c>
    </row>
    <row r="8441" customFormat="false" ht="15" hidden="false" customHeight="false" outlineLevel="0" collapsed="false">
      <c r="A8441" s="3" t="s">
        <v>167</v>
      </c>
      <c r="G8441" s="21" t="n">
        <f aca="false">CHOOSE($C$8430,Assumptions!$G$73,Assumptions!$G$92,Assumptions!$G$111)+$C$8432</f>
        <v>0.12</v>
      </c>
      <c r="H8441" s="21" t="n">
        <f aca="false">CHOOSE($C$8430,Assumptions!$H$73,Assumptions!$H$92,Assumptions!$H$111)+$C$8432</f>
        <v>0.11</v>
      </c>
      <c r="I8441" s="21" t="n">
        <f aca="false">CHOOSE($C$8430,Assumptions!$I$73,Assumptions!$I$92,Assumptions!$I$111)+$C$8432</f>
        <v>0.105</v>
      </c>
      <c r="J8441" s="21" t="n">
        <f aca="false">CHOOSE($C$8430,Assumptions!$J$73,Assumptions!$J$92,Assumptions!$J$111)+$C$8432</f>
        <v>0.1</v>
      </c>
      <c r="K8441" s="21" t="n">
        <f aca="false">CHOOSE($C$8430,Assumptions!$K$73,Assumptions!$K$92,Assumptions!$K$111)+$C$8432</f>
        <v>0.1</v>
      </c>
    </row>
    <row r="8442" customFormat="false" ht="15" hidden="false" customHeight="false" outlineLevel="0" collapsed="false">
      <c r="A8442" s="23" t="s">
        <v>284</v>
      </c>
      <c r="B8442" s="24"/>
      <c r="C8442" s="24"/>
      <c r="D8442" s="24"/>
      <c r="E8442" s="24"/>
      <c r="F8442" s="24"/>
      <c r="G8442" s="24"/>
      <c r="H8442" s="24"/>
      <c r="I8442" s="24"/>
      <c r="J8442" s="24"/>
      <c r="K8442" s="24"/>
    </row>
    <row r="8443" customFormat="false" ht="15" hidden="false" customHeight="false" outlineLevel="0" collapsed="false">
      <c r="A8443" s="2" t="s">
        <v>256</v>
      </c>
      <c r="F8443" s="28" t="n">
        <f aca="false">'Historical Financials'!G23</f>
        <v>2246.166</v>
      </c>
      <c r="G8443" s="16" t="n">
        <f aca="false">F8443*(1+G8439)</f>
        <v>2178.78102</v>
      </c>
      <c r="H8443" s="16" t="n">
        <f aca="false">G8443*(1+H8439)</f>
        <v>2135.2053996</v>
      </c>
      <c r="I8443" s="16" t="n">
        <f aca="false">H8443*(1+I8439)</f>
        <v>2113.853345604</v>
      </c>
      <c r="J8443" s="16" t="n">
        <f aca="false">I8443*(1+J8439)</f>
        <v>2113.853345604</v>
      </c>
      <c r="K8443" s="16" t="n">
        <f aca="false">J8443*(1+K8439)</f>
        <v>2113.853345604</v>
      </c>
    </row>
    <row r="8444" customFormat="false" ht="15" hidden="false" customHeight="false" outlineLevel="0" collapsed="false">
      <c r="A8444" s="3" t="s">
        <v>257</v>
      </c>
      <c r="G8444" s="25" t="n">
        <f aca="false">G8443*(1-G8440)</f>
        <v>1169.4679676</v>
      </c>
      <c r="H8444" s="25" t="n">
        <f aca="false">H8443*(1-H8440)</f>
        <v>1167.430662244</v>
      </c>
      <c r="I8444" s="25" t="n">
        <f aca="false">I8443*(1-I8440)</f>
        <v>1166.32562234958</v>
      </c>
      <c r="J8444" s="25" t="n">
        <f aca="false">J8443*(1-J8440)</f>
        <v>1176.8948890776</v>
      </c>
      <c r="K8444" s="25" t="n">
        <f aca="false">K8443*(1-K8440)</f>
        <v>1176.8948890776</v>
      </c>
    </row>
    <row r="8445" customFormat="false" ht="15" hidden="false" customHeight="false" outlineLevel="0" collapsed="false">
      <c r="A8445" s="2" t="s">
        <v>258</v>
      </c>
      <c r="G8445" s="16" t="n">
        <f aca="false">G8443-G8444</f>
        <v>1009.3130524</v>
      </c>
      <c r="H8445" s="16" t="n">
        <f aca="false">H8443-H8444</f>
        <v>967.774737356</v>
      </c>
      <c r="I8445" s="16" t="n">
        <f aca="false">I8443-I8444</f>
        <v>947.52772325442</v>
      </c>
      <c r="J8445" s="16" t="n">
        <f aca="false">J8443-J8444</f>
        <v>936.9584565264</v>
      </c>
      <c r="K8445" s="16" t="n">
        <f aca="false">K8443-K8444</f>
        <v>936.9584565264</v>
      </c>
    </row>
    <row r="8446" customFormat="false" ht="15" hidden="false" customHeight="false" outlineLevel="0" collapsed="false">
      <c r="A8446" s="3" t="s">
        <v>285</v>
      </c>
      <c r="G8446" s="25" t="n">
        <f aca="false">G8445-G8447</f>
        <v>747.85933</v>
      </c>
      <c r="H8446" s="25" t="n">
        <f aca="false">H8445-H8447</f>
        <v>732.9021434</v>
      </c>
      <c r="I8446" s="25" t="n">
        <f aca="false">I8445-I8447</f>
        <v>725.573121966</v>
      </c>
      <c r="J8446" s="25" t="n">
        <f aca="false">J8445-J8447</f>
        <v>725.573121966</v>
      </c>
      <c r="K8446" s="25" t="n">
        <f aca="false">K8445-K8447</f>
        <v>725.573121966</v>
      </c>
    </row>
    <row r="8447" customFormat="false" ht="15" hidden="false" customHeight="false" outlineLevel="0" collapsed="false">
      <c r="A8447" s="2" t="s">
        <v>286</v>
      </c>
      <c r="G8447" s="16" t="n">
        <f aca="false">G8443*G8441</f>
        <v>261.4537224</v>
      </c>
      <c r="H8447" s="16" t="n">
        <f aca="false">H8443*H8441</f>
        <v>234.872593956</v>
      </c>
      <c r="I8447" s="16" t="n">
        <f aca="false">I8443*I8441</f>
        <v>221.95460128842</v>
      </c>
      <c r="J8447" s="16" t="n">
        <f aca="false">J8443*J8441</f>
        <v>211.3853345604</v>
      </c>
      <c r="K8447" s="16" t="n">
        <f aca="false">K8443*K8441</f>
        <v>211.3853345604</v>
      </c>
    </row>
    <row r="8448" customFormat="false" ht="15" hidden="false" customHeight="false" outlineLevel="0" collapsed="false">
      <c r="A8448" s="3" t="s">
        <v>287</v>
      </c>
      <c r="G8448" s="25" t="n">
        <f aca="false">G8443*'Historical Financials'!G28/'Historical Financials'!G23</f>
        <v>82.73712</v>
      </c>
      <c r="H8448" s="25" t="n">
        <f aca="false">H8443*'Historical Financials'!G28/'Historical Financials'!G23</f>
        <v>81.0823776</v>
      </c>
      <c r="I8448" s="25" t="n">
        <f aca="false">I8443*'Historical Financials'!G28/'Historical Financials'!G23</f>
        <v>80.271553824</v>
      </c>
      <c r="J8448" s="25" t="n">
        <f aca="false">J8443*'Historical Financials'!G28/'Historical Financials'!G23</f>
        <v>80.271553824</v>
      </c>
      <c r="K8448" s="25" t="n">
        <f aca="false">K8443*'Historical Financials'!G28/'Historical Financials'!G23</f>
        <v>80.271553824</v>
      </c>
    </row>
    <row r="8449" customFormat="false" ht="15" hidden="false" customHeight="false" outlineLevel="0" collapsed="false">
      <c r="A8449" s="3" t="s">
        <v>288</v>
      </c>
      <c r="G8449" s="25" t="n">
        <f aca="false">G8443*'Historical Financials'!G29/'Historical Financials'!G23</f>
        <v>23.62532</v>
      </c>
      <c r="H8449" s="25" t="n">
        <f aca="false">H8443*'Historical Financials'!G29/'Historical Financials'!G23</f>
        <v>23.1528136</v>
      </c>
      <c r="I8449" s="25" t="n">
        <f aca="false">I8443*'Historical Financials'!G29/'Historical Financials'!G23</f>
        <v>22.921285464</v>
      </c>
      <c r="J8449" s="25" t="n">
        <f aca="false">J8443*'Historical Financials'!G29/'Historical Financials'!G23</f>
        <v>22.921285464</v>
      </c>
      <c r="K8449" s="25" t="n">
        <f aca="false">K8443*'Historical Financials'!G29/'Historical Financials'!G23</f>
        <v>22.921285464</v>
      </c>
    </row>
    <row r="8450" customFormat="false" ht="15" hidden="false" customHeight="false" outlineLevel="0" collapsed="false">
      <c r="A8450" s="2" t="s">
        <v>289</v>
      </c>
      <c r="G8450" s="16" t="n">
        <f aca="false">G8447-G8448-G8449</f>
        <v>155.0912824</v>
      </c>
      <c r="H8450" s="16" t="n">
        <f aca="false">H8447-H8448-H8449</f>
        <v>130.637402756</v>
      </c>
      <c r="I8450" s="16" t="n">
        <f aca="false">I8447-I8448-I8449</f>
        <v>118.76176200042</v>
      </c>
      <c r="J8450" s="16" t="n">
        <f aca="false">J8447-J8448-J8449</f>
        <v>108.1924952724</v>
      </c>
      <c r="K8450" s="16" t="n">
        <f aca="false">K8447-K8448-K8449</f>
        <v>108.1924952724</v>
      </c>
    </row>
    <row r="8451" customFormat="false" ht="15" hidden="false" customHeight="false" outlineLevel="0" collapsed="false">
      <c r="A8451" s="3" t="s">
        <v>290</v>
      </c>
      <c r="G8451" s="25" t="n">
        <f aca="false">G8477+G8490+G8503</f>
        <v>155.95467</v>
      </c>
      <c r="H8451" s="25" t="n">
        <f aca="false">H8477+H8490+H8503</f>
        <v>155.95467</v>
      </c>
      <c r="I8451" s="25" t="n">
        <f aca="false">I8477+I8490+I8503</f>
        <v>155.95467</v>
      </c>
      <c r="J8451" s="25" t="n">
        <f aca="false">J8477+J8490+J8503</f>
        <v>138.08529</v>
      </c>
      <c r="K8451" s="25" t="n">
        <f aca="false">K8477+K8490+K8503</f>
        <v>138.08529</v>
      </c>
    </row>
    <row r="8452" customFormat="false" ht="15" hidden="false" customHeight="false" outlineLevel="0" collapsed="false">
      <c r="A8452" s="3" t="s">
        <v>291</v>
      </c>
      <c r="G8452" s="25" t="n">
        <f aca="false">G8478+G8491+G8504</f>
        <v>0</v>
      </c>
      <c r="H8452" s="25" t="n">
        <f aca="false">H8478+H8491+H8504</f>
        <v>0</v>
      </c>
      <c r="I8452" s="25" t="n">
        <f aca="false">I8478+I8491+I8504</f>
        <v>0</v>
      </c>
      <c r="J8452" s="25" t="n">
        <f aca="false">J8478+J8491+J8504</f>
        <v>0</v>
      </c>
      <c r="K8452" s="25" t="n">
        <f aca="false">K8478+K8491+K8504</f>
        <v>0</v>
      </c>
    </row>
    <row r="8453" customFormat="false" ht="15" hidden="false" customHeight="false" outlineLevel="0" collapsed="false">
      <c r="A8453" s="3" t="s">
        <v>239</v>
      </c>
      <c r="G8453" s="25" t="n">
        <f aca="false">G8451+G8452</f>
        <v>155.95467</v>
      </c>
      <c r="H8453" s="25" t="n">
        <f aca="false">H8451+H8452</f>
        <v>155.95467</v>
      </c>
      <c r="I8453" s="25" t="n">
        <f aca="false">I8451+I8452</f>
        <v>155.95467</v>
      </c>
      <c r="J8453" s="25" t="n">
        <f aca="false">J8451+J8452</f>
        <v>138.08529</v>
      </c>
      <c r="K8453" s="25" t="n">
        <f aca="false">K8451+K8452</f>
        <v>138.08529</v>
      </c>
    </row>
    <row r="8454" customFormat="false" ht="15" hidden="false" customHeight="false" outlineLevel="0" collapsed="false">
      <c r="A8454" s="2" t="s">
        <v>264</v>
      </c>
      <c r="G8454" s="16" t="n">
        <f aca="false">G8450-G8453</f>
        <v>-0.863387600000038</v>
      </c>
      <c r="H8454" s="16" t="n">
        <f aca="false">H8450-H8453</f>
        <v>-25.3172672440001</v>
      </c>
      <c r="I8454" s="16" t="n">
        <f aca="false">I8450-I8453</f>
        <v>-37.19290799958</v>
      </c>
      <c r="J8454" s="16" t="n">
        <f aca="false">J8450-J8453</f>
        <v>-29.8927947276</v>
      </c>
      <c r="K8454" s="16" t="n">
        <f aca="false">K8450-K8453</f>
        <v>-29.8927947276</v>
      </c>
    </row>
    <row r="8455" customFormat="false" ht="15" hidden="false" customHeight="false" outlineLevel="0" collapsed="false">
      <c r="A8455" s="3" t="s">
        <v>292</v>
      </c>
      <c r="G8455" s="25" t="n">
        <f aca="false">MAX(0,G8454)*Assumptions!$C$9</f>
        <v>0</v>
      </c>
      <c r="H8455" s="25" t="n">
        <f aca="false">MAX(0,H8454)*Assumptions!$C$9</f>
        <v>0</v>
      </c>
      <c r="I8455" s="25" t="n">
        <f aca="false">MAX(0,I8454)*Assumptions!$C$9</f>
        <v>0</v>
      </c>
      <c r="J8455" s="25" t="n">
        <f aca="false">MAX(0,J8454)*Assumptions!$C$9</f>
        <v>0</v>
      </c>
      <c r="K8455" s="25" t="n">
        <f aca="false">MAX(0,K8454)*Assumptions!$C$9</f>
        <v>0</v>
      </c>
    </row>
    <row r="8456" customFormat="false" ht="15" hidden="false" customHeight="false" outlineLevel="0" collapsed="false">
      <c r="A8456" s="2" t="s">
        <v>293</v>
      </c>
      <c r="G8456" s="16" t="n">
        <f aca="false">G8454-G8455</f>
        <v>-0.863387600000038</v>
      </c>
      <c r="H8456" s="16" t="n">
        <f aca="false">H8454-H8455</f>
        <v>-25.3172672440001</v>
      </c>
      <c r="I8456" s="16" t="n">
        <f aca="false">I8454-I8455</f>
        <v>-37.19290799958</v>
      </c>
      <c r="J8456" s="16" t="n">
        <f aca="false">J8454-J8455</f>
        <v>-29.8927947276</v>
      </c>
      <c r="K8456" s="16" t="n">
        <f aca="false">K8454-K8455</f>
        <v>-29.8927947276</v>
      </c>
    </row>
    <row r="8457" customFormat="false" ht="15" hidden="false" customHeight="false" outlineLevel="0" collapsed="false">
      <c r="A8457" s="23" t="s">
        <v>294</v>
      </c>
      <c r="B8457" s="24"/>
      <c r="C8457" s="24"/>
      <c r="D8457" s="24"/>
      <c r="E8457" s="24"/>
      <c r="F8457" s="24"/>
      <c r="G8457" s="24"/>
      <c r="H8457" s="24"/>
      <c r="I8457" s="24"/>
      <c r="J8457" s="24"/>
      <c r="K8457" s="24"/>
    </row>
    <row r="8458" customFormat="false" ht="15" hidden="false" customHeight="false" outlineLevel="0" collapsed="false">
      <c r="A8458" s="3" t="s">
        <v>169</v>
      </c>
      <c r="G8458" s="25" t="n">
        <f aca="false">G8443*CHOOSE($C$8430,Assumptions!$C$75,Assumptions!$C$94,Assumptions!$C$113)</f>
        <v>28.32415326</v>
      </c>
      <c r="H8458" s="25" t="n">
        <f aca="false">H8443*CHOOSE($C$8430,Assumptions!$C$75,Assumptions!$C$94,Assumptions!$C$113)</f>
        <v>27.7576701948</v>
      </c>
      <c r="I8458" s="25" t="n">
        <f aca="false">I8443*CHOOSE($C$8430,Assumptions!$C$75,Assumptions!$C$94,Assumptions!$C$113)</f>
        <v>27.480093492852</v>
      </c>
      <c r="J8458" s="25" t="n">
        <f aca="false">J8443*CHOOSE($C$8430,Assumptions!$C$75,Assumptions!$C$94,Assumptions!$C$113)</f>
        <v>27.480093492852</v>
      </c>
      <c r="K8458" s="25" t="n">
        <f aca="false">K8443*CHOOSE($C$8430,Assumptions!$C$75,Assumptions!$C$94,Assumptions!$C$113)</f>
        <v>27.480093492852</v>
      </c>
    </row>
    <row r="8459" customFormat="false" ht="15" hidden="false" customHeight="false" outlineLevel="0" collapsed="false">
      <c r="A8459" s="3" t="s">
        <v>295</v>
      </c>
      <c r="G8459" s="25" t="n">
        <f aca="false">CHOOSE($C$8430,Assumptions!$C$76,Assumptions!$C$95,Assumptions!$C$114)*(G8443-F8443)+CHOOSE($C$8430,Assumptions!$C$77,Assumptions!$C$96,Assumptions!$C$115)*G8443</f>
        <v>10.8939051</v>
      </c>
      <c r="H8459" s="25" t="n">
        <f aca="false">CHOOSE($C$8430,Assumptions!$C$76,Assumptions!$C$95,Assumptions!$C$114)*(H8443-G8443)+CHOOSE($C$8430,Assumptions!$C$77,Assumptions!$C$96,Assumptions!$C$115)*H8443</f>
        <v>10.676026998</v>
      </c>
      <c r="I8459" s="25" t="n">
        <f aca="false">CHOOSE($C$8430,Assumptions!$C$76,Assumptions!$C$95,Assumptions!$C$114)*(I8443-H8443)+CHOOSE($C$8430,Assumptions!$C$77,Assumptions!$C$96,Assumptions!$C$115)*I8443</f>
        <v>10.56926672802</v>
      </c>
      <c r="J8459" s="25" t="n">
        <f aca="false">CHOOSE($C$8430,Assumptions!$C$76,Assumptions!$C$95,Assumptions!$C$114)*(J8443-I8443)+CHOOSE($C$8430,Assumptions!$C$77,Assumptions!$C$96,Assumptions!$C$115)*J8443</f>
        <v>10.56926672802</v>
      </c>
      <c r="K8459" s="25" t="n">
        <f aca="false">CHOOSE($C$8430,Assumptions!$C$76,Assumptions!$C$95,Assumptions!$C$114)*(K8443-J8443)+CHOOSE($C$8430,Assumptions!$C$77,Assumptions!$C$96,Assumptions!$C$115)*K8443</f>
        <v>10.56926672802</v>
      </c>
    </row>
    <row r="8460" customFormat="false" ht="15" hidden="false" customHeight="false" outlineLevel="0" collapsed="false">
      <c r="A8460" s="2" t="s">
        <v>296</v>
      </c>
      <c r="G8460" s="16" t="n">
        <f aca="false">G8456+G8448+G8449+G8452-G8458-G8459</f>
        <v>66.28099404</v>
      </c>
      <c r="H8460" s="16" t="n">
        <f aca="false">H8456+H8448+H8449+H8452-H8458-H8459</f>
        <v>40.4842267632</v>
      </c>
      <c r="I8460" s="16" t="n">
        <f aca="false">I8456+I8448+I8449+I8452-I8458-I8459</f>
        <v>27.950571067548</v>
      </c>
      <c r="J8460" s="16" t="n">
        <f aca="false">J8456+J8448+J8449+J8452-J8458-J8459</f>
        <v>35.250684339528</v>
      </c>
      <c r="K8460" s="16" t="n">
        <f aca="false">K8456+K8448+K8449+K8452-K8458-K8459</f>
        <v>35.250684339528</v>
      </c>
    </row>
    <row r="8462" customFormat="false" ht="15" hidden="false" customHeight="false" outlineLevel="0" collapsed="false">
      <c r="A8462" s="23" t="s">
        <v>298</v>
      </c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</row>
    <row r="8463" customFormat="false" ht="15" hidden="false" customHeight="false" outlineLevel="0" collapsed="false">
      <c r="A8463" s="3" t="s">
        <v>299</v>
      </c>
      <c r="G8463" s="30" t="n">
        <f aca="false">Assumptions!$G$52</f>
        <v>0.039</v>
      </c>
      <c r="H8463" s="30" t="n">
        <f aca="false">Assumptions!$H$52</f>
        <v>0.0375</v>
      </c>
      <c r="I8463" s="30" t="n">
        <f aca="false">Assumptions!$I$52</f>
        <v>0.035</v>
      </c>
      <c r="J8463" s="30" t="n">
        <f aca="false">Assumptions!$J$52</f>
        <v>0.035</v>
      </c>
      <c r="K8463" s="30" t="n">
        <f aca="false">Assumptions!$K$52</f>
        <v>0.035</v>
      </c>
    </row>
    <row r="8464" customFormat="false" ht="15" hidden="false" customHeight="false" outlineLevel="0" collapsed="false">
      <c r="A8464" s="3" t="s">
        <v>300</v>
      </c>
      <c r="C8464" s="31" t="n">
        <f aca="false">CHOOSE($C$8430,Assumptions!$C$78,Assumptions!$C$97,Assumptions!$C$116)+$C$8433</f>
        <v>0.015</v>
      </c>
    </row>
    <row r="8465" customFormat="false" ht="15" hidden="false" customHeight="false" outlineLevel="0" collapsed="false">
      <c r="A8465" s="3" t="s">
        <v>301</v>
      </c>
      <c r="C8465" s="31" t="n">
        <f aca="false">CHOOSE($C$8430,Assumptions!$C$79,Assumptions!$C$98,Assumptions!$C$117)</f>
        <v>0.13</v>
      </c>
    </row>
    <row r="8466" customFormat="false" ht="15" hidden="false" customHeight="false" outlineLevel="0" collapsed="false">
      <c r="A8466" s="3" t="s">
        <v>302</v>
      </c>
      <c r="C8466" s="32" t="n">
        <f aca="false">CHOOSE($C$8430,Assumptions!$C$80,Assumptions!$C$99,Assumptions!$C$118)</f>
        <v>5.5</v>
      </c>
    </row>
    <row r="8467" customFormat="false" ht="15" hidden="false" customHeight="false" outlineLevel="0" collapsed="false">
      <c r="A8467" s="3" t="s">
        <v>303</v>
      </c>
      <c r="C8467" s="32" t="n">
        <f aca="false">CHOOSE($C$8430,Assumptions!$C$81,Assumptions!$C$100,Assumptions!$C$119)</f>
        <v>1.5</v>
      </c>
    </row>
    <row r="8468" customFormat="false" ht="15" hidden="false" customHeight="false" outlineLevel="0" collapsed="false">
      <c r="A8468" s="3" t="s">
        <v>304</v>
      </c>
      <c r="G8468" s="25" t="n">
        <f aca="false">G8473+G8486+G8499</f>
        <v>1735.554</v>
      </c>
      <c r="H8468" s="25" t="n">
        <f aca="false">H8473+H8486+H8499</f>
        <v>1735.554</v>
      </c>
      <c r="I8468" s="25" t="n">
        <f aca="false">I8473+I8486+I8499</f>
        <v>1735.554</v>
      </c>
      <c r="J8468" s="25" t="n">
        <f aca="false">J8473+J8486+J8499</f>
        <v>1315.098</v>
      </c>
      <c r="K8468" s="25" t="n">
        <f aca="false">K8473+K8486+K8499</f>
        <v>1315.098</v>
      </c>
    </row>
    <row r="8469" customFormat="false" ht="15" hidden="false" customHeight="false" outlineLevel="0" collapsed="false">
      <c r="A8469" s="3" t="s">
        <v>305</v>
      </c>
      <c r="G8469" s="25" t="n">
        <f aca="false">F8542</f>
        <v>463.996</v>
      </c>
      <c r="H8469" s="25" t="n">
        <f aca="false">G8542</f>
        <v>530.27699404</v>
      </c>
      <c r="I8469" s="25" t="n">
        <f aca="false">H8542</f>
        <v>570.7612208032</v>
      </c>
      <c r="J8469" s="25" t="n">
        <f aca="false">I8542</f>
        <v>178.255791870748</v>
      </c>
      <c r="K8469" s="25" t="n">
        <f aca="false">J8542</f>
        <v>213.506476210276</v>
      </c>
    </row>
    <row r="8470" customFormat="false" ht="15" hidden="false" customHeight="false" outlineLevel="0" collapsed="false">
      <c r="A8470" s="3" t="s">
        <v>306</v>
      </c>
      <c r="G8470" s="25" t="n">
        <f aca="false">G8473*IF(G8474=1,$C$8465,IF(Assumptions!$I$56=1,MAX(G8463,Assumptions!$G$56)+Assumptions!$F$56+$C$8464,Assumptions!$E$56))+G8486*IF(G8487=1,$C$8465,IF(Assumptions!$I$57=1,MAX(G8463,Assumptions!$G$57)+Assumptions!$F$57+$C$8464,Assumptions!$E$57))+G8499*IF(G8500=1,$C$8465,IF(Assumptions!$I$58=1,MAX(G8463,Assumptions!$G$58)+Assumptions!$F$58+$C$8464,Assumptions!$E$58))</f>
        <v>155.95467</v>
      </c>
      <c r="H8470" s="25" t="n">
        <f aca="false">H8473*IF(OR(H8474=1,G8620=1),$C$8465,IF(Assumptions!$I$56=1,MAX(H8463,Assumptions!$G$56)+Assumptions!$F$56+$C$8464,Assumptions!$E$56))+H8486*IF(OR(H8487=1,G8621=1),$C$8465,IF(Assumptions!$I$57=1,MAX(H8463,Assumptions!$G$57)+Assumptions!$F$57+$C$8464,Assumptions!$E$57))+H8499*IF(OR(H8500=1,G8622=1),$C$8465,IF(Assumptions!$I$58=1,MAX(H8463,Assumptions!$G$58)+Assumptions!$F$58+$C$8464,Assumptions!$E$58))</f>
        <v>155.95467</v>
      </c>
      <c r="I8470" s="25" t="n">
        <f aca="false">I8473*IF(OR(I8474=1,H8620=1),$C$8465,IF(Assumptions!$I$56=1,MAX(I8463,Assumptions!$G$56)+Assumptions!$F$56+$C$8464,Assumptions!$E$56))+I8486*IF(OR(I8487=1,H8621=1),$C$8465,IF(Assumptions!$I$57=1,MAX(I8463,Assumptions!$G$57)+Assumptions!$F$57+$C$8464,Assumptions!$E$57))+I8499*IF(OR(I8500=1,H8622=1),$C$8465,IF(Assumptions!$I$58=1,MAX(I8463,Assumptions!$G$58)+Assumptions!$F$58+$C$8464,Assumptions!$E$58))</f>
        <v>192.74457</v>
      </c>
      <c r="J8470" s="25" t="n">
        <f aca="false">J8473*IF(OR(J8474=1,I8620=1),$C$8465,IF(Assumptions!$I$56=1,MAX(J8463,Assumptions!$G$56)+Assumptions!$F$56+$C$8464,Assumptions!$E$56))+J8486*IF(OR(J8487=1,I8621=1),$C$8465,IF(Assumptions!$I$57=1,MAX(J8463,Assumptions!$G$57)+Assumptions!$F$57+$C$8464,Assumptions!$E$57))+J8499*IF(OR(J8500=1,I8622=1),$C$8465,IF(Assumptions!$I$58=1,MAX(J8463,Assumptions!$G$58)+Assumptions!$F$58+$C$8464,Assumptions!$E$58))</f>
        <v>138.08529</v>
      </c>
      <c r="K8470" s="25" t="n">
        <f aca="false">K8473*IF(OR(K8474=1,J8620=1),$C$8465,IF(Assumptions!$I$56=1,MAX(K8463,Assumptions!$G$56)+Assumptions!$F$56+$C$8464,Assumptions!$E$56))+K8486*IF(OR(K8487=1,J8621=1),$C$8465,IF(Assumptions!$I$57=1,MAX(K8463,Assumptions!$G$57)+Assumptions!$F$57+$C$8464,Assumptions!$E$57))+K8499*IF(OR(K8500=1,J8622=1),$C$8465,IF(Assumptions!$I$58=1,MAX(K8463,Assumptions!$G$58)+Assumptions!$F$58+$C$8464,Assumptions!$E$58))</f>
        <v>138.08529</v>
      </c>
    </row>
    <row r="8471" customFormat="false" ht="15" hidden="false" customHeight="false" outlineLevel="0" collapsed="false">
      <c r="A8471" s="3" t="s">
        <v>307</v>
      </c>
      <c r="G8471" s="20" t="n">
        <f aca="false">IF(G8447&lt;=0,0,IF(AND((G8468-G8469)/G8447&lt;=$C$8466,G8447/G8470&gt;=$C$8467),1,0))</f>
        <v>1</v>
      </c>
      <c r="H8471" s="20" t="n">
        <f aca="false">IF(H8447&lt;=0,0,IF(AND((H8468-H8469)/H8447&lt;=$C$8466,H8447/H8470&gt;=$C$8467),1,0))</f>
        <v>1</v>
      </c>
      <c r="I8471" s="20" t="n">
        <f aca="false">IF(I8447&lt;=0,0,IF(AND((I8468-I8469)/I8447&lt;=$C$8466,I8447/I8470&gt;=$C$8467),1,0))</f>
        <v>0</v>
      </c>
      <c r="J8471" s="20" t="n">
        <f aca="false">IF(J8447&lt;=0,0,IF(AND((J8468-J8469)/J8447&lt;=$C$8466,J8447/J8470&gt;=$C$8467),1,0))</f>
        <v>1</v>
      </c>
      <c r="K8471" s="20" t="n">
        <f aca="false">IF(K8447&lt;=0,0,IF(AND((K8468-K8469)/K8447&lt;=$C$8466,K8447/K8470&gt;=$C$8467),1,0))</f>
        <v>1</v>
      </c>
    </row>
    <row r="8472" customFormat="false" ht="15" hidden="false" customHeight="false" outlineLevel="0" collapsed="false">
      <c r="A8472" s="23" t="s">
        <v>308</v>
      </c>
      <c r="B8472" s="24"/>
      <c r="C8472" s="24"/>
      <c r="D8472" s="24"/>
      <c r="E8472" s="24"/>
      <c r="F8472" s="24"/>
      <c r="G8472" s="24"/>
      <c r="H8472" s="24"/>
      <c r="I8472" s="24"/>
      <c r="J8472" s="24"/>
      <c r="K8472" s="24"/>
    </row>
    <row r="8473" customFormat="false" ht="15" hidden="false" customHeight="false" outlineLevel="0" collapsed="false">
      <c r="A8473" s="3" t="s">
        <v>309</v>
      </c>
      <c r="G8473" s="25" t="n">
        <f aca="false">F8484</f>
        <v>1315.098</v>
      </c>
      <c r="H8473" s="25" t="n">
        <f aca="false">G8484</f>
        <v>1315.098</v>
      </c>
      <c r="I8473" s="25" t="n">
        <f aca="false">H8484</f>
        <v>1315.098</v>
      </c>
      <c r="J8473" s="25" t="n">
        <f aca="false">I8484</f>
        <v>1315.098</v>
      </c>
      <c r="K8473" s="25" t="n">
        <f aca="false">J8484</f>
        <v>1315.098</v>
      </c>
    </row>
    <row r="8474" customFormat="false" ht="15" hidden="false" customHeight="false" outlineLevel="0" collapsed="false">
      <c r="A8474" s="3" t="s">
        <v>310</v>
      </c>
      <c r="G8474" s="20" t="n">
        <f aca="false">IF(G8437=Assumptions!$K$56,1,0)</f>
        <v>0</v>
      </c>
      <c r="H8474" s="20" t="n">
        <f aca="false">IF(H8437=Assumptions!$K$56,1,0)</f>
        <v>0</v>
      </c>
      <c r="I8474" s="20" t="n">
        <f aca="false">IF(I8437=Assumptions!$K$56,1,0)</f>
        <v>0</v>
      </c>
      <c r="J8474" s="20" t="n">
        <f aca="false">IF(J8437=Assumptions!$K$56,1,0)</f>
        <v>0</v>
      </c>
      <c r="K8474" s="20" t="n">
        <f aca="false">IF(K8437=Assumptions!$K$56,1,0)</f>
        <v>0</v>
      </c>
    </row>
    <row r="8476" customFormat="false" ht="15" hidden="false" customHeight="false" outlineLevel="0" collapsed="false">
      <c r="A8476" s="3" t="s">
        <v>311</v>
      </c>
      <c r="G8476" s="31" t="n">
        <f aca="false">IF(Assumptions!$I$56=1,MAX(G8463,Assumptions!$G$56)+Assumptions!$F$56+$C$8464,Assumptions!$E$56)</f>
        <v>0.105</v>
      </c>
      <c r="H8476" s="31" t="n">
        <f aca="false">IF(G8620=1,$C$8465,IF(Assumptions!$I$56=1,MAX(H8463,Assumptions!$G$56)+Assumptions!$F$56+$C$8464,Assumptions!$E$56))</f>
        <v>0.105</v>
      </c>
      <c r="I8476" s="31" t="n">
        <f aca="false">IF(H8620=1,$C$8465,IF(Assumptions!$I$56=1,MAX(I8463,Assumptions!$G$56)+Assumptions!$F$56+$C$8464,Assumptions!$E$56))</f>
        <v>0.105</v>
      </c>
      <c r="J8476" s="31" t="n">
        <f aca="false">IF(I8620=1,$C$8465,IF(Assumptions!$I$56=1,MAX(J8463,Assumptions!$G$56)+Assumptions!$F$56+$C$8464,Assumptions!$E$56))</f>
        <v>0.105</v>
      </c>
      <c r="K8476" s="31" t="n">
        <f aca="false">IF(J8620=1,$C$8465,IF(Assumptions!$I$56=1,MAX(K8463,Assumptions!$G$56)+Assumptions!$F$56+$C$8464,Assumptions!$E$56))</f>
        <v>0.105</v>
      </c>
    </row>
    <row r="8477" customFormat="false" ht="15" hidden="false" customHeight="false" outlineLevel="0" collapsed="false">
      <c r="A8477" s="3" t="s">
        <v>312</v>
      </c>
      <c r="G8477" s="25" t="n">
        <f aca="false">G8473*G8476</f>
        <v>138.08529</v>
      </c>
      <c r="H8477" s="25" t="n">
        <f aca="false">H8473*H8476</f>
        <v>138.08529</v>
      </c>
      <c r="I8477" s="25" t="n">
        <f aca="false">I8473*I8476</f>
        <v>138.08529</v>
      </c>
      <c r="J8477" s="25" t="n">
        <f aca="false">J8473*J8476</f>
        <v>138.08529</v>
      </c>
      <c r="K8477" s="25" t="n">
        <f aca="false">K8473*K8476</f>
        <v>138.08529</v>
      </c>
    </row>
    <row r="8478" customFormat="false" ht="15" hidden="false" customHeight="false" outlineLevel="0" collapsed="false">
      <c r="A8478" s="3" t="s">
        <v>313</v>
      </c>
      <c r="G8478" s="25" t="n">
        <f aca="false">G8473*Assumptions!$H$56</f>
        <v>0</v>
      </c>
      <c r="H8478" s="25" t="n">
        <f aca="false">H8473*Assumptions!$H$56</f>
        <v>0</v>
      </c>
      <c r="I8478" s="25" t="n">
        <f aca="false">I8473*Assumptions!$H$56</f>
        <v>0</v>
      </c>
      <c r="J8478" s="25" t="n">
        <f aca="false">J8473*Assumptions!$H$56</f>
        <v>0</v>
      </c>
      <c r="K8478" s="25" t="n">
        <f aca="false">K8473*Assumptions!$H$56</f>
        <v>0</v>
      </c>
    </row>
    <row r="8479" customFormat="false" ht="15" hidden="false" customHeight="false" outlineLevel="0" collapsed="false">
      <c r="A8479" s="3" t="s">
        <v>314</v>
      </c>
      <c r="G8479" s="25" t="n">
        <f aca="false">MIN(G8473,Assumptions!$L$56*Assumptions!$C$56)</f>
        <v>0</v>
      </c>
      <c r="H8479" s="25" t="n">
        <f aca="false">MIN(H8473,Assumptions!$L$56*Assumptions!$C$56)</f>
        <v>0</v>
      </c>
      <c r="I8479" s="25" t="n">
        <f aca="false">MIN(I8473,Assumptions!$L$56*Assumptions!$C$56)</f>
        <v>0</v>
      </c>
      <c r="J8479" s="25" t="n">
        <f aca="false">MIN(J8473,Assumptions!$L$56*Assumptions!$C$56)</f>
        <v>0</v>
      </c>
      <c r="K8479" s="25" t="n">
        <f aca="false">MIN(K8473,Assumptions!$L$56*Assumptions!$C$56)</f>
        <v>0</v>
      </c>
    </row>
    <row r="8480" customFormat="false" ht="15" hidden="false" customHeight="false" outlineLevel="0" collapsed="false">
      <c r="A8480" s="3" t="s">
        <v>315</v>
      </c>
      <c r="G8480" s="25" t="n">
        <f aca="false">IF(AND(Assumptions!$P$56=1,G8437&lt;Assumptions!$K$56),MIN(MAX(0,-G8534),MAX(0,Assumptions!$D$56-G8473)),0)</f>
        <v>0</v>
      </c>
      <c r="H8480" s="25" t="n">
        <f aca="false">IF(AND(Assumptions!$P$56=1,OR(H8437&lt;Assumptions!$K$56,G8620=1)),MIN(MAX(0,-H8534),MAX(0,Assumptions!$D$56-H8473)),0)</f>
        <v>0</v>
      </c>
      <c r="I8480" s="25" t="n">
        <f aca="false">IF(AND(Assumptions!$P$56=1,OR(I8437&lt;Assumptions!$K$56,H8620=1)),MIN(MAX(0,-I8534),MAX(0,Assumptions!$D$56-I8473)),0)</f>
        <v>0</v>
      </c>
      <c r="J8480" s="25" t="n">
        <f aca="false">IF(AND(Assumptions!$P$56=1,OR(J8437&lt;Assumptions!$K$56,I8620=1)),MIN(MAX(0,-J8534),MAX(0,Assumptions!$D$56-J8473)),0)</f>
        <v>0</v>
      </c>
      <c r="K8480" s="25" t="n">
        <f aca="false">IF(AND(Assumptions!$P$56=1,OR(K8437&lt;Assumptions!$K$56,J8620=1)),MIN(MAX(0,-K8534),MAX(0,Assumptions!$D$56-K8473)),0)</f>
        <v>0</v>
      </c>
    </row>
    <row r="8481" customFormat="false" ht="15" hidden="false" customHeight="false" outlineLevel="0" collapsed="false">
      <c r="A8481" s="3" t="s">
        <v>316</v>
      </c>
      <c r="G8481" s="25" t="n">
        <f aca="false">G8474*MIN(G8473-G8479+G8478,MAX(0,G8536-Assumptions!$C$12*G8471))</f>
        <v>0</v>
      </c>
      <c r="H8481" s="25" t="n">
        <f aca="false">H8474*MIN(H8473-H8479+H8478,MAX(0,H8536-Assumptions!$C$12*H8471))</f>
        <v>0</v>
      </c>
      <c r="I8481" s="25" t="n">
        <f aca="false">I8474*MIN(I8473-I8479+I8478,MAX(0,I8536-Assumptions!$C$12*I8471))</f>
        <v>0</v>
      </c>
      <c r="J8481" s="25" t="n">
        <f aca="false">J8474*MIN(J8473-J8479+J8478,MAX(0,J8536-Assumptions!$C$12*J8471))</f>
        <v>0</v>
      </c>
      <c r="K8481" s="25" t="n">
        <f aca="false">K8474*MIN(K8473-K8479+K8478,MAX(0,K8536-Assumptions!$C$12*K8471))</f>
        <v>0</v>
      </c>
    </row>
    <row r="8482" customFormat="false" ht="15" hidden="false" customHeight="false" outlineLevel="0" collapsed="false">
      <c r="A8482" s="3" t="s">
        <v>317</v>
      </c>
      <c r="G8482" s="25" t="n">
        <f aca="false">Assumptions!$N$56*MIN(G8473+G8480+G8478-G8479-G8481,MAX(0,G8540))</f>
        <v>0</v>
      </c>
      <c r="H8482" s="25" t="n">
        <f aca="false">Assumptions!$N$56*MIN(H8473+H8480+H8478-H8479-H8481,MAX(0,H8540))</f>
        <v>0</v>
      </c>
      <c r="I8482" s="25" t="n">
        <f aca="false">Assumptions!$N$56*MIN(I8473+I8480+I8478-I8479-I8481,MAX(0,I8540))</f>
        <v>0</v>
      </c>
      <c r="J8482" s="25" t="n">
        <f aca="false">Assumptions!$N$56*MIN(J8473+J8480+J8478-J8479-J8481,MAX(0,J8540))</f>
        <v>0</v>
      </c>
      <c r="K8482" s="25" t="n">
        <f aca="false">Assumptions!$N$56*MIN(K8473+K8480+K8478-K8479-K8481,MAX(0,K8540))</f>
        <v>0</v>
      </c>
    </row>
    <row r="8483" customFormat="false" ht="15" hidden="false" customHeight="false" outlineLevel="0" collapsed="false">
      <c r="A8483" s="3" t="s">
        <v>318</v>
      </c>
      <c r="G8483" s="25" t="n">
        <f aca="false">G8474*(1-G8471)*(G8473-G8479+G8478-G8481)</f>
        <v>0</v>
      </c>
      <c r="H8483" s="25" t="n">
        <f aca="false">H8474*(1-H8471)*(H8473-H8479+H8478-H8481)</f>
        <v>0</v>
      </c>
      <c r="I8483" s="25" t="n">
        <f aca="false">I8474*(1-I8471)*(I8473-I8479+I8478-I8481)</f>
        <v>0</v>
      </c>
      <c r="J8483" s="25" t="n">
        <f aca="false">J8474*(1-J8471)*(J8473-J8479+J8478-J8481)</f>
        <v>0</v>
      </c>
      <c r="K8483" s="25" t="n">
        <f aca="false">K8474*(1-K8471)*(K8473-K8479+K8478-K8481)</f>
        <v>0</v>
      </c>
    </row>
    <row r="8484" customFormat="false" ht="15" hidden="false" customHeight="false" outlineLevel="0" collapsed="false">
      <c r="A8484" s="2" t="s">
        <v>319</v>
      </c>
      <c r="F8484" s="28" t="n">
        <f aca="false">Assumptions!$C$56</f>
        <v>1315.098</v>
      </c>
      <c r="G8484" s="16" t="n">
        <f aca="false">G8473+G8480+G8478-G8479-G8481-G8482</f>
        <v>1315.098</v>
      </c>
      <c r="H8484" s="16" t="n">
        <f aca="false">H8473+H8480+H8478-H8479-H8481-H8482</f>
        <v>1315.098</v>
      </c>
      <c r="I8484" s="16" t="n">
        <f aca="false">I8473+I8480+I8478-I8479-I8481-I8482</f>
        <v>1315.098</v>
      </c>
      <c r="J8484" s="16" t="n">
        <f aca="false">J8473+J8480+J8478-J8479-J8481-J8482</f>
        <v>1315.098</v>
      </c>
      <c r="K8484" s="16" t="n">
        <f aca="false">K8473+K8480+K8478-K8479-K8481-K8482</f>
        <v>1315.098</v>
      </c>
    </row>
    <row r="8485" customFormat="false" ht="15" hidden="false" customHeight="false" outlineLevel="0" collapsed="false">
      <c r="A8485" s="23" t="s">
        <v>320</v>
      </c>
      <c r="B8485" s="24"/>
      <c r="C8485" s="24"/>
      <c r="D8485" s="24"/>
      <c r="E8485" s="24"/>
      <c r="F8485" s="24"/>
      <c r="G8485" s="24"/>
      <c r="H8485" s="24"/>
      <c r="I8485" s="24"/>
      <c r="J8485" s="24"/>
      <c r="K8485" s="24"/>
    </row>
    <row r="8486" customFormat="false" ht="15" hidden="false" customHeight="false" outlineLevel="0" collapsed="false">
      <c r="A8486" s="3" t="s">
        <v>309</v>
      </c>
      <c r="G8486" s="25" t="n">
        <f aca="false">F8497</f>
        <v>276.706</v>
      </c>
      <c r="H8486" s="25" t="n">
        <f aca="false">G8497</f>
        <v>276.706</v>
      </c>
      <c r="I8486" s="25" t="n">
        <f aca="false">H8497</f>
        <v>276.706</v>
      </c>
      <c r="J8486" s="25" t="n">
        <f aca="false">I8497</f>
        <v>0</v>
      </c>
      <c r="K8486" s="25" t="n">
        <f aca="false">J8497</f>
        <v>0</v>
      </c>
    </row>
    <row r="8487" customFormat="false" ht="15" hidden="false" customHeight="false" outlineLevel="0" collapsed="false">
      <c r="A8487" s="3" t="s">
        <v>310</v>
      </c>
      <c r="G8487" s="20" t="n">
        <f aca="false">IF(G8437=Assumptions!$K$57,1,0)</f>
        <v>0</v>
      </c>
      <c r="H8487" s="20" t="n">
        <f aca="false">IF(H8437=Assumptions!$K$57,1,0)</f>
        <v>0</v>
      </c>
      <c r="I8487" s="20" t="n">
        <f aca="false">IF(I8437=Assumptions!$K$57,1,0)</f>
        <v>1</v>
      </c>
      <c r="J8487" s="20" t="n">
        <f aca="false">IF(J8437=Assumptions!$K$57,1,0)</f>
        <v>0</v>
      </c>
      <c r="K8487" s="20" t="n">
        <f aca="false">IF(K8437=Assumptions!$K$57,1,0)</f>
        <v>0</v>
      </c>
    </row>
    <row r="8489" customFormat="false" ht="15" hidden="false" customHeight="false" outlineLevel="0" collapsed="false">
      <c r="A8489" s="3" t="s">
        <v>311</v>
      </c>
      <c r="G8489" s="31" t="n">
        <f aca="false">IF(Assumptions!$I$57=1,MAX(G8463,Assumptions!$G$57)+Assumptions!$F$57+$C$8464,Assumptions!$E$57)</f>
        <v>0.0425</v>
      </c>
      <c r="H8489" s="31" t="n">
        <f aca="false">IF(G8621=1,$C$8465,IF(Assumptions!$I$57=1,MAX(H8463,Assumptions!$G$57)+Assumptions!$F$57+$C$8464,Assumptions!$E$57))</f>
        <v>0.0425</v>
      </c>
      <c r="I8489" s="31" t="n">
        <f aca="false">IF(H8621=1,$C$8465,IF(Assumptions!$I$57=1,MAX(I8463,Assumptions!$G$57)+Assumptions!$F$57+$C$8464,Assumptions!$E$57))</f>
        <v>0.0425</v>
      </c>
      <c r="J8489" s="31" t="n">
        <f aca="false">IF(I8621=1,$C$8465,IF(Assumptions!$I$57=1,MAX(J8463,Assumptions!$G$57)+Assumptions!$F$57+$C$8464,Assumptions!$E$57))</f>
        <v>0.0425</v>
      </c>
      <c r="K8489" s="31" t="n">
        <f aca="false">IF(J8621=1,$C$8465,IF(Assumptions!$I$57=1,MAX(K8463,Assumptions!$G$57)+Assumptions!$F$57+$C$8464,Assumptions!$E$57))</f>
        <v>0.0425</v>
      </c>
    </row>
    <row r="8490" customFormat="false" ht="15" hidden="false" customHeight="false" outlineLevel="0" collapsed="false">
      <c r="A8490" s="3" t="s">
        <v>312</v>
      </c>
      <c r="G8490" s="25" t="n">
        <f aca="false">G8486*G8489</f>
        <v>11.760005</v>
      </c>
      <c r="H8490" s="25" t="n">
        <f aca="false">H8486*H8489</f>
        <v>11.760005</v>
      </c>
      <c r="I8490" s="25" t="n">
        <f aca="false">I8486*I8489</f>
        <v>11.760005</v>
      </c>
      <c r="J8490" s="25" t="n">
        <f aca="false">J8486*J8489</f>
        <v>0</v>
      </c>
      <c r="K8490" s="25" t="n">
        <f aca="false">K8486*K8489</f>
        <v>0</v>
      </c>
    </row>
    <row r="8491" customFormat="false" ht="15" hidden="false" customHeight="false" outlineLevel="0" collapsed="false">
      <c r="A8491" s="3" t="s">
        <v>313</v>
      </c>
      <c r="G8491" s="25" t="n">
        <f aca="false">G8486*Assumptions!$H$57</f>
        <v>0</v>
      </c>
      <c r="H8491" s="25" t="n">
        <f aca="false">H8486*Assumptions!$H$57</f>
        <v>0</v>
      </c>
      <c r="I8491" s="25" t="n">
        <f aca="false">I8486*Assumptions!$H$57</f>
        <v>0</v>
      </c>
      <c r="J8491" s="25" t="n">
        <f aca="false">J8486*Assumptions!$H$57</f>
        <v>0</v>
      </c>
      <c r="K8491" s="25" t="n">
        <f aca="false">K8486*Assumptions!$H$57</f>
        <v>0</v>
      </c>
    </row>
    <row r="8492" customFormat="false" ht="15" hidden="false" customHeight="false" outlineLevel="0" collapsed="false">
      <c r="A8492" s="3" t="s">
        <v>314</v>
      </c>
      <c r="G8492" s="25" t="n">
        <f aca="false">MIN(G8486,Assumptions!$L$57*Assumptions!$C$57)</f>
        <v>0</v>
      </c>
      <c r="H8492" s="25" t="n">
        <f aca="false">MIN(H8486,Assumptions!$L$57*Assumptions!$C$57)</f>
        <v>0</v>
      </c>
      <c r="I8492" s="25" t="n">
        <f aca="false">MIN(I8486,Assumptions!$L$57*Assumptions!$C$57)</f>
        <v>0</v>
      </c>
      <c r="J8492" s="25" t="n">
        <f aca="false">MIN(J8486,Assumptions!$L$57*Assumptions!$C$57)</f>
        <v>0</v>
      </c>
      <c r="K8492" s="25" t="n">
        <f aca="false">MIN(K8486,Assumptions!$L$57*Assumptions!$C$57)</f>
        <v>0</v>
      </c>
    </row>
    <row r="8493" customFormat="false" ht="15" hidden="false" customHeight="false" outlineLevel="0" collapsed="false">
      <c r="A8493" s="3" t="s">
        <v>315</v>
      </c>
      <c r="G8493" s="25" t="n">
        <f aca="false">IF(AND(Assumptions!$P$57=1,G8437&lt;Assumptions!$K$57),MIN(MAX(0,-G8534),MAX(0,Assumptions!$D$57-G8486)),0)</f>
        <v>0</v>
      </c>
      <c r="H8493" s="25" t="n">
        <f aca="false">IF(AND(Assumptions!$P$57=1,OR(H8437&lt;Assumptions!$K$57,G8621=1)),MIN(MAX(0,-H8534),MAX(0,Assumptions!$D$57-H8486)),0)</f>
        <v>0</v>
      </c>
      <c r="I8493" s="25" t="n">
        <f aca="false">IF(AND(Assumptions!$P$57=1,OR(I8437&lt;Assumptions!$K$57,H8621=1)),MIN(MAX(0,-I8534),MAX(0,Assumptions!$D$57-I8486)),0)</f>
        <v>0</v>
      </c>
      <c r="J8493" s="25" t="n">
        <f aca="false">IF(AND(Assumptions!$P$57=1,OR(J8437&lt;Assumptions!$K$57,I8621=1)),MIN(MAX(0,-J8534),MAX(0,Assumptions!$D$57-J8486)),0)</f>
        <v>0</v>
      </c>
      <c r="K8493" s="25" t="n">
        <f aca="false">IF(AND(Assumptions!$P$57=1,OR(K8437&lt;Assumptions!$K$57,J8621=1)),MIN(MAX(0,-K8534),MAX(0,Assumptions!$D$57-K8486)),0)</f>
        <v>0</v>
      </c>
    </row>
    <row r="8494" customFormat="false" ht="15" hidden="false" customHeight="false" outlineLevel="0" collapsed="false">
      <c r="A8494" s="3" t="s">
        <v>316</v>
      </c>
      <c r="G8494" s="25" t="n">
        <f aca="false">G8487*MIN(G8486-G8492+G8491,MAX(0,G8536-Assumptions!$C$12*G8471-G8481))</f>
        <v>0</v>
      </c>
      <c r="H8494" s="25" t="n">
        <f aca="false">H8487*MIN(H8486-H8492+H8491,MAX(0,H8536-Assumptions!$C$12*H8471-H8481))</f>
        <v>0</v>
      </c>
      <c r="I8494" s="25" t="n">
        <f aca="false">I8487*MIN(I8486-I8492+I8491,MAX(0,I8536-Assumptions!$C$12*I8471-I8481))</f>
        <v>276.706</v>
      </c>
      <c r="J8494" s="25" t="n">
        <f aca="false">J8487*MIN(J8486-J8492+J8491,MAX(0,J8536-Assumptions!$C$12*J8471-J8481))</f>
        <v>0</v>
      </c>
      <c r="K8494" s="25" t="n">
        <f aca="false">K8487*MIN(K8486-K8492+K8491,MAX(0,K8536-Assumptions!$C$12*K8471-K8481))</f>
        <v>0</v>
      </c>
    </row>
    <row r="8495" customFormat="false" ht="15" hidden="false" customHeight="false" outlineLevel="0" collapsed="false">
      <c r="A8495" s="3" t="s">
        <v>317</v>
      </c>
      <c r="G8495" s="25" t="n">
        <f aca="false">Assumptions!$N$57*MIN(G8486+G8493+G8491-G8492-G8494,MAX(0,G8540-G8482))</f>
        <v>0</v>
      </c>
      <c r="H8495" s="25" t="n">
        <f aca="false">Assumptions!$N$57*MIN(H8486+H8493+H8491-H8492-H8494,MAX(0,H8540-H8482))</f>
        <v>0</v>
      </c>
      <c r="I8495" s="25" t="n">
        <f aca="false">Assumptions!$N$57*MIN(I8486+I8493+I8491-I8492-I8494,MAX(0,I8540-I8482))</f>
        <v>0</v>
      </c>
      <c r="J8495" s="25" t="n">
        <f aca="false">Assumptions!$N$57*MIN(J8486+J8493+J8491-J8492-J8494,MAX(0,J8540-J8482))</f>
        <v>0</v>
      </c>
      <c r="K8495" s="25" t="n">
        <f aca="false">Assumptions!$N$57*MIN(K8486+K8493+K8491-K8492-K8494,MAX(0,K8540-K8482))</f>
        <v>0</v>
      </c>
    </row>
    <row r="8496" customFormat="false" ht="15" hidden="false" customHeight="false" outlineLevel="0" collapsed="false">
      <c r="A8496" s="3" t="s">
        <v>318</v>
      </c>
      <c r="G8496" s="25" t="n">
        <f aca="false">G8487*(1-G8471)*(G8486-G8492+G8491-G8494)</f>
        <v>0</v>
      </c>
      <c r="H8496" s="25" t="n">
        <f aca="false">H8487*(1-H8471)*(H8486-H8492+H8491-H8494)</f>
        <v>0</v>
      </c>
      <c r="I8496" s="25" t="n">
        <f aca="false">I8487*(1-I8471)*(I8486-I8492+I8491-I8494)</f>
        <v>0</v>
      </c>
      <c r="J8496" s="25" t="n">
        <f aca="false">J8487*(1-J8471)*(J8486-J8492+J8491-J8494)</f>
        <v>0</v>
      </c>
      <c r="K8496" s="25" t="n">
        <f aca="false">K8487*(1-K8471)*(K8486-K8492+K8491-K8494)</f>
        <v>0</v>
      </c>
    </row>
    <row r="8497" customFormat="false" ht="15" hidden="false" customHeight="false" outlineLevel="0" collapsed="false">
      <c r="A8497" s="2" t="s">
        <v>319</v>
      </c>
      <c r="F8497" s="28" t="n">
        <f aca="false">Assumptions!$C$57</f>
        <v>276.706</v>
      </c>
      <c r="G8497" s="16" t="n">
        <f aca="false">G8486+G8493+G8491-G8492-G8494-G8495</f>
        <v>276.706</v>
      </c>
      <c r="H8497" s="16" t="n">
        <f aca="false">H8486+H8493+H8491-H8492-H8494-H8495</f>
        <v>276.706</v>
      </c>
      <c r="I8497" s="16" t="n">
        <f aca="false">I8486+I8493+I8491-I8492-I8494-I8495</f>
        <v>0</v>
      </c>
      <c r="J8497" s="16" t="n">
        <f aca="false">J8486+J8493+J8491-J8492-J8494-J8495</f>
        <v>0</v>
      </c>
      <c r="K8497" s="16" t="n">
        <f aca="false">K8486+K8493+K8491-K8492-K8494-K8495</f>
        <v>0</v>
      </c>
    </row>
    <row r="8498" customFormat="false" ht="15" hidden="false" customHeight="false" outlineLevel="0" collapsed="false">
      <c r="A8498" s="23" t="s">
        <v>321</v>
      </c>
      <c r="B8498" s="24"/>
      <c r="C8498" s="24"/>
      <c r="D8498" s="24"/>
      <c r="E8498" s="24"/>
      <c r="F8498" s="24"/>
      <c r="G8498" s="24"/>
      <c r="H8498" s="24"/>
      <c r="I8498" s="24"/>
      <c r="J8498" s="24"/>
      <c r="K8498" s="24"/>
    </row>
    <row r="8499" customFormat="false" ht="15" hidden="false" customHeight="false" outlineLevel="0" collapsed="false">
      <c r="A8499" s="3" t="s">
        <v>309</v>
      </c>
      <c r="G8499" s="25" t="n">
        <f aca="false">F8510</f>
        <v>143.75</v>
      </c>
      <c r="H8499" s="25" t="n">
        <f aca="false">G8510</f>
        <v>143.75</v>
      </c>
      <c r="I8499" s="25" t="n">
        <f aca="false">H8510</f>
        <v>143.75</v>
      </c>
      <c r="J8499" s="25" t="n">
        <f aca="false">I8510</f>
        <v>0</v>
      </c>
      <c r="K8499" s="25" t="n">
        <f aca="false">J8510</f>
        <v>0</v>
      </c>
    </row>
    <row r="8500" customFormat="false" ht="15" hidden="false" customHeight="false" outlineLevel="0" collapsed="false">
      <c r="A8500" s="3" t="s">
        <v>310</v>
      </c>
      <c r="G8500" s="20" t="n">
        <f aca="false">IF(G8437=Assumptions!$K$58,1,0)</f>
        <v>0</v>
      </c>
      <c r="H8500" s="20" t="n">
        <f aca="false">IF(H8437=Assumptions!$K$58,1,0)</f>
        <v>0</v>
      </c>
      <c r="I8500" s="20" t="n">
        <f aca="false">IF(I8437=Assumptions!$K$58,1,0)</f>
        <v>1</v>
      </c>
      <c r="J8500" s="20" t="n">
        <f aca="false">IF(J8437=Assumptions!$K$58,1,0)</f>
        <v>0</v>
      </c>
      <c r="K8500" s="20" t="n">
        <f aca="false">IF(K8437=Assumptions!$K$58,1,0)</f>
        <v>0</v>
      </c>
    </row>
    <row r="8502" customFormat="false" ht="15" hidden="false" customHeight="false" outlineLevel="0" collapsed="false">
      <c r="A8502" s="3" t="s">
        <v>311</v>
      </c>
      <c r="G8502" s="31" t="n">
        <f aca="false">IF(Assumptions!$I$58=1,MAX(G8463,Assumptions!$G$58)+Assumptions!$F$58+$C$8464,Assumptions!$E$58)</f>
        <v>0.0425</v>
      </c>
      <c r="H8502" s="31" t="n">
        <f aca="false">IF(G8622=1,$C$8465,IF(Assumptions!$I$58=1,MAX(H8463,Assumptions!$G$58)+Assumptions!$F$58+$C$8464,Assumptions!$E$58))</f>
        <v>0.0425</v>
      </c>
      <c r="I8502" s="31" t="n">
        <f aca="false">IF(H8622=1,$C$8465,IF(Assumptions!$I$58=1,MAX(I8463,Assumptions!$G$58)+Assumptions!$F$58+$C$8464,Assumptions!$E$58))</f>
        <v>0.0425</v>
      </c>
      <c r="J8502" s="31" t="n">
        <f aca="false">IF(I8622=1,$C$8465,IF(Assumptions!$I$58=1,MAX(J8463,Assumptions!$G$58)+Assumptions!$F$58+$C$8464,Assumptions!$E$58))</f>
        <v>0.0425</v>
      </c>
      <c r="K8502" s="31" t="n">
        <f aca="false">IF(J8622=1,$C$8465,IF(Assumptions!$I$58=1,MAX(K8463,Assumptions!$G$58)+Assumptions!$F$58+$C$8464,Assumptions!$E$58))</f>
        <v>0.0425</v>
      </c>
    </row>
    <row r="8503" customFormat="false" ht="15" hidden="false" customHeight="false" outlineLevel="0" collapsed="false">
      <c r="A8503" s="3" t="s">
        <v>312</v>
      </c>
      <c r="G8503" s="25" t="n">
        <f aca="false">G8499*G8502</f>
        <v>6.109375</v>
      </c>
      <c r="H8503" s="25" t="n">
        <f aca="false">H8499*H8502</f>
        <v>6.109375</v>
      </c>
      <c r="I8503" s="25" t="n">
        <f aca="false">I8499*I8502</f>
        <v>6.109375</v>
      </c>
      <c r="J8503" s="25" t="n">
        <f aca="false">J8499*J8502</f>
        <v>0</v>
      </c>
      <c r="K8503" s="25" t="n">
        <f aca="false">K8499*K8502</f>
        <v>0</v>
      </c>
    </row>
    <row r="8504" customFormat="false" ht="15" hidden="false" customHeight="false" outlineLevel="0" collapsed="false">
      <c r="A8504" s="3" t="s">
        <v>313</v>
      </c>
      <c r="G8504" s="25" t="n">
        <f aca="false">G8499*Assumptions!$H$58</f>
        <v>0</v>
      </c>
      <c r="H8504" s="25" t="n">
        <f aca="false">H8499*Assumptions!$H$58</f>
        <v>0</v>
      </c>
      <c r="I8504" s="25" t="n">
        <f aca="false">I8499*Assumptions!$H$58</f>
        <v>0</v>
      </c>
      <c r="J8504" s="25" t="n">
        <f aca="false">J8499*Assumptions!$H$58</f>
        <v>0</v>
      </c>
      <c r="K8504" s="25" t="n">
        <f aca="false">K8499*Assumptions!$H$58</f>
        <v>0</v>
      </c>
    </row>
    <row r="8505" customFormat="false" ht="15" hidden="false" customHeight="false" outlineLevel="0" collapsed="false">
      <c r="A8505" s="3" t="s">
        <v>314</v>
      </c>
      <c r="G8505" s="25" t="n">
        <f aca="false">MIN(G8499,Assumptions!$L$58*Assumptions!$C$58)</f>
        <v>0</v>
      </c>
      <c r="H8505" s="25" t="n">
        <f aca="false">MIN(H8499,Assumptions!$L$58*Assumptions!$C$58)</f>
        <v>0</v>
      </c>
      <c r="I8505" s="25" t="n">
        <f aca="false">MIN(I8499,Assumptions!$L$58*Assumptions!$C$58)</f>
        <v>0</v>
      </c>
      <c r="J8505" s="25" t="n">
        <f aca="false">MIN(J8499,Assumptions!$L$58*Assumptions!$C$58)</f>
        <v>0</v>
      </c>
      <c r="K8505" s="25" t="n">
        <f aca="false">MIN(K8499,Assumptions!$L$58*Assumptions!$C$58)</f>
        <v>0</v>
      </c>
    </row>
    <row r="8506" customFormat="false" ht="15" hidden="false" customHeight="false" outlineLevel="0" collapsed="false">
      <c r="A8506" s="3" t="s">
        <v>315</v>
      </c>
      <c r="G8506" s="25" t="n">
        <f aca="false">IF(AND(Assumptions!$P$58=1,G8437&lt;Assumptions!$K$58),MIN(MAX(0,-G8534),MAX(0,Assumptions!$D$58-G8499)),0)</f>
        <v>0</v>
      </c>
      <c r="H8506" s="25" t="n">
        <f aca="false">IF(AND(Assumptions!$P$58=1,OR(H8437&lt;Assumptions!$K$58,G8622=1)),MIN(MAX(0,-H8534),MAX(0,Assumptions!$D$58-H8499)),0)</f>
        <v>0</v>
      </c>
      <c r="I8506" s="25" t="n">
        <f aca="false">IF(AND(Assumptions!$P$58=1,OR(I8437&lt;Assumptions!$K$58,H8622=1)),MIN(MAX(0,-I8534),MAX(0,Assumptions!$D$58-I8499)),0)</f>
        <v>0</v>
      </c>
      <c r="J8506" s="25" t="n">
        <f aca="false">IF(AND(Assumptions!$P$58=1,OR(J8437&lt;Assumptions!$K$58,I8622=1)),MIN(MAX(0,-J8534),MAX(0,Assumptions!$D$58-J8499)),0)</f>
        <v>0</v>
      </c>
      <c r="K8506" s="25" t="n">
        <f aca="false">IF(AND(Assumptions!$P$58=1,OR(K8437&lt;Assumptions!$K$58,J8622=1)),MIN(MAX(0,-K8534),MAX(0,Assumptions!$D$58-K8499)),0)</f>
        <v>0</v>
      </c>
    </row>
    <row r="8507" customFormat="false" ht="15" hidden="false" customHeight="false" outlineLevel="0" collapsed="false">
      <c r="A8507" s="3" t="s">
        <v>316</v>
      </c>
      <c r="G8507" s="25" t="n">
        <f aca="false">G8500*MIN(G8499-G8505+G8504,MAX(0,G8536-Assumptions!$C$12*G8471-G8481-G8494))</f>
        <v>0</v>
      </c>
      <c r="H8507" s="25" t="n">
        <f aca="false">H8500*MIN(H8499-H8505+H8504,MAX(0,H8536-Assumptions!$C$12*H8471-H8481-H8494))</f>
        <v>0</v>
      </c>
      <c r="I8507" s="25" t="n">
        <f aca="false">I8500*MIN(I8499-I8505+I8504,MAX(0,I8536-Assumptions!$C$12*I8471-I8481-I8494))</f>
        <v>143.75</v>
      </c>
      <c r="J8507" s="25" t="n">
        <f aca="false">J8500*MIN(J8499-J8505+J8504,MAX(0,J8536-Assumptions!$C$12*J8471-J8481-J8494))</f>
        <v>0</v>
      </c>
      <c r="K8507" s="25" t="n">
        <f aca="false">K8500*MIN(K8499-K8505+K8504,MAX(0,K8536-Assumptions!$C$12*K8471-K8481-K8494))</f>
        <v>0</v>
      </c>
    </row>
    <row r="8508" customFormat="false" ht="15" hidden="false" customHeight="false" outlineLevel="0" collapsed="false">
      <c r="A8508" s="3" t="s">
        <v>317</v>
      </c>
      <c r="G8508" s="25" t="n">
        <f aca="false">Assumptions!$N$58*MIN(G8499+G8506+G8504-G8505-G8507,MAX(0,G8540-G8482-G8495))</f>
        <v>0</v>
      </c>
      <c r="H8508" s="25" t="n">
        <f aca="false">Assumptions!$N$58*MIN(H8499+H8506+H8504-H8505-H8507,MAX(0,H8540-H8482-H8495))</f>
        <v>0</v>
      </c>
      <c r="I8508" s="25" t="n">
        <f aca="false">Assumptions!$N$58*MIN(I8499+I8506+I8504-I8505-I8507,MAX(0,I8540-I8482-I8495))</f>
        <v>0</v>
      </c>
      <c r="J8508" s="25" t="n">
        <f aca="false">Assumptions!$N$58*MIN(J8499+J8506+J8504-J8505-J8507,MAX(0,J8540-J8482-J8495))</f>
        <v>0</v>
      </c>
      <c r="K8508" s="25" t="n">
        <f aca="false">Assumptions!$N$58*MIN(K8499+K8506+K8504-K8505-K8507,MAX(0,K8540-K8482-K8495))</f>
        <v>0</v>
      </c>
    </row>
    <row r="8509" customFormat="false" ht="15" hidden="false" customHeight="false" outlineLevel="0" collapsed="false">
      <c r="A8509" s="3" t="s">
        <v>318</v>
      </c>
      <c r="G8509" s="25" t="n">
        <f aca="false">G8500*(1-G8471)*(G8499-G8505+G8504-G8507)</f>
        <v>0</v>
      </c>
      <c r="H8509" s="25" t="n">
        <f aca="false">H8500*(1-H8471)*(H8499-H8505+H8504-H8507)</f>
        <v>0</v>
      </c>
      <c r="I8509" s="25" t="n">
        <f aca="false">I8500*(1-I8471)*(I8499-I8505+I8504-I8507)</f>
        <v>0</v>
      </c>
      <c r="J8509" s="25" t="n">
        <f aca="false">J8500*(1-J8471)*(J8499-J8505+J8504-J8507)</f>
        <v>0</v>
      </c>
      <c r="K8509" s="25" t="n">
        <f aca="false">K8500*(1-K8471)*(K8499-K8505+K8504-K8507)</f>
        <v>0</v>
      </c>
    </row>
    <row r="8510" customFormat="false" ht="15" hidden="false" customHeight="false" outlineLevel="0" collapsed="false">
      <c r="A8510" s="2" t="s">
        <v>319</v>
      </c>
      <c r="F8510" s="28" t="n">
        <f aca="false">Assumptions!$C$58</f>
        <v>143.75</v>
      </c>
      <c r="G8510" s="16" t="n">
        <f aca="false">G8499+G8506+G8504-G8505-G8507-G8508</f>
        <v>143.75</v>
      </c>
      <c r="H8510" s="16" t="n">
        <f aca="false">H8499+H8506+H8504-H8505-H8507-H8508</f>
        <v>143.75</v>
      </c>
      <c r="I8510" s="16" t="n">
        <f aca="false">I8499+I8506+I8504-I8505-I8507-I8508</f>
        <v>0</v>
      </c>
      <c r="J8510" s="16" t="n">
        <f aca="false">J8499+J8506+J8504-J8505-J8507-J8508</f>
        <v>0</v>
      </c>
      <c r="K8510" s="16" t="n">
        <f aca="false">K8499+K8506+K8504-K8505-K8507-K8508</f>
        <v>0</v>
      </c>
    </row>
    <row r="8511" customFormat="false" ht="15" hidden="false" customHeight="false" outlineLevel="0" collapsed="false">
      <c r="A8511" s="23" t="s">
        <v>322</v>
      </c>
      <c r="B8511" s="24"/>
      <c r="C8511" s="24"/>
      <c r="D8511" s="24"/>
      <c r="E8511" s="24"/>
      <c r="F8511" s="24"/>
      <c r="G8511" s="24"/>
      <c r="H8511" s="24"/>
      <c r="I8511" s="24"/>
      <c r="J8511" s="24"/>
      <c r="K8511" s="24"/>
    </row>
    <row r="8512" customFormat="false" ht="15" hidden="false" customHeight="false" outlineLevel="0" collapsed="false">
      <c r="A8512" s="2" t="s">
        <v>323</v>
      </c>
      <c r="F8512" s="16" t="n">
        <f aca="false">F8484+F8497+F8510</f>
        <v>1735.554</v>
      </c>
      <c r="G8512" s="16" t="n">
        <f aca="false">G8484+G8497+G8510</f>
        <v>1735.554</v>
      </c>
      <c r="H8512" s="16" t="n">
        <f aca="false">H8484+H8497+H8510</f>
        <v>1735.554</v>
      </c>
      <c r="I8512" s="16" t="n">
        <f aca="false">I8484+I8497+I8510</f>
        <v>1315.098</v>
      </c>
      <c r="J8512" s="16" t="n">
        <f aca="false">J8484+J8497+J8510</f>
        <v>1315.098</v>
      </c>
      <c r="K8512" s="16" t="n">
        <f aca="false">K8484+K8497+K8510</f>
        <v>1315.098</v>
      </c>
    </row>
    <row r="8513" customFormat="false" ht="15" hidden="false" customHeight="false" outlineLevel="0" collapsed="false">
      <c r="A8513" s="3" t="s">
        <v>324</v>
      </c>
      <c r="G8513" s="25" t="n">
        <f aca="false">G8474*Assumptions!$C$56+G8487*Assumptions!$C$57+G8500*Assumptions!$C$58</f>
        <v>0</v>
      </c>
      <c r="H8513" s="25" t="n">
        <f aca="false">H8474*Assumptions!$C$56+H8487*Assumptions!$C$57+H8500*Assumptions!$C$58</f>
        <v>0</v>
      </c>
      <c r="I8513" s="25" t="n">
        <f aca="false">I8474*Assumptions!$C$56+I8487*Assumptions!$C$57+I8500*Assumptions!$C$58</f>
        <v>420.456</v>
      </c>
      <c r="J8513" s="25" t="n">
        <f aca="false">J8474*Assumptions!$C$56+J8487*Assumptions!$C$57+J8500*Assumptions!$C$58</f>
        <v>0</v>
      </c>
      <c r="K8513" s="25" t="n">
        <f aca="false">K8474*Assumptions!$C$56+K8487*Assumptions!$C$57+K8500*Assumptions!$C$58</f>
        <v>0</v>
      </c>
    </row>
    <row r="8514" customFormat="false" ht="15" hidden="false" customHeight="false" outlineLevel="0" collapsed="false">
      <c r="A8514" s="23" t="s">
        <v>325</v>
      </c>
      <c r="B8514" s="24"/>
      <c r="C8514" s="24"/>
      <c r="D8514" s="24"/>
      <c r="E8514" s="24"/>
      <c r="F8514" s="24"/>
      <c r="G8514" s="24"/>
      <c r="H8514" s="24"/>
      <c r="I8514" s="24"/>
      <c r="J8514" s="24"/>
      <c r="K8514" s="24"/>
    </row>
    <row r="8515" customFormat="false" ht="15" hidden="false" customHeight="false" outlineLevel="0" collapsed="false">
      <c r="A8515" s="3" t="s">
        <v>326</v>
      </c>
      <c r="C8515" s="25" t="n">
        <f aca="false">SUMPRODUCT($G$8474:$K$8474,$G$8473:$K$8473-$G$8479:$K$8479+$G$8478:$K$8478)</f>
        <v>0</v>
      </c>
    </row>
    <row r="8516" customFormat="false" ht="15" hidden="false" customHeight="false" outlineLevel="0" collapsed="false">
      <c r="A8516" s="3" t="s">
        <v>327</v>
      </c>
      <c r="C8516" s="25" t="n">
        <f aca="false">SUMPRODUCT($G$8474:$K$8474,$G$8481:$K$8481)</f>
        <v>0</v>
      </c>
    </row>
    <row r="8517" customFormat="false" ht="15" hidden="false" customHeight="false" outlineLevel="0" collapsed="false">
      <c r="A8517" s="3" t="s">
        <v>328</v>
      </c>
      <c r="C8517" s="3" t="str">
        <f aca="false">IF(SUM($G$8474:$K$8474)=0,"n/a (beyond horizon)",IF(SUMPRODUCT($G$8474:$K$8474,$G$8471:$K$8471)&gt;0,"REFINANCING PASS","REFINANCING FAILURE"))</f>
        <v>n/a (beyond horizon)</v>
      </c>
    </row>
    <row r="8518" customFormat="false" ht="15" hidden="false" customHeight="false" outlineLevel="0" collapsed="false">
      <c r="A8518" s="3" t="s">
        <v>329</v>
      </c>
      <c r="C8518" s="3" t="str">
        <f aca="false">IF(SUM($G$8474:$K$8474)=0,"n/a",IF(C8516&gt;=C8515-0.001,"Repaid from cash",IF(SUMPRODUCT($G$8474:$K$8474,$G$8471:$K$8471)&gt;0,IF(C8516&gt;0,"Partly repaid; remainder refinanced","Refinanced"),IF(SUM($G$8483:$K$8483)&gt;0.001,IF(C8516&gt;0,"Partial repayment; PAYMENT DEFAULT","PAYMENT DEFAULT"),"Repaid from cash"))))</f>
        <v>n/a</v>
      </c>
    </row>
    <row r="8519" customFormat="false" ht="15" hidden="false" customHeight="false" outlineLevel="0" collapsed="false">
      <c r="A8519" s="3" t="s">
        <v>330</v>
      </c>
      <c r="C8519" s="25" t="n">
        <f aca="false">SUMPRODUCT($G$8487:$K$8487,$G$8486:$K$8486-$G$8492:$K$8492+$G$8491:$K$8491)</f>
        <v>276.706</v>
      </c>
    </row>
    <row r="8520" customFormat="false" ht="15" hidden="false" customHeight="false" outlineLevel="0" collapsed="false">
      <c r="A8520" s="3" t="s">
        <v>331</v>
      </c>
      <c r="C8520" s="25" t="n">
        <f aca="false">SUMPRODUCT($G$8487:$K$8487,$G$8494:$K$8494)</f>
        <v>276.706</v>
      </c>
    </row>
    <row r="8521" customFormat="false" ht="15" hidden="false" customHeight="false" outlineLevel="0" collapsed="false">
      <c r="A8521" s="3" t="s">
        <v>332</v>
      </c>
      <c r="C8521" s="3" t="str">
        <f aca="false">IF(SUM($G$8487:$K$8487)=0,"n/a (beyond horizon)",IF(SUMPRODUCT($G$8487:$K$8487,$G$8471:$K$8471)&gt;0,"REFINANCING PASS","REFINANCING FAILURE"))</f>
        <v>REFINANCING FAILURE</v>
      </c>
    </row>
    <row r="8522" customFormat="false" ht="15" hidden="false" customHeight="false" outlineLevel="0" collapsed="false">
      <c r="A8522" s="3" t="s">
        <v>333</v>
      </c>
      <c r="C8522" s="3" t="str">
        <f aca="false">IF(SUM($G$8487:$K$8487)=0,"n/a",IF(C8520&gt;=C8519-0.001,"Repaid from cash",IF(SUMPRODUCT($G$8487:$K$8487,$G$8471:$K$8471)&gt;0,IF(C8520&gt;0,"Partly repaid; remainder refinanced","Refinanced"),IF(SUM($G$8496:$K$8496)&gt;0.001,IF(C8520&gt;0,"Partial repayment; PAYMENT DEFAULT","PAYMENT DEFAULT"),"Repaid from cash"))))</f>
        <v>Repaid from cash</v>
      </c>
    </row>
    <row r="8523" customFormat="false" ht="15" hidden="false" customHeight="false" outlineLevel="0" collapsed="false">
      <c r="A8523" s="3" t="s">
        <v>334</v>
      </c>
      <c r="C8523" s="25" t="n">
        <f aca="false">SUMPRODUCT($G$8500:$K$8500,$G$8499:$K$8499-$G$8505:$K$8505+$G$8504:$K$8504)</f>
        <v>143.75</v>
      </c>
    </row>
    <row r="8524" customFormat="false" ht="15" hidden="false" customHeight="false" outlineLevel="0" collapsed="false">
      <c r="A8524" s="3" t="s">
        <v>335</v>
      </c>
      <c r="C8524" s="25" t="n">
        <f aca="false">SUMPRODUCT($G$8500:$K$8500,$G$8507:$K$8507)</f>
        <v>143.75</v>
      </c>
    </row>
    <row r="8525" customFormat="false" ht="15" hidden="false" customHeight="false" outlineLevel="0" collapsed="false">
      <c r="A8525" s="3" t="s">
        <v>336</v>
      </c>
      <c r="C8525" s="3" t="str">
        <f aca="false">IF(SUM($G$8500:$K$8500)=0,"n/a (beyond horizon)",IF(SUMPRODUCT($G$8500:$K$8500,$G$8471:$K$8471)&gt;0,"REFINANCING PASS","REFINANCING FAILURE"))</f>
        <v>REFINANCING FAILURE</v>
      </c>
    </row>
    <row r="8526" customFormat="false" ht="15" hidden="false" customHeight="false" outlineLevel="0" collapsed="false">
      <c r="A8526" s="3" t="s">
        <v>337</v>
      </c>
      <c r="C8526" s="3" t="str">
        <f aca="false">IF(SUM($G$8500:$K$8500)=0,"n/a",IF(C8524&gt;=C8523-0.001,"Repaid from cash",IF(SUMPRODUCT($G$8500:$K$8500,$G$8471:$K$8471)&gt;0,IF(C8524&gt;0,"Partly repaid; remainder refinanced","Refinanced"),IF(SUM($G$8509:$K$8509)&gt;0.001,IF(C8524&gt;0,"Partial repayment; PAYMENT DEFAULT","PAYMENT DEFAULT"),"Repaid from cash"))))</f>
        <v>Repaid from cash</v>
      </c>
    </row>
    <row r="8527" customFormat="false" ht="15" hidden="false" customHeight="false" outlineLevel="0" collapsed="false">
      <c r="A8527" s="3" t="s">
        <v>338</v>
      </c>
      <c r="C8527" s="20" t="n">
        <f aca="false">IF(C8517="REFINANCING FAILURE",1,0)+IF(C8521="REFINANCING FAILURE",1,0)+IF(C8525="REFINANCING FAILURE",1,0)</f>
        <v>2</v>
      </c>
    </row>
    <row r="8529" customFormat="false" ht="15" hidden="false" customHeight="false" outlineLevel="0" collapsed="false">
      <c r="A8529" s="23" t="s">
        <v>340</v>
      </c>
      <c r="B8529" s="24"/>
      <c r="C8529" s="24"/>
      <c r="D8529" s="24"/>
      <c r="E8529" s="24"/>
      <c r="F8529" s="24"/>
      <c r="G8529" s="24"/>
      <c r="H8529" s="24"/>
      <c r="I8529" s="24"/>
      <c r="J8529" s="24"/>
      <c r="K8529" s="24"/>
    </row>
    <row r="8530" customFormat="false" ht="15" hidden="false" customHeight="false" outlineLevel="0" collapsed="false">
      <c r="A8530" s="3" t="s">
        <v>305</v>
      </c>
      <c r="G8530" s="25" t="n">
        <f aca="false">F8542</f>
        <v>463.996</v>
      </c>
      <c r="H8530" s="25" t="n">
        <f aca="false">G8542</f>
        <v>530.27699404</v>
      </c>
      <c r="I8530" s="25" t="n">
        <f aca="false">H8542</f>
        <v>570.7612208032</v>
      </c>
      <c r="J8530" s="25" t="n">
        <f aca="false">I8542</f>
        <v>178.255791870748</v>
      </c>
      <c r="K8530" s="25" t="n">
        <f aca="false">J8542</f>
        <v>213.506476210276</v>
      </c>
    </row>
    <row r="8531" customFormat="false" ht="15" hidden="false" customHeight="false" outlineLevel="0" collapsed="false">
      <c r="A8531" s="3" t="s">
        <v>341</v>
      </c>
      <c r="G8531" s="25" t="n">
        <f aca="false">G8460</f>
        <v>66.28099404</v>
      </c>
      <c r="H8531" s="25" t="n">
        <f aca="false">H8460</f>
        <v>40.4842267632</v>
      </c>
      <c r="I8531" s="25" t="n">
        <f aca="false">I8460</f>
        <v>27.950571067548</v>
      </c>
      <c r="J8531" s="25" t="n">
        <f aca="false">J8460</f>
        <v>35.250684339528</v>
      </c>
      <c r="K8531" s="25" t="n">
        <f aca="false">K8460</f>
        <v>35.250684339528</v>
      </c>
    </row>
    <row r="8532" customFormat="false" ht="15" hidden="false" customHeight="false" outlineLevel="0" collapsed="false">
      <c r="A8532" s="3" t="s">
        <v>342</v>
      </c>
      <c r="G8532" s="25" t="n">
        <f aca="false">CHOOSE($C$8430,Assumptions!$G$74,Assumptions!$G$93,Assumptions!$G$112)</f>
        <v>0</v>
      </c>
      <c r="H8532" s="25" t="n">
        <f aca="false">CHOOSE($C$8430,Assumptions!$H$74,Assumptions!$H$93,Assumptions!$H$112)</f>
        <v>0</v>
      </c>
      <c r="I8532" s="25" t="n">
        <f aca="false">CHOOSE($C$8430,Assumptions!$I$74,Assumptions!$I$93,Assumptions!$I$112)</f>
        <v>0</v>
      </c>
      <c r="J8532" s="25" t="n">
        <f aca="false">CHOOSE($C$8430,Assumptions!$J$74,Assumptions!$J$93,Assumptions!$J$112)</f>
        <v>0</v>
      </c>
      <c r="K8532" s="25" t="n">
        <f aca="false">CHOOSE($C$8430,Assumptions!$K$74,Assumptions!$K$93,Assumptions!$K$112)</f>
        <v>0</v>
      </c>
    </row>
    <row r="8533" customFormat="false" ht="15" hidden="false" customHeight="false" outlineLevel="0" collapsed="false">
      <c r="A8533" s="3" t="s">
        <v>343</v>
      </c>
      <c r="G8533" s="25" t="n">
        <f aca="false">G8479+G8492+G8505</f>
        <v>0</v>
      </c>
      <c r="H8533" s="25" t="n">
        <f aca="false">H8479+H8492+H8505</f>
        <v>0</v>
      </c>
      <c r="I8533" s="25" t="n">
        <f aca="false">I8479+I8492+I8505</f>
        <v>0</v>
      </c>
      <c r="J8533" s="25" t="n">
        <f aca="false">J8479+J8492+J8505</f>
        <v>0</v>
      </c>
      <c r="K8533" s="25" t="n">
        <f aca="false">K8479+K8492+K8505</f>
        <v>0</v>
      </c>
    </row>
    <row r="8534" customFormat="false" ht="15" hidden="false" customHeight="false" outlineLevel="0" collapsed="false">
      <c r="A8534" s="2" t="s">
        <v>344</v>
      </c>
      <c r="G8534" s="16" t="n">
        <f aca="false">G8530+G8531+G8532-G8533</f>
        <v>530.27699404</v>
      </c>
      <c r="H8534" s="16" t="n">
        <f aca="false">H8530+H8531+H8532-H8533</f>
        <v>570.7612208032</v>
      </c>
      <c r="I8534" s="16" t="n">
        <f aca="false">I8530+I8531+I8532-I8533</f>
        <v>598.711791870748</v>
      </c>
      <c r="J8534" s="16" t="n">
        <f aca="false">J8530+J8531+J8532-J8533</f>
        <v>213.506476210276</v>
      </c>
      <c r="K8534" s="16" t="n">
        <f aca="false">K8530+K8531+K8532-K8533</f>
        <v>248.757160549804</v>
      </c>
    </row>
    <row r="8535" customFormat="false" ht="15" hidden="false" customHeight="false" outlineLevel="0" collapsed="false">
      <c r="A8535" s="3" t="s">
        <v>345</v>
      </c>
      <c r="G8535" s="25" t="n">
        <f aca="false">G8480+G8493+G8506</f>
        <v>0</v>
      </c>
      <c r="H8535" s="25" t="n">
        <f aca="false">H8480+H8493+H8506</f>
        <v>0</v>
      </c>
      <c r="I8535" s="25" t="n">
        <f aca="false">I8480+I8493+I8506</f>
        <v>0</v>
      </c>
      <c r="J8535" s="25" t="n">
        <f aca="false">J8480+J8493+J8506</f>
        <v>0</v>
      </c>
      <c r="K8535" s="25" t="n">
        <f aca="false">K8480+K8493+K8506</f>
        <v>0</v>
      </c>
    </row>
    <row r="8536" customFormat="false" ht="15" hidden="false" customHeight="false" outlineLevel="0" collapsed="false">
      <c r="A8536" s="2" t="s">
        <v>346</v>
      </c>
      <c r="G8536" s="16" t="n">
        <f aca="false">G8534+G8535</f>
        <v>530.27699404</v>
      </c>
      <c r="H8536" s="16" t="n">
        <f aca="false">H8534+H8535</f>
        <v>570.7612208032</v>
      </c>
      <c r="I8536" s="16" t="n">
        <f aca="false">I8534+I8535</f>
        <v>598.711791870748</v>
      </c>
      <c r="J8536" s="16" t="n">
        <f aca="false">J8534+J8535</f>
        <v>213.506476210276</v>
      </c>
      <c r="K8536" s="16" t="n">
        <f aca="false">K8534+K8535</f>
        <v>248.757160549804</v>
      </c>
    </row>
    <row r="8537" customFormat="false" ht="15" hidden="false" customHeight="false" outlineLevel="0" collapsed="false">
      <c r="A8537" s="3" t="s">
        <v>347</v>
      </c>
      <c r="G8537" s="25" t="n">
        <f aca="false">G8481+G8494+G8507</f>
        <v>0</v>
      </c>
      <c r="H8537" s="25" t="n">
        <f aca="false">H8481+H8494+H8507</f>
        <v>0</v>
      </c>
      <c r="I8537" s="25" t="n">
        <f aca="false">I8481+I8494+I8507</f>
        <v>420.456</v>
      </c>
      <c r="J8537" s="25" t="n">
        <f aca="false">J8481+J8494+J8507</f>
        <v>0</v>
      </c>
      <c r="K8537" s="25" t="n">
        <f aca="false">K8481+K8494+K8507</f>
        <v>0</v>
      </c>
    </row>
    <row r="8538" customFormat="false" ht="15" hidden="false" customHeight="false" outlineLevel="0" collapsed="false">
      <c r="A8538" s="2" t="s">
        <v>348</v>
      </c>
      <c r="G8538" s="16" t="n">
        <f aca="false">G8536-G8537</f>
        <v>530.27699404</v>
      </c>
      <c r="H8538" s="16" t="n">
        <f aca="false">H8536-H8537</f>
        <v>570.7612208032</v>
      </c>
      <c r="I8538" s="16" t="n">
        <f aca="false">I8536-I8537</f>
        <v>178.255791870748</v>
      </c>
      <c r="J8538" s="16" t="n">
        <f aca="false">J8536-J8537</f>
        <v>213.506476210276</v>
      </c>
      <c r="K8538" s="16" t="n">
        <f aca="false">K8536-K8537</f>
        <v>248.757160549804</v>
      </c>
    </row>
    <row r="8539" customFormat="false" ht="15" hidden="false" customHeight="false" outlineLevel="0" collapsed="false">
      <c r="A8539" s="3" t="s">
        <v>349</v>
      </c>
      <c r="G8539" s="25" t="n">
        <f aca="false">MAX(0,-G8538)</f>
        <v>0</v>
      </c>
      <c r="H8539" s="25" t="n">
        <f aca="false">MAX(0,-H8538)</f>
        <v>0</v>
      </c>
      <c r="I8539" s="25" t="n">
        <f aca="false">MAX(0,-I8538)</f>
        <v>0</v>
      </c>
      <c r="J8539" s="25" t="n">
        <f aca="false">MAX(0,-J8538)</f>
        <v>0</v>
      </c>
      <c r="K8539" s="25" t="n">
        <f aca="false">MAX(0,-K8538)</f>
        <v>0</v>
      </c>
    </row>
    <row r="8540" customFormat="false" ht="15" hidden="false" customHeight="false" outlineLevel="0" collapsed="false">
      <c r="A8540" s="3" t="s">
        <v>350</v>
      </c>
      <c r="G8540" s="25" t="n">
        <f aca="false">MAX(0,G8538-Assumptions!$C$12)*Assumptions!$C$13</f>
        <v>0</v>
      </c>
      <c r="H8540" s="25" t="n">
        <f aca="false">MAX(0,H8538-Assumptions!$C$12)*Assumptions!$C$13</f>
        <v>0</v>
      </c>
      <c r="I8540" s="25" t="n">
        <f aca="false">MAX(0,I8538-Assumptions!$C$12)*Assumptions!$C$13</f>
        <v>0</v>
      </c>
      <c r="J8540" s="25" t="n">
        <f aca="false">MAX(0,J8538-Assumptions!$C$12)*Assumptions!$C$13</f>
        <v>0</v>
      </c>
      <c r="K8540" s="25" t="n">
        <f aca="false">MAX(0,K8538-Assumptions!$C$12)*Assumptions!$C$13</f>
        <v>0</v>
      </c>
    </row>
    <row r="8541" customFormat="false" ht="15" hidden="false" customHeight="false" outlineLevel="0" collapsed="false">
      <c r="A8541" s="3" t="s">
        <v>351</v>
      </c>
      <c r="G8541" s="25" t="n">
        <f aca="false">G8482+G8495+G8508</f>
        <v>0</v>
      </c>
      <c r="H8541" s="25" t="n">
        <f aca="false">H8482+H8495+H8508</f>
        <v>0</v>
      </c>
      <c r="I8541" s="25" t="n">
        <f aca="false">I8482+I8495+I8508</f>
        <v>0</v>
      </c>
      <c r="J8541" s="25" t="n">
        <f aca="false">J8482+J8495+J8508</f>
        <v>0</v>
      </c>
      <c r="K8541" s="25" t="n">
        <f aca="false">K8482+K8495+K8508</f>
        <v>0</v>
      </c>
    </row>
    <row r="8542" customFormat="false" ht="15" hidden="false" customHeight="false" outlineLevel="0" collapsed="false">
      <c r="A8542" s="2" t="s">
        <v>352</v>
      </c>
      <c r="F8542" s="28" t="n">
        <f aca="false">Assumptions!$C$11</f>
        <v>463.996</v>
      </c>
      <c r="G8542" s="16" t="n">
        <f aca="false">G8538-G8541</f>
        <v>530.27699404</v>
      </c>
      <c r="H8542" s="16" t="n">
        <f aca="false">H8538-H8541</f>
        <v>570.7612208032</v>
      </c>
      <c r="I8542" s="16" t="n">
        <f aca="false">I8538-I8541</f>
        <v>178.255791870748</v>
      </c>
      <c r="J8542" s="16" t="n">
        <f aca="false">J8538-J8541</f>
        <v>213.506476210276</v>
      </c>
      <c r="K8542" s="16" t="n">
        <f aca="false">K8538-K8541</f>
        <v>248.757160549804</v>
      </c>
    </row>
    <row r="8543" customFormat="false" ht="15" hidden="false" customHeight="false" outlineLevel="0" collapsed="false">
      <c r="A8543" s="3" t="s">
        <v>353</v>
      </c>
      <c r="G8543" s="25" t="n">
        <f aca="false">G8483+G8496+G8509</f>
        <v>0</v>
      </c>
      <c r="H8543" s="25" t="n">
        <f aca="false">H8483+H8496+H8509</f>
        <v>0</v>
      </c>
      <c r="I8543" s="25" t="n">
        <f aca="false">I8483+I8496+I8509</f>
        <v>0</v>
      </c>
      <c r="J8543" s="25" t="n">
        <f aca="false">J8483+J8496+J8509</f>
        <v>0</v>
      </c>
      <c r="K8543" s="25" t="n">
        <f aca="false">K8483+K8496+K8509</f>
        <v>0</v>
      </c>
    </row>
    <row r="8544" customFormat="false" ht="15" hidden="false" customHeight="false" outlineLevel="0" collapsed="false">
      <c r="A8544" s="3" t="s">
        <v>354</v>
      </c>
      <c r="G8544" s="20" t="n">
        <f aca="false">IF(OR(G8539&gt;0.001,G8543&gt;0.001),1,0)</f>
        <v>0</v>
      </c>
      <c r="H8544" s="20" t="n">
        <f aca="false">IF(OR(H8539&gt;0.001,H8543&gt;0.001),1,0)</f>
        <v>0</v>
      </c>
      <c r="I8544" s="20" t="n">
        <f aca="false">IF(OR(I8539&gt;0.001,I8543&gt;0.001),1,0)</f>
        <v>0</v>
      </c>
      <c r="J8544" s="20" t="n">
        <f aca="false">IF(OR(J8539&gt;0.001,J8543&gt;0.001),1,0)</f>
        <v>0</v>
      </c>
      <c r="K8544" s="20" t="n">
        <f aca="false">IF(OR(K8539&gt;0.001,K8543&gt;0.001),1,0)</f>
        <v>0</v>
      </c>
    </row>
    <row r="8545" customFormat="false" ht="15" hidden="false" customHeight="false" outlineLevel="0" collapsed="false">
      <c r="A8545" s="3" t="s">
        <v>355</v>
      </c>
      <c r="G8545" s="20" t="n">
        <f aca="false">IF(G8544=1,1,0)</f>
        <v>0</v>
      </c>
      <c r="H8545" s="20" t="n">
        <f aca="false">IF(AND(H8544=1,SUM($G$8544:G8544)=0),1,0)</f>
        <v>0</v>
      </c>
      <c r="I8545" s="20" t="n">
        <f aca="false">IF(AND(I8544=1,SUM($G$8544:H8544)=0),1,0)</f>
        <v>0</v>
      </c>
      <c r="J8545" s="20" t="n">
        <f aca="false">IF(AND(J8544=1,SUM($G$8544:I8544)=0),1,0)</f>
        <v>0</v>
      </c>
      <c r="K8545" s="20" t="n">
        <f aca="false">IF(AND(K8544=1,SUM($G$8544:J8544)=0),1,0)</f>
        <v>0</v>
      </c>
    </row>
    <row r="8546" customFormat="false" ht="15" hidden="false" customHeight="false" outlineLevel="0" collapsed="false">
      <c r="A8546" s="3" t="s">
        <v>356</v>
      </c>
      <c r="G8546" s="25" t="n">
        <f aca="false">(G8512-F8512)-(G8535+G8452-G8533-G8537-G8541)</f>
        <v>0</v>
      </c>
      <c r="H8546" s="25" t="n">
        <f aca="false">(H8512-G8512)-(H8535+H8452-H8533-H8537-H8541)</f>
        <v>0</v>
      </c>
      <c r="I8546" s="25" t="n">
        <f aca="false">(I8512-H8512)-(I8535+I8452-I8533-I8537-I8541)</f>
        <v>0</v>
      </c>
      <c r="J8546" s="25" t="n">
        <f aca="false">(J8512-I8512)-(J8535+J8452-J8533-J8537-J8541)</f>
        <v>0</v>
      </c>
      <c r="K8546" s="25" t="n">
        <f aca="false">(K8512-J8512)-(K8535+K8452-K8533-K8537-K8541)</f>
        <v>0</v>
      </c>
    </row>
    <row r="8548" customFormat="false" ht="15" hidden="false" customHeight="false" outlineLevel="0" collapsed="false">
      <c r="A8548" s="23" t="s">
        <v>358</v>
      </c>
      <c r="B8548" s="24"/>
      <c r="C8548" s="24"/>
      <c r="D8548" s="24"/>
      <c r="E8548" s="24"/>
      <c r="F8548" s="24"/>
      <c r="G8548" s="24"/>
      <c r="H8548" s="24"/>
      <c r="I8548" s="24"/>
      <c r="J8548" s="24"/>
      <c r="K8548" s="24"/>
    </row>
    <row r="8549" customFormat="false" ht="15" hidden="false" customHeight="false" outlineLevel="0" collapsed="false">
      <c r="A8549" s="3" t="s">
        <v>359</v>
      </c>
      <c r="G8549" s="25" t="n">
        <f aca="false">G8512</f>
        <v>1735.554</v>
      </c>
      <c r="H8549" s="25" t="n">
        <f aca="false">H8512</f>
        <v>1735.554</v>
      </c>
      <c r="I8549" s="25" t="n">
        <f aca="false">I8512</f>
        <v>1315.098</v>
      </c>
      <c r="J8549" s="25" t="n">
        <f aca="false">J8512</f>
        <v>1315.098</v>
      </c>
      <c r="K8549" s="25" t="n">
        <f aca="false">K8512</f>
        <v>1315.098</v>
      </c>
    </row>
    <row r="8550" customFormat="false" ht="15" hidden="false" customHeight="false" outlineLevel="0" collapsed="false">
      <c r="A8550" s="3" t="s">
        <v>360</v>
      </c>
      <c r="G8550" s="25" t="n">
        <f aca="false">Assumptions!$O$56*G8484+Assumptions!$O$57*G8497+Assumptions!$O$58*G8510</f>
        <v>1315.098</v>
      </c>
      <c r="H8550" s="25" t="n">
        <f aca="false">Assumptions!$O$56*H8484+Assumptions!$O$57*H8497+Assumptions!$O$58*H8510</f>
        <v>1315.098</v>
      </c>
      <c r="I8550" s="25" t="n">
        <f aca="false">Assumptions!$O$56*I8484+Assumptions!$O$57*I8497+Assumptions!$O$58*I8510</f>
        <v>1315.098</v>
      </c>
      <c r="J8550" s="25" t="n">
        <f aca="false">Assumptions!$O$56*J8484+Assumptions!$O$57*J8497+Assumptions!$O$58*J8510</f>
        <v>1315.098</v>
      </c>
      <c r="K8550" s="25" t="n">
        <f aca="false">Assumptions!$O$56*K8484+Assumptions!$O$57*K8497+Assumptions!$O$58*K8510</f>
        <v>1315.098</v>
      </c>
    </row>
    <row r="8551" customFormat="false" ht="15" hidden="false" customHeight="false" outlineLevel="0" collapsed="false">
      <c r="A8551" s="3" t="s">
        <v>361</v>
      </c>
      <c r="G8551" s="25" t="n">
        <f aca="false">G8549-G8542</f>
        <v>1205.27700596</v>
      </c>
      <c r="H8551" s="25" t="n">
        <f aca="false">H8549-H8542</f>
        <v>1164.7927791968</v>
      </c>
      <c r="I8551" s="25" t="n">
        <f aca="false">I8549-I8542</f>
        <v>1136.84220812925</v>
      </c>
      <c r="J8551" s="25" t="n">
        <f aca="false">J8549-J8542</f>
        <v>1101.59152378972</v>
      </c>
      <c r="K8551" s="25" t="n">
        <f aca="false">K8549-K8542</f>
        <v>1066.3408394502</v>
      </c>
    </row>
    <row r="8552" customFormat="false" ht="15" hidden="false" customHeight="false" outlineLevel="0" collapsed="false">
      <c r="A8552" s="3" t="s">
        <v>362</v>
      </c>
      <c r="G8552" s="32" t="n">
        <f aca="false">IF(G8447&gt;0,G8549/G8447,0)</f>
        <v>6.63809252386456</v>
      </c>
      <c r="H8552" s="32" t="n">
        <f aca="false">IF(H8447&gt;0,H8549/H8447,0)</f>
        <v>7.38934232712196</v>
      </c>
      <c r="I8552" s="32" t="n">
        <f aca="false">IF(I8447&gt;0,I8549/I8447,0)</f>
        <v>5.92507653531854</v>
      </c>
      <c r="J8552" s="32" t="n">
        <f aca="false">IF(J8447&gt;0,J8549/J8447,0)</f>
        <v>6.22133036208447</v>
      </c>
      <c r="K8552" s="32" t="n">
        <f aca="false">IF(K8447&gt;0,K8549/K8447,0)</f>
        <v>6.22133036208447</v>
      </c>
    </row>
    <row r="8553" customFormat="false" ht="15" hidden="false" customHeight="false" outlineLevel="0" collapsed="false">
      <c r="A8553" s="3" t="s">
        <v>363</v>
      </c>
      <c r="G8553" s="32" t="n">
        <f aca="false">IF(G8447&gt;0,G8551/G8447,0)</f>
        <v>4.60990570299106</v>
      </c>
      <c r="H8553" s="32" t="n">
        <f aca="false">IF(H8447&gt;0,H8551/H8447,0)</f>
        <v>4.95925369400488</v>
      </c>
      <c r="I8553" s="32" t="n">
        <f aca="false">IF(I8447&gt;0,I8551/I8447,0)</f>
        <v>5.12195828124319</v>
      </c>
      <c r="J8553" s="32" t="n">
        <f aca="false">IF(J8447&gt;0,J8551/J8447,0)</f>
        <v>5.21129588332421</v>
      </c>
      <c r="K8553" s="32" t="n">
        <f aca="false">IF(K8447&gt;0,K8551/K8447,0)</f>
        <v>5.04453557134308</v>
      </c>
    </row>
    <row r="8554" customFormat="false" ht="15" hidden="false" customHeight="false" outlineLevel="0" collapsed="false">
      <c r="A8554" s="3" t="s">
        <v>364</v>
      </c>
      <c r="G8554" s="32" t="n">
        <f aca="false">IF(G8451&gt;0,G8447/G8451,0)</f>
        <v>1.67647254423353</v>
      </c>
      <c r="H8554" s="32" t="n">
        <f aca="false">IF(H8451&gt;0,H8447/H8451,0)</f>
        <v>1.50603116890312</v>
      </c>
      <c r="I8554" s="32" t="n">
        <f aca="false">IF(I8451&gt;0,I8447/I8451,0)</f>
        <v>1.42319945461345</v>
      </c>
      <c r="J8554" s="32" t="n">
        <f aca="false">IF(J8451&gt;0,J8447/J8451,0)</f>
        <v>1.53083166614199</v>
      </c>
      <c r="K8554" s="32" t="n">
        <f aca="false">IF(K8451&gt;0,K8447/K8451,0)</f>
        <v>1.53083166614199</v>
      </c>
    </row>
    <row r="8555" customFormat="false" ht="15" hidden="false" customHeight="false" outlineLevel="0" collapsed="false">
      <c r="A8555" s="3" t="s">
        <v>365</v>
      </c>
      <c r="G8555" s="32" t="n">
        <f aca="false">IF(G8451&gt;0,G8450/G8451,0)</f>
        <v>0.994463855426708</v>
      </c>
      <c r="H8555" s="32" t="n">
        <f aca="false">IF(H8451&gt;0,H8450/H8451,0)</f>
        <v>0.837662653872436</v>
      </c>
      <c r="I8555" s="32" t="n">
        <f aca="false">IF(I8451&gt;0,I8450/I8451,0)</f>
        <v>0.761514624733071</v>
      </c>
      <c r="J8555" s="32" t="n">
        <f aca="false">IF(J8451&gt;0,J8450/J8451,0)</f>
        <v>0.783519339912311</v>
      </c>
      <c r="K8555" s="32" t="n">
        <f aca="false">IF(K8451&gt;0,K8450/K8451,0)</f>
        <v>0.783519339912311</v>
      </c>
    </row>
    <row r="8556" customFormat="false" ht="15" hidden="false" customHeight="false" outlineLevel="0" collapsed="false">
      <c r="A8556" s="3" t="s">
        <v>198</v>
      </c>
      <c r="G8556" s="21" t="n">
        <f aca="false">IF(G8549&gt;0,G8460/G8549,0)</f>
        <v>0.0381901076198148</v>
      </c>
      <c r="H8556" s="21" t="n">
        <f aca="false">IF(H8549&gt;0,H8460/H8549,0)</f>
        <v>0.023326399964046</v>
      </c>
      <c r="I8556" s="21" t="n">
        <f aca="false">IF(I8549&gt;0,I8460/I8549,0)</f>
        <v>0.0212536032048927</v>
      </c>
      <c r="J8556" s="21" t="n">
        <f aca="false">IF(J8549&gt;0,J8460/J8549,0)</f>
        <v>0.0268046064548254</v>
      </c>
      <c r="K8556" s="21" t="n">
        <f aca="false">IF(K8549&gt;0,K8460/K8549,0)</f>
        <v>0.0268046064548254</v>
      </c>
    </row>
    <row r="8557" customFormat="false" ht="15" hidden="false" customHeight="false" outlineLevel="0" collapsed="false">
      <c r="A8557" s="3" t="s">
        <v>366</v>
      </c>
      <c r="G8557" s="32" t="n">
        <f aca="false">IF(G8451+G8533&gt;0,(G8447-G8458-G8455)/(G8451+G8533),0)</f>
        <v>1.49485468527489</v>
      </c>
      <c r="H8557" s="32" t="n">
        <f aca="false">IF(H8451+H8533&gt;0,(H8447-H8458-H8455)/(H8451+H8533),0)</f>
        <v>1.32804566712366</v>
      </c>
      <c r="I8557" s="32" t="n">
        <f aca="false">IF(I8451+I8533&gt;0,(I8447-I8458-I8455)/(I8451+I8533),0)</f>
        <v>1.24699380785178</v>
      </c>
      <c r="J8557" s="32" t="n">
        <f aca="false">IF(J8451+J8533&gt;0,(J8447-J8458-J8455)/(J8451+J8533),0)</f>
        <v>1.33182354954353</v>
      </c>
      <c r="K8557" s="32" t="n">
        <f aca="false">IF(K8451+K8533&gt;0,(K8447-K8458-K8455)/(K8451+K8533),0)</f>
        <v>1.33182354954353</v>
      </c>
    </row>
    <row r="8558" customFormat="false" ht="15" hidden="false" customHeight="false" outlineLevel="0" collapsed="false">
      <c r="A8558" s="3" t="s">
        <v>367</v>
      </c>
      <c r="G8558" s="25" t="n">
        <f aca="false">MAX(0,G8542)+Assumptions!$P$56*MAX(0,Assumptions!$D$56-G8484)+Assumptions!$P$57*MAX(0,Assumptions!$D$57-G8497)+Assumptions!$P$58*MAX(0,Assumptions!$D$58-G8510)</f>
        <v>530.27699404</v>
      </c>
      <c r="H8558" s="25" t="n">
        <f aca="false">MAX(0,H8542)+Assumptions!$P$56*MAX(0,Assumptions!$D$56-H8484)+Assumptions!$P$57*MAX(0,Assumptions!$D$57-H8497)+Assumptions!$P$58*MAX(0,Assumptions!$D$58-H8510)</f>
        <v>570.7612208032</v>
      </c>
      <c r="I8558" s="25" t="n">
        <f aca="false">MAX(0,I8542)+Assumptions!$P$56*MAX(0,Assumptions!$D$56-I8484)+Assumptions!$P$57*MAX(0,Assumptions!$D$57-I8497)+Assumptions!$P$58*MAX(0,Assumptions!$D$58-I8510)</f>
        <v>178.255791870748</v>
      </c>
      <c r="J8558" s="25" t="n">
        <f aca="false">MAX(0,J8542)+Assumptions!$P$56*MAX(0,Assumptions!$D$56-J8484)+Assumptions!$P$57*MAX(0,Assumptions!$D$57-J8497)+Assumptions!$P$58*MAX(0,Assumptions!$D$58-J8510)</f>
        <v>213.506476210276</v>
      </c>
      <c r="K8558" s="25" t="n">
        <f aca="false">MAX(0,K8542)+Assumptions!$P$56*MAX(0,Assumptions!$D$56-K8484)+Assumptions!$P$57*MAX(0,Assumptions!$D$57-K8497)+Assumptions!$P$58*MAX(0,Assumptions!$D$58-K8510)</f>
        <v>248.757160549804</v>
      </c>
    </row>
    <row r="8559" customFormat="false" ht="15" hidden="false" customHeight="false" outlineLevel="0" collapsed="false">
      <c r="A8559" s="3" t="s">
        <v>368</v>
      </c>
      <c r="G8559" s="21" t="n">
        <f aca="false">IF(G8549&gt;0,G8549/(G8549+MAX(0,G8447*CHOOSE($C$8430,Assumptions!$C$82,Assumptions!$C$101,Assumptions!$C$120)-G8551)),0)</f>
        <v>0.94449574165411</v>
      </c>
      <c r="H8559" s="21" t="n">
        <f aca="false">IF(H8549&gt;0,H8549/(H8549+MAX(0,H8447*CHOOSE($C$8430,Assumptions!$C$82,Assumptions!$C$101,Assumptions!$C$120)-H8551)),0)</f>
        <v>0.994516040385641</v>
      </c>
      <c r="I8559" s="21" t="n">
        <f aca="false">IF(I8549&gt;0,I8549/(I8549+MAX(0,I8447*CHOOSE($C$8430,Assumptions!$C$82,Assumptions!$C$101,Assumptions!$C$120)-I8551)),0)</f>
        <v>1</v>
      </c>
      <c r="J8559" s="21" t="n">
        <f aca="false">IF(J8549&gt;0,J8549/(J8549+MAX(0,J8447*CHOOSE($C$8430,Assumptions!$C$82,Assumptions!$C$101,Assumptions!$C$120)-J8551)),0)</f>
        <v>1</v>
      </c>
      <c r="K8559" s="21" t="n">
        <f aca="false">IF(K8549&gt;0,K8549/(K8549+MAX(0,K8447*CHOOSE($C$8430,Assumptions!$C$82,Assumptions!$C$101,Assumptions!$C$120)-K8551)),0)</f>
        <v>1</v>
      </c>
    </row>
    <row r="8560" customFormat="false" ht="15" hidden="false" customHeight="false" outlineLevel="0" collapsed="false">
      <c r="A8560" s="3" t="s">
        <v>369</v>
      </c>
      <c r="G8560" s="21" t="n">
        <f aca="false">IF(G8549&gt;0,MAX(0,G8542)/G8549,0)</f>
        <v>0.305537594358919</v>
      </c>
      <c r="H8560" s="21" t="n">
        <f aca="false">IF(H8549&gt;0,MAX(0,H8542)/H8549,0)</f>
        <v>0.328863994322965</v>
      </c>
      <c r="I8560" s="21" t="n">
        <f aca="false">IF(I8549&gt;0,MAX(0,I8542)/I8549,0)</f>
        <v>0.135545633763224</v>
      </c>
      <c r="J8560" s="21" t="n">
        <f aca="false">IF(J8549&gt;0,MAX(0,J8542)/J8549,0)</f>
        <v>0.162350240218049</v>
      </c>
      <c r="K8560" s="21" t="n">
        <f aca="false">IF(K8549&gt;0,MAX(0,K8542)/K8549,0)</f>
        <v>0.189154846672874</v>
      </c>
    </row>
    <row r="8561" customFormat="false" ht="15" hidden="false" customHeight="false" outlineLevel="0" collapsed="false">
      <c r="A8561" s="3" t="s">
        <v>370</v>
      </c>
      <c r="G8561" s="25" t="n">
        <f aca="false">Assumptions!$C$30*(1-CHOOSE($C$8430,Assumptions!$C$85,Assumptions!$C$104,Assumptions!$C$123))</f>
        <v>2086.72535</v>
      </c>
      <c r="H8561" s="25" t="n">
        <f aca="false">Assumptions!$C$30*(1-CHOOSE($C$8430,Assumptions!$C$85,Assumptions!$C$104,Assumptions!$C$123))</f>
        <v>2086.72535</v>
      </c>
      <c r="I8561" s="25" t="n">
        <f aca="false">Assumptions!$C$30*(1-CHOOSE($C$8430,Assumptions!$C$85,Assumptions!$C$104,Assumptions!$C$123))</f>
        <v>2086.72535</v>
      </c>
      <c r="J8561" s="25" t="n">
        <f aca="false">Assumptions!$C$30*(1-CHOOSE($C$8430,Assumptions!$C$85,Assumptions!$C$104,Assumptions!$C$123))</f>
        <v>2086.72535</v>
      </c>
      <c r="K8561" s="25" t="n">
        <f aca="false">Assumptions!$C$30*(1-CHOOSE($C$8430,Assumptions!$C$85,Assumptions!$C$104,Assumptions!$C$123))</f>
        <v>2086.72535</v>
      </c>
    </row>
    <row r="8562" customFormat="false" ht="15" hidden="false" customHeight="false" outlineLevel="0" collapsed="false">
      <c r="A8562" s="23" t="s">
        <v>371</v>
      </c>
      <c r="B8562" s="24"/>
      <c r="C8562" s="24"/>
      <c r="D8562" s="24"/>
      <c r="E8562" s="24"/>
      <c r="F8562" s="24"/>
      <c r="G8562" s="24"/>
      <c r="H8562" s="24"/>
      <c r="I8562" s="24"/>
      <c r="J8562" s="24"/>
      <c r="K8562" s="24"/>
    </row>
    <row r="8563" customFormat="false" ht="15" hidden="false" customHeight="false" outlineLevel="0" collapsed="false">
      <c r="A8563" s="23" t="s">
        <v>372</v>
      </c>
      <c r="B8563" s="24"/>
      <c r="C8563" s="24"/>
      <c r="D8563" s="24"/>
      <c r="E8563" s="24"/>
      <c r="F8563" s="24"/>
      <c r="G8563" s="24"/>
      <c r="H8563" s="24"/>
      <c r="I8563" s="24"/>
      <c r="J8563" s="24"/>
      <c r="K8563" s="24"/>
    </row>
    <row r="8564" customFormat="false" ht="15" hidden="false" customHeight="false" outlineLevel="0" collapsed="false">
      <c r="A8564" s="3" t="s">
        <v>373</v>
      </c>
      <c r="G8564" s="32" t="n">
        <f aca="false">IF(G8447&gt;0,G8551/G8447,99)</f>
        <v>4.60990570299106</v>
      </c>
      <c r="H8564" s="32" t="n">
        <f aca="false">IF(H8447&gt;0,H8551/H8447,99)</f>
        <v>4.95925369400488</v>
      </c>
      <c r="I8564" s="32" t="n">
        <f aca="false">IF(I8447&gt;0,I8551/I8447,99)</f>
        <v>5.12195828124319</v>
      </c>
      <c r="J8564" s="32" t="n">
        <f aca="false">IF(J8447&gt;0,J8551/J8447,99)</f>
        <v>5.21129588332421</v>
      </c>
      <c r="K8564" s="32" t="n">
        <f aca="false">IF(K8447&gt;0,K8551/K8447,99)</f>
        <v>5.04453557134308</v>
      </c>
    </row>
    <row r="8565" customFormat="false" ht="15" hidden="false" customHeight="false" outlineLevel="0" collapsed="false">
      <c r="A8565" s="3" t="s">
        <v>374</v>
      </c>
      <c r="G8565" s="33" t="n">
        <f aca="false">Assumptions!$G$65</f>
        <v>5.25</v>
      </c>
      <c r="H8565" s="33" t="n">
        <f aca="false">Assumptions!$H$65</f>
        <v>5.25</v>
      </c>
      <c r="I8565" s="33" t="n">
        <f aca="false">Assumptions!$I$65</f>
        <v>5</v>
      </c>
      <c r="J8565" s="33" t="n">
        <f aca="false">Assumptions!$J$65</f>
        <v>5</v>
      </c>
      <c r="K8565" s="33" t="n">
        <f aca="false">Assumptions!$K$65</f>
        <v>5</v>
      </c>
    </row>
    <row r="8566" customFormat="false" ht="15" hidden="false" customHeight="false" outlineLevel="0" collapsed="false">
      <c r="A8566" s="3" t="s">
        <v>375</v>
      </c>
      <c r="G8566" s="32" t="n">
        <f aca="false">G8565-G8564</f>
        <v>0.640094297008944</v>
      </c>
      <c r="H8566" s="32" t="n">
        <f aca="false">H8565-H8564</f>
        <v>0.290746305995124</v>
      </c>
      <c r="I8566" s="32" t="n">
        <f aca="false">I8565-I8564</f>
        <v>-0.121958281243185</v>
      </c>
      <c r="J8566" s="32" t="n">
        <f aca="false">J8565-J8564</f>
        <v>-0.211295883324214</v>
      </c>
      <c r="K8566" s="32" t="n">
        <f aca="false">K8565-K8564</f>
        <v>-0.0445355713430837</v>
      </c>
    </row>
    <row r="8567" customFormat="false" ht="15" hidden="false" customHeight="false" outlineLevel="0" collapsed="false">
      <c r="A8567" s="3" t="s">
        <v>376</v>
      </c>
      <c r="G8567" s="21" t="n">
        <f aca="false">IF(G8565=0,0,G8566/ABS(G8565))</f>
        <v>0.121922723239799</v>
      </c>
      <c r="H8567" s="21" t="n">
        <f aca="false">IF(H8565=0,0,H8566/ABS(H8565))</f>
        <v>0.055380248760976</v>
      </c>
      <c r="I8567" s="21" t="n">
        <f aca="false">IF(I8565=0,0,I8566/ABS(I8565))</f>
        <v>-0.0243916562486371</v>
      </c>
      <c r="J8567" s="21" t="n">
        <f aca="false">IF(J8565=0,0,J8566/ABS(J8565))</f>
        <v>-0.0422591766648429</v>
      </c>
      <c r="K8567" s="21" t="n">
        <f aca="false">IF(K8565=0,0,K8566/ABS(K8565))</f>
        <v>-0.00890711426861674</v>
      </c>
    </row>
    <row r="8568" customFormat="false" ht="15" hidden="false" customHeight="false" outlineLevel="0" collapsed="false">
      <c r="A8568" s="3" t="s">
        <v>377</v>
      </c>
      <c r="G8568" s="20" t="n">
        <f aca="false">IF(G8566&lt;0,1,0)</f>
        <v>0</v>
      </c>
      <c r="H8568" s="20" t="n">
        <f aca="false">IF(H8566&lt;0,1,0)</f>
        <v>0</v>
      </c>
      <c r="I8568" s="20" t="n">
        <f aca="false">IF(I8566&lt;0,1,0)</f>
        <v>1</v>
      </c>
      <c r="J8568" s="20" t="n">
        <f aca="false">IF(J8566&lt;0,1,0)</f>
        <v>1</v>
      </c>
      <c r="K8568" s="20" t="n">
        <f aca="false">IF(K8566&lt;0,1,0)</f>
        <v>1</v>
      </c>
    </row>
    <row r="8569" customFormat="false" ht="15" hidden="false" customHeight="false" outlineLevel="0" collapsed="false">
      <c r="A8569" s="3" t="s">
        <v>378</v>
      </c>
      <c r="C8569" s="20" t="n">
        <f aca="false">IFERROR(INDEX($G$8437:$K$8437,MATCH(1,$G$8568:$K$8568,0)),0)</f>
        <v>2029</v>
      </c>
    </row>
    <row r="8570" customFormat="false" ht="15" hidden="false" customHeight="false" outlineLevel="0" collapsed="false">
      <c r="A8570" s="3" t="s">
        <v>379</v>
      </c>
      <c r="C8570" s="21" t="n">
        <f aca="false">MIN($G$8567:$K$8567)</f>
        <v>-0.0422591766648429</v>
      </c>
    </row>
    <row r="8571" customFormat="false" ht="15" hidden="false" customHeight="false" outlineLevel="0" collapsed="false">
      <c r="A8571" s="23" t="s">
        <v>380</v>
      </c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</row>
    <row r="8572" customFormat="false" ht="15" hidden="false" customHeight="false" outlineLevel="0" collapsed="false">
      <c r="A8572" s="3" t="s">
        <v>373</v>
      </c>
      <c r="G8572" s="32" t="n">
        <f aca="false">IF(G8451&gt;0,G8447/G8451,99)</f>
        <v>1.67647254423353</v>
      </c>
      <c r="H8572" s="32" t="n">
        <f aca="false">IF(H8451&gt;0,H8447/H8451,99)</f>
        <v>1.50603116890312</v>
      </c>
      <c r="I8572" s="32" t="n">
        <f aca="false">IF(I8451&gt;0,I8447/I8451,99)</f>
        <v>1.42319945461345</v>
      </c>
      <c r="J8572" s="32" t="n">
        <f aca="false">IF(J8451&gt;0,J8447/J8451,99)</f>
        <v>1.53083166614199</v>
      </c>
      <c r="K8572" s="32" t="n">
        <f aca="false">IF(K8451&gt;0,K8447/K8451,99)</f>
        <v>1.53083166614199</v>
      </c>
    </row>
    <row r="8573" customFormat="false" ht="15" hidden="false" customHeight="false" outlineLevel="0" collapsed="false">
      <c r="A8573" s="3" t="s">
        <v>374</v>
      </c>
      <c r="G8573" s="33" t="n">
        <f aca="false">Assumptions!$G$66</f>
        <v>1.4</v>
      </c>
      <c r="H8573" s="33" t="n">
        <f aca="false">Assumptions!$H$66</f>
        <v>1.4</v>
      </c>
      <c r="I8573" s="33" t="n">
        <f aca="false">Assumptions!$I$66</f>
        <v>1.4</v>
      </c>
      <c r="J8573" s="33" t="n">
        <f aca="false">Assumptions!$J$66</f>
        <v>1.5</v>
      </c>
      <c r="K8573" s="33" t="n">
        <f aca="false">Assumptions!$K$66</f>
        <v>1.5</v>
      </c>
    </row>
    <row r="8574" customFormat="false" ht="15" hidden="false" customHeight="false" outlineLevel="0" collapsed="false">
      <c r="A8574" s="3" t="s">
        <v>375</v>
      </c>
      <c r="G8574" s="32" t="n">
        <f aca="false">G8572-G8573</f>
        <v>0.276472544233526</v>
      </c>
      <c r="H8574" s="32" t="n">
        <f aca="false">H8572-H8573</f>
        <v>0.106031168903118</v>
      </c>
      <c r="I8574" s="32" t="n">
        <f aca="false">I8572-I8573</f>
        <v>0.0231994546134462</v>
      </c>
      <c r="J8574" s="32" t="n">
        <f aca="false">J8572-J8573</f>
        <v>0.030831666141991</v>
      </c>
      <c r="K8574" s="32" t="n">
        <f aca="false">K8572-K8573</f>
        <v>0.030831666141991</v>
      </c>
    </row>
    <row r="8575" customFormat="false" ht="15" hidden="false" customHeight="false" outlineLevel="0" collapsed="false">
      <c r="A8575" s="3" t="s">
        <v>376</v>
      </c>
      <c r="G8575" s="21" t="n">
        <f aca="false">IF(G8573=0,0,G8574/ABS(G8573))</f>
        <v>0.197480388738233</v>
      </c>
      <c r="H8575" s="21" t="n">
        <f aca="false">IF(H8573=0,0,H8574/ABS(H8573))</f>
        <v>0.0757365492165126</v>
      </c>
      <c r="I8575" s="21" t="n">
        <f aca="false">IF(I8573=0,0,I8574/ABS(I8573))</f>
        <v>0.0165710390096044</v>
      </c>
      <c r="J8575" s="21" t="n">
        <f aca="false">IF(J8573=0,0,J8574/ABS(J8573))</f>
        <v>0.0205544440946606</v>
      </c>
      <c r="K8575" s="21" t="n">
        <f aca="false">IF(K8573=0,0,K8574/ABS(K8573))</f>
        <v>0.0205544440946606</v>
      </c>
    </row>
    <row r="8576" customFormat="false" ht="15" hidden="false" customHeight="false" outlineLevel="0" collapsed="false">
      <c r="A8576" s="3" t="s">
        <v>377</v>
      </c>
      <c r="G8576" s="20" t="n">
        <f aca="false">IF(G8574&lt;0,1,0)</f>
        <v>0</v>
      </c>
      <c r="H8576" s="20" t="n">
        <f aca="false">IF(H8574&lt;0,1,0)</f>
        <v>0</v>
      </c>
      <c r="I8576" s="20" t="n">
        <f aca="false">IF(I8574&lt;0,1,0)</f>
        <v>0</v>
      </c>
      <c r="J8576" s="20" t="n">
        <f aca="false">IF(J8574&lt;0,1,0)</f>
        <v>0</v>
      </c>
      <c r="K8576" s="20" t="n">
        <f aca="false">IF(K8574&lt;0,1,0)</f>
        <v>0</v>
      </c>
    </row>
    <row r="8577" customFormat="false" ht="15" hidden="false" customHeight="false" outlineLevel="0" collapsed="false">
      <c r="A8577" s="3" t="s">
        <v>378</v>
      </c>
      <c r="C8577" s="20" t="n">
        <f aca="false">IFERROR(INDEX($G$8437:$K$8437,MATCH(1,$G$8576:$K$8576,0)),0)</f>
        <v>0</v>
      </c>
    </row>
    <row r="8578" customFormat="false" ht="15" hidden="false" customHeight="false" outlineLevel="0" collapsed="false">
      <c r="A8578" s="3" t="s">
        <v>379</v>
      </c>
      <c r="C8578" s="21" t="n">
        <f aca="false">MIN($G$8575:$K$8575)</f>
        <v>0.0165710390096044</v>
      </c>
    </row>
    <row r="8579" customFormat="false" ht="15" hidden="false" customHeight="false" outlineLevel="0" collapsed="false">
      <c r="A8579" s="23" t="s">
        <v>381</v>
      </c>
      <c r="B8579" s="24"/>
      <c r="C8579" s="24"/>
      <c r="D8579" s="24"/>
      <c r="E8579" s="24"/>
      <c r="F8579" s="24"/>
      <c r="G8579" s="24"/>
      <c r="H8579" s="24"/>
      <c r="I8579" s="24"/>
      <c r="J8579" s="24"/>
      <c r="K8579" s="24"/>
    </row>
    <row r="8580" customFormat="false" ht="15" hidden="false" customHeight="false" outlineLevel="0" collapsed="false">
      <c r="A8580" s="3" t="s">
        <v>373</v>
      </c>
      <c r="G8580" s="25" t="n">
        <f aca="false">G8558</f>
        <v>530.27699404</v>
      </c>
      <c r="H8580" s="25" t="n">
        <f aca="false">H8558</f>
        <v>570.7612208032</v>
      </c>
      <c r="I8580" s="25" t="n">
        <f aca="false">I8558</f>
        <v>178.255791870748</v>
      </c>
      <c r="J8580" s="25" t="n">
        <f aca="false">J8558</f>
        <v>213.506476210276</v>
      </c>
      <c r="K8580" s="25" t="n">
        <f aca="false">K8558</f>
        <v>248.757160549804</v>
      </c>
    </row>
    <row r="8581" customFormat="false" ht="15" hidden="false" customHeight="false" outlineLevel="0" collapsed="false">
      <c r="A8581" s="3" t="s">
        <v>374</v>
      </c>
      <c r="G8581" s="29" t="n">
        <f aca="false">Assumptions!$G$67</f>
        <v>200</v>
      </c>
      <c r="H8581" s="29" t="n">
        <f aca="false">Assumptions!$H$67</f>
        <v>200</v>
      </c>
      <c r="I8581" s="29" t="n">
        <f aca="false">Assumptions!$I$67</f>
        <v>200</v>
      </c>
      <c r="J8581" s="29" t="n">
        <f aca="false">Assumptions!$J$67</f>
        <v>200</v>
      </c>
      <c r="K8581" s="29" t="n">
        <f aca="false">Assumptions!$K$67</f>
        <v>200</v>
      </c>
    </row>
    <row r="8582" customFormat="false" ht="15" hidden="false" customHeight="false" outlineLevel="0" collapsed="false">
      <c r="A8582" s="3" t="s">
        <v>375</v>
      </c>
      <c r="G8582" s="25" t="n">
        <f aca="false">G8580-G8581</f>
        <v>330.27699404</v>
      </c>
      <c r="H8582" s="25" t="n">
        <f aca="false">H8580-H8581</f>
        <v>370.7612208032</v>
      </c>
      <c r="I8582" s="25" t="n">
        <f aca="false">I8580-I8581</f>
        <v>-21.7442081292521</v>
      </c>
      <c r="J8582" s="25" t="n">
        <f aca="false">J8580-J8581</f>
        <v>13.5064762102759</v>
      </c>
      <c r="K8582" s="25" t="n">
        <f aca="false">K8580-K8581</f>
        <v>48.7571605498039</v>
      </c>
    </row>
    <row r="8583" customFormat="false" ht="15" hidden="false" customHeight="false" outlineLevel="0" collapsed="false">
      <c r="A8583" s="3" t="s">
        <v>376</v>
      </c>
      <c r="G8583" s="21" t="n">
        <f aca="false">IF(G8581=0,0,G8582/ABS(G8581))</f>
        <v>1.6513849702</v>
      </c>
      <c r="H8583" s="21" t="n">
        <f aca="false">IF(H8581=0,0,H8582/ABS(H8581))</f>
        <v>1.853806104016</v>
      </c>
      <c r="I8583" s="21" t="n">
        <f aca="false">IF(I8581=0,0,I8582/ABS(I8581))</f>
        <v>-0.108721040646261</v>
      </c>
      <c r="J8583" s="21" t="n">
        <f aca="false">IF(J8581=0,0,J8582/ABS(J8581))</f>
        <v>0.0675323810513794</v>
      </c>
      <c r="K8583" s="21" t="n">
        <f aca="false">IF(K8581=0,0,K8582/ABS(K8581))</f>
        <v>0.243785802749019</v>
      </c>
    </row>
    <row r="8584" customFormat="false" ht="15" hidden="false" customHeight="false" outlineLevel="0" collapsed="false">
      <c r="A8584" s="3" t="s">
        <v>377</v>
      </c>
      <c r="G8584" s="20" t="n">
        <f aca="false">IF(G8582&lt;0,1,0)</f>
        <v>0</v>
      </c>
      <c r="H8584" s="20" t="n">
        <f aca="false">IF(H8582&lt;0,1,0)</f>
        <v>0</v>
      </c>
      <c r="I8584" s="20" t="n">
        <f aca="false">IF(I8582&lt;0,1,0)</f>
        <v>1</v>
      </c>
      <c r="J8584" s="20" t="n">
        <f aca="false">IF(J8582&lt;0,1,0)</f>
        <v>0</v>
      </c>
      <c r="K8584" s="20" t="n">
        <f aca="false">IF(K8582&lt;0,1,0)</f>
        <v>0</v>
      </c>
    </row>
    <row r="8585" customFormat="false" ht="15" hidden="false" customHeight="false" outlineLevel="0" collapsed="false">
      <c r="A8585" s="3" t="s">
        <v>378</v>
      </c>
      <c r="C8585" s="20" t="n">
        <f aca="false">IFERROR(INDEX($G$8437:$K$8437,MATCH(1,$G$8584:$K$8584,0)),0)</f>
        <v>2029</v>
      </c>
    </row>
    <row r="8586" customFormat="false" ht="15" hidden="false" customHeight="false" outlineLevel="0" collapsed="false">
      <c r="A8586" s="3" t="s">
        <v>379</v>
      </c>
      <c r="C8586" s="21" t="n">
        <f aca="false">MIN($G$8583:$K$8583)</f>
        <v>-0.108721040646261</v>
      </c>
    </row>
    <row r="8587" customFormat="false" ht="15" hidden="false" customHeight="false" outlineLevel="0" collapsed="false">
      <c r="A8587" s="3" t="s">
        <v>382</v>
      </c>
      <c r="G8587" s="20" t="n">
        <f aca="false">G8568+G8576+G8584</f>
        <v>0</v>
      </c>
      <c r="H8587" s="20" t="n">
        <f aca="false">H8568+H8576+H8584</f>
        <v>0</v>
      </c>
      <c r="I8587" s="20" t="n">
        <f aca="false">I8568+I8576+I8584</f>
        <v>2</v>
      </c>
      <c r="J8587" s="20" t="n">
        <f aca="false">J8568+J8576+J8584</f>
        <v>1</v>
      </c>
      <c r="K8587" s="20" t="n">
        <f aca="false">K8568+K8576+K8584</f>
        <v>1</v>
      </c>
    </row>
    <row r="8588" customFormat="false" ht="15" hidden="false" customHeight="false" outlineLevel="0" collapsed="false">
      <c r="A8588" s="3" t="s">
        <v>383</v>
      </c>
      <c r="C8588" s="20" t="n">
        <f aca="false">SUM($G$8587:$K$8587)</f>
        <v>4</v>
      </c>
    </row>
    <row r="8589" customFormat="false" ht="15" hidden="false" customHeight="false" outlineLevel="0" collapsed="false">
      <c r="A8589" s="3" t="s">
        <v>384</v>
      </c>
      <c r="C8589" s="21" t="n">
        <f aca="false">MIN(C8570,C8578,C8586)</f>
        <v>-0.108721040646261</v>
      </c>
    </row>
    <row r="8591" customFormat="false" ht="15" hidden="false" customHeight="false" outlineLevel="0" collapsed="false">
      <c r="A8591" s="23" t="s">
        <v>486</v>
      </c>
      <c r="B8591" s="24"/>
      <c r="C8591" s="24"/>
      <c r="D8591" s="24"/>
      <c r="E8591" s="24"/>
      <c r="F8591" s="24"/>
      <c r="G8591" s="24"/>
      <c r="H8591" s="24"/>
      <c r="I8591" s="24"/>
      <c r="J8591" s="24"/>
      <c r="K8591" s="24"/>
    </row>
    <row r="8592" customFormat="false" ht="15" hidden="false" customHeight="false" outlineLevel="0" collapsed="false">
      <c r="A8592" s="3" t="s">
        <v>487</v>
      </c>
      <c r="G8592" s="20" t="n">
        <f aca="false">IF($C$8593=1,G8545,IF(G8447=MIN($G$8447:$K$8447),1,0))</f>
        <v>0</v>
      </c>
      <c r="H8592" s="20" t="n">
        <f aca="false">IF($C$8593=1,H8545,IF(AND(H8447=MIN($G$8447:$K$8447),SUM($G$8592:G8592)=0),1,0))</f>
        <v>0</v>
      </c>
      <c r="I8592" s="20" t="n">
        <f aca="false">IF($C$8593=1,I8545,IF(AND(I8447=MIN($G$8447:$K$8447),SUM($G$8592:H8592)=0),1,0))</f>
        <v>0</v>
      </c>
      <c r="J8592" s="20" t="n">
        <f aca="false">IF($C$8593=1,J8545,IF(AND(J8447=MIN($G$8447:$K$8447),SUM($G$8592:I8592)=0),1,0))</f>
        <v>1</v>
      </c>
      <c r="K8592" s="20" t="n">
        <f aca="false">IF($C$8593=1,K8545,IF(AND(K8447=MIN($G$8447:$K$8447),SUM($G$8592:J8592)=0),1,0))</f>
        <v>0</v>
      </c>
    </row>
    <row r="8593" customFormat="false" ht="15" hidden="false" customHeight="false" outlineLevel="0" collapsed="false">
      <c r="A8593" s="3" t="s">
        <v>488</v>
      </c>
      <c r="C8593" s="20" t="n">
        <f aca="false">IF(SUM($G$8545:$K$8545)&gt;0,1,0)</f>
        <v>0</v>
      </c>
    </row>
    <row r="8594" customFormat="false" ht="15" hidden="false" customHeight="false" outlineLevel="0" collapsed="false">
      <c r="A8594" s="3" t="s">
        <v>489</v>
      </c>
      <c r="C8594" s="20" t="n">
        <f aca="false">SUMPRODUCT($G$8592:$K$8592,$G$8437:$K$8437)</f>
        <v>2030</v>
      </c>
    </row>
    <row r="8595" customFormat="false" ht="15" hidden="false" customHeight="false" outlineLevel="0" collapsed="false">
      <c r="A8595" s="3" t="s">
        <v>490</v>
      </c>
      <c r="C8595" s="25" t="n">
        <f aca="false">SUMPRODUCT($G$8592:$K$8592,$G$8447:$K$8447)</f>
        <v>211.3853345604</v>
      </c>
    </row>
    <row r="8596" customFormat="false" ht="15" hidden="false" customHeight="false" outlineLevel="0" collapsed="false">
      <c r="A8596" s="3" t="s">
        <v>491</v>
      </c>
      <c r="C8596" s="25" t="n">
        <f aca="false">MAX(0,SUMPRODUCT($G$8592:$K$8592,$G$8542:$K$8542))</f>
        <v>213.506476210276</v>
      </c>
    </row>
    <row r="8597" customFormat="false" ht="15" hidden="false" customHeight="false" outlineLevel="0" collapsed="false">
      <c r="A8597" s="3" t="s">
        <v>492</v>
      </c>
      <c r="C8597" s="25" t="n">
        <f aca="false">(CHOOSE($C$8430,Assumptions!$C$84,Assumptions!$C$103,Assumptions!$C$122)+$C$8434)*C8595</f>
        <v>951.2340055218</v>
      </c>
    </row>
    <row r="8598" customFormat="false" ht="15" hidden="false" customHeight="false" outlineLevel="0" collapsed="false">
      <c r="A8598" s="3" t="s">
        <v>493</v>
      </c>
      <c r="C8598" s="25" t="n">
        <f aca="false">Assumptions!$C$30*(1-CHOOSE($C$8430,Assumptions!$C$85,Assumptions!$C$104,Assumptions!$C$123))*CHOOSE($C$8430,Assumptions!$C$86,Assumptions!$C$105,Assumptions!$C$124)</f>
        <v>626.017605</v>
      </c>
    </row>
    <row r="8599" customFormat="false" ht="15" hidden="false" customHeight="false" outlineLevel="0" collapsed="false">
      <c r="A8599" s="3" t="s">
        <v>494</v>
      </c>
      <c r="C8599" s="25" t="n">
        <f aca="false">MAX(C8597,C8598)+C8596</f>
        <v>1164.74048173208</v>
      </c>
    </row>
    <row r="8600" customFormat="false" ht="15" hidden="false" customHeight="false" outlineLevel="0" collapsed="false">
      <c r="A8600" s="2" t="s">
        <v>495</v>
      </c>
      <c r="C8600" s="16" t="n">
        <f aca="false">IF(ISNUMBER(Assumptions!$C$14),Assumptions!$C$14,C8599)</f>
        <v>1164.74048173208</v>
      </c>
    </row>
    <row r="8601" customFormat="false" ht="15" hidden="false" customHeight="false" outlineLevel="0" collapsed="false">
      <c r="A8601" s="3" t="s">
        <v>496</v>
      </c>
      <c r="C8601" s="25" t="n">
        <f aca="false">C8600*Assumptions!$C$15</f>
        <v>46.589619269283</v>
      </c>
    </row>
    <row r="8602" customFormat="false" ht="15" hidden="false" customHeight="false" outlineLevel="0" collapsed="false">
      <c r="A8602" s="2" t="s">
        <v>497</v>
      </c>
      <c r="C8602" s="16" t="n">
        <f aca="false">C8600-C8601</f>
        <v>1118.15086246279</v>
      </c>
    </row>
    <row r="8603" customFormat="false" ht="15" hidden="false" customHeight="false" outlineLevel="0" collapsed="false">
      <c r="A8603" s="23" t="s">
        <v>498</v>
      </c>
      <c r="B8603" s="24"/>
      <c r="C8603" s="24"/>
      <c r="D8603" s="24"/>
      <c r="E8603" s="24"/>
      <c r="F8603" s="24"/>
      <c r="G8603" s="24"/>
      <c r="H8603" s="24"/>
      <c r="I8603" s="24"/>
      <c r="J8603" s="24"/>
      <c r="K8603" s="24"/>
    </row>
    <row r="8604" customFormat="false" ht="15" hidden="false" customHeight="false" outlineLevel="0" collapsed="false">
      <c r="A8604" s="3" t="s">
        <v>499</v>
      </c>
      <c r="C8604" s="25" t="n">
        <f aca="false">SUMPRODUCT($G$8592:$K$8592,$G$8484:$K$8484)*(1+SUMPRODUCT($G$8592:$K$8592,$G$8476:$K$8476)*Assumptions!$C$16/12)</f>
        <v>1349.6193225</v>
      </c>
    </row>
    <row r="8605" customFormat="false" ht="15" hidden="false" customHeight="false" outlineLevel="0" collapsed="false">
      <c r="A8605" s="3" t="s">
        <v>500</v>
      </c>
      <c r="C8605" s="25" t="n">
        <f aca="false">SUMPRODUCT($G$8592:$K$8592,$G$8497:$K$8497)*(1+SUMPRODUCT($G$8592:$K$8592,$G$8489:$K$8489)*Assumptions!$C$16/12)</f>
        <v>0</v>
      </c>
    </row>
    <row r="8606" customFormat="false" ht="15" hidden="false" customHeight="false" outlineLevel="0" collapsed="false">
      <c r="A8606" s="3" t="s">
        <v>501</v>
      </c>
      <c r="C8606" s="25" t="n">
        <f aca="false">SUMPRODUCT($G$8592:$K$8592,$G$8510:$K$8510)*(1+SUMPRODUCT($G$8592:$K$8592,$G$8502:$K$8502)*Assumptions!$C$16/12)</f>
        <v>0</v>
      </c>
    </row>
    <row r="8607" customFormat="false" ht="15" hidden="false" customHeight="false" outlineLevel="0" collapsed="false">
      <c r="A8607" s="23" t="s">
        <v>502</v>
      </c>
      <c r="B8607" s="24"/>
      <c r="C8607" s="24"/>
      <c r="D8607" s="24"/>
      <c r="E8607" s="24"/>
      <c r="F8607" s="24"/>
      <c r="G8607" s="24"/>
      <c r="H8607" s="24"/>
      <c r="I8607" s="24"/>
      <c r="J8607" s="24"/>
      <c r="K8607" s="24"/>
    </row>
    <row r="8608" customFormat="false" ht="15" hidden="false" customHeight="false" outlineLevel="0" collapsed="false">
      <c r="A8608" s="3" t="s">
        <v>499</v>
      </c>
      <c r="C8608" s="27" t="n">
        <f aca="false">Assumptions!$M$56</f>
        <v>1</v>
      </c>
    </row>
    <row r="8609" customFormat="false" ht="15" hidden="false" customHeight="false" outlineLevel="0" collapsed="false">
      <c r="A8609" s="3" t="s">
        <v>500</v>
      </c>
      <c r="C8609" s="27" t="n">
        <f aca="false">Assumptions!$M$57</f>
        <v>2</v>
      </c>
    </row>
    <row r="8610" customFormat="false" ht="15" hidden="false" customHeight="false" outlineLevel="0" collapsed="false">
      <c r="A8610" s="3" t="s">
        <v>501</v>
      </c>
      <c r="C8610" s="27" t="n">
        <f aca="false">Assumptions!$M$58</f>
        <v>2</v>
      </c>
    </row>
    <row r="8611" customFormat="false" ht="15" hidden="false" customHeight="false" outlineLevel="0" collapsed="false">
      <c r="A8611" s="23" t="s">
        <v>503</v>
      </c>
      <c r="B8611" s="24"/>
      <c r="C8611" s="24"/>
      <c r="D8611" s="24"/>
      <c r="E8611" s="24"/>
      <c r="F8611" s="24"/>
      <c r="G8611" s="24"/>
      <c r="H8611" s="24"/>
      <c r="I8611" s="24"/>
      <c r="J8611" s="24"/>
      <c r="K8611" s="24"/>
    </row>
    <row r="8612" customFormat="false" ht="15" hidden="false" customHeight="false" outlineLevel="0" collapsed="false">
      <c r="A8612" s="3" t="s">
        <v>499</v>
      </c>
      <c r="C8612" s="35" t="n">
        <f aca="false">Assumptions!$Q$56</f>
        <v>0</v>
      </c>
    </row>
    <row r="8613" customFormat="false" ht="15" hidden="false" customHeight="false" outlineLevel="0" collapsed="false">
      <c r="A8613" s="3" t="s">
        <v>500</v>
      </c>
      <c r="C8613" s="35" t="n">
        <f aca="false">Assumptions!$Q$57</f>
        <v>0</v>
      </c>
    </row>
    <row r="8614" customFormat="false" ht="15" hidden="false" customHeight="false" outlineLevel="0" collapsed="false">
      <c r="A8614" s="3" t="s">
        <v>501</v>
      </c>
      <c r="C8614" s="35" t="n">
        <f aca="false">Assumptions!$Q$58</f>
        <v>0</v>
      </c>
    </row>
    <row r="8615" customFormat="false" ht="15" hidden="false" customHeight="false" outlineLevel="0" collapsed="false">
      <c r="A8615" s="23" t="s">
        <v>504</v>
      </c>
      <c r="B8615" s="24"/>
      <c r="C8615" s="24"/>
      <c r="D8615" s="24"/>
      <c r="E8615" s="24"/>
      <c r="F8615" s="24"/>
      <c r="G8615" s="24"/>
      <c r="H8615" s="24"/>
      <c r="I8615" s="24"/>
      <c r="J8615" s="24"/>
      <c r="K8615" s="24"/>
    </row>
    <row r="8616" customFormat="false" ht="15" hidden="false" customHeight="false" outlineLevel="0" collapsed="false">
      <c r="A8616" s="3" t="s">
        <v>499</v>
      </c>
      <c r="C8616" s="25" t="n">
        <f aca="false">IF(C8612&gt;0,MIN(C8604,C8612*$C$8602),0)</f>
        <v>0</v>
      </c>
    </row>
    <row r="8617" customFormat="false" ht="15" hidden="false" customHeight="false" outlineLevel="0" collapsed="false">
      <c r="A8617" s="3" t="s">
        <v>500</v>
      </c>
      <c r="C8617" s="25" t="n">
        <f aca="false">IF(C8613&gt;0,MIN(C8605,C8613*$C$8602),0)</f>
        <v>0</v>
      </c>
    </row>
    <row r="8618" customFormat="false" ht="15" hidden="false" customHeight="false" outlineLevel="0" collapsed="false">
      <c r="A8618" s="3" t="s">
        <v>501</v>
      </c>
      <c r="C8618" s="25" t="n">
        <f aca="false">IF(C8614&gt;0,MIN(C8606,C8614*$C$8602),0)</f>
        <v>0</v>
      </c>
    </row>
    <row r="8619" customFormat="false" ht="15" hidden="false" customHeight="false" outlineLevel="0" collapsed="false">
      <c r="A8619" s="23" t="s">
        <v>505</v>
      </c>
      <c r="B8619" s="24"/>
      <c r="C8619" s="24"/>
      <c r="D8619" s="24"/>
      <c r="E8619" s="24"/>
      <c r="F8619" s="24"/>
      <c r="G8619" s="24"/>
      <c r="H8619" s="24"/>
      <c r="I8619" s="24"/>
      <c r="J8619" s="24"/>
      <c r="K8619" s="24"/>
    </row>
    <row r="8620" customFormat="false" ht="15" hidden="false" customHeight="false" outlineLevel="0" collapsed="false">
      <c r="A8620" s="3" t="s">
        <v>499</v>
      </c>
      <c r="C8620" s="25" t="n">
        <f aca="false">IF(C8612&gt;0,C8604-C8616,0)</f>
        <v>0</v>
      </c>
      <c r="G8620" s="20" t="n">
        <f aca="false">IF(AND(G8474=1,G8471=1),1,0)</f>
        <v>0</v>
      </c>
      <c r="H8620" s="20" t="n">
        <f aca="false">IF(G8620=1,1,IF(AND(H8474=1,H8471=1),1,0))</f>
        <v>0</v>
      </c>
      <c r="I8620" s="20" t="n">
        <f aca="false">IF(H8620=1,1,IF(AND(I8474=1,I8471=1),1,0))</f>
        <v>0</v>
      </c>
      <c r="J8620" s="20" t="n">
        <f aca="false">IF(I8620=1,1,IF(AND(J8474=1,J8471=1),1,0))</f>
        <v>0</v>
      </c>
      <c r="K8620" s="20" t="n">
        <f aca="false">IF(J8620=1,1,IF(AND(K8474=1,K8471=1),1,0))</f>
        <v>0</v>
      </c>
    </row>
    <row r="8621" customFormat="false" ht="15" hidden="false" customHeight="false" outlineLevel="0" collapsed="false">
      <c r="A8621" s="3" t="s">
        <v>500</v>
      </c>
      <c r="C8621" s="25" t="n">
        <f aca="false">IF(C8613&gt;0,C8605-C8617,0)</f>
        <v>0</v>
      </c>
      <c r="G8621" s="20" t="n">
        <f aca="false">IF(AND(G8487=1,G8471=1),1,0)</f>
        <v>0</v>
      </c>
      <c r="H8621" s="20" t="n">
        <f aca="false">IF(G8621=1,1,IF(AND(H8487=1,H8471=1),1,0))</f>
        <v>0</v>
      </c>
      <c r="I8621" s="20" t="n">
        <f aca="false">IF(H8621=1,1,IF(AND(I8487=1,I8471=1),1,0))</f>
        <v>0</v>
      </c>
      <c r="J8621" s="20" t="n">
        <f aca="false">IF(I8621=1,1,IF(AND(J8487=1,J8471=1),1,0))</f>
        <v>0</v>
      </c>
      <c r="K8621" s="20" t="n">
        <f aca="false">IF(J8621=1,1,IF(AND(K8487=1,K8471=1),1,0))</f>
        <v>0</v>
      </c>
    </row>
    <row r="8622" customFormat="false" ht="15" hidden="false" customHeight="false" outlineLevel="0" collapsed="false">
      <c r="A8622" s="3" t="s">
        <v>501</v>
      </c>
      <c r="C8622" s="25" t="n">
        <f aca="false">IF(C8614&gt;0,C8606-C8618,0)</f>
        <v>0</v>
      </c>
      <c r="G8622" s="20" t="n">
        <f aca="false">IF(AND(G8500=1,G8471=1),1,0)</f>
        <v>0</v>
      </c>
      <c r="H8622" s="20" t="n">
        <f aca="false">IF(G8622=1,1,IF(AND(H8500=1,H8471=1),1,0))</f>
        <v>0</v>
      </c>
      <c r="I8622" s="20" t="n">
        <f aca="false">IF(H8622=1,1,IF(AND(I8500=1,I8471=1),1,0))</f>
        <v>0</v>
      </c>
      <c r="J8622" s="20" t="n">
        <f aca="false">IF(I8622=1,1,IF(AND(J8500=1,J8471=1),1,0))</f>
        <v>0</v>
      </c>
      <c r="K8622" s="20" t="n">
        <f aca="false">IF(J8622=1,1,IF(AND(K8500=1,K8471=1),1,0))</f>
        <v>0</v>
      </c>
    </row>
    <row r="8623" customFormat="false" ht="15" hidden="false" customHeight="false" outlineLevel="0" collapsed="false">
      <c r="A8623" s="23" t="s">
        <v>506</v>
      </c>
      <c r="B8623" s="24"/>
      <c r="C8623" s="24"/>
      <c r="D8623" s="24"/>
      <c r="E8623" s="24"/>
      <c r="F8623" s="24"/>
      <c r="G8623" s="24"/>
      <c r="H8623" s="24"/>
      <c r="I8623" s="24"/>
      <c r="J8623" s="24"/>
      <c r="K8623" s="24"/>
    </row>
    <row r="8624" customFormat="false" ht="15" hidden="false" customHeight="false" outlineLevel="0" collapsed="false">
      <c r="A8624" s="3" t="s">
        <v>499</v>
      </c>
      <c r="C8624" s="25" t="n">
        <f aca="false">IF(C8612&gt;0,C8620,C8604)</f>
        <v>1349.6193225</v>
      </c>
    </row>
    <row r="8625" customFormat="false" ht="15" hidden="false" customHeight="false" outlineLevel="0" collapsed="false">
      <c r="A8625" s="3" t="s">
        <v>500</v>
      </c>
      <c r="C8625" s="25" t="n">
        <f aca="false">IF(C8613&gt;0,C8621,C8605)</f>
        <v>0</v>
      </c>
    </row>
    <row r="8626" customFormat="false" ht="15" hidden="false" customHeight="false" outlineLevel="0" collapsed="false">
      <c r="A8626" s="3" t="s">
        <v>501</v>
      </c>
      <c r="C8626" s="25" t="n">
        <f aca="false">IF(C8614&gt;0,C8622,C8606)</f>
        <v>0</v>
      </c>
    </row>
    <row r="8627" customFormat="false" ht="15" hidden="false" customHeight="false" outlineLevel="0" collapsed="false">
      <c r="A8627" s="23" t="s">
        <v>507</v>
      </c>
      <c r="B8627" s="24"/>
      <c r="C8627" s="24"/>
      <c r="D8627" s="24"/>
      <c r="E8627" s="24"/>
      <c r="F8627" s="24"/>
      <c r="G8627" s="24"/>
      <c r="H8627" s="24"/>
      <c r="I8627" s="24"/>
      <c r="J8627" s="24"/>
      <c r="K8627" s="24"/>
    </row>
    <row r="8628" customFormat="false" ht="15" hidden="false" customHeight="false" outlineLevel="0" collapsed="false">
      <c r="A8628" s="3" t="s">
        <v>499</v>
      </c>
      <c r="C8628" s="20" t="n">
        <f aca="false">IF(C8612&gt;0,Assumptions!$C$17,C8608)</f>
        <v>1</v>
      </c>
    </row>
    <row r="8629" customFormat="false" ht="15" hidden="false" customHeight="false" outlineLevel="0" collapsed="false">
      <c r="A8629" s="3" t="s">
        <v>500</v>
      </c>
      <c r="C8629" s="20" t="n">
        <f aca="false">IF(C8613&gt;0,Assumptions!$C$17,C8609)</f>
        <v>2</v>
      </c>
    </row>
    <row r="8630" customFormat="false" ht="15" hidden="false" customHeight="false" outlineLevel="0" collapsed="false">
      <c r="A8630" s="3" t="s">
        <v>501</v>
      </c>
      <c r="C8630" s="20" t="n">
        <f aca="false">IF(C8614&gt;0,Assumptions!$C$17,C8610)</f>
        <v>2</v>
      </c>
    </row>
    <row r="8631" customFormat="false" ht="15" hidden="false" customHeight="false" outlineLevel="0" collapsed="false">
      <c r="A8631" s="23" t="s">
        <v>508</v>
      </c>
      <c r="B8631" s="24"/>
      <c r="C8631" s="24"/>
      <c r="D8631" s="24"/>
      <c r="E8631" s="24"/>
      <c r="F8631" s="24"/>
      <c r="G8631" s="24"/>
      <c r="H8631" s="24"/>
      <c r="I8631" s="24"/>
      <c r="J8631" s="24"/>
      <c r="K8631" s="24"/>
    </row>
    <row r="8632" customFormat="false" ht="15" hidden="false" customHeight="false" outlineLevel="0" collapsed="false">
      <c r="A8632" s="3" t="s">
        <v>499</v>
      </c>
      <c r="C8632" s="25" t="n">
        <f aca="false">SUMPRODUCT(($C$8628:$C$8630&lt;C8628)*$C$8624:$C$8626)</f>
        <v>0</v>
      </c>
    </row>
    <row r="8633" customFormat="false" ht="15" hidden="false" customHeight="false" outlineLevel="0" collapsed="false">
      <c r="A8633" s="3" t="s">
        <v>500</v>
      </c>
      <c r="C8633" s="25" t="n">
        <f aca="false">SUMPRODUCT(($C$8628:$C$8630&lt;C8629)*$C$8624:$C$8626)</f>
        <v>1349.6193225</v>
      </c>
    </row>
    <row r="8634" customFormat="false" ht="15" hidden="false" customHeight="false" outlineLevel="0" collapsed="false">
      <c r="A8634" s="3" t="s">
        <v>501</v>
      </c>
      <c r="C8634" s="25" t="n">
        <f aca="false">SUMPRODUCT(($C$8628:$C$8630&lt;C8630)*$C$8624:$C$8626)</f>
        <v>1349.6193225</v>
      </c>
    </row>
    <row r="8635" customFormat="false" ht="15" hidden="false" customHeight="false" outlineLevel="0" collapsed="false">
      <c r="A8635" s="23" t="s">
        <v>509</v>
      </c>
      <c r="B8635" s="24"/>
      <c r="C8635" s="24"/>
      <c r="D8635" s="24"/>
      <c r="E8635" s="24"/>
      <c r="F8635" s="24"/>
      <c r="G8635" s="24"/>
      <c r="H8635" s="24"/>
      <c r="I8635" s="24"/>
      <c r="J8635" s="24"/>
      <c r="K8635" s="24"/>
    </row>
    <row r="8636" customFormat="false" ht="15" hidden="false" customHeight="false" outlineLevel="0" collapsed="false">
      <c r="A8636" s="3" t="s">
        <v>499</v>
      </c>
      <c r="C8636" s="25" t="n">
        <f aca="false">SUMPRODUCT(($C$8628:$C$8630=C8628)*$C$8624:$C$8626)</f>
        <v>1349.6193225</v>
      </c>
    </row>
    <row r="8637" customFormat="false" ht="15" hidden="false" customHeight="false" outlineLevel="0" collapsed="false">
      <c r="A8637" s="3" t="s">
        <v>500</v>
      </c>
      <c r="C8637" s="25" t="n">
        <f aca="false">SUMPRODUCT(($C$8628:$C$8630=C8629)*$C$8624:$C$8626)</f>
        <v>0</v>
      </c>
    </row>
    <row r="8638" customFormat="false" ht="15" hidden="false" customHeight="false" outlineLevel="0" collapsed="false">
      <c r="A8638" s="3" t="s">
        <v>501</v>
      </c>
      <c r="C8638" s="25" t="n">
        <f aca="false">SUMPRODUCT(($C$8628:$C$8630=C8630)*$C$8624:$C$8626)</f>
        <v>0</v>
      </c>
    </row>
    <row r="8639" customFormat="false" ht="15" hidden="false" customHeight="false" outlineLevel="0" collapsed="false">
      <c r="A8639" s="23" t="s">
        <v>510</v>
      </c>
      <c r="B8639" s="24"/>
      <c r="C8639" s="24"/>
      <c r="D8639" s="24"/>
      <c r="E8639" s="24"/>
      <c r="F8639" s="24"/>
      <c r="G8639" s="24"/>
      <c r="H8639" s="24"/>
      <c r="I8639" s="24"/>
      <c r="J8639" s="24"/>
      <c r="K8639" s="24"/>
    </row>
    <row r="8640" customFormat="false" ht="15" hidden="false" customHeight="false" outlineLevel="0" collapsed="false">
      <c r="A8640" s="3" t="s">
        <v>499</v>
      </c>
      <c r="C8640" s="25" t="n">
        <f aca="false">IF(C8636=0,0,C8624/C8636*MAX(0,MIN(C8636,$C$8602-SUM($C$8616:$C$8618)-C8632)))</f>
        <v>1118.15086246279</v>
      </c>
    </row>
    <row r="8641" customFormat="false" ht="15" hidden="false" customHeight="false" outlineLevel="0" collapsed="false">
      <c r="A8641" s="3" t="s">
        <v>500</v>
      </c>
      <c r="C8641" s="25" t="n">
        <f aca="false">IF(C8637=0,0,C8625/C8637*MAX(0,MIN(C8637,$C$8602-SUM($C$8616:$C$8618)-C8633)))</f>
        <v>0</v>
      </c>
    </row>
    <row r="8642" customFormat="false" ht="15" hidden="false" customHeight="false" outlineLevel="0" collapsed="false">
      <c r="A8642" s="3" t="s">
        <v>501</v>
      </c>
      <c r="C8642" s="25" t="n">
        <f aca="false">IF(C8638=0,0,C8626/C8638*MAX(0,MIN(C8638,$C$8602-SUM($C$8616:$C$8618)-C8634)))</f>
        <v>0</v>
      </c>
    </row>
    <row r="8643" customFormat="false" ht="15" hidden="false" customHeight="false" outlineLevel="0" collapsed="false">
      <c r="A8643" s="23" t="s">
        <v>511</v>
      </c>
      <c r="B8643" s="24"/>
      <c r="C8643" s="24"/>
      <c r="D8643" s="24"/>
      <c r="E8643" s="24"/>
      <c r="F8643" s="24"/>
      <c r="G8643" s="24"/>
      <c r="H8643" s="24"/>
      <c r="I8643" s="24"/>
      <c r="J8643" s="24"/>
      <c r="K8643" s="24"/>
    </row>
    <row r="8644" customFormat="false" ht="15" hidden="false" customHeight="false" outlineLevel="0" collapsed="false">
      <c r="A8644" s="2" t="s">
        <v>499</v>
      </c>
      <c r="C8644" s="16" t="n">
        <f aca="false">C8616+C8640</f>
        <v>1118.15086246279</v>
      </c>
    </row>
    <row r="8645" customFormat="false" ht="15" hidden="false" customHeight="false" outlineLevel="0" collapsed="false">
      <c r="A8645" s="2" t="s">
        <v>500</v>
      </c>
      <c r="C8645" s="16" t="n">
        <f aca="false">C8617+C8641</f>
        <v>0</v>
      </c>
    </row>
    <row r="8646" customFormat="false" ht="15" hidden="false" customHeight="false" outlineLevel="0" collapsed="false">
      <c r="A8646" s="2" t="s">
        <v>501</v>
      </c>
      <c r="C8646" s="16" t="n">
        <f aca="false">C8618+C8642</f>
        <v>0</v>
      </c>
    </row>
    <row r="8647" customFormat="false" ht="15" hidden="false" customHeight="false" outlineLevel="0" collapsed="false">
      <c r="A8647" s="23" t="s">
        <v>512</v>
      </c>
      <c r="B8647" s="24"/>
      <c r="C8647" s="24"/>
      <c r="D8647" s="24"/>
      <c r="E8647" s="24"/>
      <c r="F8647" s="24"/>
      <c r="G8647" s="24"/>
      <c r="H8647" s="24"/>
      <c r="I8647" s="24"/>
      <c r="J8647" s="24"/>
      <c r="K8647" s="24"/>
    </row>
    <row r="8648" customFormat="false" ht="15" hidden="false" customHeight="false" outlineLevel="0" collapsed="false">
      <c r="A8648" s="3" t="s">
        <v>499</v>
      </c>
      <c r="C8648" s="21" t="n">
        <f aca="false">IF(C8604=0,1,C8644/C8604)</f>
        <v>0.828493519484857</v>
      </c>
    </row>
    <row r="8649" customFormat="false" ht="15" hidden="false" customHeight="false" outlineLevel="0" collapsed="false">
      <c r="A8649" s="3" t="s">
        <v>500</v>
      </c>
      <c r="C8649" s="21" t="n">
        <f aca="false">IF(C8605=0,1,C8645/C8605)</f>
        <v>1</v>
      </c>
    </row>
    <row r="8650" customFormat="false" ht="15" hidden="false" customHeight="false" outlineLevel="0" collapsed="false">
      <c r="A8650" s="3" t="s">
        <v>501</v>
      </c>
      <c r="C8650" s="21" t="n">
        <f aca="false">IF(C8606=0,1,C8646/C8606)</f>
        <v>1</v>
      </c>
    </row>
    <row r="8651" customFormat="false" ht="15" hidden="false" customHeight="false" outlineLevel="0" collapsed="false">
      <c r="A8651" s="23" t="s">
        <v>513</v>
      </c>
      <c r="B8651" s="24"/>
      <c r="C8651" s="24"/>
      <c r="D8651" s="24"/>
      <c r="E8651" s="24"/>
      <c r="F8651" s="24"/>
      <c r="G8651" s="24"/>
      <c r="H8651" s="24"/>
      <c r="I8651" s="24"/>
      <c r="J8651" s="24"/>
      <c r="K8651" s="24"/>
    </row>
    <row r="8652" customFormat="false" ht="15" hidden="false" customHeight="false" outlineLevel="0" collapsed="false">
      <c r="A8652" s="3" t="s">
        <v>499</v>
      </c>
      <c r="C8652" s="25" t="n">
        <f aca="false">C8604-C8644</f>
        <v>231.468460037207</v>
      </c>
    </row>
    <row r="8653" customFormat="false" ht="15" hidden="false" customHeight="false" outlineLevel="0" collapsed="false">
      <c r="A8653" s="3" t="s">
        <v>500</v>
      </c>
      <c r="C8653" s="25" t="n">
        <f aca="false">C8605-C8645</f>
        <v>0</v>
      </c>
    </row>
    <row r="8654" customFormat="false" ht="15" hidden="false" customHeight="false" outlineLevel="0" collapsed="false">
      <c r="A8654" s="3" t="s">
        <v>501</v>
      </c>
      <c r="C8654" s="25" t="n">
        <f aca="false">C8606-C8646</f>
        <v>0</v>
      </c>
    </row>
    <row r="8655" customFormat="false" ht="15" hidden="false" customHeight="false" outlineLevel="0" collapsed="false">
      <c r="A8655" s="23" t="s">
        <v>514</v>
      </c>
      <c r="B8655" s="24"/>
      <c r="C8655" s="24"/>
      <c r="D8655" s="24"/>
      <c r="E8655" s="24"/>
      <c r="F8655" s="24"/>
      <c r="G8655" s="24"/>
      <c r="H8655" s="24"/>
      <c r="I8655" s="24"/>
      <c r="J8655" s="24"/>
      <c r="K8655" s="24"/>
    </row>
    <row r="8656" customFormat="false" ht="15" hidden="false" customHeight="false" outlineLevel="0" collapsed="false">
      <c r="A8656" s="3" t="s">
        <v>499</v>
      </c>
      <c r="C8656" s="21" t="n">
        <f aca="false">IF(C8604=0,0,C8652/C8604)</f>
        <v>0.171506480515144</v>
      </c>
    </row>
    <row r="8657" customFormat="false" ht="15" hidden="false" customHeight="false" outlineLevel="0" collapsed="false">
      <c r="A8657" s="3" t="s">
        <v>500</v>
      </c>
      <c r="C8657" s="21" t="n">
        <f aca="false">IF(C8605=0,0,C8653/C8605)</f>
        <v>0</v>
      </c>
    </row>
    <row r="8658" customFormat="false" ht="15" hidden="false" customHeight="false" outlineLevel="0" collapsed="false">
      <c r="A8658" s="3" t="s">
        <v>501</v>
      </c>
      <c r="C8658" s="21" t="n">
        <f aca="false">IF(C8606=0,0,C8654/C8606)</f>
        <v>0</v>
      </c>
    </row>
    <row r="8659" customFormat="false" ht="15" hidden="false" customHeight="false" outlineLevel="0" collapsed="false">
      <c r="A8659" s="2" t="s">
        <v>515</v>
      </c>
      <c r="C8659" s="16" t="n">
        <f aca="false">MAX(0,$C$8602-SUM($C$8616:$C$8618)-SUM($C$8624:$C$8626))</f>
        <v>0</v>
      </c>
    </row>
    <row r="8660" customFormat="false" ht="15" hidden="false" customHeight="false" outlineLevel="0" collapsed="false">
      <c r="A8660" s="3" t="s">
        <v>516</v>
      </c>
      <c r="C8660" s="25" t="n">
        <f aca="false">SUM($C$8644:$C$8646)+C8659+C8601-C8600</f>
        <v>0</v>
      </c>
    </row>
    <row r="8662" customFormat="false" ht="15" hidden="false" customHeight="false" outlineLevel="0" collapsed="false">
      <c r="A8662" s="23" t="s">
        <v>519</v>
      </c>
      <c r="B8662" s="24"/>
      <c r="C8662" s="24"/>
      <c r="D8662" s="24"/>
      <c r="E8662" s="24"/>
      <c r="F8662" s="24"/>
      <c r="G8662" s="24"/>
      <c r="H8662" s="24"/>
      <c r="I8662" s="24"/>
      <c r="J8662" s="24"/>
      <c r="K8662" s="24"/>
    </row>
    <row r="8663" customFormat="false" ht="15" hidden="false" customHeight="false" outlineLevel="0" collapsed="false">
      <c r="A8663" s="3" t="s">
        <v>520</v>
      </c>
      <c r="C8663" s="27" t="n">
        <f aca="false">Assumptions!$C$33</f>
        <v>1</v>
      </c>
    </row>
    <row r="8664" customFormat="false" ht="15" hidden="false" customHeight="false" outlineLevel="0" collapsed="false">
      <c r="A8664" s="3" t="s">
        <v>521</v>
      </c>
      <c r="C8664" s="29" t="n">
        <f aca="false">Assumptions!$C$34</f>
        <v>100</v>
      </c>
    </row>
    <row r="8665" customFormat="false" ht="15" hidden="false" customHeight="false" outlineLevel="0" collapsed="false">
      <c r="A8665" s="3" t="s">
        <v>522</v>
      </c>
      <c r="C8665" s="40" t="n">
        <f aca="false">Assumptions!$C$35</f>
        <v>95</v>
      </c>
    </row>
    <row r="8666" customFormat="false" ht="15" hidden="false" customHeight="false" outlineLevel="0" collapsed="false">
      <c r="A8666" s="3" t="s">
        <v>523</v>
      </c>
      <c r="C8666" s="25" t="n">
        <f aca="false">C8664*C8665/100*(1+Assumptions!$C$36)</f>
        <v>95</v>
      </c>
    </row>
    <row r="8667" customFormat="false" ht="15" hidden="false" customHeight="false" outlineLevel="0" collapsed="false">
      <c r="A8667" s="3" t="s">
        <v>524</v>
      </c>
      <c r="C8667" s="27" t="n">
        <f aca="false">Assumptions!$C$37</f>
        <v>3</v>
      </c>
    </row>
    <row r="8668" customFormat="false" ht="15" hidden="false" customHeight="false" outlineLevel="0" collapsed="false">
      <c r="A8668" s="3" t="s">
        <v>525</v>
      </c>
      <c r="C8668" s="20" t="n">
        <f aca="false">IF(C8593=1,SUMPRODUCT($G$8545:$K$8545,$G$8438:$K$8438),0)</f>
        <v>0</v>
      </c>
    </row>
    <row r="8669" customFormat="false" ht="15" hidden="false" customHeight="false" outlineLevel="0" collapsed="false">
      <c r="A8669" s="3" t="s">
        <v>526</v>
      </c>
      <c r="C8669" s="21" t="n">
        <f aca="false">IFERROR(C8664/CHOOSE(C8663,SUMPRODUCT($G$8592:$K$8592,$G$8484:$K$8484),SUMPRODUCT($G$8592:$K$8592,$G$8497:$K$8497),SUMPRODUCT($G$8592:$K$8592,$G$8510:$K$8510)),0)</f>
        <v>0.0760399605200525</v>
      </c>
    </row>
    <row r="8670" customFormat="false" ht="15" hidden="false" customHeight="false" outlineLevel="0" collapsed="false">
      <c r="A8670" s="3" t="s">
        <v>527</v>
      </c>
      <c r="C8670" s="25" t="n">
        <f aca="false">CHOOSE(C8663,C8644,C8645,C8646)*C8669</f>
        <v>85.0241474371334</v>
      </c>
    </row>
    <row r="8671" customFormat="false" ht="15" hidden="false" customHeight="false" outlineLevel="0" collapsed="false">
      <c r="A8671" s="3" t="s">
        <v>528</v>
      </c>
      <c r="C8671" s="21" t="n">
        <f aca="false">CHOOSE(C8663,C8648,C8649,C8650)</f>
        <v>0.828493519484857</v>
      </c>
    </row>
    <row r="8672" customFormat="false" ht="15" hidden="false" customHeight="false" outlineLevel="0" collapsed="false">
      <c r="A8672" s="3" t="s">
        <v>529</v>
      </c>
      <c r="C8672" s="20" t="n">
        <f aca="false">IF(C8593=1,C8668,C8667)</f>
        <v>3</v>
      </c>
    </row>
    <row r="8673" customFormat="false" ht="15" hidden="false" customHeight="false" outlineLevel="0" collapsed="false">
      <c r="A8673" s="3" t="s">
        <v>530</v>
      </c>
      <c r="C8673" s="34" t="n">
        <f aca="false">CHOOSE($C$8430,Assumptions!$C$83,Assumptions!$C$102,Assumptions!$C$121)</f>
        <v>95</v>
      </c>
    </row>
    <row r="8674" customFormat="false" ht="15" hidden="false" customHeight="false" outlineLevel="0" collapsed="false">
      <c r="A8674" s="3" t="s">
        <v>531</v>
      </c>
      <c r="C8674" s="25" t="n">
        <f aca="false">INDEX($G$8447:$K$8447,C8667)*CHOOSE($C$8430,Assumptions!$C$82,Assumptions!$C$101,Assumptions!$C$120)+MAX(0,INDEX($G$8542:$K$8542,C8667))</f>
        <v>1288.02879831285</v>
      </c>
    </row>
    <row r="8675" customFormat="false" ht="15" hidden="false" customHeight="false" outlineLevel="0" collapsed="false">
      <c r="A8675" s="23" t="s">
        <v>532</v>
      </c>
      <c r="B8675" s="24"/>
      <c r="C8675" s="24"/>
      <c r="D8675" s="24"/>
      <c r="E8675" s="24"/>
      <c r="F8675" s="24"/>
      <c r="G8675" s="24"/>
      <c r="H8675" s="24"/>
      <c r="I8675" s="24"/>
      <c r="J8675" s="24"/>
      <c r="K8675" s="24"/>
    </row>
    <row r="8676" customFormat="false" ht="15" hidden="false" customHeight="false" outlineLevel="0" collapsed="false">
      <c r="A8676" s="3" t="s">
        <v>499</v>
      </c>
      <c r="C8676" s="25" t="n">
        <f aca="false">INDEX($G$8484:$K$8484,C8667)</f>
        <v>1315.098</v>
      </c>
    </row>
    <row r="8677" customFormat="false" ht="15" hidden="false" customHeight="false" outlineLevel="0" collapsed="false">
      <c r="A8677" s="3" t="s">
        <v>500</v>
      </c>
      <c r="C8677" s="25" t="n">
        <f aca="false">INDEX($G$8497:$K$8497,C8667)</f>
        <v>0</v>
      </c>
    </row>
    <row r="8678" customFormat="false" ht="15" hidden="false" customHeight="false" outlineLevel="0" collapsed="false">
      <c r="A8678" s="3" t="s">
        <v>501</v>
      </c>
      <c r="C8678" s="25" t="n">
        <f aca="false">INDEX($G$8510:$K$8510,C8667)</f>
        <v>0</v>
      </c>
    </row>
    <row r="8679" customFormat="false" ht="15" hidden="false" customHeight="false" outlineLevel="0" collapsed="false">
      <c r="A8679" s="23" t="s">
        <v>502</v>
      </c>
      <c r="B8679" s="24"/>
      <c r="C8679" s="24"/>
      <c r="D8679" s="24"/>
      <c r="E8679" s="24"/>
      <c r="F8679" s="24"/>
      <c r="G8679" s="24"/>
      <c r="H8679" s="24"/>
      <c r="I8679" s="24"/>
      <c r="J8679" s="24"/>
      <c r="K8679" s="24"/>
    </row>
    <row r="8680" customFormat="false" ht="15" hidden="false" customHeight="false" outlineLevel="0" collapsed="false">
      <c r="A8680" s="3" t="s">
        <v>499</v>
      </c>
      <c r="C8680" s="27" t="n">
        <f aca="false">Assumptions!$M$56</f>
        <v>1</v>
      </c>
    </row>
    <row r="8681" customFormat="false" ht="15" hidden="false" customHeight="false" outlineLevel="0" collapsed="false">
      <c r="A8681" s="3" t="s">
        <v>500</v>
      </c>
      <c r="C8681" s="27" t="n">
        <f aca="false">Assumptions!$M$57</f>
        <v>2</v>
      </c>
    </row>
    <row r="8682" customFormat="false" ht="15" hidden="false" customHeight="false" outlineLevel="0" collapsed="false">
      <c r="A8682" s="3" t="s">
        <v>501</v>
      </c>
      <c r="C8682" s="27" t="n">
        <f aca="false">Assumptions!$M$58</f>
        <v>2</v>
      </c>
    </row>
    <row r="8683" customFormat="false" ht="15" hidden="false" customHeight="false" outlineLevel="0" collapsed="false">
      <c r="A8683" s="23" t="s">
        <v>503</v>
      </c>
      <c r="B8683" s="24"/>
      <c r="C8683" s="24"/>
      <c r="D8683" s="24"/>
      <c r="E8683" s="24"/>
      <c r="F8683" s="24"/>
      <c r="G8683" s="24"/>
      <c r="H8683" s="24"/>
      <c r="I8683" s="24"/>
      <c r="J8683" s="24"/>
      <c r="K8683" s="24"/>
    </row>
    <row r="8684" customFormat="false" ht="15" hidden="false" customHeight="false" outlineLevel="0" collapsed="false">
      <c r="A8684" s="3" t="s">
        <v>499</v>
      </c>
      <c r="C8684" s="35" t="n">
        <f aca="false">Assumptions!$Q$56</f>
        <v>0</v>
      </c>
    </row>
    <row r="8685" customFormat="false" ht="15" hidden="false" customHeight="false" outlineLevel="0" collapsed="false">
      <c r="A8685" s="3" t="s">
        <v>500</v>
      </c>
      <c r="C8685" s="35" t="n">
        <f aca="false">Assumptions!$Q$57</f>
        <v>0</v>
      </c>
    </row>
    <row r="8686" customFormat="false" ht="15" hidden="false" customHeight="false" outlineLevel="0" collapsed="false">
      <c r="A8686" s="3" t="s">
        <v>501</v>
      </c>
      <c r="C8686" s="35" t="n">
        <f aca="false">Assumptions!$Q$58</f>
        <v>0</v>
      </c>
    </row>
    <row r="8687" customFormat="false" ht="15" hidden="false" customHeight="false" outlineLevel="0" collapsed="false">
      <c r="A8687" s="23" t="s">
        <v>504</v>
      </c>
      <c r="B8687" s="24"/>
      <c r="C8687" s="24"/>
      <c r="D8687" s="24"/>
      <c r="E8687" s="24"/>
      <c r="F8687" s="24"/>
      <c r="G8687" s="24"/>
      <c r="H8687" s="24"/>
      <c r="I8687" s="24"/>
      <c r="J8687" s="24"/>
      <c r="K8687" s="24"/>
    </row>
    <row r="8688" customFormat="false" ht="15" hidden="false" customHeight="false" outlineLevel="0" collapsed="false">
      <c r="A8688" s="3" t="s">
        <v>499</v>
      </c>
      <c r="C8688" s="25" t="n">
        <f aca="false">IF(C8684&gt;0,MIN(C8676,C8684*$C$8674),0)</f>
        <v>0</v>
      </c>
    </row>
    <row r="8689" customFormat="false" ht="15" hidden="false" customHeight="false" outlineLevel="0" collapsed="false">
      <c r="A8689" s="3" t="s">
        <v>500</v>
      </c>
      <c r="C8689" s="25" t="n">
        <f aca="false">IF(C8685&gt;0,MIN(C8677,C8685*$C$8674),0)</f>
        <v>0</v>
      </c>
    </row>
    <row r="8690" customFormat="false" ht="15" hidden="false" customHeight="false" outlineLevel="0" collapsed="false">
      <c r="A8690" s="3" t="s">
        <v>501</v>
      </c>
      <c r="C8690" s="25" t="n">
        <f aca="false">IF(C8686&gt;0,MIN(C8678,C8686*$C$8674),0)</f>
        <v>0</v>
      </c>
    </row>
    <row r="8691" customFormat="false" ht="15" hidden="false" customHeight="false" outlineLevel="0" collapsed="false">
      <c r="A8691" s="23" t="s">
        <v>505</v>
      </c>
      <c r="B8691" s="24"/>
      <c r="C8691" s="24"/>
      <c r="D8691" s="24"/>
      <c r="E8691" s="24"/>
      <c r="F8691" s="24"/>
      <c r="G8691" s="24"/>
      <c r="H8691" s="24"/>
      <c r="I8691" s="24"/>
      <c r="J8691" s="24"/>
      <c r="K8691" s="24"/>
    </row>
    <row r="8692" customFormat="false" ht="15" hidden="false" customHeight="false" outlineLevel="0" collapsed="false">
      <c r="A8692" s="3" t="s">
        <v>499</v>
      </c>
      <c r="C8692" s="25" t="n">
        <f aca="false">IF(C8684&gt;0,C8676-C8688,0)</f>
        <v>0</v>
      </c>
    </row>
    <row r="8693" customFormat="false" ht="15" hidden="false" customHeight="false" outlineLevel="0" collapsed="false">
      <c r="A8693" s="3" t="s">
        <v>500</v>
      </c>
      <c r="C8693" s="25" t="n">
        <f aca="false">IF(C8685&gt;0,C8677-C8689,0)</f>
        <v>0</v>
      </c>
    </row>
    <row r="8694" customFormat="false" ht="15" hidden="false" customHeight="false" outlineLevel="0" collapsed="false">
      <c r="A8694" s="3" t="s">
        <v>501</v>
      </c>
      <c r="C8694" s="25" t="n">
        <f aca="false">IF(C8686&gt;0,C8678-C8690,0)</f>
        <v>0</v>
      </c>
    </row>
    <row r="8695" customFormat="false" ht="15" hidden="false" customHeight="false" outlineLevel="0" collapsed="false">
      <c r="A8695" s="23" t="s">
        <v>506</v>
      </c>
      <c r="B8695" s="24"/>
      <c r="C8695" s="24"/>
      <c r="D8695" s="24"/>
      <c r="E8695" s="24"/>
      <c r="F8695" s="24"/>
      <c r="G8695" s="24"/>
      <c r="H8695" s="24"/>
      <c r="I8695" s="24"/>
      <c r="J8695" s="24"/>
      <c r="K8695" s="24"/>
    </row>
    <row r="8696" customFormat="false" ht="15" hidden="false" customHeight="false" outlineLevel="0" collapsed="false">
      <c r="A8696" s="3" t="s">
        <v>499</v>
      </c>
      <c r="C8696" s="25" t="n">
        <f aca="false">IF(C8684&gt;0,C8692,C8676)</f>
        <v>1315.098</v>
      </c>
    </row>
    <row r="8697" customFormat="false" ht="15" hidden="false" customHeight="false" outlineLevel="0" collapsed="false">
      <c r="A8697" s="3" t="s">
        <v>500</v>
      </c>
      <c r="C8697" s="25" t="n">
        <f aca="false">IF(C8685&gt;0,C8693,C8677)</f>
        <v>0</v>
      </c>
    </row>
    <row r="8698" customFormat="false" ht="15" hidden="false" customHeight="false" outlineLevel="0" collapsed="false">
      <c r="A8698" s="3" t="s">
        <v>501</v>
      </c>
      <c r="C8698" s="25" t="n">
        <f aca="false">IF(C8686&gt;0,C8694,C8678)</f>
        <v>0</v>
      </c>
    </row>
    <row r="8699" customFormat="false" ht="15" hidden="false" customHeight="false" outlineLevel="0" collapsed="false">
      <c r="A8699" s="23" t="s">
        <v>507</v>
      </c>
      <c r="B8699" s="24"/>
      <c r="C8699" s="24"/>
      <c r="D8699" s="24"/>
      <c r="E8699" s="24"/>
      <c r="F8699" s="24"/>
      <c r="G8699" s="24"/>
      <c r="H8699" s="24"/>
      <c r="I8699" s="24"/>
      <c r="J8699" s="24"/>
      <c r="K8699" s="24"/>
    </row>
    <row r="8700" customFormat="false" ht="15" hidden="false" customHeight="false" outlineLevel="0" collapsed="false">
      <c r="A8700" s="3" t="s">
        <v>499</v>
      </c>
      <c r="C8700" s="20" t="n">
        <f aca="false">IF(C8684&gt;0,Assumptions!$C$17,C8680)</f>
        <v>1</v>
      </c>
    </row>
    <row r="8701" customFormat="false" ht="15" hidden="false" customHeight="false" outlineLevel="0" collapsed="false">
      <c r="A8701" s="3" t="s">
        <v>500</v>
      </c>
      <c r="C8701" s="20" t="n">
        <f aca="false">IF(C8685&gt;0,Assumptions!$C$17,C8681)</f>
        <v>2</v>
      </c>
    </row>
    <row r="8702" customFormat="false" ht="15" hidden="false" customHeight="false" outlineLevel="0" collapsed="false">
      <c r="A8702" s="3" t="s">
        <v>501</v>
      </c>
      <c r="C8702" s="20" t="n">
        <f aca="false">IF(C8686&gt;0,Assumptions!$C$17,C8682)</f>
        <v>2</v>
      </c>
    </row>
    <row r="8703" customFormat="false" ht="15" hidden="false" customHeight="false" outlineLevel="0" collapsed="false">
      <c r="A8703" s="23" t="s">
        <v>508</v>
      </c>
      <c r="B8703" s="24"/>
      <c r="C8703" s="24"/>
      <c r="D8703" s="24"/>
      <c r="E8703" s="24"/>
      <c r="F8703" s="24"/>
      <c r="G8703" s="24"/>
      <c r="H8703" s="24"/>
      <c r="I8703" s="24"/>
      <c r="J8703" s="24"/>
      <c r="K8703" s="24"/>
    </row>
    <row r="8704" customFormat="false" ht="15" hidden="false" customHeight="false" outlineLevel="0" collapsed="false">
      <c r="A8704" s="3" t="s">
        <v>499</v>
      </c>
      <c r="C8704" s="25" t="n">
        <f aca="false">SUMPRODUCT(($C$8700:$C$8702&lt;C8700)*$C$8696:$C$8698)</f>
        <v>0</v>
      </c>
    </row>
    <row r="8705" customFormat="false" ht="15" hidden="false" customHeight="false" outlineLevel="0" collapsed="false">
      <c r="A8705" s="3" t="s">
        <v>500</v>
      </c>
      <c r="C8705" s="25" t="n">
        <f aca="false">SUMPRODUCT(($C$8700:$C$8702&lt;C8701)*$C$8696:$C$8698)</f>
        <v>1315.098</v>
      </c>
    </row>
    <row r="8706" customFormat="false" ht="15" hidden="false" customHeight="false" outlineLevel="0" collapsed="false">
      <c r="A8706" s="3" t="s">
        <v>501</v>
      </c>
      <c r="C8706" s="25" t="n">
        <f aca="false">SUMPRODUCT(($C$8700:$C$8702&lt;C8702)*$C$8696:$C$8698)</f>
        <v>1315.098</v>
      </c>
    </row>
    <row r="8707" customFormat="false" ht="15" hidden="false" customHeight="false" outlineLevel="0" collapsed="false">
      <c r="A8707" s="23" t="s">
        <v>509</v>
      </c>
      <c r="B8707" s="24"/>
      <c r="C8707" s="24"/>
      <c r="D8707" s="24"/>
      <c r="E8707" s="24"/>
      <c r="F8707" s="24"/>
      <c r="G8707" s="24"/>
      <c r="H8707" s="24"/>
      <c r="I8707" s="24"/>
      <c r="J8707" s="24"/>
      <c r="K8707" s="24"/>
    </row>
    <row r="8708" customFormat="false" ht="15" hidden="false" customHeight="false" outlineLevel="0" collapsed="false">
      <c r="A8708" s="3" t="s">
        <v>499</v>
      </c>
      <c r="C8708" s="25" t="n">
        <f aca="false">SUMPRODUCT(($C$8700:$C$8702=C8700)*$C$8696:$C$8698)</f>
        <v>1315.098</v>
      </c>
    </row>
    <row r="8709" customFormat="false" ht="15" hidden="false" customHeight="false" outlineLevel="0" collapsed="false">
      <c r="A8709" s="3" t="s">
        <v>500</v>
      </c>
      <c r="C8709" s="25" t="n">
        <f aca="false">SUMPRODUCT(($C$8700:$C$8702=C8701)*$C$8696:$C$8698)</f>
        <v>0</v>
      </c>
    </row>
    <row r="8710" customFormat="false" ht="15" hidden="false" customHeight="false" outlineLevel="0" collapsed="false">
      <c r="A8710" s="3" t="s">
        <v>501</v>
      </c>
      <c r="C8710" s="25" t="n">
        <f aca="false">SUMPRODUCT(($C$8700:$C$8702=C8702)*$C$8696:$C$8698)</f>
        <v>0</v>
      </c>
    </row>
    <row r="8711" customFormat="false" ht="15" hidden="false" customHeight="false" outlineLevel="0" collapsed="false">
      <c r="A8711" s="23" t="s">
        <v>510</v>
      </c>
      <c r="B8711" s="24"/>
      <c r="C8711" s="24"/>
      <c r="D8711" s="24"/>
      <c r="E8711" s="24"/>
      <c r="F8711" s="24"/>
      <c r="G8711" s="24"/>
      <c r="H8711" s="24"/>
      <c r="I8711" s="24"/>
      <c r="J8711" s="24"/>
      <c r="K8711" s="24"/>
    </row>
    <row r="8712" customFormat="false" ht="15" hidden="false" customHeight="false" outlineLevel="0" collapsed="false">
      <c r="A8712" s="3" t="s">
        <v>499</v>
      </c>
      <c r="C8712" s="25" t="n">
        <f aca="false">IF(C8708=0,0,C8696/C8708*MAX(0,MIN(C8708,$C$8674-SUM($C$8688:$C$8690)-C8704)))</f>
        <v>1288.02879831285</v>
      </c>
    </row>
    <row r="8713" customFormat="false" ht="15" hidden="false" customHeight="false" outlineLevel="0" collapsed="false">
      <c r="A8713" s="3" t="s">
        <v>500</v>
      </c>
      <c r="C8713" s="25" t="n">
        <f aca="false">IF(C8709=0,0,C8697/C8709*MAX(0,MIN(C8709,$C$8674-SUM($C$8688:$C$8690)-C8705)))</f>
        <v>0</v>
      </c>
    </row>
    <row r="8714" customFormat="false" ht="15" hidden="false" customHeight="false" outlineLevel="0" collapsed="false">
      <c r="A8714" s="3" t="s">
        <v>501</v>
      </c>
      <c r="C8714" s="25" t="n">
        <f aca="false">IF(C8710=0,0,C8698/C8710*MAX(0,MIN(C8710,$C$8674-SUM($C$8688:$C$8690)-C8706)))</f>
        <v>0</v>
      </c>
    </row>
    <row r="8715" customFormat="false" ht="15" hidden="false" customHeight="false" outlineLevel="0" collapsed="false">
      <c r="A8715" s="23" t="s">
        <v>511</v>
      </c>
      <c r="B8715" s="24"/>
      <c r="C8715" s="24"/>
      <c r="D8715" s="24"/>
      <c r="E8715" s="24"/>
      <c r="F8715" s="24"/>
      <c r="G8715" s="24"/>
      <c r="H8715" s="24"/>
      <c r="I8715" s="24"/>
      <c r="J8715" s="24"/>
      <c r="K8715" s="24"/>
    </row>
    <row r="8716" customFormat="false" ht="15" hidden="false" customHeight="false" outlineLevel="0" collapsed="false">
      <c r="A8716" s="2" t="s">
        <v>499</v>
      </c>
      <c r="C8716" s="16" t="n">
        <f aca="false">C8688+C8712</f>
        <v>1288.02879831285</v>
      </c>
    </row>
    <row r="8717" customFormat="false" ht="15" hidden="false" customHeight="false" outlineLevel="0" collapsed="false">
      <c r="A8717" s="2" t="s">
        <v>500</v>
      </c>
      <c r="C8717" s="16" t="n">
        <f aca="false">C8689+C8713</f>
        <v>0</v>
      </c>
    </row>
    <row r="8718" customFormat="false" ht="15" hidden="false" customHeight="false" outlineLevel="0" collapsed="false">
      <c r="A8718" s="2" t="s">
        <v>501</v>
      </c>
      <c r="C8718" s="16" t="n">
        <f aca="false">C8690+C8714</f>
        <v>0</v>
      </c>
    </row>
    <row r="8719" customFormat="false" ht="15" hidden="false" customHeight="false" outlineLevel="0" collapsed="false">
      <c r="A8719" s="23" t="s">
        <v>512</v>
      </c>
      <c r="B8719" s="24"/>
      <c r="C8719" s="24"/>
      <c r="D8719" s="24"/>
      <c r="E8719" s="24"/>
      <c r="F8719" s="24"/>
      <c r="G8719" s="24"/>
      <c r="H8719" s="24"/>
      <c r="I8719" s="24"/>
      <c r="J8719" s="24"/>
      <c r="K8719" s="24"/>
    </row>
    <row r="8720" customFormat="false" ht="15" hidden="false" customHeight="false" outlineLevel="0" collapsed="false">
      <c r="A8720" s="3" t="s">
        <v>499</v>
      </c>
      <c r="C8720" s="21" t="n">
        <f aca="false">IF(C8676=0,1,C8716/C8676)</f>
        <v>0.979416589723996</v>
      </c>
    </row>
    <row r="8721" customFormat="false" ht="15" hidden="false" customHeight="false" outlineLevel="0" collapsed="false">
      <c r="A8721" s="3" t="s">
        <v>500</v>
      </c>
      <c r="C8721" s="21" t="n">
        <f aca="false">IF(C8677=0,1,C8717/C8677)</f>
        <v>1</v>
      </c>
    </row>
    <row r="8722" customFormat="false" ht="15" hidden="false" customHeight="false" outlineLevel="0" collapsed="false">
      <c r="A8722" s="3" t="s">
        <v>501</v>
      </c>
      <c r="C8722" s="21" t="n">
        <f aca="false">IF(C8678=0,1,C8718/C8678)</f>
        <v>1</v>
      </c>
    </row>
    <row r="8723" customFormat="false" ht="15" hidden="false" customHeight="false" outlineLevel="0" collapsed="false">
      <c r="A8723" s="23" t="s">
        <v>513</v>
      </c>
      <c r="B8723" s="24"/>
      <c r="C8723" s="24"/>
      <c r="D8723" s="24"/>
      <c r="E8723" s="24"/>
      <c r="F8723" s="24"/>
      <c r="G8723" s="24"/>
      <c r="H8723" s="24"/>
      <c r="I8723" s="24"/>
      <c r="J8723" s="24"/>
      <c r="K8723" s="24"/>
    </row>
    <row r="8724" customFormat="false" ht="15" hidden="false" customHeight="false" outlineLevel="0" collapsed="false">
      <c r="A8724" s="3" t="s">
        <v>499</v>
      </c>
      <c r="C8724" s="25" t="n">
        <f aca="false">C8676-C8716</f>
        <v>27.0692016871521</v>
      </c>
    </row>
    <row r="8725" customFormat="false" ht="15" hidden="false" customHeight="false" outlineLevel="0" collapsed="false">
      <c r="A8725" s="3" t="s">
        <v>500</v>
      </c>
      <c r="C8725" s="25" t="n">
        <f aca="false">C8677-C8717</f>
        <v>0</v>
      </c>
    </row>
    <row r="8726" customFormat="false" ht="15" hidden="false" customHeight="false" outlineLevel="0" collapsed="false">
      <c r="A8726" s="3" t="s">
        <v>501</v>
      </c>
      <c r="C8726" s="25" t="n">
        <f aca="false">C8678-C8718</f>
        <v>0</v>
      </c>
    </row>
    <row r="8727" customFormat="false" ht="15" hidden="false" customHeight="false" outlineLevel="0" collapsed="false">
      <c r="A8727" s="23" t="s">
        <v>514</v>
      </c>
      <c r="B8727" s="24"/>
      <c r="C8727" s="24"/>
      <c r="D8727" s="24"/>
      <c r="E8727" s="24"/>
      <c r="F8727" s="24"/>
      <c r="G8727" s="24"/>
      <c r="H8727" s="24"/>
      <c r="I8727" s="24"/>
      <c r="J8727" s="24"/>
      <c r="K8727" s="24"/>
    </row>
    <row r="8728" customFormat="false" ht="15" hidden="false" customHeight="false" outlineLevel="0" collapsed="false">
      <c r="A8728" s="3" t="s">
        <v>499</v>
      </c>
      <c r="C8728" s="21" t="n">
        <f aca="false">IF(C8676=0,0,C8724/C8676)</f>
        <v>0.0205834102760039</v>
      </c>
    </row>
    <row r="8729" customFormat="false" ht="15" hidden="false" customHeight="false" outlineLevel="0" collapsed="false">
      <c r="A8729" s="3" t="s">
        <v>500</v>
      </c>
      <c r="C8729" s="21" t="n">
        <f aca="false">IF(C8677=0,0,C8725/C8677)</f>
        <v>0</v>
      </c>
    </row>
    <row r="8730" customFormat="false" ht="15" hidden="false" customHeight="false" outlineLevel="0" collapsed="false">
      <c r="A8730" s="3" t="s">
        <v>501</v>
      </c>
      <c r="C8730" s="21" t="n">
        <f aca="false">IF(C8678=0,0,C8726/C8678)</f>
        <v>0</v>
      </c>
    </row>
    <row r="8731" customFormat="false" ht="15" hidden="false" customHeight="false" outlineLevel="0" collapsed="false">
      <c r="A8731" s="2" t="s">
        <v>515</v>
      </c>
      <c r="C8731" s="16" t="n">
        <f aca="false">MAX(0,$C$8674-SUM($C$8688:$C$8690)-SUM($C$8696:$C$8698))</f>
        <v>0</v>
      </c>
    </row>
    <row r="8732" customFormat="false" ht="15" hidden="false" customHeight="false" outlineLevel="0" collapsed="false">
      <c r="A8732" s="3" t="s">
        <v>533</v>
      </c>
      <c r="C8732" s="34" t="n">
        <f aca="false">MIN(C8673,100*CHOOSE(C8663,C8720,C8721,C8722))</f>
        <v>95</v>
      </c>
    </row>
    <row r="8733" customFormat="false" ht="15" hidden="false" customHeight="false" outlineLevel="0" collapsed="false">
      <c r="A8733" s="3" t="s">
        <v>534</v>
      </c>
      <c r="C8733" s="20" t="n">
        <f aca="false">IF(C8593=1,C8668+Assumptions!$C$39,C8667)</f>
        <v>3</v>
      </c>
    </row>
    <row r="8734" customFormat="false" ht="15" hidden="false" customHeight="false" outlineLevel="0" collapsed="false">
      <c r="A8734" s="23" t="s">
        <v>535</v>
      </c>
      <c r="B8734" s="24"/>
      <c r="C8734" s="24"/>
      <c r="D8734" s="24"/>
      <c r="E8734" s="24"/>
      <c r="F8734" s="24"/>
      <c r="G8734" s="24"/>
      <c r="H8734" s="24"/>
      <c r="I8734" s="24"/>
      <c r="J8734" s="24"/>
      <c r="K8734" s="24"/>
    </row>
    <row r="8735" customFormat="false" ht="15" hidden="false" customHeight="false" outlineLevel="0" collapsed="false">
      <c r="A8735" s="3" t="s">
        <v>536</v>
      </c>
      <c r="C8735" s="20" t="n">
        <f aca="false">COLUMN()-COLUMN($C$1)</f>
        <v>0</v>
      </c>
      <c r="D8735" s="20" t="n">
        <f aca="false">COLUMN()-COLUMN($C$1)</f>
        <v>1</v>
      </c>
      <c r="E8735" s="20" t="n">
        <f aca="false">COLUMN()-COLUMN($C$1)</f>
        <v>2</v>
      </c>
      <c r="F8735" s="20" t="n">
        <f aca="false">COLUMN()-COLUMN($C$1)</f>
        <v>3</v>
      </c>
      <c r="G8735" s="20" t="n">
        <f aca="false">COLUMN()-COLUMN($C$1)</f>
        <v>4</v>
      </c>
      <c r="H8735" s="20" t="n">
        <f aca="false">COLUMN()-COLUMN($C$1)</f>
        <v>5</v>
      </c>
      <c r="I8735" s="20" t="n">
        <f aca="false">COLUMN()-COLUMN($C$1)</f>
        <v>6</v>
      </c>
    </row>
    <row r="8736" customFormat="false" ht="15" hidden="false" customHeight="false" outlineLevel="0" collapsed="false">
      <c r="A8736" s="3" t="s">
        <v>537</v>
      </c>
      <c r="D8736" s="31" t="n">
        <f aca="false">CHOOSE($C$8663,G8476,G8489,G8502)</f>
        <v>0.105</v>
      </c>
      <c r="E8736" s="31" t="n">
        <f aca="false">CHOOSE($C$8663,H8476,H8489,H8502)</f>
        <v>0.105</v>
      </c>
      <c r="F8736" s="31" t="n">
        <f aca="false">CHOOSE($C$8663,I8476,I8489,I8502)</f>
        <v>0.105</v>
      </c>
      <c r="G8736" s="31" t="n">
        <f aca="false">CHOOSE($C$8663,J8476,J8489,J8502)</f>
        <v>0.105</v>
      </c>
      <c r="H8736" s="31" t="n">
        <f aca="false">CHOOSE($C$8663,K8476,K8489,K8502)</f>
        <v>0.105</v>
      </c>
    </row>
    <row r="8737" customFormat="false" ht="15" hidden="false" customHeight="false" outlineLevel="0" collapsed="false">
      <c r="A8737" s="3" t="s">
        <v>538</v>
      </c>
      <c r="D8737" s="25" t="n">
        <f aca="false">IF(D8735&lt;=$C$8672,$C$8664*D8736,0)</f>
        <v>10.5</v>
      </c>
      <c r="E8737" s="25" t="n">
        <f aca="false">IF(E8735&lt;=$C$8672,$C$8664*E8736,0)</f>
        <v>10.5</v>
      </c>
      <c r="F8737" s="25" t="n">
        <f aca="false">IF(F8735&lt;=$C$8672,$C$8664*F8736,0)</f>
        <v>10.5</v>
      </c>
      <c r="G8737" s="25" t="n">
        <f aca="false">IF(G8735&lt;=$C$8672,$C$8664*G8736,0)</f>
        <v>0</v>
      </c>
      <c r="H8737" s="25" t="n">
        <f aca="false">IF(H8735&lt;=$C$8672,$C$8664*H8736,0)</f>
        <v>0</v>
      </c>
    </row>
    <row r="8738" customFormat="false" ht="15" hidden="false" customHeight="false" outlineLevel="0" collapsed="false">
      <c r="A8738" s="3" t="s">
        <v>539</v>
      </c>
      <c r="D8738" s="25" t="n">
        <f aca="false">IF(AND($C$8593=0,D8735=$C$8667),$C$8664*$C$8732/100,0)+IF(AND($C$8593=1,D8735=$C$8733),$C$8670,0)</f>
        <v>0</v>
      </c>
      <c r="E8738" s="25" t="n">
        <f aca="false">IF(AND($C$8593=0,E8735=$C$8667),$C$8664*$C$8732/100,0)+IF(AND($C$8593=1,E8735=$C$8733),$C$8670,0)</f>
        <v>0</v>
      </c>
      <c r="F8738" s="25" t="n">
        <f aca="false">IF(AND($C$8593=0,F8735=$C$8667),$C$8664*$C$8732/100,0)+IF(AND($C$8593=1,F8735=$C$8733),$C$8670,0)</f>
        <v>95</v>
      </c>
      <c r="G8738" s="25" t="n">
        <f aca="false">IF(AND($C$8593=0,G8735=$C$8667),$C$8664*$C$8732/100,0)+IF(AND($C$8593=1,G8735=$C$8733),$C$8670,0)</f>
        <v>0</v>
      </c>
      <c r="H8738" s="25" t="n">
        <f aca="false">IF(AND($C$8593=0,H8735=$C$8667),$C$8664*$C$8732/100,0)+IF(AND($C$8593=1,H8735=$C$8733),$C$8670,0)</f>
        <v>0</v>
      </c>
      <c r="I8738" s="25" t="n">
        <f aca="false">IF(AND($C$8593=0,I8735=$C$8667),$C$8664*$C$8732/100,0)+IF(AND($C$8593=1,I8735=$C$8733),$C$8670,0)</f>
        <v>0</v>
      </c>
    </row>
    <row r="8739" customFormat="false" ht="15" hidden="false" customHeight="false" outlineLevel="0" collapsed="false">
      <c r="A8739" s="2" t="s">
        <v>540</v>
      </c>
      <c r="C8739" s="16" t="n">
        <f aca="false">-$C$8666</f>
        <v>-95</v>
      </c>
      <c r="D8739" s="16" t="n">
        <f aca="false">D8737+D8738</f>
        <v>10.5</v>
      </c>
      <c r="E8739" s="16" t="n">
        <f aca="false">E8737+E8738</f>
        <v>10.5</v>
      </c>
      <c r="F8739" s="16" t="n">
        <f aca="false">F8737+F8738</f>
        <v>105.5</v>
      </c>
      <c r="G8739" s="16" t="n">
        <f aca="false">G8737+G8738</f>
        <v>0</v>
      </c>
      <c r="H8739" s="16" t="n">
        <f aca="false">H8737+H8738</f>
        <v>0</v>
      </c>
      <c r="I8739" s="16" t="n">
        <f aca="false">I8737+I8738</f>
        <v>0</v>
      </c>
    </row>
    <row r="8740" customFormat="false" ht="15" hidden="false" customHeight="false" outlineLevel="0" collapsed="false">
      <c r="A8740" s="3" t="s">
        <v>541</v>
      </c>
      <c r="C8740" s="25" t="n">
        <f aca="false">SUM($C$8737:$I$8737)</f>
        <v>31.5</v>
      </c>
    </row>
    <row r="8741" customFormat="false" ht="15" hidden="false" customHeight="false" outlineLevel="0" collapsed="false">
      <c r="A8741" s="3" t="s">
        <v>542</v>
      </c>
      <c r="C8741" s="25" t="n">
        <f aca="false">SUM($C$8738:$I$8738)</f>
        <v>95</v>
      </c>
    </row>
    <row r="8742" customFormat="false" ht="15" hidden="false" customHeight="false" outlineLevel="0" collapsed="false">
      <c r="A8742" s="3" t="s">
        <v>543</v>
      </c>
      <c r="C8742" s="25" t="n">
        <f aca="false">C8740+C8741</f>
        <v>126.5</v>
      </c>
    </row>
    <row r="8743" customFormat="false" ht="15" hidden="false" customHeight="false" outlineLevel="0" collapsed="false">
      <c r="A8743" s="3" t="s">
        <v>544</v>
      </c>
      <c r="C8743" s="25" t="n">
        <f aca="false">C8741-C8664*C8665/100</f>
        <v>0</v>
      </c>
    </row>
    <row r="8744" customFormat="false" ht="15" hidden="false" customHeight="false" outlineLevel="0" collapsed="false">
      <c r="A8744" s="3" t="s">
        <v>545</v>
      </c>
      <c r="C8744" s="25" t="n">
        <f aca="false">C8742-C8666</f>
        <v>31.5</v>
      </c>
    </row>
    <row r="8745" customFormat="false" ht="15" hidden="false" customHeight="false" outlineLevel="0" collapsed="false">
      <c r="A8745" s="2" t="s">
        <v>427</v>
      </c>
      <c r="C8745" s="44" t="n">
        <f aca="false">C8742/C8666</f>
        <v>1.33157894736842</v>
      </c>
    </row>
    <row r="8746" customFormat="false" ht="15" hidden="false" customHeight="false" outlineLevel="0" collapsed="false">
      <c r="A8746" s="2" t="s">
        <v>426</v>
      </c>
      <c r="C8746" s="42" t="n">
        <f aca="false">IF(C8742&lt;=0,-1,IFERROR(IRR($C$8739:$I$8739,MAX(-0.9,C8745^(1/C8733)-1)),IRR($C$8739:$I$8739,0.1)))</f>
        <v>0.110526315789467</v>
      </c>
    </row>
    <row r="8747" customFormat="false" ht="15" hidden="false" customHeight="false" outlineLevel="0" collapsed="false">
      <c r="A8747" s="3" t="s">
        <v>546</v>
      </c>
      <c r="C8747" s="32" t="n">
        <f aca="false">MAX($G$8553:$K$8553)</f>
        <v>5.21129588332421</v>
      </c>
    </row>
    <row r="8748" customFormat="false" ht="15" hidden="false" customHeight="false" outlineLevel="0" collapsed="false">
      <c r="A8748" s="3" t="s">
        <v>547</v>
      </c>
      <c r="C8748" s="32" t="n">
        <f aca="false">MIN($G$8554:$K$8554)</f>
        <v>1.42319945461345</v>
      </c>
    </row>
    <row r="8749" customFormat="false" ht="15" hidden="false" customHeight="false" outlineLevel="0" collapsed="false">
      <c r="A8749" s="3" t="s">
        <v>548</v>
      </c>
      <c r="C8749" s="25" t="n">
        <f aca="false">SUM($G$8460:$K$8460)</f>
        <v>205.217160549804</v>
      </c>
    </row>
    <row r="8753" customFormat="false" ht="15" hidden="false" customHeight="false" outlineLevel="0" collapsed="false">
      <c r="A8753" s="9" t="s">
        <v>1041</v>
      </c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</row>
    <row r="8754" customFormat="false" ht="15" hidden="false" customHeight="false" outlineLevel="0" collapsed="false">
      <c r="A8754" s="3" t="s">
        <v>1010</v>
      </c>
      <c r="C8754" s="11" t="n">
        <v>2</v>
      </c>
    </row>
    <row r="8755" customFormat="false" ht="15" hidden="false" customHeight="false" outlineLevel="0" collapsed="false">
      <c r="A8755" s="3" t="s">
        <v>1011</v>
      </c>
      <c r="C8755" s="30" t="n">
        <f aca="false">Sensitivities!$A$44</f>
        <v>0.1</v>
      </c>
    </row>
    <row r="8756" customFormat="false" ht="15" hidden="false" customHeight="false" outlineLevel="0" collapsed="false">
      <c r="A8756" s="3" t="s">
        <v>1012</v>
      </c>
      <c r="C8756" s="18" t="n">
        <v>0</v>
      </c>
    </row>
    <row r="8757" customFormat="false" ht="15" hidden="false" customHeight="false" outlineLevel="0" collapsed="false">
      <c r="A8757" s="3" t="s">
        <v>1013</v>
      </c>
      <c r="C8757" s="18" t="n">
        <v>0</v>
      </c>
    </row>
    <row r="8758" customFormat="false" ht="15" hidden="false" customHeight="false" outlineLevel="0" collapsed="false">
      <c r="A8758" s="3" t="s">
        <v>1014</v>
      </c>
      <c r="C8758" s="15" t="n">
        <v>0</v>
      </c>
    </row>
    <row r="8760" customFormat="false" ht="15" hidden="false" customHeight="false" outlineLevel="0" collapsed="false">
      <c r="A8760" s="23" t="s">
        <v>281</v>
      </c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</row>
    <row r="8761" customFormat="false" ht="15" hidden="false" customHeight="false" outlineLevel="0" collapsed="false">
      <c r="A8761" s="3" t="s">
        <v>282</v>
      </c>
      <c r="F8761" s="27" t="n">
        <f aca="false">Assumptions!$C$6</f>
        <v>2026</v>
      </c>
      <c r="G8761" s="20" t="n">
        <f aca="false">F8761+1</f>
        <v>2027</v>
      </c>
      <c r="H8761" s="20" t="n">
        <f aca="false">G8761+1</f>
        <v>2028</v>
      </c>
      <c r="I8761" s="20" t="n">
        <f aca="false">H8761+1</f>
        <v>2029</v>
      </c>
      <c r="J8761" s="20" t="n">
        <f aca="false">I8761+1</f>
        <v>2030</v>
      </c>
      <c r="K8761" s="20" t="n">
        <f aca="false">J8761+1</f>
        <v>2031</v>
      </c>
    </row>
    <row r="8762" customFormat="false" ht="15" hidden="false" customHeight="false" outlineLevel="0" collapsed="false">
      <c r="A8762" s="3" t="s">
        <v>283</v>
      </c>
      <c r="G8762" s="20" t="n">
        <f aca="false">G8761-Assumptions!$C$6</f>
        <v>1</v>
      </c>
      <c r="H8762" s="20" t="n">
        <f aca="false">H8761-Assumptions!$C$6</f>
        <v>2</v>
      </c>
      <c r="I8762" s="20" t="n">
        <f aca="false">I8761-Assumptions!$C$6</f>
        <v>3</v>
      </c>
      <c r="J8762" s="20" t="n">
        <f aca="false">J8761-Assumptions!$C$6</f>
        <v>4</v>
      </c>
      <c r="K8762" s="20" t="n">
        <f aca="false">K8761-Assumptions!$C$6</f>
        <v>5</v>
      </c>
    </row>
    <row r="8763" customFormat="false" ht="15" hidden="false" customHeight="false" outlineLevel="0" collapsed="false">
      <c r="A8763" s="3" t="s">
        <v>165</v>
      </c>
      <c r="G8763" s="21" t="n">
        <f aca="false">CHOOSE($C$8754,Assumptions!$G$71,Assumptions!$G$90,Assumptions!$G$109)+$C$8755</f>
        <v>0.02</v>
      </c>
      <c r="H8763" s="21" t="n">
        <f aca="false">CHOOSE($C$8754,Assumptions!$H$71,Assumptions!$H$90,Assumptions!$H$109)+$C$8755</f>
        <v>0.03</v>
      </c>
      <c r="I8763" s="21" t="n">
        <f aca="false">CHOOSE($C$8754,Assumptions!$I$71,Assumptions!$I$90,Assumptions!$I$109)+$C$8755</f>
        <v>0.04</v>
      </c>
      <c r="J8763" s="21" t="n">
        <f aca="false">CHOOSE($C$8754,Assumptions!$J$71,Assumptions!$J$90,Assumptions!$J$109)+$C$8755</f>
        <v>0.05</v>
      </c>
      <c r="K8763" s="21" t="n">
        <f aca="false">CHOOSE($C$8754,Assumptions!$K$71,Assumptions!$K$90,Assumptions!$K$109)+$C$8755</f>
        <v>0.05</v>
      </c>
    </row>
    <row r="8764" customFormat="false" ht="15" hidden="false" customHeight="false" outlineLevel="0" collapsed="false">
      <c r="A8764" s="3" t="s">
        <v>166</v>
      </c>
      <c r="G8764" s="21" t="n">
        <f aca="false">CHOOSE($C$8754,Assumptions!$G$72,Assumptions!$G$91,Assumptions!$G$110)</f>
        <v>0.463246670103635</v>
      </c>
      <c r="H8764" s="21" t="n">
        <f aca="false">CHOOSE($C$8754,Assumptions!$H$72,Assumptions!$H$91,Assumptions!$H$110)</f>
        <v>0.453246670103635</v>
      </c>
      <c r="I8764" s="21" t="n">
        <f aca="false">CHOOSE($C$8754,Assumptions!$I$72,Assumptions!$I$91,Assumptions!$I$110)</f>
        <v>0.448246670103634</v>
      </c>
      <c r="J8764" s="21" t="n">
        <f aca="false">CHOOSE($C$8754,Assumptions!$J$72,Assumptions!$J$91,Assumptions!$J$110)</f>
        <v>0.443246670103635</v>
      </c>
      <c r="K8764" s="21" t="n">
        <f aca="false">CHOOSE($C$8754,Assumptions!$K$72,Assumptions!$K$91,Assumptions!$K$110)</f>
        <v>0.443246670103635</v>
      </c>
    </row>
    <row r="8765" customFormat="false" ht="15" hidden="false" customHeight="false" outlineLevel="0" collapsed="false">
      <c r="A8765" s="3" t="s">
        <v>167</v>
      </c>
      <c r="G8765" s="21" t="n">
        <f aca="false">CHOOSE($C$8754,Assumptions!$G$73,Assumptions!$G$92,Assumptions!$G$111)+$C$8756</f>
        <v>0.12</v>
      </c>
      <c r="H8765" s="21" t="n">
        <f aca="false">CHOOSE($C$8754,Assumptions!$H$73,Assumptions!$H$92,Assumptions!$H$111)+$C$8756</f>
        <v>0.11</v>
      </c>
      <c r="I8765" s="21" t="n">
        <f aca="false">CHOOSE($C$8754,Assumptions!$I$73,Assumptions!$I$92,Assumptions!$I$111)+$C$8756</f>
        <v>0.105</v>
      </c>
      <c r="J8765" s="21" t="n">
        <f aca="false">CHOOSE($C$8754,Assumptions!$J$73,Assumptions!$J$92,Assumptions!$J$111)+$C$8756</f>
        <v>0.1</v>
      </c>
      <c r="K8765" s="21" t="n">
        <f aca="false">CHOOSE($C$8754,Assumptions!$K$73,Assumptions!$K$92,Assumptions!$K$111)+$C$8756</f>
        <v>0.1</v>
      </c>
    </row>
    <row r="8766" customFormat="false" ht="15" hidden="false" customHeight="false" outlineLevel="0" collapsed="false">
      <c r="A8766" s="23" t="s">
        <v>284</v>
      </c>
      <c r="B8766" s="24"/>
      <c r="C8766" s="24"/>
      <c r="D8766" s="24"/>
      <c r="E8766" s="24"/>
      <c r="F8766" s="24"/>
      <c r="G8766" s="24"/>
      <c r="H8766" s="24"/>
      <c r="I8766" s="24"/>
      <c r="J8766" s="24"/>
      <c r="K8766" s="24"/>
    </row>
    <row r="8767" customFormat="false" ht="15" hidden="false" customHeight="false" outlineLevel="0" collapsed="false">
      <c r="A8767" s="2" t="s">
        <v>256</v>
      </c>
      <c r="F8767" s="28" t="n">
        <f aca="false">'Historical Financials'!G23</f>
        <v>2246.166</v>
      </c>
      <c r="G8767" s="16" t="n">
        <f aca="false">F8767*(1+G8763)</f>
        <v>2291.08932</v>
      </c>
      <c r="H8767" s="16" t="n">
        <f aca="false">G8767*(1+H8763)</f>
        <v>2359.8219996</v>
      </c>
      <c r="I8767" s="16" t="n">
        <f aca="false">H8767*(1+I8763)</f>
        <v>2454.214879584</v>
      </c>
      <c r="J8767" s="16" t="n">
        <f aca="false">I8767*(1+J8763)</f>
        <v>2576.9256235632</v>
      </c>
      <c r="K8767" s="16" t="n">
        <f aca="false">J8767*(1+K8763)</f>
        <v>2705.77190474136</v>
      </c>
    </row>
    <row r="8768" customFormat="false" ht="15" hidden="false" customHeight="false" outlineLevel="0" collapsed="false">
      <c r="A8768" s="3" t="s">
        <v>257</v>
      </c>
      <c r="G8768" s="25" t="n">
        <f aca="false">G8767*(1-G8764)</f>
        <v>1229.7498216</v>
      </c>
      <c r="H8768" s="25" t="n">
        <f aca="false">H8767*(1-H8764)</f>
        <v>1290.240536244</v>
      </c>
      <c r="I8768" s="25" t="n">
        <f aca="false">I8767*(1-I8764)</f>
        <v>1354.12123209168</v>
      </c>
      <c r="J8768" s="25" t="n">
        <f aca="false">J8767*(1-J8764)</f>
        <v>1434.71192181408</v>
      </c>
      <c r="K8768" s="25" t="n">
        <f aca="false">K8767*(1-K8764)</f>
        <v>1506.44751790478</v>
      </c>
    </row>
    <row r="8769" customFormat="false" ht="15" hidden="false" customHeight="false" outlineLevel="0" collapsed="false">
      <c r="A8769" s="2" t="s">
        <v>258</v>
      </c>
      <c r="G8769" s="16" t="n">
        <f aca="false">G8767-G8768</f>
        <v>1061.3394984</v>
      </c>
      <c r="H8769" s="16" t="n">
        <f aca="false">H8767-H8768</f>
        <v>1069.581463356</v>
      </c>
      <c r="I8769" s="16" t="n">
        <f aca="false">I8767-I8768</f>
        <v>1100.09364749232</v>
      </c>
      <c r="J8769" s="16" t="n">
        <f aca="false">J8767-J8768</f>
        <v>1142.21370174912</v>
      </c>
      <c r="K8769" s="16" t="n">
        <f aca="false">K8767-K8768</f>
        <v>1199.32438683658</v>
      </c>
    </row>
    <row r="8770" customFormat="false" ht="15" hidden="false" customHeight="false" outlineLevel="0" collapsed="false">
      <c r="A8770" s="3" t="s">
        <v>285</v>
      </c>
      <c r="G8770" s="25" t="n">
        <f aca="false">G8769-G8771</f>
        <v>786.40878</v>
      </c>
      <c r="H8770" s="25" t="n">
        <f aca="false">H8769-H8771</f>
        <v>810.0010434</v>
      </c>
      <c r="I8770" s="25" t="n">
        <f aca="false">I8769-I8771</f>
        <v>842.401085136</v>
      </c>
      <c r="J8770" s="25" t="n">
        <f aca="false">J8769-J8771</f>
        <v>884.521139392801</v>
      </c>
      <c r="K8770" s="25" t="n">
        <f aca="false">K8769-K8771</f>
        <v>928.74719636244</v>
      </c>
    </row>
    <row r="8771" customFormat="false" ht="15" hidden="false" customHeight="false" outlineLevel="0" collapsed="false">
      <c r="A8771" s="2" t="s">
        <v>286</v>
      </c>
      <c r="G8771" s="16" t="n">
        <f aca="false">G8767*G8765</f>
        <v>274.9307184</v>
      </c>
      <c r="H8771" s="16" t="n">
        <f aca="false">H8767*H8765</f>
        <v>259.580419956</v>
      </c>
      <c r="I8771" s="16" t="n">
        <f aca="false">I8767*I8765</f>
        <v>257.69256235632</v>
      </c>
      <c r="J8771" s="16" t="n">
        <f aca="false">J8767*J8765</f>
        <v>257.69256235632</v>
      </c>
      <c r="K8771" s="16" t="n">
        <f aca="false">K8767*K8765</f>
        <v>270.577190474136</v>
      </c>
    </row>
    <row r="8772" customFormat="false" ht="15" hidden="false" customHeight="false" outlineLevel="0" collapsed="false">
      <c r="A8772" s="3" t="s">
        <v>287</v>
      </c>
      <c r="G8772" s="25" t="n">
        <f aca="false">G8767*'Historical Financials'!G28/'Historical Financials'!G23</f>
        <v>87.00192</v>
      </c>
      <c r="H8772" s="25" t="n">
        <f aca="false">H8767*'Historical Financials'!G28/'Historical Financials'!G23</f>
        <v>89.6119776</v>
      </c>
      <c r="I8772" s="25" t="n">
        <f aca="false">I8767*'Historical Financials'!G28/'Historical Financials'!G23</f>
        <v>93.196456704</v>
      </c>
      <c r="J8772" s="25" t="n">
        <f aca="false">J8767*'Historical Financials'!G28/'Historical Financials'!G23</f>
        <v>97.8562795392</v>
      </c>
      <c r="K8772" s="25" t="n">
        <f aca="false">K8767*'Historical Financials'!G28/'Historical Financials'!G23</f>
        <v>102.74909351616</v>
      </c>
    </row>
    <row r="8773" customFormat="false" ht="15" hidden="false" customHeight="false" outlineLevel="0" collapsed="false">
      <c r="A8773" s="3" t="s">
        <v>288</v>
      </c>
      <c r="G8773" s="25" t="n">
        <f aca="false">G8767*'Historical Financials'!G29/'Historical Financials'!G23</f>
        <v>24.84312</v>
      </c>
      <c r="H8773" s="25" t="n">
        <f aca="false">H8767*'Historical Financials'!G29/'Historical Financials'!G23</f>
        <v>25.5884136</v>
      </c>
      <c r="I8773" s="25" t="n">
        <f aca="false">I8767*'Historical Financials'!G29/'Historical Financials'!G23</f>
        <v>26.611950144</v>
      </c>
      <c r="J8773" s="25" t="n">
        <f aca="false">J8767*'Historical Financials'!G29/'Historical Financials'!G23</f>
        <v>27.9425476512</v>
      </c>
      <c r="K8773" s="25" t="n">
        <f aca="false">K8767*'Historical Financials'!G29/'Historical Financials'!G23</f>
        <v>29.33967503376</v>
      </c>
    </row>
    <row r="8774" customFormat="false" ht="15" hidden="false" customHeight="false" outlineLevel="0" collapsed="false">
      <c r="A8774" s="2" t="s">
        <v>289</v>
      </c>
      <c r="G8774" s="16" t="n">
        <f aca="false">G8771-G8772-G8773</f>
        <v>163.0856784</v>
      </c>
      <c r="H8774" s="16" t="n">
        <f aca="false">H8771-H8772-H8773</f>
        <v>144.380028756</v>
      </c>
      <c r="I8774" s="16" t="n">
        <f aca="false">I8771-I8772-I8773</f>
        <v>137.88415550832</v>
      </c>
      <c r="J8774" s="16" t="n">
        <f aca="false">J8771-J8772-J8773</f>
        <v>131.89373516592</v>
      </c>
      <c r="K8774" s="16" t="n">
        <f aca="false">K8771-K8772-K8773</f>
        <v>138.488421924216</v>
      </c>
    </row>
    <row r="8775" customFormat="false" ht="15" hidden="false" customHeight="false" outlineLevel="0" collapsed="false">
      <c r="A8775" s="3" t="s">
        <v>290</v>
      </c>
      <c r="G8775" s="25" t="n">
        <f aca="false">G8801+G8814+G8827</f>
        <v>155.95467</v>
      </c>
      <c r="H8775" s="25" t="n">
        <f aca="false">H8801+H8814+H8827</f>
        <v>155.95467</v>
      </c>
      <c r="I8775" s="25" t="n">
        <f aca="false">I8801+I8814+I8827</f>
        <v>155.95467</v>
      </c>
      <c r="J8775" s="25" t="n">
        <f aca="false">J8801+J8814+J8827</f>
        <v>138.08529</v>
      </c>
      <c r="K8775" s="25" t="n">
        <f aca="false">K8801+K8814+K8827</f>
        <v>138.08529</v>
      </c>
    </row>
    <row r="8776" customFormat="false" ht="15" hidden="false" customHeight="false" outlineLevel="0" collapsed="false">
      <c r="A8776" s="3" t="s">
        <v>291</v>
      </c>
      <c r="G8776" s="25" t="n">
        <f aca="false">G8802+G8815+G8828</f>
        <v>0</v>
      </c>
      <c r="H8776" s="25" t="n">
        <f aca="false">H8802+H8815+H8828</f>
        <v>0</v>
      </c>
      <c r="I8776" s="25" t="n">
        <f aca="false">I8802+I8815+I8828</f>
        <v>0</v>
      </c>
      <c r="J8776" s="25" t="n">
        <f aca="false">J8802+J8815+J8828</f>
        <v>0</v>
      </c>
      <c r="K8776" s="25" t="n">
        <f aca="false">K8802+K8815+K8828</f>
        <v>0</v>
      </c>
    </row>
    <row r="8777" customFormat="false" ht="15" hidden="false" customHeight="false" outlineLevel="0" collapsed="false">
      <c r="A8777" s="3" t="s">
        <v>239</v>
      </c>
      <c r="G8777" s="25" t="n">
        <f aca="false">G8775+G8776</f>
        <v>155.95467</v>
      </c>
      <c r="H8777" s="25" t="n">
        <f aca="false">H8775+H8776</f>
        <v>155.95467</v>
      </c>
      <c r="I8777" s="25" t="n">
        <f aca="false">I8775+I8776</f>
        <v>155.95467</v>
      </c>
      <c r="J8777" s="25" t="n">
        <f aca="false">J8775+J8776</f>
        <v>138.08529</v>
      </c>
      <c r="K8777" s="25" t="n">
        <f aca="false">K8775+K8776</f>
        <v>138.08529</v>
      </c>
    </row>
    <row r="8778" customFormat="false" ht="15" hidden="false" customHeight="false" outlineLevel="0" collapsed="false">
      <c r="A8778" s="2" t="s">
        <v>264</v>
      </c>
      <c r="G8778" s="16" t="n">
        <f aca="false">G8774-G8777</f>
        <v>7.13100839999996</v>
      </c>
      <c r="H8778" s="16" t="n">
        <f aca="false">H8774-H8777</f>
        <v>-11.574641244</v>
      </c>
      <c r="I8778" s="16" t="n">
        <f aca="false">I8774-I8777</f>
        <v>-18.07051449168</v>
      </c>
      <c r="J8778" s="16" t="n">
        <f aca="false">J8774-J8777</f>
        <v>-6.19155483408002</v>
      </c>
      <c r="K8778" s="16" t="n">
        <f aca="false">K8774-K8777</f>
        <v>0.403131924216012</v>
      </c>
    </row>
    <row r="8779" customFormat="false" ht="15" hidden="false" customHeight="false" outlineLevel="0" collapsed="false">
      <c r="A8779" s="3" t="s">
        <v>292</v>
      </c>
      <c r="G8779" s="25" t="n">
        <f aca="false">MAX(0,G8778)*Assumptions!$C$9</f>
        <v>1.78275209999999</v>
      </c>
      <c r="H8779" s="25" t="n">
        <f aca="false">MAX(0,H8778)*Assumptions!$C$9</f>
        <v>0</v>
      </c>
      <c r="I8779" s="25" t="n">
        <f aca="false">MAX(0,I8778)*Assumptions!$C$9</f>
        <v>0</v>
      </c>
      <c r="J8779" s="25" t="n">
        <f aca="false">MAX(0,J8778)*Assumptions!$C$9</f>
        <v>0</v>
      </c>
      <c r="K8779" s="25" t="n">
        <f aca="false">MAX(0,K8778)*Assumptions!$C$9</f>
        <v>0.100782981054003</v>
      </c>
    </row>
    <row r="8780" customFormat="false" ht="15" hidden="false" customHeight="false" outlineLevel="0" collapsed="false">
      <c r="A8780" s="2" t="s">
        <v>293</v>
      </c>
      <c r="G8780" s="16" t="n">
        <f aca="false">G8778-G8779</f>
        <v>5.34825629999997</v>
      </c>
      <c r="H8780" s="16" t="n">
        <f aca="false">H8778-H8779</f>
        <v>-11.574641244</v>
      </c>
      <c r="I8780" s="16" t="n">
        <f aca="false">I8778-I8779</f>
        <v>-18.07051449168</v>
      </c>
      <c r="J8780" s="16" t="n">
        <f aca="false">J8778-J8779</f>
        <v>-6.19155483408002</v>
      </c>
      <c r="K8780" s="16" t="n">
        <f aca="false">K8778-K8779</f>
        <v>0.302348943162009</v>
      </c>
    </row>
    <row r="8781" customFormat="false" ht="15" hidden="false" customHeight="false" outlineLevel="0" collapsed="false">
      <c r="A8781" s="23" t="s">
        <v>294</v>
      </c>
      <c r="B8781" s="24"/>
      <c r="C8781" s="24"/>
      <c r="D8781" s="24"/>
      <c r="E8781" s="24"/>
      <c r="F8781" s="24"/>
      <c r="G8781" s="24"/>
      <c r="H8781" s="24"/>
      <c r="I8781" s="24"/>
      <c r="J8781" s="24"/>
      <c r="K8781" s="24"/>
    </row>
    <row r="8782" customFormat="false" ht="15" hidden="false" customHeight="false" outlineLevel="0" collapsed="false">
      <c r="A8782" s="3" t="s">
        <v>169</v>
      </c>
      <c r="G8782" s="25" t="n">
        <f aca="false">G8767*CHOOSE($C$8754,Assumptions!$C$75,Assumptions!$C$94,Assumptions!$C$113)</f>
        <v>29.78416116</v>
      </c>
      <c r="H8782" s="25" t="n">
        <f aca="false">H8767*CHOOSE($C$8754,Assumptions!$C$75,Assumptions!$C$94,Assumptions!$C$113)</f>
        <v>30.6776859948</v>
      </c>
      <c r="I8782" s="25" t="n">
        <f aca="false">I8767*CHOOSE($C$8754,Assumptions!$C$75,Assumptions!$C$94,Assumptions!$C$113)</f>
        <v>31.904793434592</v>
      </c>
      <c r="J8782" s="25" t="n">
        <f aca="false">J8767*CHOOSE($C$8754,Assumptions!$C$75,Assumptions!$C$94,Assumptions!$C$113)</f>
        <v>33.5000331063216</v>
      </c>
      <c r="K8782" s="25" t="n">
        <f aca="false">K8767*CHOOSE($C$8754,Assumptions!$C$75,Assumptions!$C$94,Assumptions!$C$113)</f>
        <v>35.1750347616377</v>
      </c>
    </row>
    <row r="8783" customFormat="false" ht="15" hidden="false" customHeight="false" outlineLevel="0" collapsed="false">
      <c r="A8783" s="3" t="s">
        <v>295</v>
      </c>
      <c r="G8783" s="25" t="n">
        <f aca="false">CHOOSE($C$8754,Assumptions!$C$76,Assumptions!$C$95,Assumptions!$C$114)*(G8767-F8767)+CHOOSE($C$8754,Assumptions!$C$77,Assumptions!$C$96,Assumptions!$C$115)*G8767</f>
        <v>11.4554466</v>
      </c>
      <c r="H8783" s="25" t="n">
        <f aca="false">CHOOSE($C$8754,Assumptions!$C$76,Assumptions!$C$95,Assumptions!$C$114)*(H8767-G8767)+CHOOSE($C$8754,Assumptions!$C$77,Assumptions!$C$96,Assumptions!$C$115)*H8767</f>
        <v>11.799109998</v>
      </c>
      <c r="I8783" s="25" t="n">
        <f aca="false">CHOOSE($C$8754,Assumptions!$C$76,Assumptions!$C$95,Assumptions!$C$114)*(I8767-H8767)+CHOOSE($C$8754,Assumptions!$C$77,Assumptions!$C$96,Assumptions!$C$115)*I8767</f>
        <v>12.27107439792</v>
      </c>
      <c r="J8783" s="25" t="n">
        <f aca="false">CHOOSE($C$8754,Assumptions!$C$76,Assumptions!$C$95,Assumptions!$C$114)*(J8767-I8767)+CHOOSE($C$8754,Assumptions!$C$77,Assumptions!$C$96,Assumptions!$C$115)*J8767</f>
        <v>12.884628117816</v>
      </c>
      <c r="K8783" s="25" t="n">
        <f aca="false">CHOOSE($C$8754,Assumptions!$C$76,Assumptions!$C$95,Assumptions!$C$114)*(K8767-J8767)+CHOOSE($C$8754,Assumptions!$C$77,Assumptions!$C$96,Assumptions!$C$115)*K8767</f>
        <v>13.5288595237068</v>
      </c>
    </row>
    <row r="8784" customFormat="false" ht="15" hidden="false" customHeight="false" outlineLevel="0" collapsed="false">
      <c r="A8784" s="2" t="s">
        <v>296</v>
      </c>
      <c r="G8784" s="16" t="n">
        <f aca="false">G8780+G8772+G8773+G8776-G8782-G8783</f>
        <v>75.95368854</v>
      </c>
      <c r="H8784" s="16" t="n">
        <f aca="false">H8780+H8772+H8773+H8776-H8782-H8783</f>
        <v>61.1489539632</v>
      </c>
      <c r="I8784" s="16" t="n">
        <f aca="false">I8780+I8772+I8773+I8776-I8782-I8783</f>
        <v>57.562024523808</v>
      </c>
      <c r="J8784" s="16" t="n">
        <f aca="false">J8780+J8772+J8773+J8776-J8782-J8783</f>
        <v>73.2226111321824</v>
      </c>
      <c r="K8784" s="16" t="n">
        <f aca="false">K8780+K8772+K8773+K8776-K8782-K8783</f>
        <v>83.6872232077376</v>
      </c>
    </row>
    <row r="8786" customFormat="false" ht="15" hidden="false" customHeight="false" outlineLevel="0" collapsed="false">
      <c r="A8786" s="23" t="s">
        <v>298</v>
      </c>
      <c r="B8786" s="24"/>
      <c r="C8786" s="24"/>
      <c r="D8786" s="24"/>
      <c r="E8786" s="24"/>
      <c r="F8786" s="24"/>
      <c r="G8786" s="24"/>
      <c r="H8786" s="24"/>
      <c r="I8786" s="24"/>
      <c r="J8786" s="24"/>
      <c r="K8786" s="24"/>
    </row>
    <row r="8787" customFormat="false" ht="15" hidden="false" customHeight="false" outlineLevel="0" collapsed="false">
      <c r="A8787" s="3" t="s">
        <v>299</v>
      </c>
      <c r="G8787" s="30" t="n">
        <f aca="false">Assumptions!$G$52</f>
        <v>0.039</v>
      </c>
      <c r="H8787" s="30" t="n">
        <f aca="false">Assumptions!$H$52</f>
        <v>0.0375</v>
      </c>
      <c r="I8787" s="30" t="n">
        <f aca="false">Assumptions!$I$52</f>
        <v>0.035</v>
      </c>
      <c r="J8787" s="30" t="n">
        <f aca="false">Assumptions!$J$52</f>
        <v>0.035</v>
      </c>
      <c r="K8787" s="30" t="n">
        <f aca="false">Assumptions!$K$52</f>
        <v>0.035</v>
      </c>
    </row>
    <row r="8788" customFormat="false" ht="15" hidden="false" customHeight="false" outlineLevel="0" collapsed="false">
      <c r="A8788" s="3" t="s">
        <v>300</v>
      </c>
      <c r="C8788" s="31" t="n">
        <f aca="false">CHOOSE($C$8754,Assumptions!$C$78,Assumptions!$C$97,Assumptions!$C$116)+$C$8757</f>
        <v>0.015</v>
      </c>
    </row>
    <row r="8789" customFormat="false" ht="15" hidden="false" customHeight="false" outlineLevel="0" collapsed="false">
      <c r="A8789" s="3" t="s">
        <v>301</v>
      </c>
      <c r="C8789" s="31" t="n">
        <f aca="false">CHOOSE($C$8754,Assumptions!$C$79,Assumptions!$C$98,Assumptions!$C$117)</f>
        <v>0.13</v>
      </c>
    </row>
    <row r="8790" customFormat="false" ht="15" hidden="false" customHeight="false" outlineLevel="0" collapsed="false">
      <c r="A8790" s="3" t="s">
        <v>302</v>
      </c>
      <c r="C8790" s="32" t="n">
        <f aca="false">CHOOSE($C$8754,Assumptions!$C$80,Assumptions!$C$99,Assumptions!$C$118)</f>
        <v>5.5</v>
      </c>
    </row>
    <row r="8791" customFormat="false" ht="15" hidden="false" customHeight="false" outlineLevel="0" collapsed="false">
      <c r="A8791" s="3" t="s">
        <v>303</v>
      </c>
      <c r="C8791" s="32" t="n">
        <f aca="false">CHOOSE($C$8754,Assumptions!$C$81,Assumptions!$C$100,Assumptions!$C$119)</f>
        <v>1.5</v>
      </c>
    </row>
    <row r="8792" customFormat="false" ht="15" hidden="false" customHeight="false" outlineLevel="0" collapsed="false">
      <c r="A8792" s="3" t="s">
        <v>304</v>
      </c>
      <c r="G8792" s="25" t="n">
        <f aca="false">G8797+G8810+G8823</f>
        <v>1735.554</v>
      </c>
      <c r="H8792" s="25" t="n">
        <f aca="false">H8797+H8810+H8823</f>
        <v>1735.554</v>
      </c>
      <c r="I8792" s="25" t="n">
        <f aca="false">I8797+I8810+I8823</f>
        <v>1735.554</v>
      </c>
      <c r="J8792" s="25" t="n">
        <f aca="false">J8797+J8810+J8823</f>
        <v>1315.098</v>
      </c>
      <c r="K8792" s="25" t="n">
        <f aca="false">K8797+K8810+K8823</f>
        <v>1315.098</v>
      </c>
    </row>
    <row r="8793" customFormat="false" ht="15" hidden="false" customHeight="false" outlineLevel="0" collapsed="false">
      <c r="A8793" s="3" t="s">
        <v>305</v>
      </c>
      <c r="G8793" s="25" t="n">
        <f aca="false">F8866</f>
        <v>463.996</v>
      </c>
      <c r="H8793" s="25" t="n">
        <f aca="false">G8866</f>
        <v>539.94968854</v>
      </c>
      <c r="I8793" s="25" t="n">
        <f aca="false">H8866</f>
        <v>601.0986425032</v>
      </c>
      <c r="J8793" s="25" t="n">
        <f aca="false">I8866</f>
        <v>238.204667027008</v>
      </c>
      <c r="K8793" s="25" t="n">
        <f aca="false">J8866</f>
        <v>311.42727815919</v>
      </c>
    </row>
    <row r="8794" customFormat="false" ht="15" hidden="false" customHeight="false" outlineLevel="0" collapsed="false">
      <c r="A8794" s="3" t="s">
        <v>306</v>
      </c>
      <c r="G8794" s="25" t="n">
        <f aca="false">G8797*IF(G8798=1,$C$8789,IF(Assumptions!$I$56=1,MAX(G8787,Assumptions!$G$56)+Assumptions!$F$56+$C$8788,Assumptions!$E$56))+G8810*IF(G8811=1,$C$8789,IF(Assumptions!$I$57=1,MAX(G8787,Assumptions!$G$57)+Assumptions!$F$57+$C$8788,Assumptions!$E$57))+G8823*IF(G8824=1,$C$8789,IF(Assumptions!$I$58=1,MAX(G8787,Assumptions!$G$58)+Assumptions!$F$58+$C$8788,Assumptions!$E$58))</f>
        <v>155.95467</v>
      </c>
      <c r="H8794" s="25" t="n">
        <f aca="false">H8797*IF(OR(H8798=1,G8944=1),$C$8789,IF(Assumptions!$I$56=1,MAX(H8787,Assumptions!$G$56)+Assumptions!$F$56+$C$8788,Assumptions!$E$56))+H8810*IF(OR(H8811=1,G8945=1),$C$8789,IF(Assumptions!$I$57=1,MAX(H8787,Assumptions!$G$57)+Assumptions!$F$57+$C$8788,Assumptions!$E$57))+H8823*IF(OR(H8824=1,G8946=1),$C$8789,IF(Assumptions!$I$58=1,MAX(H8787,Assumptions!$G$58)+Assumptions!$F$58+$C$8788,Assumptions!$E$58))</f>
        <v>155.95467</v>
      </c>
      <c r="I8794" s="25" t="n">
        <f aca="false">I8797*IF(OR(I8798=1,H8944=1),$C$8789,IF(Assumptions!$I$56=1,MAX(I8787,Assumptions!$G$56)+Assumptions!$F$56+$C$8788,Assumptions!$E$56))+I8810*IF(OR(I8811=1,H8945=1),$C$8789,IF(Assumptions!$I$57=1,MAX(I8787,Assumptions!$G$57)+Assumptions!$F$57+$C$8788,Assumptions!$E$57))+I8823*IF(OR(I8824=1,H8946=1),$C$8789,IF(Assumptions!$I$58=1,MAX(I8787,Assumptions!$G$58)+Assumptions!$F$58+$C$8788,Assumptions!$E$58))</f>
        <v>192.74457</v>
      </c>
      <c r="J8794" s="25" t="n">
        <f aca="false">J8797*IF(OR(J8798=1,I8944=1),$C$8789,IF(Assumptions!$I$56=1,MAX(J8787,Assumptions!$G$56)+Assumptions!$F$56+$C$8788,Assumptions!$E$56))+J8810*IF(OR(J8811=1,I8945=1),$C$8789,IF(Assumptions!$I$57=1,MAX(J8787,Assumptions!$G$57)+Assumptions!$F$57+$C$8788,Assumptions!$E$57))+J8823*IF(OR(J8824=1,I8946=1),$C$8789,IF(Assumptions!$I$58=1,MAX(J8787,Assumptions!$G$58)+Assumptions!$F$58+$C$8788,Assumptions!$E$58))</f>
        <v>138.08529</v>
      </c>
      <c r="K8794" s="25" t="n">
        <f aca="false">K8797*IF(OR(K8798=1,J8944=1),$C$8789,IF(Assumptions!$I$56=1,MAX(K8787,Assumptions!$G$56)+Assumptions!$F$56+$C$8788,Assumptions!$E$56))+K8810*IF(OR(K8811=1,J8945=1),$C$8789,IF(Assumptions!$I$57=1,MAX(K8787,Assumptions!$G$57)+Assumptions!$F$57+$C$8788,Assumptions!$E$57))+K8823*IF(OR(K8824=1,J8946=1),$C$8789,IF(Assumptions!$I$58=1,MAX(K8787,Assumptions!$G$58)+Assumptions!$F$58+$C$8788,Assumptions!$E$58))</f>
        <v>138.08529</v>
      </c>
    </row>
    <row r="8795" customFormat="false" ht="15" hidden="false" customHeight="false" outlineLevel="0" collapsed="false">
      <c r="A8795" s="3" t="s">
        <v>307</v>
      </c>
      <c r="G8795" s="20" t="n">
        <f aca="false">IF(G8771&lt;=0,0,IF(AND((G8792-G8793)/G8771&lt;=$C$8790,G8771/G8794&gt;=$C$8791),1,0))</f>
        <v>1</v>
      </c>
      <c r="H8795" s="20" t="n">
        <f aca="false">IF(H8771&lt;=0,0,IF(AND((H8792-H8793)/H8771&lt;=$C$8790,H8771/H8794&gt;=$C$8791),1,0))</f>
        <v>1</v>
      </c>
      <c r="I8795" s="20" t="n">
        <f aca="false">IF(I8771&lt;=0,0,IF(AND((I8792-I8793)/I8771&lt;=$C$8790,I8771/I8794&gt;=$C$8791),1,0))</f>
        <v>0</v>
      </c>
      <c r="J8795" s="20" t="n">
        <f aca="false">IF(J8771&lt;=0,0,IF(AND((J8792-J8793)/J8771&lt;=$C$8790,J8771/J8794&gt;=$C$8791),1,0))</f>
        <v>1</v>
      </c>
      <c r="K8795" s="20" t="n">
        <f aca="false">IF(K8771&lt;=0,0,IF(AND((K8792-K8793)/K8771&lt;=$C$8790,K8771/K8794&gt;=$C$8791),1,0))</f>
        <v>1</v>
      </c>
    </row>
    <row r="8796" customFormat="false" ht="15" hidden="false" customHeight="false" outlineLevel="0" collapsed="false">
      <c r="A8796" s="23" t="s">
        <v>308</v>
      </c>
      <c r="B8796" s="24"/>
      <c r="C8796" s="24"/>
      <c r="D8796" s="24"/>
      <c r="E8796" s="24"/>
      <c r="F8796" s="24"/>
      <c r="G8796" s="24"/>
      <c r="H8796" s="24"/>
      <c r="I8796" s="24"/>
      <c r="J8796" s="24"/>
      <c r="K8796" s="24"/>
    </row>
    <row r="8797" customFormat="false" ht="15" hidden="false" customHeight="false" outlineLevel="0" collapsed="false">
      <c r="A8797" s="3" t="s">
        <v>309</v>
      </c>
      <c r="G8797" s="25" t="n">
        <f aca="false">F8808</f>
        <v>1315.098</v>
      </c>
      <c r="H8797" s="25" t="n">
        <f aca="false">G8808</f>
        <v>1315.098</v>
      </c>
      <c r="I8797" s="25" t="n">
        <f aca="false">H8808</f>
        <v>1315.098</v>
      </c>
      <c r="J8797" s="25" t="n">
        <f aca="false">I8808</f>
        <v>1315.098</v>
      </c>
      <c r="K8797" s="25" t="n">
        <f aca="false">J8808</f>
        <v>1315.098</v>
      </c>
    </row>
    <row r="8798" customFormat="false" ht="15" hidden="false" customHeight="false" outlineLevel="0" collapsed="false">
      <c r="A8798" s="3" t="s">
        <v>310</v>
      </c>
      <c r="G8798" s="20" t="n">
        <f aca="false">IF(G8761=Assumptions!$K$56,1,0)</f>
        <v>0</v>
      </c>
      <c r="H8798" s="20" t="n">
        <f aca="false">IF(H8761=Assumptions!$K$56,1,0)</f>
        <v>0</v>
      </c>
      <c r="I8798" s="20" t="n">
        <f aca="false">IF(I8761=Assumptions!$K$56,1,0)</f>
        <v>0</v>
      </c>
      <c r="J8798" s="20" t="n">
        <f aca="false">IF(J8761=Assumptions!$K$56,1,0)</f>
        <v>0</v>
      </c>
      <c r="K8798" s="20" t="n">
        <f aca="false">IF(K8761=Assumptions!$K$56,1,0)</f>
        <v>0</v>
      </c>
    </row>
    <row r="8800" customFormat="false" ht="15" hidden="false" customHeight="false" outlineLevel="0" collapsed="false">
      <c r="A8800" s="3" t="s">
        <v>311</v>
      </c>
      <c r="G8800" s="31" t="n">
        <f aca="false">IF(Assumptions!$I$56=1,MAX(G8787,Assumptions!$G$56)+Assumptions!$F$56+$C$8788,Assumptions!$E$56)</f>
        <v>0.105</v>
      </c>
      <c r="H8800" s="31" t="n">
        <f aca="false">IF(G8944=1,$C$8789,IF(Assumptions!$I$56=1,MAX(H8787,Assumptions!$G$56)+Assumptions!$F$56+$C$8788,Assumptions!$E$56))</f>
        <v>0.105</v>
      </c>
      <c r="I8800" s="31" t="n">
        <f aca="false">IF(H8944=1,$C$8789,IF(Assumptions!$I$56=1,MAX(I8787,Assumptions!$G$56)+Assumptions!$F$56+$C$8788,Assumptions!$E$56))</f>
        <v>0.105</v>
      </c>
      <c r="J8800" s="31" t="n">
        <f aca="false">IF(I8944=1,$C$8789,IF(Assumptions!$I$56=1,MAX(J8787,Assumptions!$G$56)+Assumptions!$F$56+$C$8788,Assumptions!$E$56))</f>
        <v>0.105</v>
      </c>
      <c r="K8800" s="31" t="n">
        <f aca="false">IF(J8944=1,$C$8789,IF(Assumptions!$I$56=1,MAX(K8787,Assumptions!$G$56)+Assumptions!$F$56+$C$8788,Assumptions!$E$56))</f>
        <v>0.105</v>
      </c>
    </row>
    <row r="8801" customFormat="false" ht="15" hidden="false" customHeight="false" outlineLevel="0" collapsed="false">
      <c r="A8801" s="3" t="s">
        <v>312</v>
      </c>
      <c r="G8801" s="25" t="n">
        <f aca="false">G8797*G8800</f>
        <v>138.08529</v>
      </c>
      <c r="H8801" s="25" t="n">
        <f aca="false">H8797*H8800</f>
        <v>138.08529</v>
      </c>
      <c r="I8801" s="25" t="n">
        <f aca="false">I8797*I8800</f>
        <v>138.08529</v>
      </c>
      <c r="J8801" s="25" t="n">
        <f aca="false">J8797*J8800</f>
        <v>138.08529</v>
      </c>
      <c r="K8801" s="25" t="n">
        <f aca="false">K8797*K8800</f>
        <v>138.08529</v>
      </c>
    </row>
    <row r="8802" customFormat="false" ht="15" hidden="false" customHeight="false" outlineLevel="0" collapsed="false">
      <c r="A8802" s="3" t="s">
        <v>313</v>
      </c>
      <c r="G8802" s="25" t="n">
        <f aca="false">G8797*Assumptions!$H$56</f>
        <v>0</v>
      </c>
      <c r="H8802" s="25" t="n">
        <f aca="false">H8797*Assumptions!$H$56</f>
        <v>0</v>
      </c>
      <c r="I8802" s="25" t="n">
        <f aca="false">I8797*Assumptions!$H$56</f>
        <v>0</v>
      </c>
      <c r="J8802" s="25" t="n">
        <f aca="false">J8797*Assumptions!$H$56</f>
        <v>0</v>
      </c>
      <c r="K8802" s="25" t="n">
        <f aca="false">K8797*Assumptions!$H$56</f>
        <v>0</v>
      </c>
    </row>
    <row r="8803" customFormat="false" ht="15" hidden="false" customHeight="false" outlineLevel="0" collapsed="false">
      <c r="A8803" s="3" t="s">
        <v>314</v>
      </c>
      <c r="G8803" s="25" t="n">
        <f aca="false">MIN(G8797,Assumptions!$L$56*Assumptions!$C$56)</f>
        <v>0</v>
      </c>
      <c r="H8803" s="25" t="n">
        <f aca="false">MIN(H8797,Assumptions!$L$56*Assumptions!$C$56)</f>
        <v>0</v>
      </c>
      <c r="I8803" s="25" t="n">
        <f aca="false">MIN(I8797,Assumptions!$L$56*Assumptions!$C$56)</f>
        <v>0</v>
      </c>
      <c r="J8803" s="25" t="n">
        <f aca="false">MIN(J8797,Assumptions!$L$56*Assumptions!$C$56)</f>
        <v>0</v>
      </c>
      <c r="K8803" s="25" t="n">
        <f aca="false">MIN(K8797,Assumptions!$L$56*Assumptions!$C$56)</f>
        <v>0</v>
      </c>
    </row>
    <row r="8804" customFormat="false" ht="15" hidden="false" customHeight="false" outlineLevel="0" collapsed="false">
      <c r="A8804" s="3" t="s">
        <v>315</v>
      </c>
      <c r="G8804" s="25" t="n">
        <f aca="false">IF(AND(Assumptions!$P$56=1,G8761&lt;Assumptions!$K$56),MIN(MAX(0,-G8858),MAX(0,Assumptions!$D$56-G8797)),0)</f>
        <v>0</v>
      </c>
      <c r="H8804" s="25" t="n">
        <f aca="false">IF(AND(Assumptions!$P$56=1,OR(H8761&lt;Assumptions!$K$56,G8944=1)),MIN(MAX(0,-H8858),MAX(0,Assumptions!$D$56-H8797)),0)</f>
        <v>0</v>
      </c>
      <c r="I8804" s="25" t="n">
        <f aca="false">IF(AND(Assumptions!$P$56=1,OR(I8761&lt;Assumptions!$K$56,H8944=1)),MIN(MAX(0,-I8858),MAX(0,Assumptions!$D$56-I8797)),0)</f>
        <v>0</v>
      </c>
      <c r="J8804" s="25" t="n">
        <f aca="false">IF(AND(Assumptions!$P$56=1,OR(J8761&lt;Assumptions!$K$56,I8944=1)),MIN(MAX(0,-J8858),MAX(0,Assumptions!$D$56-J8797)),0)</f>
        <v>0</v>
      </c>
      <c r="K8804" s="25" t="n">
        <f aca="false">IF(AND(Assumptions!$P$56=1,OR(K8761&lt;Assumptions!$K$56,J8944=1)),MIN(MAX(0,-K8858),MAX(0,Assumptions!$D$56-K8797)),0)</f>
        <v>0</v>
      </c>
    </row>
    <row r="8805" customFormat="false" ht="15" hidden="false" customHeight="false" outlineLevel="0" collapsed="false">
      <c r="A8805" s="3" t="s">
        <v>316</v>
      </c>
      <c r="G8805" s="25" t="n">
        <f aca="false">G8798*MIN(G8797-G8803+G8802,MAX(0,G8860-Assumptions!$C$12*G8795))</f>
        <v>0</v>
      </c>
      <c r="H8805" s="25" t="n">
        <f aca="false">H8798*MIN(H8797-H8803+H8802,MAX(0,H8860-Assumptions!$C$12*H8795))</f>
        <v>0</v>
      </c>
      <c r="I8805" s="25" t="n">
        <f aca="false">I8798*MIN(I8797-I8803+I8802,MAX(0,I8860-Assumptions!$C$12*I8795))</f>
        <v>0</v>
      </c>
      <c r="J8805" s="25" t="n">
        <f aca="false">J8798*MIN(J8797-J8803+J8802,MAX(0,J8860-Assumptions!$C$12*J8795))</f>
        <v>0</v>
      </c>
      <c r="K8805" s="25" t="n">
        <f aca="false">K8798*MIN(K8797-K8803+K8802,MAX(0,K8860-Assumptions!$C$12*K8795))</f>
        <v>0</v>
      </c>
    </row>
    <row r="8806" customFormat="false" ht="15" hidden="false" customHeight="false" outlineLevel="0" collapsed="false">
      <c r="A8806" s="3" t="s">
        <v>317</v>
      </c>
      <c r="G8806" s="25" t="n">
        <f aca="false">Assumptions!$N$56*MIN(G8797+G8804+G8802-G8803-G8805,MAX(0,G8864))</f>
        <v>0</v>
      </c>
      <c r="H8806" s="25" t="n">
        <f aca="false">Assumptions!$N$56*MIN(H8797+H8804+H8802-H8803-H8805,MAX(0,H8864))</f>
        <v>0</v>
      </c>
      <c r="I8806" s="25" t="n">
        <f aca="false">Assumptions!$N$56*MIN(I8797+I8804+I8802-I8803-I8805,MAX(0,I8864))</f>
        <v>0</v>
      </c>
      <c r="J8806" s="25" t="n">
        <f aca="false">Assumptions!$N$56*MIN(J8797+J8804+J8802-J8803-J8805,MAX(0,J8864))</f>
        <v>0</v>
      </c>
      <c r="K8806" s="25" t="n">
        <f aca="false">Assumptions!$N$56*MIN(K8797+K8804+K8802-K8803-K8805,MAX(0,K8864))</f>
        <v>0</v>
      </c>
    </row>
    <row r="8807" customFormat="false" ht="15" hidden="false" customHeight="false" outlineLevel="0" collapsed="false">
      <c r="A8807" s="3" t="s">
        <v>318</v>
      </c>
      <c r="G8807" s="25" t="n">
        <f aca="false">G8798*(1-G8795)*(G8797-G8803+G8802-G8805)</f>
        <v>0</v>
      </c>
      <c r="H8807" s="25" t="n">
        <f aca="false">H8798*(1-H8795)*(H8797-H8803+H8802-H8805)</f>
        <v>0</v>
      </c>
      <c r="I8807" s="25" t="n">
        <f aca="false">I8798*(1-I8795)*(I8797-I8803+I8802-I8805)</f>
        <v>0</v>
      </c>
      <c r="J8807" s="25" t="n">
        <f aca="false">J8798*(1-J8795)*(J8797-J8803+J8802-J8805)</f>
        <v>0</v>
      </c>
      <c r="K8807" s="25" t="n">
        <f aca="false">K8798*(1-K8795)*(K8797-K8803+K8802-K8805)</f>
        <v>0</v>
      </c>
    </row>
    <row r="8808" customFormat="false" ht="15" hidden="false" customHeight="false" outlineLevel="0" collapsed="false">
      <c r="A8808" s="2" t="s">
        <v>319</v>
      </c>
      <c r="F8808" s="28" t="n">
        <f aca="false">Assumptions!$C$56</f>
        <v>1315.098</v>
      </c>
      <c r="G8808" s="16" t="n">
        <f aca="false">G8797+G8804+G8802-G8803-G8805-G8806</f>
        <v>1315.098</v>
      </c>
      <c r="H8808" s="16" t="n">
        <f aca="false">H8797+H8804+H8802-H8803-H8805-H8806</f>
        <v>1315.098</v>
      </c>
      <c r="I8808" s="16" t="n">
        <f aca="false">I8797+I8804+I8802-I8803-I8805-I8806</f>
        <v>1315.098</v>
      </c>
      <c r="J8808" s="16" t="n">
        <f aca="false">J8797+J8804+J8802-J8803-J8805-J8806</f>
        <v>1315.098</v>
      </c>
      <c r="K8808" s="16" t="n">
        <f aca="false">K8797+K8804+K8802-K8803-K8805-K8806</f>
        <v>1315.098</v>
      </c>
    </row>
    <row r="8809" customFormat="false" ht="15" hidden="false" customHeight="false" outlineLevel="0" collapsed="false">
      <c r="A8809" s="23" t="s">
        <v>320</v>
      </c>
      <c r="B8809" s="24"/>
      <c r="C8809" s="24"/>
      <c r="D8809" s="24"/>
      <c r="E8809" s="24"/>
      <c r="F8809" s="24"/>
      <c r="G8809" s="24"/>
      <c r="H8809" s="24"/>
      <c r="I8809" s="24"/>
      <c r="J8809" s="24"/>
      <c r="K8809" s="24"/>
    </row>
    <row r="8810" customFormat="false" ht="15" hidden="false" customHeight="false" outlineLevel="0" collapsed="false">
      <c r="A8810" s="3" t="s">
        <v>309</v>
      </c>
      <c r="G8810" s="25" t="n">
        <f aca="false">F8821</f>
        <v>276.706</v>
      </c>
      <c r="H8810" s="25" t="n">
        <f aca="false">G8821</f>
        <v>276.706</v>
      </c>
      <c r="I8810" s="25" t="n">
        <f aca="false">H8821</f>
        <v>276.706</v>
      </c>
      <c r="J8810" s="25" t="n">
        <f aca="false">I8821</f>
        <v>0</v>
      </c>
      <c r="K8810" s="25" t="n">
        <f aca="false">J8821</f>
        <v>0</v>
      </c>
    </row>
    <row r="8811" customFormat="false" ht="15" hidden="false" customHeight="false" outlineLevel="0" collapsed="false">
      <c r="A8811" s="3" t="s">
        <v>310</v>
      </c>
      <c r="G8811" s="20" t="n">
        <f aca="false">IF(G8761=Assumptions!$K$57,1,0)</f>
        <v>0</v>
      </c>
      <c r="H8811" s="20" t="n">
        <f aca="false">IF(H8761=Assumptions!$K$57,1,0)</f>
        <v>0</v>
      </c>
      <c r="I8811" s="20" t="n">
        <f aca="false">IF(I8761=Assumptions!$K$57,1,0)</f>
        <v>1</v>
      </c>
      <c r="J8811" s="20" t="n">
        <f aca="false">IF(J8761=Assumptions!$K$57,1,0)</f>
        <v>0</v>
      </c>
      <c r="K8811" s="20" t="n">
        <f aca="false">IF(K8761=Assumptions!$K$57,1,0)</f>
        <v>0</v>
      </c>
    </row>
    <row r="8813" customFormat="false" ht="15" hidden="false" customHeight="false" outlineLevel="0" collapsed="false">
      <c r="A8813" s="3" t="s">
        <v>311</v>
      </c>
      <c r="G8813" s="31" t="n">
        <f aca="false">IF(Assumptions!$I$57=1,MAX(G8787,Assumptions!$G$57)+Assumptions!$F$57+$C$8788,Assumptions!$E$57)</f>
        <v>0.0425</v>
      </c>
      <c r="H8813" s="31" t="n">
        <f aca="false">IF(G8945=1,$C$8789,IF(Assumptions!$I$57=1,MAX(H8787,Assumptions!$G$57)+Assumptions!$F$57+$C$8788,Assumptions!$E$57))</f>
        <v>0.0425</v>
      </c>
      <c r="I8813" s="31" t="n">
        <f aca="false">IF(H8945=1,$C$8789,IF(Assumptions!$I$57=1,MAX(I8787,Assumptions!$G$57)+Assumptions!$F$57+$C$8788,Assumptions!$E$57))</f>
        <v>0.0425</v>
      </c>
      <c r="J8813" s="31" t="n">
        <f aca="false">IF(I8945=1,$C$8789,IF(Assumptions!$I$57=1,MAX(J8787,Assumptions!$G$57)+Assumptions!$F$57+$C$8788,Assumptions!$E$57))</f>
        <v>0.0425</v>
      </c>
      <c r="K8813" s="31" t="n">
        <f aca="false">IF(J8945=1,$C$8789,IF(Assumptions!$I$57=1,MAX(K8787,Assumptions!$G$57)+Assumptions!$F$57+$C$8788,Assumptions!$E$57))</f>
        <v>0.0425</v>
      </c>
    </row>
    <row r="8814" customFormat="false" ht="15" hidden="false" customHeight="false" outlineLevel="0" collapsed="false">
      <c r="A8814" s="3" t="s">
        <v>312</v>
      </c>
      <c r="G8814" s="25" t="n">
        <f aca="false">G8810*G8813</f>
        <v>11.760005</v>
      </c>
      <c r="H8814" s="25" t="n">
        <f aca="false">H8810*H8813</f>
        <v>11.760005</v>
      </c>
      <c r="I8814" s="25" t="n">
        <f aca="false">I8810*I8813</f>
        <v>11.760005</v>
      </c>
      <c r="J8814" s="25" t="n">
        <f aca="false">J8810*J8813</f>
        <v>0</v>
      </c>
      <c r="K8814" s="25" t="n">
        <f aca="false">K8810*K8813</f>
        <v>0</v>
      </c>
    </row>
    <row r="8815" customFormat="false" ht="15" hidden="false" customHeight="false" outlineLevel="0" collapsed="false">
      <c r="A8815" s="3" t="s">
        <v>313</v>
      </c>
      <c r="G8815" s="25" t="n">
        <f aca="false">G8810*Assumptions!$H$57</f>
        <v>0</v>
      </c>
      <c r="H8815" s="25" t="n">
        <f aca="false">H8810*Assumptions!$H$57</f>
        <v>0</v>
      </c>
      <c r="I8815" s="25" t="n">
        <f aca="false">I8810*Assumptions!$H$57</f>
        <v>0</v>
      </c>
      <c r="J8815" s="25" t="n">
        <f aca="false">J8810*Assumptions!$H$57</f>
        <v>0</v>
      </c>
      <c r="K8815" s="25" t="n">
        <f aca="false">K8810*Assumptions!$H$57</f>
        <v>0</v>
      </c>
    </row>
    <row r="8816" customFormat="false" ht="15" hidden="false" customHeight="false" outlineLevel="0" collapsed="false">
      <c r="A8816" s="3" t="s">
        <v>314</v>
      </c>
      <c r="G8816" s="25" t="n">
        <f aca="false">MIN(G8810,Assumptions!$L$57*Assumptions!$C$57)</f>
        <v>0</v>
      </c>
      <c r="H8816" s="25" t="n">
        <f aca="false">MIN(H8810,Assumptions!$L$57*Assumptions!$C$57)</f>
        <v>0</v>
      </c>
      <c r="I8816" s="25" t="n">
        <f aca="false">MIN(I8810,Assumptions!$L$57*Assumptions!$C$57)</f>
        <v>0</v>
      </c>
      <c r="J8816" s="25" t="n">
        <f aca="false">MIN(J8810,Assumptions!$L$57*Assumptions!$C$57)</f>
        <v>0</v>
      </c>
      <c r="K8816" s="25" t="n">
        <f aca="false">MIN(K8810,Assumptions!$L$57*Assumptions!$C$57)</f>
        <v>0</v>
      </c>
    </row>
    <row r="8817" customFormat="false" ht="15" hidden="false" customHeight="false" outlineLevel="0" collapsed="false">
      <c r="A8817" s="3" t="s">
        <v>315</v>
      </c>
      <c r="G8817" s="25" t="n">
        <f aca="false">IF(AND(Assumptions!$P$57=1,G8761&lt;Assumptions!$K$57),MIN(MAX(0,-G8858),MAX(0,Assumptions!$D$57-G8810)),0)</f>
        <v>0</v>
      </c>
      <c r="H8817" s="25" t="n">
        <f aca="false">IF(AND(Assumptions!$P$57=1,OR(H8761&lt;Assumptions!$K$57,G8945=1)),MIN(MAX(0,-H8858),MAX(0,Assumptions!$D$57-H8810)),0)</f>
        <v>0</v>
      </c>
      <c r="I8817" s="25" t="n">
        <f aca="false">IF(AND(Assumptions!$P$57=1,OR(I8761&lt;Assumptions!$K$57,H8945=1)),MIN(MAX(0,-I8858),MAX(0,Assumptions!$D$57-I8810)),0)</f>
        <v>0</v>
      </c>
      <c r="J8817" s="25" t="n">
        <f aca="false">IF(AND(Assumptions!$P$57=1,OR(J8761&lt;Assumptions!$K$57,I8945=1)),MIN(MAX(0,-J8858),MAX(0,Assumptions!$D$57-J8810)),0)</f>
        <v>0</v>
      </c>
      <c r="K8817" s="25" t="n">
        <f aca="false">IF(AND(Assumptions!$P$57=1,OR(K8761&lt;Assumptions!$K$57,J8945=1)),MIN(MAX(0,-K8858),MAX(0,Assumptions!$D$57-K8810)),0)</f>
        <v>0</v>
      </c>
    </row>
    <row r="8818" customFormat="false" ht="15" hidden="false" customHeight="false" outlineLevel="0" collapsed="false">
      <c r="A8818" s="3" t="s">
        <v>316</v>
      </c>
      <c r="G8818" s="25" t="n">
        <f aca="false">G8811*MIN(G8810-G8816+G8815,MAX(0,G8860-Assumptions!$C$12*G8795-G8805))</f>
        <v>0</v>
      </c>
      <c r="H8818" s="25" t="n">
        <f aca="false">H8811*MIN(H8810-H8816+H8815,MAX(0,H8860-Assumptions!$C$12*H8795-H8805))</f>
        <v>0</v>
      </c>
      <c r="I8818" s="25" t="n">
        <f aca="false">I8811*MIN(I8810-I8816+I8815,MAX(0,I8860-Assumptions!$C$12*I8795-I8805))</f>
        <v>276.706</v>
      </c>
      <c r="J8818" s="25" t="n">
        <f aca="false">J8811*MIN(J8810-J8816+J8815,MAX(0,J8860-Assumptions!$C$12*J8795-J8805))</f>
        <v>0</v>
      </c>
      <c r="K8818" s="25" t="n">
        <f aca="false">K8811*MIN(K8810-K8816+K8815,MAX(0,K8860-Assumptions!$C$12*K8795-K8805))</f>
        <v>0</v>
      </c>
    </row>
    <row r="8819" customFormat="false" ht="15" hidden="false" customHeight="false" outlineLevel="0" collapsed="false">
      <c r="A8819" s="3" t="s">
        <v>317</v>
      </c>
      <c r="G8819" s="25" t="n">
        <f aca="false">Assumptions!$N$57*MIN(G8810+G8817+G8815-G8816-G8818,MAX(0,G8864-G8806))</f>
        <v>0</v>
      </c>
      <c r="H8819" s="25" t="n">
        <f aca="false">Assumptions!$N$57*MIN(H8810+H8817+H8815-H8816-H8818,MAX(0,H8864-H8806))</f>
        <v>0</v>
      </c>
      <c r="I8819" s="25" t="n">
        <f aca="false">Assumptions!$N$57*MIN(I8810+I8817+I8815-I8816-I8818,MAX(0,I8864-I8806))</f>
        <v>0</v>
      </c>
      <c r="J8819" s="25" t="n">
        <f aca="false">Assumptions!$N$57*MIN(J8810+J8817+J8815-J8816-J8818,MAX(0,J8864-J8806))</f>
        <v>0</v>
      </c>
      <c r="K8819" s="25" t="n">
        <f aca="false">Assumptions!$N$57*MIN(K8810+K8817+K8815-K8816-K8818,MAX(0,K8864-K8806))</f>
        <v>0</v>
      </c>
    </row>
    <row r="8820" customFormat="false" ht="15" hidden="false" customHeight="false" outlineLevel="0" collapsed="false">
      <c r="A8820" s="3" t="s">
        <v>318</v>
      </c>
      <c r="G8820" s="25" t="n">
        <f aca="false">G8811*(1-G8795)*(G8810-G8816+G8815-G8818)</f>
        <v>0</v>
      </c>
      <c r="H8820" s="25" t="n">
        <f aca="false">H8811*(1-H8795)*(H8810-H8816+H8815-H8818)</f>
        <v>0</v>
      </c>
      <c r="I8820" s="25" t="n">
        <f aca="false">I8811*(1-I8795)*(I8810-I8816+I8815-I8818)</f>
        <v>0</v>
      </c>
      <c r="J8820" s="25" t="n">
        <f aca="false">J8811*(1-J8795)*(J8810-J8816+J8815-J8818)</f>
        <v>0</v>
      </c>
      <c r="K8820" s="25" t="n">
        <f aca="false">K8811*(1-K8795)*(K8810-K8816+K8815-K8818)</f>
        <v>0</v>
      </c>
    </row>
    <row r="8821" customFormat="false" ht="15" hidden="false" customHeight="false" outlineLevel="0" collapsed="false">
      <c r="A8821" s="2" t="s">
        <v>319</v>
      </c>
      <c r="F8821" s="28" t="n">
        <f aca="false">Assumptions!$C$57</f>
        <v>276.706</v>
      </c>
      <c r="G8821" s="16" t="n">
        <f aca="false">G8810+G8817+G8815-G8816-G8818-G8819</f>
        <v>276.706</v>
      </c>
      <c r="H8821" s="16" t="n">
        <f aca="false">H8810+H8817+H8815-H8816-H8818-H8819</f>
        <v>276.706</v>
      </c>
      <c r="I8821" s="16" t="n">
        <f aca="false">I8810+I8817+I8815-I8816-I8818-I8819</f>
        <v>0</v>
      </c>
      <c r="J8821" s="16" t="n">
        <f aca="false">J8810+J8817+J8815-J8816-J8818-J8819</f>
        <v>0</v>
      </c>
      <c r="K8821" s="16" t="n">
        <f aca="false">K8810+K8817+K8815-K8816-K8818-K8819</f>
        <v>0</v>
      </c>
    </row>
    <row r="8822" customFormat="false" ht="15" hidden="false" customHeight="false" outlineLevel="0" collapsed="false">
      <c r="A8822" s="23" t="s">
        <v>321</v>
      </c>
      <c r="B8822" s="24"/>
      <c r="C8822" s="24"/>
      <c r="D8822" s="24"/>
      <c r="E8822" s="24"/>
      <c r="F8822" s="24"/>
      <c r="G8822" s="24"/>
      <c r="H8822" s="24"/>
      <c r="I8822" s="24"/>
      <c r="J8822" s="24"/>
      <c r="K8822" s="24"/>
    </row>
    <row r="8823" customFormat="false" ht="15" hidden="false" customHeight="false" outlineLevel="0" collapsed="false">
      <c r="A8823" s="3" t="s">
        <v>309</v>
      </c>
      <c r="G8823" s="25" t="n">
        <f aca="false">F8834</f>
        <v>143.75</v>
      </c>
      <c r="H8823" s="25" t="n">
        <f aca="false">G8834</f>
        <v>143.75</v>
      </c>
      <c r="I8823" s="25" t="n">
        <f aca="false">H8834</f>
        <v>143.75</v>
      </c>
      <c r="J8823" s="25" t="n">
        <f aca="false">I8834</f>
        <v>0</v>
      </c>
      <c r="K8823" s="25" t="n">
        <f aca="false">J8834</f>
        <v>0</v>
      </c>
    </row>
    <row r="8824" customFormat="false" ht="15" hidden="false" customHeight="false" outlineLevel="0" collapsed="false">
      <c r="A8824" s="3" t="s">
        <v>310</v>
      </c>
      <c r="G8824" s="20" t="n">
        <f aca="false">IF(G8761=Assumptions!$K$58,1,0)</f>
        <v>0</v>
      </c>
      <c r="H8824" s="20" t="n">
        <f aca="false">IF(H8761=Assumptions!$K$58,1,0)</f>
        <v>0</v>
      </c>
      <c r="I8824" s="20" t="n">
        <f aca="false">IF(I8761=Assumptions!$K$58,1,0)</f>
        <v>1</v>
      </c>
      <c r="J8824" s="20" t="n">
        <f aca="false">IF(J8761=Assumptions!$K$58,1,0)</f>
        <v>0</v>
      </c>
      <c r="K8824" s="20" t="n">
        <f aca="false">IF(K8761=Assumptions!$K$58,1,0)</f>
        <v>0</v>
      </c>
    </row>
    <row r="8826" customFormat="false" ht="15" hidden="false" customHeight="false" outlineLevel="0" collapsed="false">
      <c r="A8826" s="3" t="s">
        <v>311</v>
      </c>
      <c r="G8826" s="31" t="n">
        <f aca="false">IF(Assumptions!$I$58=1,MAX(G8787,Assumptions!$G$58)+Assumptions!$F$58+$C$8788,Assumptions!$E$58)</f>
        <v>0.0425</v>
      </c>
      <c r="H8826" s="31" t="n">
        <f aca="false">IF(G8946=1,$C$8789,IF(Assumptions!$I$58=1,MAX(H8787,Assumptions!$G$58)+Assumptions!$F$58+$C$8788,Assumptions!$E$58))</f>
        <v>0.0425</v>
      </c>
      <c r="I8826" s="31" t="n">
        <f aca="false">IF(H8946=1,$C$8789,IF(Assumptions!$I$58=1,MAX(I8787,Assumptions!$G$58)+Assumptions!$F$58+$C$8788,Assumptions!$E$58))</f>
        <v>0.0425</v>
      </c>
      <c r="J8826" s="31" t="n">
        <f aca="false">IF(I8946=1,$C$8789,IF(Assumptions!$I$58=1,MAX(J8787,Assumptions!$G$58)+Assumptions!$F$58+$C$8788,Assumptions!$E$58))</f>
        <v>0.0425</v>
      </c>
      <c r="K8826" s="31" t="n">
        <f aca="false">IF(J8946=1,$C$8789,IF(Assumptions!$I$58=1,MAX(K8787,Assumptions!$G$58)+Assumptions!$F$58+$C$8788,Assumptions!$E$58))</f>
        <v>0.0425</v>
      </c>
    </row>
    <row r="8827" customFormat="false" ht="15" hidden="false" customHeight="false" outlineLevel="0" collapsed="false">
      <c r="A8827" s="3" t="s">
        <v>312</v>
      </c>
      <c r="G8827" s="25" t="n">
        <f aca="false">G8823*G8826</f>
        <v>6.109375</v>
      </c>
      <c r="H8827" s="25" t="n">
        <f aca="false">H8823*H8826</f>
        <v>6.109375</v>
      </c>
      <c r="I8827" s="25" t="n">
        <f aca="false">I8823*I8826</f>
        <v>6.109375</v>
      </c>
      <c r="J8827" s="25" t="n">
        <f aca="false">J8823*J8826</f>
        <v>0</v>
      </c>
      <c r="K8827" s="25" t="n">
        <f aca="false">K8823*K8826</f>
        <v>0</v>
      </c>
    </row>
    <row r="8828" customFormat="false" ht="15" hidden="false" customHeight="false" outlineLevel="0" collapsed="false">
      <c r="A8828" s="3" t="s">
        <v>313</v>
      </c>
      <c r="G8828" s="25" t="n">
        <f aca="false">G8823*Assumptions!$H$58</f>
        <v>0</v>
      </c>
      <c r="H8828" s="25" t="n">
        <f aca="false">H8823*Assumptions!$H$58</f>
        <v>0</v>
      </c>
      <c r="I8828" s="25" t="n">
        <f aca="false">I8823*Assumptions!$H$58</f>
        <v>0</v>
      </c>
      <c r="J8828" s="25" t="n">
        <f aca="false">J8823*Assumptions!$H$58</f>
        <v>0</v>
      </c>
      <c r="K8828" s="25" t="n">
        <f aca="false">K8823*Assumptions!$H$58</f>
        <v>0</v>
      </c>
    </row>
    <row r="8829" customFormat="false" ht="15" hidden="false" customHeight="false" outlineLevel="0" collapsed="false">
      <c r="A8829" s="3" t="s">
        <v>314</v>
      </c>
      <c r="G8829" s="25" t="n">
        <f aca="false">MIN(G8823,Assumptions!$L$58*Assumptions!$C$58)</f>
        <v>0</v>
      </c>
      <c r="H8829" s="25" t="n">
        <f aca="false">MIN(H8823,Assumptions!$L$58*Assumptions!$C$58)</f>
        <v>0</v>
      </c>
      <c r="I8829" s="25" t="n">
        <f aca="false">MIN(I8823,Assumptions!$L$58*Assumptions!$C$58)</f>
        <v>0</v>
      </c>
      <c r="J8829" s="25" t="n">
        <f aca="false">MIN(J8823,Assumptions!$L$58*Assumptions!$C$58)</f>
        <v>0</v>
      </c>
      <c r="K8829" s="25" t="n">
        <f aca="false">MIN(K8823,Assumptions!$L$58*Assumptions!$C$58)</f>
        <v>0</v>
      </c>
    </row>
    <row r="8830" customFormat="false" ht="15" hidden="false" customHeight="false" outlineLevel="0" collapsed="false">
      <c r="A8830" s="3" t="s">
        <v>315</v>
      </c>
      <c r="G8830" s="25" t="n">
        <f aca="false">IF(AND(Assumptions!$P$58=1,G8761&lt;Assumptions!$K$58),MIN(MAX(0,-G8858),MAX(0,Assumptions!$D$58-G8823)),0)</f>
        <v>0</v>
      </c>
      <c r="H8830" s="25" t="n">
        <f aca="false">IF(AND(Assumptions!$P$58=1,OR(H8761&lt;Assumptions!$K$58,G8946=1)),MIN(MAX(0,-H8858),MAX(0,Assumptions!$D$58-H8823)),0)</f>
        <v>0</v>
      </c>
      <c r="I8830" s="25" t="n">
        <f aca="false">IF(AND(Assumptions!$P$58=1,OR(I8761&lt;Assumptions!$K$58,H8946=1)),MIN(MAX(0,-I8858),MAX(0,Assumptions!$D$58-I8823)),0)</f>
        <v>0</v>
      </c>
      <c r="J8830" s="25" t="n">
        <f aca="false">IF(AND(Assumptions!$P$58=1,OR(J8761&lt;Assumptions!$K$58,I8946=1)),MIN(MAX(0,-J8858),MAX(0,Assumptions!$D$58-J8823)),0)</f>
        <v>0</v>
      </c>
      <c r="K8830" s="25" t="n">
        <f aca="false">IF(AND(Assumptions!$P$58=1,OR(K8761&lt;Assumptions!$K$58,J8946=1)),MIN(MAX(0,-K8858),MAX(0,Assumptions!$D$58-K8823)),0)</f>
        <v>0</v>
      </c>
    </row>
    <row r="8831" customFormat="false" ht="15" hidden="false" customHeight="false" outlineLevel="0" collapsed="false">
      <c r="A8831" s="3" t="s">
        <v>316</v>
      </c>
      <c r="G8831" s="25" t="n">
        <f aca="false">G8824*MIN(G8823-G8829+G8828,MAX(0,G8860-Assumptions!$C$12*G8795-G8805-G8818))</f>
        <v>0</v>
      </c>
      <c r="H8831" s="25" t="n">
        <f aca="false">H8824*MIN(H8823-H8829+H8828,MAX(0,H8860-Assumptions!$C$12*H8795-H8805-H8818))</f>
        <v>0</v>
      </c>
      <c r="I8831" s="25" t="n">
        <f aca="false">I8824*MIN(I8823-I8829+I8828,MAX(0,I8860-Assumptions!$C$12*I8795-I8805-I8818))</f>
        <v>143.75</v>
      </c>
      <c r="J8831" s="25" t="n">
        <f aca="false">J8824*MIN(J8823-J8829+J8828,MAX(0,J8860-Assumptions!$C$12*J8795-J8805-J8818))</f>
        <v>0</v>
      </c>
      <c r="K8831" s="25" t="n">
        <f aca="false">K8824*MIN(K8823-K8829+K8828,MAX(0,K8860-Assumptions!$C$12*K8795-K8805-K8818))</f>
        <v>0</v>
      </c>
    </row>
    <row r="8832" customFormat="false" ht="15" hidden="false" customHeight="false" outlineLevel="0" collapsed="false">
      <c r="A8832" s="3" t="s">
        <v>317</v>
      </c>
      <c r="G8832" s="25" t="n">
        <f aca="false">Assumptions!$N$58*MIN(G8823+G8830+G8828-G8829-G8831,MAX(0,G8864-G8806-G8819))</f>
        <v>0</v>
      </c>
      <c r="H8832" s="25" t="n">
        <f aca="false">Assumptions!$N$58*MIN(H8823+H8830+H8828-H8829-H8831,MAX(0,H8864-H8806-H8819))</f>
        <v>0</v>
      </c>
      <c r="I8832" s="25" t="n">
        <f aca="false">Assumptions!$N$58*MIN(I8823+I8830+I8828-I8829-I8831,MAX(0,I8864-I8806-I8819))</f>
        <v>0</v>
      </c>
      <c r="J8832" s="25" t="n">
        <f aca="false">Assumptions!$N$58*MIN(J8823+J8830+J8828-J8829-J8831,MAX(0,J8864-J8806-J8819))</f>
        <v>0</v>
      </c>
      <c r="K8832" s="25" t="n">
        <f aca="false">Assumptions!$N$58*MIN(K8823+K8830+K8828-K8829-K8831,MAX(0,K8864-K8806-K8819))</f>
        <v>0</v>
      </c>
    </row>
    <row r="8833" customFormat="false" ht="15" hidden="false" customHeight="false" outlineLevel="0" collapsed="false">
      <c r="A8833" s="3" t="s">
        <v>318</v>
      </c>
      <c r="G8833" s="25" t="n">
        <f aca="false">G8824*(1-G8795)*(G8823-G8829+G8828-G8831)</f>
        <v>0</v>
      </c>
      <c r="H8833" s="25" t="n">
        <f aca="false">H8824*(1-H8795)*(H8823-H8829+H8828-H8831)</f>
        <v>0</v>
      </c>
      <c r="I8833" s="25" t="n">
        <f aca="false">I8824*(1-I8795)*(I8823-I8829+I8828-I8831)</f>
        <v>0</v>
      </c>
      <c r="J8833" s="25" t="n">
        <f aca="false">J8824*(1-J8795)*(J8823-J8829+J8828-J8831)</f>
        <v>0</v>
      </c>
      <c r="K8833" s="25" t="n">
        <f aca="false">K8824*(1-K8795)*(K8823-K8829+K8828-K8831)</f>
        <v>0</v>
      </c>
    </row>
    <row r="8834" customFormat="false" ht="15" hidden="false" customHeight="false" outlineLevel="0" collapsed="false">
      <c r="A8834" s="2" t="s">
        <v>319</v>
      </c>
      <c r="F8834" s="28" t="n">
        <f aca="false">Assumptions!$C$58</f>
        <v>143.75</v>
      </c>
      <c r="G8834" s="16" t="n">
        <f aca="false">G8823+G8830+G8828-G8829-G8831-G8832</f>
        <v>143.75</v>
      </c>
      <c r="H8834" s="16" t="n">
        <f aca="false">H8823+H8830+H8828-H8829-H8831-H8832</f>
        <v>143.75</v>
      </c>
      <c r="I8834" s="16" t="n">
        <f aca="false">I8823+I8830+I8828-I8829-I8831-I8832</f>
        <v>0</v>
      </c>
      <c r="J8834" s="16" t="n">
        <f aca="false">J8823+J8830+J8828-J8829-J8831-J8832</f>
        <v>0</v>
      </c>
      <c r="K8834" s="16" t="n">
        <f aca="false">K8823+K8830+K8828-K8829-K8831-K8832</f>
        <v>0</v>
      </c>
    </row>
    <row r="8835" customFormat="false" ht="15" hidden="false" customHeight="false" outlineLevel="0" collapsed="false">
      <c r="A8835" s="23" t="s">
        <v>322</v>
      </c>
      <c r="B8835" s="24"/>
      <c r="C8835" s="24"/>
      <c r="D8835" s="24"/>
      <c r="E8835" s="24"/>
      <c r="F8835" s="24"/>
      <c r="G8835" s="24"/>
      <c r="H8835" s="24"/>
      <c r="I8835" s="24"/>
      <c r="J8835" s="24"/>
      <c r="K8835" s="24"/>
    </row>
    <row r="8836" customFormat="false" ht="15" hidden="false" customHeight="false" outlineLevel="0" collapsed="false">
      <c r="A8836" s="2" t="s">
        <v>323</v>
      </c>
      <c r="F8836" s="16" t="n">
        <f aca="false">F8808+F8821+F8834</f>
        <v>1735.554</v>
      </c>
      <c r="G8836" s="16" t="n">
        <f aca="false">G8808+G8821+G8834</f>
        <v>1735.554</v>
      </c>
      <c r="H8836" s="16" t="n">
        <f aca="false">H8808+H8821+H8834</f>
        <v>1735.554</v>
      </c>
      <c r="I8836" s="16" t="n">
        <f aca="false">I8808+I8821+I8834</f>
        <v>1315.098</v>
      </c>
      <c r="J8836" s="16" t="n">
        <f aca="false">J8808+J8821+J8834</f>
        <v>1315.098</v>
      </c>
      <c r="K8836" s="16" t="n">
        <f aca="false">K8808+K8821+K8834</f>
        <v>1315.098</v>
      </c>
    </row>
    <row r="8837" customFormat="false" ht="15" hidden="false" customHeight="false" outlineLevel="0" collapsed="false">
      <c r="A8837" s="3" t="s">
        <v>324</v>
      </c>
      <c r="G8837" s="25" t="n">
        <f aca="false">G8798*Assumptions!$C$56+G8811*Assumptions!$C$57+G8824*Assumptions!$C$58</f>
        <v>0</v>
      </c>
      <c r="H8837" s="25" t="n">
        <f aca="false">H8798*Assumptions!$C$56+H8811*Assumptions!$C$57+H8824*Assumptions!$C$58</f>
        <v>0</v>
      </c>
      <c r="I8837" s="25" t="n">
        <f aca="false">I8798*Assumptions!$C$56+I8811*Assumptions!$C$57+I8824*Assumptions!$C$58</f>
        <v>420.456</v>
      </c>
      <c r="J8837" s="25" t="n">
        <f aca="false">J8798*Assumptions!$C$56+J8811*Assumptions!$C$57+J8824*Assumptions!$C$58</f>
        <v>0</v>
      </c>
      <c r="K8837" s="25" t="n">
        <f aca="false">K8798*Assumptions!$C$56+K8811*Assumptions!$C$57+K8824*Assumptions!$C$58</f>
        <v>0</v>
      </c>
    </row>
    <row r="8838" customFormat="false" ht="15" hidden="false" customHeight="false" outlineLevel="0" collapsed="false">
      <c r="A8838" s="23" t="s">
        <v>325</v>
      </c>
      <c r="B8838" s="24"/>
      <c r="C8838" s="24"/>
      <c r="D8838" s="24"/>
      <c r="E8838" s="24"/>
      <c r="F8838" s="24"/>
      <c r="G8838" s="24"/>
      <c r="H8838" s="24"/>
      <c r="I8838" s="24"/>
      <c r="J8838" s="24"/>
      <c r="K8838" s="24"/>
    </row>
    <row r="8839" customFormat="false" ht="15" hidden="false" customHeight="false" outlineLevel="0" collapsed="false">
      <c r="A8839" s="3" t="s">
        <v>326</v>
      </c>
      <c r="C8839" s="25" t="n">
        <f aca="false">SUMPRODUCT($G$8798:$K$8798,$G$8797:$K$8797-$G$8803:$K$8803+$G$8802:$K$8802)</f>
        <v>0</v>
      </c>
    </row>
    <row r="8840" customFormat="false" ht="15" hidden="false" customHeight="false" outlineLevel="0" collapsed="false">
      <c r="A8840" s="3" t="s">
        <v>327</v>
      </c>
      <c r="C8840" s="25" t="n">
        <f aca="false">SUMPRODUCT($G$8798:$K$8798,$G$8805:$K$8805)</f>
        <v>0</v>
      </c>
    </row>
    <row r="8841" customFormat="false" ht="15" hidden="false" customHeight="false" outlineLevel="0" collapsed="false">
      <c r="A8841" s="3" t="s">
        <v>328</v>
      </c>
      <c r="C8841" s="3" t="str">
        <f aca="false">IF(SUM($G$8798:$K$8798)=0,"n/a (beyond horizon)",IF(SUMPRODUCT($G$8798:$K$8798,$G$8795:$K$8795)&gt;0,"REFINANCING PASS","REFINANCING FAILURE"))</f>
        <v>n/a (beyond horizon)</v>
      </c>
    </row>
    <row r="8842" customFormat="false" ht="15" hidden="false" customHeight="false" outlineLevel="0" collapsed="false">
      <c r="A8842" s="3" t="s">
        <v>329</v>
      </c>
      <c r="C8842" s="3" t="str">
        <f aca="false">IF(SUM($G$8798:$K$8798)=0,"n/a",IF(C8840&gt;=C8839-0.001,"Repaid from cash",IF(SUMPRODUCT($G$8798:$K$8798,$G$8795:$K$8795)&gt;0,IF(C8840&gt;0,"Partly repaid; remainder refinanced","Refinanced"),IF(SUM($G$8807:$K$8807)&gt;0.001,IF(C8840&gt;0,"Partial repayment; PAYMENT DEFAULT","PAYMENT DEFAULT"),"Repaid from cash"))))</f>
        <v>n/a</v>
      </c>
    </row>
    <row r="8843" customFormat="false" ht="15" hidden="false" customHeight="false" outlineLevel="0" collapsed="false">
      <c r="A8843" s="3" t="s">
        <v>330</v>
      </c>
      <c r="C8843" s="25" t="n">
        <f aca="false">SUMPRODUCT($G$8811:$K$8811,$G$8810:$K$8810-$G$8816:$K$8816+$G$8815:$K$8815)</f>
        <v>276.706</v>
      </c>
    </row>
    <row r="8844" customFormat="false" ht="15" hidden="false" customHeight="false" outlineLevel="0" collapsed="false">
      <c r="A8844" s="3" t="s">
        <v>331</v>
      </c>
      <c r="C8844" s="25" t="n">
        <f aca="false">SUMPRODUCT($G$8811:$K$8811,$G$8818:$K$8818)</f>
        <v>276.706</v>
      </c>
    </row>
    <row r="8845" customFormat="false" ht="15" hidden="false" customHeight="false" outlineLevel="0" collapsed="false">
      <c r="A8845" s="3" t="s">
        <v>332</v>
      </c>
      <c r="C8845" s="3" t="str">
        <f aca="false">IF(SUM($G$8811:$K$8811)=0,"n/a (beyond horizon)",IF(SUMPRODUCT($G$8811:$K$8811,$G$8795:$K$8795)&gt;0,"REFINANCING PASS","REFINANCING FAILURE"))</f>
        <v>REFINANCING FAILURE</v>
      </c>
    </row>
    <row r="8846" customFormat="false" ht="15" hidden="false" customHeight="false" outlineLevel="0" collapsed="false">
      <c r="A8846" s="3" t="s">
        <v>333</v>
      </c>
      <c r="C8846" s="3" t="str">
        <f aca="false">IF(SUM($G$8811:$K$8811)=0,"n/a",IF(C8844&gt;=C8843-0.001,"Repaid from cash",IF(SUMPRODUCT($G$8811:$K$8811,$G$8795:$K$8795)&gt;0,IF(C8844&gt;0,"Partly repaid; remainder refinanced","Refinanced"),IF(SUM($G$8820:$K$8820)&gt;0.001,IF(C8844&gt;0,"Partial repayment; PAYMENT DEFAULT","PAYMENT DEFAULT"),"Repaid from cash"))))</f>
        <v>Repaid from cash</v>
      </c>
    </row>
    <row r="8847" customFormat="false" ht="15" hidden="false" customHeight="false" outlineLevel="0" collapsed="false">
      <c r="A8847" s="3" t="s">
        <v>334</v>
      </c>
      <c r="C8847" s="25" t="n">
        <f aca="false">SUMPRODUCT($G$8824:$K$8824,$G$8823:$K$8823-$G$8829:$K$8829+$G$8828:$K$8828)</f>
        <v>143.75</v>
      </c>
    </row>
    <row r="8848" customFormat="false" ht="15" hidden="false" customHeight="false" outlineLevel="0" collapsed="false">
      <c r="A8848" s="3" t="s">
        <v>335</v>
      </c>
      <c r="C8848" s="25" t="n">
        <f aca="false">SUMPRODUCT($G$8824:$K$8824,$G$8831:$K$8831)</f>
        <v>143.75</v>
      </c>
    </row>
    <row r="8849" customFormat="false" ht="15" hidden="false" customHeight="false" outlineLevel="0" collapsed="false">
      <c r="A8849" s="3" t="s">
        <v>336</v>
      </c>
      <c r="C8849" s="3" t="str">
        <f aca="false">IF(SUM($G$8824:$K$8824)=0,"n/a (beyond horizon)",IF(SUMPRODUCT($G$8824:$K$8824,$G$8795:$K$8795)&gt;0,"REFINANCING PASS","REFINANCING FAILURE"))</f>
        <v>REFINANCING FAILURE</v>
      </c>
    </row>
    <row r="8850" customFormat="false" ht="15" hidden="false" customHeight="false" outlineLevel="0" collapsed="false">
      <c r="A8850" s="3" t="s">
        <v>337</v>
      </c>
      <c r="C8850" s="3" t="str">
        <f aca="false">IF(SUM($G$8824:$K$8824)=0,"n/a",IF(C8848&gt;=C8847-0.001,"Repaid from cash",IF(SUMPRODUCT($G$8824:$K$8824,$G$8795:$K$8795)&gt;0,IF(C8848&gt;0,"Partly repaid; remainder refinanced","Refinanced"),IF(SUM($G$8833:$K$8833)&gt;0.001,IF(C8848&gt;0,"Partial repayment; PAYMENT DEFAULT","PAYMENT DEFAULT"),"Repaid from cash"))))</f>
        <v>Repaid from cash</v>
      </c>
    </row>
    <row r="8851" customFormat="false" ht="15" hidden="false" customHeight="false" outlineLevel="0" collapsed="false">
      <c r="A8851" s="3" t="s">
        <v>338</v>
      </c>
      <c r="C8851" s="20" t="n">
        <f aca="false">IF(C8841="REFINANCING FAILURE",1,0)+IF(C8845="REFINANCING FAILURE",1,0)+IF(C8849="REFINANCING FAILURE",1,0)</f>
        <v>2</v>
      </c>
    </row>
    <row r="8853" customFormat="false" ht="15" hidden="false" customHeight="false" outlineLevel="0" collapsed="false">
      <c r="A8853" s="23" t="s">
        <v>340</v>
      </c>
      <c r="B8853" s="24"/>
      <c r="C8853" s="24"/>
      <c r="D8853" s="24"/>
      <c r="E8853" s="24"/>
      <c r="F8853" s="24"/>
      <c r="G8853" s="24"/>
      <c r="H8853" s="24"/>
      <c r="I8853" s="24"/>
      <c r="J8853" s="24"/>
      <c r="K8853" s="24"/>
    </row>
    <row r="8854" customFormat="false" ht="15" hidden="false" customHeight="false" outlineLevel="0" collapsed="false">
      <c r="A8854" s="3" t="s">
        <v>305</v>
      </c>
      <c r="G8854" s="25" t="n">
        <f aca="false">F8866</f>
        <v>463.996</v>
      </c>
      <c r="H8854" s="25" t="n">
        <f aca="false">G8866</f>
        <v>539.94968854</v>
      </c>
      <c r="I8854" s="25" t="n">
        <f aca="false">H8866</f>
        <v>601.0986425032</v>
      </c>
      <c r="J8854" s="25" t="n">
        <f aca="false">I8866</f>
        <v>238.204667027008</v>
      </c>
      <c r="K8854" s="25" t="n">
        <f aca="false">J8866</f>
        <v>311.42727815919</v>
      </c>
    </row>
    <row r="8855" customFormat="false" ht="15" hidden="false" customHeight="false" outlineLevel="0" collapsed="false">
      <c r="A8855" s="3" t="s">
        <v>341</v>
      </c>
      <c r="G8855" s="25" t="n">
        <f aca="false">G8784</f>
        <v>75.95368854</v>
      </c>
      <c r="H8855" s="25" t="n">
        <f aca="false">H8784</f>
        <v>61.1489539632</v>
      </c>
      <c r="I8855" s="25" t="n">
        <f aca="false">I8784</f>
        <v>57.562024523808</v>
      </c>
      <c r="J8855" s="25" t="n">
        <f aca="false">J8784</f>
        <v>73.2226111321824</v>
      </c>
      <c r="K8855" s="25" t="n">
        <f aca="false">K8784</f>
        <v>83.6872232077376</v>
      </c>
    </row>
    <row r="8856" customFormat="false" ht="15" hidden="false" customHeight="false" outlineLevel="0" collapsed="false">
      <c r="A8856" s="3" t="s">
        <v>342</v>
      </c>
      <c r="G8856" s="25" t="n">
        <f aca="false">CHOOSE($C$8754,Assumptions!$G$74,Assumptions!$G$93,Assumptions!$G$112)</f>
        <v>0</v>
      </c>
      <c r="H8856" s="25" t="n">
        <f aca="false">CHOOSE($C$8754,Assumptions!$H$74,Assumptions!$H$93,Assumptions!$H$112)</f>
        <v>0</v>
      </c>
      <c r="I8856" s="25" t="n">
        <f aca="false">CHOOSE($C$8754,Assumptions!$I$74,Assumptions!$I$93,Assumptions!$I$112)</f>
        <v>0</v>
      </c>
      <c r="J8856" s="25" t="n">
        <f aca="false">CHOOSE($C$8754,Assumptions!$J$74,Assumptions!$J$93,Assumptions!$J$112)</f>
        <v>0</v>
      </c>
      <c r="K8856" s="25" t="n">
        <f aca="false">CHOOSE($C$8754,Assumptions!$K$74,Assumptions!$K$93,Assumptions!$K$112)</f>
        <v>0</v>
      </c>
    </row>
    <row r="8857" customFormat="false" ht="15" hidden="false" customHeight="false" outlineLevel="0" collapsed="false">
      <c r="A8857" s="3" t="s">
        <v>343</v>
      </c>
      <c r="G8857" s="25" t="n">
        <f aca="false">G8803+G8816+G8829</f>
        <v>0</v>
      </c>
      <c r="H8857" s="25" t="n">
        <f aca="false">H8803+H8816+H8829</f>
        <v>0</v>
      </c>
      <c r="I8857" s="25" t="n">
        <f aca="false">I8803+I8816+I8829</f>
        <v>0</v>
      </c>
      <c r="J8857" s="25" t="n">
        <f aca="false">J8803+J8816+J8829</f>
        <v>0</v>
      </c>
      <c r="K8857" s="25" t="n">
        <f aca="false">K8803+K8816+K8829</f>
        <v>0</v>
      </c>
    </row>
    <row r="8858" customFormat="false" ht="15" hidden="false" customHeight="false" outlineLevel="0" collapsed="false">
      <c r="A8858" s="2" t="s">
        <v>344</v>
      </c>
      <c r="G8858" s="16" t="n">
        <f aca="false">G8854+G8855+G8856-G8857</f>
        <v>539.94968854</v>
      </c>
      <c r="H8858" s="16" t="n">
        <f aca="false">H8854+H8855+H8856-H8857</f>
        <v>601.0986425032</v>
      </c>
      <c r="I8858" s="16" t="n">
        <f aca="false">I8854+I8855+I8856-I8857</f>
        <v>658.660667027008</v>
      </c>
      <c r="J8858" s="16" t="n">
        <f aca="false">J8854+J8855+J8856-J8857</f>
        <v>311.42727815919</v>
      </c>
      <c r="K8858" s="16" t="n">
        <f aca="false">K8854+K8855+K8856-K8857</f>
        <v>395.114501366928</v>
      </c>
    </row>
    <row r="8859" customFormat="false" ht="15" hidden="false" customHeight="false" outlineLevel="0" collapsed="false">
      <c r="A8859" s="3" t="s">
        <v>345</v>
      </c>
      <c r="G8859" s="25" t="n">
        <f aca="false">G8804+G8817+G8830</f>
        <v>0</v>
      </c>
      <c r="H8859" s="25" t="n">
        <f aca="false">H8804+H8817+H8830</f>
        <v>0</v>
      </c>
      <c r="I8859" s="25" t="n">
        <f aca="false">I8804+I8817+I8830</f>
        <v>0</v>
      </c>
      <c r="J8859" s="25" t="n">
        <f aca="false">J8804+J8817+J8830</f>
        <v>0</v>
      </c>
      <c r="K8859" s="25" t="n">
        <f aca="false">K8804+K8817+K8830</f>
        <v>0</v>
      </c>
    </row>
    <row r="8860" customFormat="false" ht="15" hidden="false" customHeight="false" outlineLevel="0" collapsed="false">
      <c r="A8860" s="2" t="s">
        <v>346</v>
      </c>
      <c r="G8860" s="16" t="n">
        <f aca="false">G8858+G8859</f>
        <v>539.94968854</v>
      </c>
      <c r="H8860" s="16" t="n">
        <f aca="false">H8858+H8859</f>
        <v>601.0986425032</v>
      </c>
      <c r="I8860" s="16" t="n">
        <f aca="false">I8858+I8859</f>
        <v>658.660667027008</v>
      </c>
      <c r="J8860" s="16" t="n">
        <f aca="false">J8858+J8859</f>
        <v>311.42727815919</v>
      </c>
      <c r="K8860" s="16" t="n">
        <f aca="false">K8858+K8859</f>
        <v>395.114501366928</v>
      </c>
    </row>
    <row r="8861" customFormat="false" ht="15" hidden="false" customHeight="false" outlineLevel="0" collapsed="false">
      <c r="A8861" s="3" t="s">
        <v>347</v>
      </c>
      <c r="G8861" s="25" t="n">
        <f aca="false">G8805+G8818+G8831</f>
        <v>0</v>
      </c>
      <c r="H8861" s="25" t="n">
        <f aca="false">H8805+H8818+H8831</f>
        <v>0</v>
      </c>
      <c r="I8861" s="25" t="n">
        <f aca="false">I8805+I8818+I8831</f>
        <v>420.456</v>
      </c>
      <c r="J8861" s="25" t="n">
        <f aca="false">J8805+J8818+J8831</f>
        <v>0</v>
      </c>
      <c r="K8861" s="25" t="n">
        <f aca="false">K8805+K8818+K8831</f>
        <v>0</v>
      </c>
    </row>
    <row r="8862" customFormat="false" ht="15" hidden="false" customHeight="false" outlineLevel="0" collapsed="false">
      <c r="A8862" s="2" t="s">
        <v>348</v>
      </c>
      <c r="G8862" s="16" t="n">
        <f aca="false">G8860-G8861</f>
        <v>539.94968854</v>
      </c>
      <c r="H8862" s="16" t="n">
        <f aca="false">H8860-H8861</f>
        <v>601.0986425032</v>
      </c>
      <c r="I8862" s="16" t="n">
        <f aca="false">I8860-I8861</f>
        <v>238.204667027008</v>
      </c>
      <c r="J8862" s="16" t="n">
        <f aca="false">J8860-J8861</f>
        <v>311.42727815919</v>
      </c>
      <c r="K8862" s="16" t="n">
        <f aca="false">K8860-K8861</f>
        <v>395.114501366928</v>
      </c>
    </row>
    <row r="8863" customFormat="false" ht="15" hidden="false" customHeight="false" outlineLevel="0" collapsed="false">
      <c r="A8863" s="3" t="s">
        <v>349</v>
      </c>
      <c r="G8863" s="25" t="n">
        <f aca="false">MAX(0,-G8862)</f>
        <v>0</v>
      </c>
      <c r="H8863" s="25" t="n">
        <f aca="false">MAX(0,-H8862)</f>
        <v>0</v>
      </c>
      <c r="I8863" s="25" t="n">
        <f aca="false">MAX(0,-I8862)</f>
        <v>0</v>
      </c>
      <c r="J8863" s="25" t="n">
        <f aca="false">MAX(0,-J8862)</f>
        <v>0</v>
      </c>
      <c r="K8863" s="25" t="n">
        <f aca="false">MAX(0,-K8862)</f>
        <v>0</v>
      </c>
    </row>
    <row r="8864" customFormat="false" ht="15" hidden="false" customHeight="false" outlineLevel="0" collapsed="false">
      <c r="A8864" s="3" t="s">
        <v>350</v>
      </c>
      <c r="G8864" s="25" t="n">
        <f aca="false">MAX(0,G8862-Assumptions!$C$12)*Assumptions!$C$13</f>
        <v>0</v>
      </c>
      <c r="H8864" s="25" t="n">
        <f aca="false">MAX(0,H8862-Assumptions!$C$12)*Assumptions!$C$13</f>
        <v>0</v>
      </c>
      <c r="I8864" s="25" t="n">
        <f aca="false">MAX(0,I8862-Assumptions!$C$12)*Assumptions!$C$13</f>
        <v>0</v>
      </c>
      <c r="J8864" s="25" t="n">
        <f aca="false">MAX(0,J8862-Assumptions!$C$12)*Assumptions!$C$13</f>
        <v>0</v>
      </c>
      <c r="K8864" s="25" t="n">
        <f aca="false">MAX(0,K8862-Assumptions!$C$12)*Assumptions!$C$13</f>
        <v>0</v>
      </c>
    </row>
    <row r="8865" customFormat="false" ht="15" hidden="false" customHeight="false" outlineLevel="0" collapsed="false">
      <c r="A8865" s="3" t="s">
        <v>351</v>
      </c>
      <c r="G8865" s="25" t="n">
        <f aca="false">G8806+G8819+G8832</f>
        <v>0</v>
      </c>
      <c r="H8865" s="25" t="n">
        <f aca="false">H8806+H8819+H8832</f>
        <v>0</v>
      </c>
      <c r="I8865" s="25" t="n">
        <f aca="false">I8806+I8819+I8832</f>
        <v>0</v>
      </c>
      <c r="J8865" s="25" t="n">
        <f aca="false">J8806+J8819+J8832</f>
        <v>0</v>
      </c>
      <c r="K8865" s="25" t="n">
        <f aca="false">K8806+K8819+K8832</f>
        <v>0</v>
      </c>
    </row>
    <row r="8866" customFormat="false" ht="15" hidden="false" customHeight="false" outlineLevel="0" collapsed="false">
      <c r="A8866" s="2" t="s">
        <v>352</v>
      </c>
      <c r="F8866" s="28" t="n">
        <f aca="false">Assumptions!$C$11</f>
        <v>463.996</v>
      </c>
      <c r="G8866" s="16" t="n">
        <f aca="false">G8862-G8865</f>
        <v>539.94968854</v>
      </c>
      <c r="H8866" s="16" t="n">
        <f aca="false">H8862-H8865</f>
        <v>601.0986425032</v>
      </c>
      <c r="I8866" s="16" t="n">
        <f aca="false">I8862-I8865</f>
        <v>238.204667027008</v>
      </c>
      <c r="J8866" s="16" t="n">
        <f aca="false">J8862-J8865</f>
        <v>311.42727815919</v>
      </c>
      <c r="K8866" s="16" t="n">
        <f aca="false">K8862-K8865</f>
        <v>395.114501366928</v>
      </c>
    </row>
    <row r="8867" customFormat="false" ht="15" hidden="false" customHeight="false" outlineLevel="0" collapsed="false">
      <c r="A8867" s="3" t="s">
        <v>353</v>
      </c>
      <c r="G8867" s="25" t="n">
        <f aca="false">G8807+G8820+G8833</f>
        <v>0</v>
      </c>
      <c r="H8867" s="25" t="n">
        <f aca="false">H8807+H8820+H8833</f>
        <v>0</v>
      </c>
      <c r="I8867" s="25" t="n">
        <f aca="false">I8807+I8820+I8833</f>
        <v>0</v>
      </c>
      <c r="J8867" s="25" t="n">
        <f aca="false">J8807+J8820+J8833</f>
        <v>0</v>
      </c>
      <c r="K8867" s="25" t="n">
        <f aca="false">K8807+K8820+K8833</f>
        <v>0</v>
      </c>
    </row>
    <row r="8868" customFormat="false" ht="15" hidden="false" customHeight="false" outlineLevel="0" collapsed="false">
      <c r="A8868" s="3" t="s">
        <v>354</v>
      </c>
      <c r="G8868" s="20" t="n">
        <f aca="false">IF(OR(G8863&gt;0.001,G8867&gt;0.001),1,0)</f>
        <v>0</v>
      </c>
      <c r="H8868" s="20" t="n">
        <f aca="false">IF(OR(H8863&gt;0.001,H8867&gt;0.001),1,0)</f>
        <v>0</v>
      </c>
      <c r="I8868" s="20" t="n">
        <f aca="false">IF(OR(I8863&gt;0.001,I8867&gt;0.001),1,0)</f>
        <v>0</v>
      </c>
      <c r="J8868" s="20" t="n">
        <f aca="false">IF(OR(J8863&gt;0.001,J8867&gt;0.001),1,0)</f>
        <v>0</v>
      </c>
      <c r="K8868" s="20" t="n">
        <f aca="false">IF(OR(K8863&gt;0.001,K8867&gt;0.001),1,0)</f>
        <v>0</v>
      </c>
    </row>
    <row r="8869" customFormat="false" ht="15" hidden="false" customHeight="false" outlineLevel="0" collapsed="false">
      <c r="A8869" s="3" t="s">
        <v>355</v>
      </c>
      <c r="G8869" s="20" t="n">
        <f aca="false">IF(G8868=1,1,0)</f>
        <v>0</v>
      </c>
      <c r="H8869" s="20" t="n">
        <f aca="false">IF(AND(H8868=1,SUM($G$8868:G8868)=0),1,0)</f>
        <v>0</v>
      </c>
      <c r="I8869" s="20" t="n">
        <f aca="false">IF(AND(I8868=1,SUM($G$8868:H8868)=0),1,0)</f>
        <v>0</v>
      </c>
      <c r="J8869" s="20" t="n">
        <f aca="false">IF(AND(J8868=1,SUM($G$8868:I8868)=0),1,0)</f>
        <v>0</v>
      </c>
      <c r="K8869" s="20" t="n">
        <f aca="false">IF(AND(K8868=1,SUM($G$8868:J8868)=0),1,0)</f>
        <v>0</v>
      </c>
    </row>
    <row r="8870" customFormat="false" ht="15" hidden="false" customHeight="false" outlineLevel="0" collapsed="false">
      <c r="A8870" s="3" t="s">
        <v>356</v>
      </c>
      <c r="G8870" s="25" t="n">
        <f aca="false">(G8836-F8836)-(G8859+G8776-G8857-G8861-G8865)</f>
        <v>0</v>
      </c>
      <c r="H8870" s="25" t="n">
        <f aca="false">(H8836-G8836)-(H8859+H8776-H8857-H8861-H8865)</f>
        <v>0</v>
      </c>
      <c r="I8870" s="25" t="n">
        <f aca="false">(I8836-H8836)-(I8859+I8776-I8857-I8861-I8865)</f>
        <v>0</v>
      </c>
      <c r="J8870" s="25" t="n">
        <f aca="false">(J8836-I8836)-(J8859+J8776-J8857-J8861-J8865)</f>
        <v>0</v>
      </c>
      <c r="K8870" s="25" t="n">
        <f aca="false">(K8836-J8836)-(K8859+K8776-K8857-K8861-K8865)</f>
        <v>0</v>
      </c>
    </row>
    <row r="8872" customFormat="false" ht="15" hidden="false" customHeight="false" outlineLevel="0" collapsed="false">
      <c r="A8872" s="23" t="s">
        <v>358</v>
      </c>
      <c r="B8872" s="24"/>
      <c r="C8872" s="24"/>
      <c r="D8872" s="24"/>
      <c r="E8872" s="24"/>
      <c r="F8872" s="24"/>
      <c r="G8872" s="24"/>
      <c r="H8872" s="24"/>
      <c r="I8872" s="24"/>
      <c r="J8872" s="24"/>
      <c r="K8872" s="24"/>
    </row>
    <row r="8873" customFormat="false" ht="15" hidden="false" customHeight="false" outlineLevel="0" collapsed="false">
      <c r="A8873" s="3" t="s">
        <v>359</v>
      </c>
      <c r="G8873" s="25" t="n">
        <f aca="false">G8836</f>
        <v>1735.554</v>
      </c>
      <c r="H8873" s="25" t="n">
        <f aca="false">H8836</f>
        <v>1735.554</v>
      </c>
      <c r="I8873" s="25" t="n">
        <f aca="false">I8836</f>
        <v>1315.098</v>
      </c>
      <c r="J8873" s="25" t="n">
        <f aca="false">J8836</f>
        <v>1315.098</v>
      </c>
      <c r="K8873" s="25" t="n">
        <f aca="false">K8836</f>
        <v>1315.098</v>
      </c>
    </row>
    <row r="8874" customFormat="false" ht="15" hidden="false" customHeight="false" outlineLevel="0" collapsed="false">
      <c r="A8874" s="3" t="s">
        <v>360</v>
      </c>
      <c r="G8874" s="25" t="n">
        <f aca="false">Assumptions!$O$56*G8808+Assumptions!$O$57*G8821+Assumptions!$O$58*G8834</f>
        <v>1315.098</v>
      </c>
      <c r="H8874" s="25" t="n">
        <f aca="false">Assumptions!$O$56*H8808+Assumptions!$O$57*H8821+Assumptions!$O$58*H8834</f>
        <v>1315.098</v>
      </c>
      <c r="I8874" s="25" t="n">
        <f aca="false">Assumptions!$O$56*I8808+Assumptions!$O$57*I8821+Assumptions!$O$58*I8834</f>
        <v>1315.098</v>
      </c>
      <c r="J8874" s="25" t="n">
        <f aca="false">Assumptions!$O$56*J8808+Assumptions!$O$57*J8821+Assumptions!$O$58*J8834</f>
        <v>1315.098</v>
      </c>
      <c r="K8874" s="25" t="n">
        <f aca="false">Assumptions!$O$56*K8808+Assumptions!$O$57*K8821+Assumptions!$O$58*K8834</f>
        <v>1315.098</v>
      </c>
    </row>
    <row r="8875" customFormat="false" ht="15" hidden="false" customHeight="false" outlineLevel="0" collapsed="false">
      <c r="A8875" s="3" t="s">
        <v>361</v>
      </c>
      <c r="G8875" s="25" t="n">
        <f aca="false">G8873-G8866</f>
        <v>1195.60431146</v>
      </c>
      <c r="H8875" s="25" t="n">
        <f aca="false">H8873-H8866</f>
        <v>1134.4553574968</v>
      </c>
      <c r="I8875" s="25" t="n">
        <f aca="false">I8873-I8866</f>
        <v>1076.89333297299</v>
      </c>
      <c r="J8875" s="25" t="n">
        <f aca="false">J8873-J8866</f>
        <v>1003.67072184081</v>
      </c>
      <c r="K8875" s="25" t="n">
        <f aca="false">K8873-K8866</f>
        <v>919.983498633072</v>
      </c>
    </row>
    <row r="8876" customFormat="false" ht="15" hidden="false" customHeight="false" outlineLevel="0" collapsed="false">
      <c r="A8876" s="3" t="s">
        <v>362</v>
      </c>
      <c r="G8876" s="32" t="n">
        <f aca="false">IF(G8771&gt;0,G8873/G8771,0)</f>
        <v>6.31269583151826</v>
      </c>
      <c r="H8876" s="32" t="n">
        <f aca="false">IF(H8771&gt;0,H8873/H8771,0)</f>
        <v>6.68599735023999</v>
      </c>
      <c r="I8876" s="32" t="n">
        <f aca="false">IF(I8771&gt;0,I8873/I8771,0)</f>
        <v>5.10336032974662</v>
      </c>
      <c r="J8876" s="32" t="n">
        <f aca="false">IF(J8771&gt;0,J8873/J8771,0)</f>
        <v>5.10336032974662</v>
      </c>
      <c r="K8876" s="32" t="n">
        <f aca="false">IF(K8771&gt;0,K8873/K8771,0)</f>
        <v>4.86034317118725</v>
      </c>
    </row>
    <row r="8877" customFormat="false" ht="15" hidden="false" customHeight="false" outlineLevel="0" collapsed="false">
      <c r="A8877" s="3" t="s">
        <v>363</v>
      </c>
      <c r="G8877" s="32" t="n">
        <f aca="false">IF(G8771&gt;0,G8875/G8771,0)</f>
        <v>4.34874763510603</v>
      </c>
      <c r="H8877" s="32" t="n">
        <f aca="false">IF(H8771&gt;0,H8875/H8771,0)</f>
        <v>4.37034256161962</v>
      </c>
      <c r="I8877" s="32" t="n">
        <f aca="false">IF(I8771&gt;0,I8875/I8771,0)</f>
        <v>4.17898492345284</v>
      </c>
      <c r="J8877" s="32" t="n">
        <f aca="false">IF(J8771&gt;0,J8875/J8771,0)</f>
        <v>3.89483775807624</v>
      </c>
      <c r="K8877" s="32" t="n">
        <f aca="false">IF(K8771&gt;0,K8875/K8771,0)</f>
        <v>3.4000778004272</v>
      </c>
    </row>
    <row r="8878" customFormat="false" ht="15" hidden="false" customHeight="false" outlineLevel="0" collapsed="false">
      <c r="A8878" s="3" t="s">
        <v>364</v>
      </c>
      <c r="G8878" s="32" t="n">
        <f aca="false">IF(G8775&gt;0,G8771/G8775,0)</f>
        <v>1.76288865476103</v>
      </c>
      <c r="H8878" s="32" t="n">
        <f aca="false">IF(H8775&gt;0,H8771/H8775,0)</f>
        <v>1.6644607048702</v>
      </c>
      <c r="I8878" s="32" t="n">
        <f aca="false">IF(I8775&gt;0,I8771/I8775,0)</f>
        <v>1.65235553610751</v>
      </c>
      <c r="J8878" s="32" t="n">
        <f aca="false">IF(J8775&gt;0,J8771/J8775,0)</f>
        <v>1.86618402551293</v>
      </c>
      <c r="K8878" s="32" t="n">
        <f aca="false">IF(K8775&gt;0,K8771/K8775,0)</f>
        <v>1.95949322678857</v>
      </c>
    </row>
    <row r="8879" customFormat="false" ht="15" hidden="false" customHeight="false" outlineLevel="0" collapsed="false">
      <c r="A8879" s="3" t="s">
        <v>365</v>
      </c>
      <c r="G8879" s="32" t="n">
        <f aca="false">IF(G8775&gt;0,G8774/G8775,0)</f>
        <v>1.04572487890231</v>
      </c>
      <c r="H8879" s="32" t="n">
        <f aca="false">IF(H8775&gt;0,H8774/H8775,0)</f>
        <v>0.925782015735726</v>
      </c>
      <c r="I8879" s="32" t="n">
        <f aca="false">IF(I8775&gt;0,I8774/I8775,0)</f>
        <v>0.884129699407655</v>
      </c>
      <c r="J8879" s="32" t="n">
        <f aca="false">IF(J8775&gt;0,J8774/J8775,0)</f>
        <v>0.955161372843697</v>
      </c>
      <c r="K8879" s="32" t="n">
        <f aca="false">IF(K8775&gt;0,K8774/K8775,0)</f>
        <v>1.00291944148588</v>
      </c>
    </row>
    <row r="8880" customFormat="false" ht="15" hidden="false" customHeight="false" outlineLevel="0" collapsed="false">
      <c r="A8880" s="3" t="s">
        <v>198</v>
      </c>
      <c r="G8880" s="21" t="n">
        <f aca="false">IF(G8873&gt;0,G8784/G8873,0)</f>
        <v>0.0437633680888062</v>
      </c>
      <c r="H8880" s="21" t="n">
        <f aca="false">IF(H8873&gt;0,H8784/H8873,0)</f>
        <v>0.0352331036448304</v>
      </c>
      <c r="I8880" s="21" t="n">
        <f aca="false">IF(I8873&gt;0,I8784/I8873,0)</f>
        <v>0.0437701407224465</v>
      </c>
      <c r="J8880" s="21" t="n">
        <f aca="false">IF(J8873&gt;0,J8784/J8873,0)</f>
        <v>0.0556784445966631</v>
      </c>
      <c r="K8880" s="21" t="n">
        <f aca="false">IF(K8873&gt;0,K8784/K8873,0)</f>
        <v>0.0636357314874919</v>
      </c>
    </row>
    <row r="8881" customFormat="false" ht="15" hidden="false" customHeight="false" outlineLevel="0" collapsed="false">
      <c r="A8881" s="3" t="s">
        <v>366</v>
      </c>
      <c r="G8881" s="32" t="n">
        <f aca="false">IF(G8775+G8857&gt;0,(G8771-G8782-G8779)/(G8775+G8857),0)</f>
        <v>1.56047783076967</v>
      </c>
      <c r="H8881" s="32" t="n">
        <f aca="false">IF(H8775+H8857&gt;0,(H8771-H8782-H8779)/(H8775+H8857),0)</f>
        <v>1.46775171247645</v>
      </c>
      <c r="I8881" s="32" t="n">
        <f aca="false">IF(I8775+I8857&gt;0,(I8771-I8782-I8779)/(I8775+I8857),0)</f>
        <v>1.44777818401801</v>
      </c>
      <c r="J8881" s="32" t="n">
        <f aca="false">IF(J8775+J8857&gt;0,(J8771-J8782-J8779)/(J8775+J8857),0)</f>
        <v>1.62358010219625</v>
      </c>
      <c r="K8881" s="32" t="n">
        <f aca="false">IF(K8775+K8857&gt;0,(K8771-K8782-K8779)/(K8775+K8857),0)</f>
        <v>1.70402924693459</v>
      </c>
    </row>
    <row r="8882" customFormat="false" ht="15" hidden="false" customHeight="false" outlineLevel="0" collapsed="false">
      <c r="A8882" s="3" t="s">
        <v>367</v>
      </c>
      <c r="G8882" s="25" t="n">
        <f aca="false">MAX(0,G8866)+Assumptions!$P$56*MAX(0,Assumptions!$D$56-G8808)+Assumptions!$P$57*MAX(0,Assumptions!$D$57-G8821)+Assumptions!$P$58*MAX(0,Assumptions!$D$58-G8834)</f>
        <v>539.94968854</v>
      </c>
      <c r="H8882" s="25" t="n">
        <f aca="false">MAX(0,H8866)+Assumptions!$P$56*MAX(0,Assumptions!$D$56-H8808)+Assumptions!$P$57*MAX(0,Assumptions!$D$57-H8821)+Assumptions!$P$58*MAX(0,Assumptions!$D$58-H8834)</f>
        <v>601.0986425032</v>
      </c>
      <c r="I8882" s="25" t="n">
        <f aca="false">MAX(0,I8866)+Assumptions!$P$56*MAX(0,Assumptions!$D$56-I8808)+Assumptions!$P$57*MAX(0,Assumptions!$D$57-I8821)+Assumptions!$P$58*MAX(0,Assumptions!$D$58-I8834)</f>
        <v>238.204667027008</v>
      </c>
      <c r="J8882" s="25" t="n">
        <f aca="false">MAX(0,J8866)+Assumptions!$P$56*MAX(0,Assumptions!$D$56-J8808)+Assumptions!$P$57*MAX(0,Assumptions!$D$57-J8821)+Assumptions!$P$58*MAX(0,Assumptions!$D$58-J8834)</f>
        <v>311.42727815919</v>
      </c>
      <c r="K8882" s="25" t="n">
        <f aca="false">MAX(0,K8866)+Assumptions!$P$56*MAX(0,Assumptions!$D$56-K8808)+Assumptions!$P$57*MAX(0,Assumptions!$D$57-K8821)+Assumptions!$P$58*MAX(0,Assumptions!$D$58-K8834)</f>
        <v>395.114501366928</v>
      </c>
    </row>
    <row r="8883" customFormat="false" ht="15" hidden="false" customHeight="false" outlineLevel="0" collapsed="false">
      <c r="A8883" s="3" t="s">
        <v>368</v>
      </c>
      <c r="G8883" s="21" t="n">
        <f aca="false">IF(G8873&gt;0,G8873/(G8873+MAX(0,G8771*CHOOSE($C$8754,Assumptions!$C$82,Assumptions!$C$101,Assumptions!$C$120)-G8875)),0)</f>
        <v>0.906482307661408</v>
      </c>
      <c r="H8883" s="21" t="n">
        <f aca="false">IF(H8873&gt;0,H8873/(H8873+MAX(0,H8771*CHOOSE($C$8754,Assumptions!$C$82,Assumptions!$C$101,Assumptions!$C$120)-H8875)),0)</f>
        <v>0.913930132493427</v>
      </c>
      <c r="I8883" s="21" t="n">
        <f aca="false">IF(I8873&gt;0,I8873/(I8873+MAX(0,I8771*CHOOSE($C$8754,Assumptions!$C$82,Assumptions!$C$101,Assumptions!$C$120)-I8875)),0)</f>
        <v>0.861417445681286</v>
      </c>
      <c r="J8883" s="21" t="n">
        <f aca="false">IF(J8873&gt;0,J8873/(J8873+MAX(0,J8771*CHOOSE($C$8754,Assumptions!$C$82,Assumptions!$C$101,Assumptions!$C$120)-J8875)),0)</f>
        <v>0.821992715792539</v>
      </c>
      <c r="K8883" s="21" t="n">
        <f aca="false">IF(K8873&gt;0,K8873/(K8873+MAX(0,K8771*CHOOSE($C$8754,Assumptions!$C$82,Assumptions!$C$101,Assumptions!$C$120)-K8875)),0)</f>
        <v>0.752344198302714</v>
      </c>
    </row>
    <row r="8884" customFormat="false" ht="15" hidden="false" customHeight="false" outlineLevel="0" collapsed="false">
      <c r="A8884" s="3" t="s">
        <v>369</v>
      </c>
      <c r="G8884" s="21" t="n">
        <f aca="false">IF(G8873&gt;0,MAX(0,G8866)/G8873,0)</f>
        <v>0.311110854827911</v>
      </c>
      <c r="H8884" s="21" t="n">
        <f aca="false">IF(H8873&gt;0,MAX(0,H8866)/H8873,0)</f>
        <v>0.346343958472741</v>
      </c>
      <c r="I8884" s="21" t="n">
        <f aca="false">IF(I8873&gt;0,MAX(0,I8866)/I8873,0)</f>
        <v>0.181130734764259</v>
      </c>
      <c r="J8884" s="21" t="n">
        <f aca="false">IF(J8873&gt;0,MAX(0,J8866)/J8873,0)</f>
        <v>0.236809179360922</v>
      </c>
      <c r="K8884" s="21" t="n">
        <f aca="false">IF(K8873&gt;0,MAX(0,K8866)/K8873,0)</f>
        <v>0.300444910848414</v>
      </c>
    </row>
    <row r="8885" customFormat="false" ht="15" hidden="false" customHeight="false" outlineLevel="0" collapsed="false">
      <c r="A8885" s="3" t="s">
        <v>370</v>
      </c>
      <c r="G8885" s="25" t="n">
        <f aca="false">Assumptions!$C$30*(1-CHOOSE($C$8754,Assumptions!$C$85,Assumptions!$C$104,Assumptions!$C$123))</f>
        <v>2086.72535</v>
      </c>
      <c r="H8885" s="25" t="n">
        <f aca="false">Assumptions!$C$30*(1-CHOOSE($C$8754,Assumptions!$C$85,Assumptions!$C$104,Assumptions!$C$123))</f>
        <v>2086.72535</v>
      </c>
      <c r="I8885" s="25" t="n">
        <f aca="false">Assumptions!$C$30*(1-CHOOSE($C$8754,Assumptions!$C$85,Assumptions!$C$104,Assumptions!$C$123))</f>
        <v>2086.72535</v>
      </c>
      <c r="J8885" s="25" t="n">
        <f aca="false">Assumptions!$C$30*(1-CHOOSE($C$8754,Assumptions!$C$85,Assumptions!$C$104,Assumptions!$C$123))</f>
        <v>2086.72535</v>
      </c>
      <c r="K8885" s="25" t="n">
        <f aca="false">Assumptions!$C$30*(1-CHOOSE($C$8754,Assumptions!$C$85,Assumptions!$C$104,Assumptions!$C$123))</f>
        <v>2086.72535</v>
      </c>
    </row>
    <row r="8886" customFormat="false" ht="15" hidden="false" customHeight="false" outlineLevel="0" collapsed="false">
      <c r="A8886" s="23" t="s">
        <v>371</v>
      </c>
      <c r="B8886" s="24"/>
      <c r="C8886" s="24"/>
      <c r="D8886" s="24"/>
      <c r="E8886" s="24"/>
      <c r="F8886" s="24"/>
      <c r="G8886" s="24"/>
      <c r="H8886" s="24"/>
      <c r="I8886" s="24"/>
      <c r="J8886" s="24"/>
      <c r="K8886" s="24"/>
    </row>
    <row r="8887" customFormat="false" ht="15" hidden="false" customHeight="false" outlineLevel="0" collapsed="false">
      <c r="A8887" s="23" t="s">
        <v>372</v>
      </c>
      <c r="B8887" s="24"/>
      <c r="C8887" s="24"/>
      <c r="D8887" s="24"/>
      <c r="E8887" s="24"/>
      <c r="F8887" s="24"/>
      <c r="G8887" s="24"/>
      <c r="H8887" s="24"/>
      <c r="I8887" s="24"/>
      <c r="J8887" s="24"/>
      <c r="K8887" s="24"/>
    </row>
    <row r="8888" customFormat="false" ht="15" hidden="false" customHeight="false" outlineLevel="0" collapsed="false">
      <c r="A8888" s="3" t="s">
        <v>373</v>
      </c>
      <c r="G8888" s="32" t="n">
        <f aca="false">IF(G8771&gt;0,G8875/G8771,99)</f>
        <v>4.34874763510603</v>
      </c>
      <c r="H8888" s="32" t="n">
        <f aca="false">IF(H8771&gt;0,H8875/H8771,99)</f>
        <v>4.37034256161962</v>
      </c>
      <c r="I8888" s="32" t="n">
        <f aca="false">IF(I8771&gt;0,I8875/I8771,99)</f>
        <v>4.17898492345284</v>
      </c>
      <c r="J8888" s="32" t="n">
        <f aca="false">IF(J8771&gt;0,J8875/J8771,99)</f>
        <v>3.89483775807624</v>
      </c>
      <c r="K8888" s="32" t="n">
        <f aca="false">IF(K8771&gt;0,K8875/K8771,99)</f>
        <v>3.4000778004272</v>
      </c>
    </row>
    <row r="8889" customFormat="false" ht="15" hidden="false" customHeight="false" outlineLevel="0" collapsed="false">
      <c r="A8889" s="3" t="s">
        <v>374</v>
      </c>
      <c r="G8889" s="33" t="n">
        <f aca="false">Assumptions!$G$65</f>
        <v>5.25</v>
      </c>
      <c r="H8889" s="33" t="n">
        <f aca="false">Assumptions!$H$65</f>
        <v>5.25</v>
      </c>
      <c r="I8889" s="33" t="n">
        <f aca="false">Assumptions!$I$65</f>
        <v>5</v>
      </c>
      <c r="J8889" s="33" t="n">
        <f aca="false">Assumptions!$J$65</f>
        <v>5</v>
      </c>
      <c r="K8889" s="33" t="n">
        <f aca="false">Assumptions!$K$65</f>
        <v>5</v>
      </c>
    </row>
    <row r="8890" customFormat="false" ht="15" hidden="false" customHeight="false" outlineLevel="0" collapsed="false">
      <c r="A8890" s="3" t="s">
        <v>375</v>
      </c>
      <c r="G8890" s="32" t="n">
        <f aca="false">G8889-G8888</f>
        <v>0.901252364893975</v>
      </c>
      <c r="H8890" s="32" t="n">
        <f aca="false">H8889-H8888</f>
        <v>0.879657438380384</v>
      </c>
      <c r="I8890" s="32" t="n">
        <f aca="false">I8889-I8888</f>
        <v>0.82101507654716</v>
      </c>
      <c r="J8890" s="32" t="n">
        <f aca="false">J8889-J8888</f>
        <v>1.10516224192377</v>
      </c>
      <c r="K8890" s="32" t="n">
        <f aca="false">K8889-K8888</f>
        <v>1.5999221995728</v>
      </c>
    </row>
    <row r="8891" customFormat="false" ht="15" hidden="false" customHeight="false" outlineLevel="0" collapsed="false">
      <c r="A8891" s="3" t="s">
        <v>376</v>
      </c>
      <c r="G8891" s="21" t="n">
        <f aca="false">IF(G8889=0,0,G8890/ABS(G8889))</f>
        <v>0.171667117122662</v>
      </c>
      <c r="H8891" s="21" t="n">
        <f aca="false">IF(H8889=0,0,H8890/ABS(H8889))</f>
        <v>0.16755379778674</v>
      </c>
      <c r="I8891" s="21" t="n">
        <f aca="false">IF(I8889=0,0,I8890/ABS(I8889))</f>
        <v>0.164203015309432</v>
      </c>
      <c r="J8891" s="21" t="n">
        <f aca="false">IF(J8889=0,0,J8890/ABS(J8889))</f>
        <v>0.221032448384753</v>
      </c>
      <c r="K8891" s="21" t="n">
        <f aca="false">IF(K8889=0,0,K8890/ABS(K8889))</f>
        <v>0.31998443991456</v>
      </c>
    </row>
    <row r="8892" customFormat="false" ht="15" hidden="false" customHeight="false" outlineLevel="0" collapsed="false">
      <c r="A8892" s="3" t="s">
        <v>377</v>
      </c>
      <c r="G8892" s="20" t="n">
        <f aca="false">IF(G8890&lt;0,1,0)</f>
        <v>0</v>
      </c>
      <c r="H8892" s="20" t="n">
        <f aca="false">IF(H8890&lt;0,1,0)</f>
        <v>0</v>
      </c>
      <c r="I8892" s="20" t="n">
        <f aca="false">IF(I8890&lt;0,1,0)</f>
        <v>0</v>
      </c>
      <c r="J8892" s="20" t="n">
        <f aca="false">IF(J8890&lt;0,1,0)</f>
        <v>0</v>
      </c>
      <c r="K8892" s="20" t="n">
        <f aca="false">IF(K8890&lt;0,1,0)</f>
        <v>0</v>
      </c>
    </row>
    <row r="8893" customFormat="false" ht="15" hidden="false" customHeight="false" outlineLevel="0" collapsed="false">
      <c r="A8893" s="3" t="s">
        <v>378</v>
      </c>
      <c r="C8893" s="20" t="n">
        <f aca="false">IFERROR(INDEX($G$8761:$K$8761,MATCH(1,$G$8892:$K$8892,0)),0)</f>
        <v>0</v>
      </c>
    </row>
    <row r="8894" customFormat="false" ht="15" hidden="false" customHeight="false" outlineLevel="0" collapsed="false">
      <c r="A8894" s="3" t="s">
        <v>379</v>
      </c>
      <c r="C8894" s="21" t="n">
        <f aca="false">MIN($G$8891:$K$8891)</f>
        <v>0.164203015309432</v>
      </c>
    </row>
    <row r="8895" customFormat="false" ht="15" hidden="false" customHeight="false" outlineLevel="0" collapsed="false">
      <c r="A8895" s="23" t="s">
        <v>380</v>
      </c>
      <c r="B8895" s="24"/>
      <c r="C8895" s="24"/>
      <c r="D8895" s="24"/>
      <c r="E8895" s="24"/>
      <c r="F8895" s="24"/>
      <c r="G8895" s="24"/>
      <c r="H8895" s="24"/>
      <c r="I8895" s="24"/>
      <c r="J8895" s="24"/>
      <c r="K8895" s="24"/>
    </row>
    <row r="8896" customFormat="false" ht="15" hidden="false" customHeight="false" outlineLevel="0" collapsed="false">
      <c r="A8896" s="3" t="s">
        <v>373</v>
      </c>
      <c r="G8896" s="32" t="n">
        <f aca="false">IF(G8775&gt;0,G8771/G8775,99)</f>
        <v>1.76288865476103</v>
      </c>
      <c r="H8896" s="32" t="n">
        <f aca="false">IF(H8775&gt;0,H8771/H8775,99)</f>
        <v>1.6644607048702</v>
      </c>
      <c r="I8896" s="32" t="n">
        <f aca="false">IF(I8775&gt;0,I8771/I8775,99)</f>
        <v>1.65235553610751</v>
      </c>
      <c r="J8896" s="32" t="n">
        <f aca="false">IF(J8775&gt;0,J8771/J8775,99)</f>
        <v>1.86618402551293</v>
      </c>
      <c r="K8896" s="32" t="n">
        <f aca="false">IF(K8775&gt;0,K8771/K8775,99)</f>
        <v>1.95949322678857</v>
      </c>
    </row>
    <row r="8897" customFormat="false" ht="15" hidden="false" customHeight="false" outlineLevel="0" collapsed="false">
      <c r="A8897" s="3" t="s">
        <v>374</v>
      </c>
      <c r="G8897" s="33" t="n">
        <f aca="false">Assumptions!$G$66</f>
        <v>1.4</v>
      </c>
      <c r="H8897" s="33" t="n">
        <f aca="false">Assumptions!$H$66</f>
        <v>1.4</v>
      </c>
      <c r="I8897" s="33" t="n">
        <f aca="false">Assumptions!$I$66</f>
        <v>1.4</v>
      </c>
      <c r="J8897" s="33" t="n">
        <f aca="false">Assumptions!$J$66</f>
        <v>1.5</v>
      </c>
      <c r="K8897" s="33" t="n">
        <f aca="false">Assumptions!$K$66</f>
        <v>1.5</v>
      </c>
    </row>
    <row r="8898" customFormat="false" ht="15" hidden="false" customHeight="false" outlineLevel="0" collapsed="false">
      <c r="A8898" s="3" t="s">
        <v>375</v>
      </c>
      <c r="G8898" s="32" t="n">
        <f aca="false">G8896-G8897</f>
        <v>0.362888654761028</v>
      </c>
      <c r="H8898" s="32" t="n">
        <f aca="false">H8896-H8897</f>
        <v>0.264460704870203</v>
      </c>
      <c r="I8898" s="32" t="n">
        <f aca="false">I8896-I8897</f>
        <v>0.252355536107511</v>
      </c>
      <c r="J8898" s="32" t="n">
        <f aca="false">J8896-J8897</f>
        <v>0.366184025512928</v>
      </c>
      <c r="K8898" s="32" t="n">
        <f aca="false">K8896-K8897</f>
        <v>0.459493226788575</v>
      </c>
    </row>
    <row r="8899" customFormat="false" ht="15" hidden="false" customHeight="false" outlineLevel="0" collapsed="false">
      <c r="A8899" s="3" t="s">
        <v>376</v>
      </c>
      <c r="G8899" s="21" t="n">
        <f aca="false">IF(G8897=0,0,G8898/ABS(G8897))</f>
        <v>0.259206181972163</v>
      </c>
      <c r="H8899" s="21" t="n">
        <f aca="false">IF(H8897=0,0,H8898/ABS(H8897))</f>
        <v>0.188900503478717</v>
      </c>
      <c r="I8899" s="21" t="n">
        <f aca="false">IF(I8897=0,0,I8898/ABS(I8897))</f>
        <v>0.180253954362508</v>
      </c>
      <c r="J8899" s="21" t="n">
        <f aca="false">IF(J8897=0,0,J8898/ABS(J8897))</f>
        <v>0.244122683675285</v>
      </c>
      <c r="K8899" s="21" t="n">
        <f aca="false">IF(K8897=0,0,K8898/ABS(K8897))</f>
        <v>0.30632881785905</v>
      </c>
    </row>
    <row r="8900" customFormat="false" ht="15" hidden="false" customHeight="false" outlineLevel="0" collapsed="false">
      <c r="A8900" s="3" t="s">
        <v>377</v>
      </c>
      <c r="G8900" s="20" t="n">
        <f aca="false">IF(G8898&lt;0,1,0)</f>
        <v>0</v>
      </c>
      <c r="H8900" s="20" t="n">
        <f aca="false">IF(H8898&lt;0,1,0)</f>
        <v>0</v>
      </c>
      <c r="I8900" s="20" t="n">
        <f aca="false">IF(I8898&lt;0,1,0)</f>
        <v>0</v>
      </c>
      <c r="J8900" s="20" t="n">
        <f aca="false">IF(J8898&lt;0,1,0)</f>
        <v>0</v>
      </c>
      <c r="K8900" s="20" t="n">
        <f aca="false">IF(K8898&lt;0,1,0)</f>
        <v>0</v>
      </c>
    </row>
    <row r="8901" customFormat="false" ht="15" hidden="false" customHeight="false" outlineLevel="0" collapsed="false">
      <c r="A8901" s="3" t="s">
        <v>378</v>
      </c>
      <c r="C8901" s="20" t="n">
        <f aca="false">IFERROR(INDEX($G$8761:$K$8761,MATCH(1,$G$8900:$K$8900,0)),0)</f>
        <v>0</v>
      </c>
    </row>
    <row r="8902" customFormat="false" ht="15" hidden="false" customHeight="false" outlineLevel="0" collapsed="false">
      <c r="A8902" s="3" t="s">
        <v>379</v>
      </c>
      <c r="C8902" s="21" t="n">
        <f aca="false">MIN($G$8899:$K$8899)</f>
        <v>0.180253954362508</v>
      </c>
    </row>
    <row r="8903" customFormat="false" ht="15" hidden="false" customHeight="false" outlineLevel="0" collapsed="false">
      <c r="A8903" s="23" t="s">
        <v>381</v>
      </c>
      <c r="B8903" s="24"/>
      <c r="C8903" s="24"/>
      <c r="D8903" s="24"/>
      <c r="E8903" s="24"/>
      <c r="F8903" s="24"/>
      <c r="G8903" s="24"/>
      <c r="H8903" s="24"/>
      <c r="I8903" s="24"/>
      <c r="J8903" s="24"/>
      <c r="K8903" s="24"/>
    </row>
    <row r="8904" customFormat="false" ht="15" hidden="false" customHeight="false" outlineLevel="0" collapsed="false">
      <c r="A8904" s="3" t="s">
        <v>373</v>
      </c>
      <c r="G8904" s="25" t="n">
        <f aca="false">G8882</f>
        <v>539.94968854</v>
      </c>
      <c r="H8904" s="25" t="n">
        <f aca="false">H8882</f>
        <v>601.0986425032</v>
      </c>
      <c r="I8904" s="25" t="n">
        <f aca="false">I8882</f>
        <v>238.204667027008</v>
      </c>
      <c r="J8904" s="25" t="n">
        <f aca="false">J8882</f>
        <v>311.42727815919</v>
      </c>
      <c r="K8904" s="25" t="n">
        <f aca="false">K8882</f>
        <v>395.114501366928</v>
      </c>
    </row>
    <row r="8905" customFormat="false" ht="15" hidden="false" customHeight="false" outlineLevel="0" collapsed="false">
      <c r="A8905" s="3" t="s">
        <v>374</v>
      </c>
      <c r="G8905" s="29" t="n">
        <f aca="false">Assumptions!$G$67</f>
        <v>200</v>
      </c>
      <c r="H8905" s="29" t="n">
        <f aca="false">Assumptions!$H$67</f>
        <v>200</v>
      </c>
      <c r="I8905" s="29" t="n">
        <f aca="false">Assumptions!$I$67</f>
        <v>200</v>
      </c>
      <c r="J8905" s="29" t="n">
        <f aca="false">Assumptions!$J$67</f>
        <v>200</v>
      </c>
      <c r="K8905" s="29" t="n">
        <f aca="false">Assumptions!$K$67</f>
        <v>200</v>
      </c>
    </row>
    <row r="8906" customFormat="false" ht="15" hidden="false" customHeight="false" outlineLevel="0" collapsed="false">
      <c r="A8906" s="3" t="s">
        <v>375</v>
      </c>
      <c r="G8906" s="25" t="n">
        <f aca="false">G8904-G8905</f>
        <v>339.94968854</v>
      </c>
      <c r="H8906" s="25" t="n">
        <f aca="false">H8904-H8905</f>
        <v>401.0986425032</v>
      </c>
      <c r="I8906" s="25" t="n">
        <f aca="false">I8904-I8905</f>
        <v>38.2046670270078</v>
      </c>
      <c r="J8906" s="25" t="n">
        <f aca="false">J8904-J8905</f>
        <v>111.42727815919</v>
      </c>
      <c r="K8906" s="25" t="n">
        <f aca="false">K8904-K8905</f>
        <v>195.114501366928</v>
      </c>
    </row>
    <row r="8907" customFormat="false" ht="15" hidden="false" customHeight="false" outlineLevel="0" collapsed="false">
      <c r="A8907" s="3" t="s">
        <v>376</v>
      </c>
      <c r="G8907" s="21" t="n">
        <f aca="false">IF(G8905=0,0,G8906/ABS(G8905))</f>
        <v>1.6997484427</v>
      </c>
      <c r="H8907" s="21" t="n">
        <f aca="false">IF(H8905=0,0,H8906/ABS(H8905))</f>
        <v>2.005493212516</v>
      </c>
      <c r="I8907" s="21" t="n">
        <f aca="false">IF(I8905=0,0,I8906/ABS(I8905))</f>
        <v>0.191023335135039</v>
      </c>
      <c r="J8907" s="21" t="n">
        <f aca="false">IF(J8905=0,0,J8906/ABS(J8905))</f>
        <v>0.557136390795951</v>
      </c>
      <c r="K8907" s="21" t="n">
        <f aca="false">IF(K8905=0,0,K8906/ABS(K8905))</f>
        <v>0.975572506834639</v>
      </c>
    </row>
    <row r="8908" customFormat="false" ht="15" hidden="false" customHeight="false" outlineLevel="0" collapsed="false">
      <c r="A8908" s="3" t="s">
        <v>377</v>
      </c>
      <c r="G8908" s="20" t="n">
        <f aca="false">IF(G8906&lt;0,1,0)</f>
        <v>0</v>
      </c>
      <c r="H8908" s="20" t="n">
        <f aca="false">IF(H8906&lt;0,1,0)</f>
        <v>0</v>
      </c>
      <c r="I8908" s="20" t="n">
        <f aca="false">IF(I8906&lt;0,1,0)</f>
        <v>0</v>
      </c>
      <c r="J8908" s="20" t="n">
        <f aca="false">IF(J8906&lt;0,1,0)</f>
        <v>0</v>
      </c>
      <c r="K8908" s="20" t="n">
        <f aca="false">IF(K8906&lt;0,1,0)</f>
        <v>0</v>
      </c>
    </row>
    <row r="8909" customFormat="false" ht="15" hidden="false" customHeight="false" outlineLevel="0" collapsed="false">
      <c r="A8909" s="3" t="s">
        <v>378</v>
      </c>
      <c r="C8909" s="20" t="n">
        <f aca="false">IFERROR(INDEX($G$8761:$K$8761,MATCH(1,$G$8908:$K$8908,0)),0)</f>
        <v>0</v>
      </c>
    </row>
    <row r="8910" customFormat="false" ht="15" hidden="false" customHeight="false" outlineLevel="0" collapsed="false">
      <c r="A8910" s="3" t="s">
        <v>379</v>
      </c>
      <c r="C8910" s="21" t="n">
        <f aca="false">MIN($G$8907:$K$8907)</f>
        <v>0.191023335135039</v>
      </c>
    </row>
    <row r="8911" customFormat="false" ht="15" hidden="false" customHeight="false" outlineLevel="0" collapsed="false">
      <c r="A8911" s="3" t="s">
        <v>382</v>
      </c>
      <c r="G8911" s="20" t="n">
        <f aca="false">G8892+G8900+G8908</f>
        <v>0</v>
      </c>
      <c r="H8911" s="20" t="n">
        <f aca="false">H8892+H8900+H8908</f>
        <v>0</v>
      </c>
      <c r="I8911" s="20" t="n">
        <f aca="false">I8892+I8900+I8908</f>
        <v>0</v>
      </c>
      <c r="J8911" s="20" t="n">
        <f aca="false">J8892+J8900+J8908</f>
        <v>0</v>
      </c>
      <c r="K8911" s="20" t="n">
        <f aca="false">K8892+K8900+K8908</f>
        <v>0</v>
      </c>
    </row>
    <row r="8912" customFormat="false" ht="15" hidden="false" customHeight="false" outlineLevel="0" collapsed="false">
      <c r="A8912" s="3" t="s">
        <v>383</v>
      </c>
      <c r="C8912" s="20" t="n">
        <f aca="false">SUM($G$8911:$K$8911)</f>
        <v>0</v>
      </c>
    </row>
    <row r="8913" customFormat="false" ht="15" hidden="false" customHeight="false" outlineLevel="0" collapsed="false">
      <c r="A8913" s="3" t="s">
        <v>384</v>
      </c>
      <c r="C8913" s="21" t="n">
        <f aca="false">MIN(C8894,C8902,C8910)</f>
        <v>0.164203015309432</v>
      </c>
    </row>
    <row r="8915" customFormat="false" ht="15" hidden="false" customHeight="false" outlineLevel="0" collapsed="false">
      <c r="A8915" s="23" t="s">
        <v>486</v>
      </c>
      <c r="B8915" s="24"/>
      <c r="C8915" s="24"/>
      <c r="D8915" s="24"/>
      <c r="E8915" s="24"/>
      <c r="F8915" s="24"/>
      <c r="G8915" s="24"/>
      <c r="H8915" s="24"/>
      <c r="I8915" s="24"/>
      <c r="J8915" s="24"/>
      <c r="K8915" s="24"/>
    </row>
    <row r="8916" customFormat="false" ht="15" hidden="false" customHeight="false" outlineLevel="0" collapsed="false">
      <c r="A8916" s="3" t="s">
        <v>487</v>
      </c>
      <c r="G8916" s="20" t="n">
        <f aca="false">IF($C$8917=1,G8869,IF(G8771=MIN($G$8771:$K$8771),1,0))</f>
        <v>0</v>
      </c>
      <c r="H8916" s="20" t="n">
        <f aca="false">IF($C$8917=1,H8869,IF(AND(H8771=MIN($G$8771:$K$8771),SUM($G$8916:G8916)=0),1,0))</f>
        <v>0</v>
      </c>
      <c r="I8916" s="20" t="n">
        <f aca="false">IF($C$8917=1,I8869,IF(AND(I8771=MIN($G$8771:$K$8771),SUM($G$8916:H8916)=0),1,0))</f>
        <v>1</v>
      </c>
      <c r="J8916" s="20" t="n">
        <f aca="false">IF($C$8917=1,J8869,IF(AND(J8771=MIN($G$8771:$K$8771),SUM($G$8916:I8916)=0),1,0))</f>
        <v>0</v>
      </c>
      <c r="K8916" s="20" t="n">
        <f aca="false">IF($C$8917=1,K8869,IF(AND(K8771=MIN($G$8771:$K$8771),SUM($G$8916:J8916)=0),1,0))</f>
        <v>0</v>
      </c>
    </row>
    <row r="8917" customFormat="false" ht="15" hidden="false" customHeight="false" outlineLevel="0" collapsed="false">
      <c r="A8917" s="3" t="s">
        <v>488</v>
      </c>
      <c r="C8917" s="20" t="n">
        <f aca="false">IF(SUM($G$8869:$K$8869)&gt;0,1,0)</f>
        <v>0</v>
      </c>
    </row>
    <row r="8918" customFormat="false" ht="15" hidden="false" customHeight="false" outlineLevel="0" collapsed="false">
      <c r="A8918" s="3" t="s">
        <v>489</v>
      </c>
      <c r="C8918" s="20" t="n">
        <f aca="false">SUMPRODUCT($G$8916:$K$8916,$G$8761:$K$8761)</f>
        <v>2029</v>
      </c>
    </row>
    <row r="8919" customFormat="false" ht="15" hidden="false" customHeight="false" outlineLevel="0" collapsed="false">
      <c r="A8919" s="3" t="s">
        <v>490</v>
      </c>
      <c r="C8919" s="25" t="n">
        <f aca="false">SUMPRODUCT($G$8916:$K$8916,$G$8771:$K$8771)</f>
        <v>257.69256235632</v>
      </c>
    </row>
    <row r="8920" customFormat="false" ht="15" hidden="false" customHeight="false" outlineLevel="0" collapsed="false">
      <c r="A8920" s="3" t="s">
        <v>491</v>
      </c>
      <c r="C8920" s="25" t="n">
        <f aca="false">MAX(0,SUMPRODUCT($G$8916:$K$8916,$G$8866:$K$8866))</f>
        <v>238.204667027008</v>
      </c>
    </row>
    <row r="8921" customFormat="false" ht="15" hidden="false" customHeight="false" outlineLevel="0" collapsed="false">
      <c r="A8921" s="3" t="s">
        <v>492</v>
      </c>
      <c r="C8921" s="25" t="n">
        <f aca="false">(CHOOSE($C$8754,Assumptions!$C$84,Assumptions!$C$103,Assumptions!$C$122)+$C$8758)*C8919</f>
        <v>1159.61653060344</v>
      </c>
    </row>
    <row r="8922" customFormat="false" ht="15" hidden="false" customHeight="false" outlineLevel="0" collapsed="false">
      <c r="A8922" s="3" t="s">
        <v>493</v>
      </c>
      <c r="C8922" s="25" t="n">
        <f aca="false">Assumptions!$C$30*(1-CHOOSE($C$8754,Assumptions!$C$85,Assumptions!$C$104,Assumptions!$C$123))*CHOOSE($C$8754,Assumptions!$C$86,Assumptions!$C$105,Assumptions!$C$124)</f>
        <v>626.017605</v>
      </c>
    </row>
    <row r="8923" customFormat="false" ht="15" hidden="false" customHeight="false" outlineLevel="0" collapsed="false">
      <c r="A8923" s="3" t="s">
        <v>494</v>
      </c>
      <c r="C8923" s="25" t="n">
        <f aca="false">MAX(C8921,C8922)+C8920</f>
        <v>1397.82119763045</v>
      </c>
    </row>
    <row r="8924" customFormat="false" ht="15" hidden="false" customHeight="false" outlineLevel="0" collapsed="false">
      <c r="A8924" s="2" t="s">
        <v>495</v>
      </c>
      <c r="C8924" s="16" t="n">
        <f aca="false">IF(ISNUMBER(Assumptions!$C$14),Assumptions!$C$14,C8923)</f>
        <v>1397.82119763045</v>
      </c>
    </row>
    <row r="8925" customFormat="false" ht="15" hidden="false" customHeight="false" outlineLevel="0" collapsed="false">
      <c r="A8925" s="3" t="s">
        <v>496</v>
      </c>
      <c r="C8925" s="25" t="n">
        <f aca="false">C8924*Assumptions!$C$15</f>
        <v>55.9128479052179</v>
      </c>
    </row>
    <row r="8926" customFormat="false" ht="15" hidden="false" customHeight="false" outlineLevel="0" collapsed="false">
      <c r="A8926" s="2" t="s">
        <v>497</v>
      </c>
      <c r="C8926" s="16" t="n">
        <f aca="false">C8924-C8925</f>
        <v>1341.90834972523</v>
      </c>
    </row>
    <row r="8927" customFormat="false" ht="15" hidden="false" customHeight="false" outlineLevel="0" collapsed="false">
      <c r="A8927" s="23" t="s">
        <v>498</v>
      </c>
      <c r="B8927" s="24"/>
      <c r="C8927" s="24"/>
      <c r="D8927" s="24"/>
      <c r="E8927" s="24"/>
      <c r="F8927" s="24"/>
      <c r="G8927" s="24"/>
      <c r="H8927" s="24"/>
      <c r="I8927" s="24"/>
      <c r="J8927" s="24"/>
      <c r="K8927" s="24"/>
    </row>
    <row r="8928" customFormat="false" ht="15" hidden="false" customHeight="false" outlineLevel="0" collapsed="false">
      <c r="A8928" s="3" t="s">
        <v>499</v>
      </c>
      <c r="C8928" s="25" t="n">
        <f aca="false">SUMPRODUCT($G$8916:$K$8916,$G$8808:$K$8808)*(1+SUMPRODUCT($G$8916:$K$8916,$G$8800:$K$8800)*Assumptions!$C$16/12)</f>
        <v>1349.6193225</v>
      </c>
    </row>
    <row r="8929" customFormat="false" ht="15" hidden="false" customHeight="false" outlineLevel="0" collapsed="false">
      <c r="A8929" s="3" t="s">
        <v>500</v>
      </c>
      <c r="C8929" s="25" t="n">
        <f aca="false">SUMPRODUCT($G$8916:$K$8916,$G$8821:$K$8821)*(1+SUMPRODUCT($G$8916:$K$8916,$G$8813:$K$8813)*Assumptions!$C$16/12)</f>
        <v>0</v>
      </c>
    </row>
    <row r="8930" customFormat="false" ht="15" hidden="false" customHeight="false" outlineLevel="0" collapsed="false">
      <c r="A8930" s="3" t="s">
        <v>501</v>
      </c>
      <c r="C8930" s="25" t="n">
        <f aca="false">SUMPRODUCT($G$8916:$K$8916,$G$8834:$K$8834)*(1+SUMPRODUCT($G$8916:$K$8916,$G$8826:$K$8826)*Assumptions!$C$16/12)</f>
        <v>0</v>
      </c>
    </row>
    <row r="8931" customFormat="false" ht="15" hidden="false" customHeight="false" outlineLevel="0" collapsed="false">
      <c r="A8931" s="23" t="s">
        <v>502</v>
      </c>
      <c r="B8931" s="24"/>
      <c r="C8931" s="24"/>
      <c r="D8931" s="24"/>
      <c r="E8931" s="24"/>
      <c r="F8931" s="24"/>
      <c r="G8931" s="24"/>
      <c r="H8931" s="24"/>
      <c r="I8931" s="24"/>
      <c r="J8931" s="24"/>
      <c r="K8931" s="24"/>
    </row>
    <row r="8932" customFormat="false" ht="15" hidden="false" customHeight="false" outlineLevel="0" collapsed="false">
      <c r="A8932" s="3" t="s">
        <v>499</v>
      </c>
      <c r="C8932" s="27" t="n">
        <f aca="false">Assumptions!$M$56</f>
        <v>1</v>
      </c>
    </row>
    <row r="8933" customFormat="false" ht="15" hidden="false" customHeight="false" outlineLevel="0" collapsed="false">
      <c r="A8933" s="3" t="s">
        <v>500</v>
      </c>
      <c r="C8933" s="27" t="n">
        <f aca="false">Assumptions!$M$57</f>
        <v>2</v>
      </c>
    </row>
    <row r="8934" customFormat="false" ht="15" hidden="false" customHeight="false" outlineLevel="0" collapsed="false">
      <c r="A8934" s="3" t="s">
        <v>501</v>
      </c>
      <c r="C8934" s="27" t="n">
        <f aca="false">Assumptions!$M$58</f>
        <v>2</v>
      </c>
    </row>
    <row r="8935" customFormat="false" ht="15" hidden="false" customHeight="false" outlineLevel="0" collapsed="false">
      <c r="A8935" s="23" t="s">
        <v>503</v>
      </c>
      <c r="B8935" s="24"/>
      <c r="C8935" s="24"/>
      <c r="D8935" s="24"/>
      <c r="E8935" s="24"/>
      <c r="F8935" s="24"/>
      <c r="G8935" s="24"/>
      <c r="H8935" s="24"/>
      <c r="I8935" s="24"/>
      <c r="J8935" s="24"/>
      <c r="K8935" s="24"/>
    </row>
    <row r="8936" customFormat="false" ht="15" hidden="false" customHeight="false" outlineLevel="0" collapsed="false">
      <c r="A8936" s="3" t="s">
        <v>499</v>
      </c>
      <c r="C8936" s="35" t="n">
        <f aca="false">Assumptions!$Q$56</f>
        <v>0</v>
      </c>
    </row>
    <row r="8937" customFormat="false" ht="15" hidden="false" customHeight="false" outlineLevel="0" collapsed="false">
      <c r="A8937" s="3" t="s">
        <v>500</v>
      </c>
      <c r="C8937" s="35" t="n">
        <f aca="false">Assumptions!$Q$57</f>
        <v>0</v>
      </c>
    </row>
    <row r="8938" customFormat="false" ht="15" hidden="false" customHeight="false" outlineLevel="0" collapsed="false">
      <c r="A8938" s="3" t="s">
        <v>501</v>
      </c>
      <c r="C8938" s="35" t="n">
        <f aca="false">Assumptions!$Q$58</f>
        <v>0</v>
      </c>
    </row>
    <row r="8939" customFormat="false" ht="15" hidden="false" customHeight="false" outlineLevel="0" collapsed="false">
      <c r="A8939" s="23" t="s">
        <v>504</v>
      </c>
      <c r="B8939" s="24"/>
      <c r="C8939" s="24"/>
      <c r="D8939" s="24"/>
      <c r="E8939" s="24"/>
      <c r="F8939" s="24"/>
      <c r="G8939" s="24"/>
      <c r="H8939" s="24"/>
      <c r="I8939" s="24"/>
      <c r="J8939" s="24"/>
      <c r="K8939" s="24"/>
    </row>
    <row r="8940" customFormat="false" ht="15" hidden="false" customHeight="false" outlineLevel="0" collapsed="false">
      <c r="A8940" s="3" t="s">
        <v>499</v>
      </c>
      <c r="C8940" s="25" t="n">
        <f aca="false">IF(C8936&gt;0,MIN(C8928,C8936*$C$8926),0)</f>
        <v>0</v>
      </c>
    </row>
    <row r="8941" customFormat="false" ht="15" hidden="false" customHeight="false" outlineLevel="0" collapsed="false">
      <c r="A8941" s="3" t="s">
        <v>500</v>
      </c>
      <c r="C8941" s="25" t="n">
        <f aca="false">IF(C8937&gt;0,MIN(C8929,C8937*$C$8926),0)</f>
        <v>0</v>
      </c>
    </row>
    <row r="8942" customFormat="false" ht="15" hidden="false" customHeight="false" outlineLevel="0" collapsed="false">
      <c r="A8942" s="3" t="s">
        <v>501</v>
      </c>
      <c r="C8942" s="25" t="n">
        <f aca="false">IF(C8938&gt;0,MIN(C8930,C8938*$C$8926),0)</f>
        <v>0</v>
      </c>
    </row>
    <row r="8943" customFormat="false" ht="15" hidden="false" customHeight="false" outlineLevel="0" collapsed="false">
      <c r="A8943" s="23" t="s">
        <v>505</v>
      </c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</row>
    <row r="8944" customFormat="false" ht="15" hidden="false" customHeight="false" outlineLevel="0" collapsed="false">
      <c r="A8944" s="3" t="s">
        <v>499</v>
      </c>
      <c r="C8944" s="25" t="n">
        <f aca="false">IF(C8936&gt;0,C8928-C8940,0)</f>
        <v>0</v>
      </c>
      <c r="G8944" s="20" t="n">
        <f aca="false">IF(AND(G8798=1,G8795=1),1,0)</f>
        <v>0</v>
      </c>
      <c r="H8944" s="20" t="n">
        <f aca="false">IF(G8944=1,1,IF(AND(H8798=1,H8795=1),1,0))</f>
        <v>0</v>
      </c>
      <c r="I8944" s="20" t="n">
        <f aca="false">IF(H8944=1,1,IF(AND(I8798=1,I8795=1),1,0))</f>
        <v>0</v>
      </c>
      <c r="J8944" s="20" t="n">
        <f aca="false">IF(I8944=1,1,IF(AND(J8798=1,J8795=1),1,0))</f>
        <v>0</v>
      </c>
      <c r="K8944" s="20" t="n">
        <f aca="false">IF(J8944=1,1,IF(AND(K8798=1,K8795=1),1,0))</f>
        <v>0</v>
      </c>
    </row>
    <row r="8945" customFormat="false" ht="15" hidden="false" customHeight="false" outlineLevel="0" collapsed="false">
      <c r="A8945" s="3" t="s">
        <v>500</v>
      </c>
      <c r="C8945" s="25" t="n">
        <f aca="false">IF(C8937&gt;0,C8929-C8941,0)</f>
        <v>0</v>
      </c>
      <c r="G8945" s="20" t="n">
        <f aca="false">IF(AND(G8811=1,G8795=1),1,0)</f>
        <v>0</v>
      </c>
      <c r="H8945" s="20" t="n">
        <f aca="false">IF(G8945=1,1,IF(AND(H8811=1,H8795=1),1,0))</f>
        <v>0</v>
      </c>
      <c r="I8945" s="20" t="n">
        <f aca="false">IF(H8945=1,1,IF(AND(I8811=1,I8795=1),1,0))</f>
        <v>0</v>
      </c>
      <c r="J8945" s="20" t="n">
        <f aca="false">IF(I8945=1,1,IF(AND(J8811=1,J8795=1),1,0))</f>
        <v>0</v>
      </c>
      <c r="K8945" s="20" t="n">
        <f aca="false">IF(J8945=1,1,IF(AND(K8811=1,K8795=1),1,0))</f>
        <v>0</v>
      </c>
    </row>
    <row r="8946" customFormat="false" ht="15" hidden="false" customHeight="false" outlineLevel="0" collapsed="false">
      <c r="A8946" s="3" t="s">
        <v>501</v>
      </c>
      <c r="C8946" s="25" t="n">
        <f aca="false">IF(C8938&gt;0,C8930-C8942,0)</f>
        <v>0</v>
      </c>
      <c r="G8946" s="20" t="n">
        <f aca="false">IF(AND(G8824=1,G8795=1),1,0)</f>
        <v>0</v>
      </c>
      <c r="H8946" s="20" t="n">
        <f aca="false">IF(G8946=1,1,IF(AND(H8824=1,H8795=1),1,0))</f>
        <v>0</v>
      </c>
      <c r="I8946" s="20" t="n">
        <f aca="false">IF(H8946=1,1,IF(AND(I8824=1,I8795=1),1,0))</f>
        <v>0</v>
      </c>
      <c r="J8946" s="20" t="n">
        <f aca="false">IF(I8946=1,1,IF(AND(J8824=1,J8795=1),1,0))</f>
        <v>0</v>
      </c>
      <c r="K8946" s="20" t="n">
        <f aca="false">IF(J8946=1,1,IF(AND(K8824=1,K8795=1),1,0))</f>
        <v>0</v>
      </c>
    </row>
    <row r="8947" customFormat="false" ht="15" hidden="false" customHeight="false" outlineLevel="0" collapsed="false">
      <c r="A8947" s="23" t="s">
        <v>506</v>
      </c>
      <c r="B8947" s="24"/>
      <c r="C8947" s="24"/>
      <c r="D8947" s="24"/>
      <c r="E8947" s="24"/>
      <c r="F8947" s="24"/>
      <c r="G8947" s="24"/>
      <c r="H8947" s="24"/>
      <c r="I8947" s="24"/>
      <c r="J8947" s="24"/>
      <c r="K8947" s="24"/>
    </row>
    <row r="8948" customFormat="false" ht="15" hidden="false" customHeight="false" outlineLevel="0" collapsed="false">
      <c r="A8948" s="3" t="s">
        <v>499</v>
      </c>
      <c r="C8948" s="25" t="n">
        <f aca="false">IF(C8936&gt;0,C8944,C8928)</f>
        <v>1349.6193225</v>
      </c>
    </row>
    <row r="8949" customFormat="false" ht="15" hidden="false" customHeight="false" outlineLevel="0" collapsed="false">
      <c r="A8949" s="3" t="s">
        <v>500</v>
      </c>
      <c r="C8949" s="25" t="n">
        <f aca="false">IF(C8937&gt;0,C8945,C8929)</f>
        <v>0</v>
      </c>
    </row>
    <row r="8950" customFormat="false" ht="15" hidden="false" customHeight="false" outlineLevel="0" collapsed="false">
      <c r="A8950" s="3" t="s">
        <v>501</v>
      </c>
      <c r="C8950" s="25" t="n">
        <f aca="false">IF(C8938&gt;0,C8946,C8930)</f>
        <v>0</v>
      </c>
    </row>
    <row r="8951" customFormat="false" ht="15" hidden="false" customHeight="false" outlineLevel="0" collapsed="false">
      <c r="A8951" s="23" t="s">
        <v>507</v>
      </c>
      <c r="B8951" s="24"/>
      <c r="C8951" s="24"/>
      <c r="D8951" s="24"/>
      <c r="E8951" s="24"/>
      <c r="F8951" s="24"/>
      <c r="G8951" s="24"/>
      <c r="H8951" s="24"/>
      <c r="I8951" s="24"/>
      <c r="J8951" s="24"/>
      <c r="K8951" s="24"/>
    </row>
    <row r="8952" customFormat="false" ht="15" hidden="false" customHeight="false" outlineLevel="0" collapsed="false">
      <c r="A8952" s="3" t="s">
        <v>499</v>
      </c>
      <c r="C8952" s="20" t="n">
        <f aca="false">IF(C8936&gt;0,Assumptions!$C$17,C8932)</f>
        <v>1</v>
      </c>
    </row>
    <row r="8953" customFormat="false" ht="15" hidden="false" customHeight="false" outlineLevel="0" collapsed="false">
      <c r="A8953" s="3" t="s">
        <v>500</v>
      </c>
      <c r="C8953" s="20" t="n">
        <f aca="false">IF(C8937&gt;0,Assumptions!$C$17,C8933)</f>
        <v>2</v>
      </c>
    </row>
    <row r="8954" customFormat="false" ht="15" hidden="false" customHeight="false" outlineLevel="0" collapsed="false">
      <c r="A8954" s="3" t="s">
        <v>501</v>
      </c>
      <c r="C8954" s="20" t="n">
        <f aca="false">IF(C8938&gt;0,Assumptions!$C$17,C8934)</f>
        <v>2</v>
      </c>
    </row>
    <row r="8955" customFormat="false" ht="15" hidden="false" customHeight="false" outlineLevel="0" collapsed="false">
      <c r="A8955" s="23" t="s">
        <v>508</v>
      </c>
      <c r="B8955" s="24"/>
      <c r="C8955" s="24"/>
      <c r="D8955" s="24"/>
      <c r="E8955" s="24"/>
      <c r="F8955" s="24"/>
      <c r="G8955" s="24"/>
      <c r="H8955" s="24"/>
      <c r="I8955" s="24"/>
      <c r="J8955" s="24"/>
      <c r="K8955" s="24"/>
    </row>
    <row r="8956" customFormat="false" ht="15" hidden="false" customHeight="false" outlineLevel="0" collapsed="false">
      <c r="A8956" s="3" t="s">
        <v>499</v>
      </c>
      <c r="C8956" s="25" t="n">
        <f aca="false">SUMPRODUCT(($C$8952:$C$8954&lt;C8952)*$C$8948:$C$8950)</f>
        <v>0</v>
      </c>
    </row>
    <row r="8957" customFormat="false" ht="15" hidden="false" customHeight="false" outlineLevel="0" collapsed="false">
      <c r="A8957" s="3" t="s">
        <v>500</v>
      </c>
      <c r="C8957" s="25" t="n">
        <f aca="false">SUMPRODUCT(($C$8952:$C$8954&lt;C8953)*$C$8948:$C$8950)</f>
        <v>1349.6193225</v>
      </c>
    </row>
    <row r="8958" customFormat="false" ht="15" hidden="false" customHeight="false" outlineLevel="0" collapsed="false">
      <c r="A8958" s="3" t="s">
        <v>501</v>
      </c>
      <c r="C8958" s="25" t="n">
        <f aca="false">SUMPRODUCT(($C$8952:$C$8954&lt;C8954)*$C$8948:$C$8950)</f>
        <v>1349.6193225</v>
      </c>
    </row>
    <row r="8959" customFormat="false" ht="15" hidden="false" customHeight="false" outlineLevel="0" collapsed="false">
      <c r="A8959" s="23" t="s">
        <v>509</v>
      </c>
      <c r="B8959" s="24"/>
      <c r="C8959" s="24"/>
      <c r="D8959" s="24"/>
      <c r="E8959" s="24"/>
      <c r="F8959" s="24"/>
      <c r="G8959" s="24"/>
      <c r="H8959" s="24"/>
      <c r="I8959" s="24"/>
      <c r="J8959" s="24"/>
      <c r="K8959" s="24"/>
    </row>
    <row r="8960" customFormat="false" ht="15" hidden="false" customHeight="false" outlineLevel="0" collapsed="false">
      <c r="A8960" s="3" t="s">
        <v>499</v>
      </c>
      <c r="C8960" s="25" t="n">
        <f aca="false">SUMPRODUCT(($C$8952:$C$8954=C8952)*$C$8948:$C$8950)</f>
        <v>1349.6193225</v>
      </c>
    </row>
    <row r="8961" customFormat="false" ht="15" hidden="false" customHeight="false" outlineLevel="0" collapsed="false">
      <c r="A8961" s="3" t="s">
        <v>500</v>
      </c>
      <c r="C8961" s="25" t="n">
        <f aca="false">SUMPRODUCT(($C$8952:$C$8954=C8953)*$C$8948:$C$8950)</f>
        <v>0</v>
      </c>
    </row>
    <row r="8962" customFormat="false" ht="15" hidden="false" customHeight="false" outlineLevel="0" collapsed="false">
      <c r="A8962" s="3" t="s">
        <v>501</v>
      </c>
      <c r="C8962" s="25" t="n">
        <f aca="false">SUMPRODUCT(($C$8952:$C$8954=C8954)*$C$8948:$C$8950)</f>
        <v>0</v>
      </c>
    </row>
    <row r="8963" customFormat="false" ht="15" hidden="false" customHeight="false" outlineLevel="0" collapsed="false">
      <c r="A8963" s="23" t="s">
        <v>510</v>
      </c>
      <c r="B8963" s="24"/>
      <c r="C8963" s="24"/>
      <c r="D8963" s="24"/>
      <c r="E8963" s="24"/>
      <c r="F8963" s="24"/>
      <c r="G8963" s="24"/>
      <c r="H8963" s="24"/>
      <c r="I8963" s="24"/>
      <c r="J8963" s="24"/>
      <c r="K8963" s="24"/>
    </row>
    <row r="8964" customFormat="false" ht="15" hidden="false" customHeight="false" outlineLevel="0" collapsed="false">
      <c r="A8964" s="3" t="s">
        <v>499</v>
      </c>
      <c r="C8964" s="25" t="n">
        <f aca="false">IF(C8960=0,0,C8948/C8960*MAX(0,MIN(C8960,$C$8926-SUM($C$8940:$C$8942)-C8956)))</f>
        <v>1341.90834972523</v>
      </c>
    </row>
    <row r="8965" customFormat="false" ht="15" hidden="false" customHeight="false" outlineLevel="0" collapsed="false">
      <c r="A8965" s="3" t="s">
        <v>500</v>
      </c>
      <c r="C8965" s="25" t="n">
        <f aca="false">IF(C8961=0,0,C8949/C8961*MAX(0,MIN(C8961,$C$8926-SUM($C$8940:$C$8942)-C8957)))</f>
        <v>0</v>
      </c>
    </row>
    <row r="8966" customFormat="false" ht="15" hidden="false" customHeight="false" outlineLevel="0" collapsed="false">
      <c r="A8966" s="3" t="s">
        <v>501</v>
      </c>
      <c r="C8966" s="25" t="n">
        <f aca="false">IF(C8962=0,0,C8950/C8962*MAX(0,MIN(C8962,$C$8926-SUM($C$8940:$C$8942)-C8958)))</f>
        <v>0</v>
      </c>
    </row>
    <row r="8967" customFormat="false" ht="15" hidden="false" customHeight="false" outlineLevel="0" collapsed="false">
      <c r="A8967" s="23" t="s">
        <v>511</v>
      </c>
      <c r="B8967" s="24"/>
      <c r="C8967" s="24"/>
      <c r="D8967" s="24"/>
      <c r="E8967" s="24"/>
      <c r="F8967" s="24"/>
      <c r="G8967" s="24"/>
      <c r="H8967" s="24"/>
      <c r="I8967" s="24"/>
      <c r="J8967" s="24"/>
      <c r="K8967" s="24"/>
    </row>
    <row r="8968" customFormat="false" ht="15" hidden="false" customHeight="false" outlineLevel="0" collapsed="false">
      <c r="A8968" s="2" t="s">
        <v>499</v>
      </c>
      <c r="C8968" s="16" t="n">
        <f aca="false">C8940+C8964</f>
        <v>1341.90834972523</v>
      </c>
    </row>
    <row r="8969" customFormat="false" ht="15" hidden="false" customHeight="false" outlineLevel="0" collapsed="false">
      <c r="A8969" s="2" t="s">
        <v>500</v>
      </c>
      <c r="C8969" s="16" t="n">
        <f aca="false">C8941+C8965</f>
        <v>0</v>
      </c>
    </row>
    <row r="8970" customFormat="false" ht="15" hidden="false" customHeight="false" outlineLevel="0" collapsed="false">
      <c r="A8970" s="2" t="s">
        <v>501</v>
      </c>
      <c r="C8970" s="16" t="n">
        <f aca="false">C8942+C8966</f>
        <v>0</v>
      </c>
    </row>
    <row r="8971" customFormat="false" ht="15" hidden="false" customHeight="false" outlineLevel="0" collapsed="false">
      <c r="A8971" s="23" t="s">
        <v>512</v>
      </c>
      <c r="B8971" s="24"/>
      <c r="C8971" s="24"/>
      <c r="D8971" s="24"/>
      <c r="E8971" s="24"/>
      <c r="F8971" s="24"/>
      <c r="G8971" s="24"/>
      <c r="H8971" s="24"/>
      <c r="I8971" s="24"/>
      <c r="J8971" s="24"/>
      <c r="K8971" s="24"/>
    </row>
    <row r="8972" customFormat="false" ht="15" hidden="false" customHeight="false" outlineLevel="0" collapsed="false">
      <c r="A8972" s="3" t="s">
        <v>499</v>
      </c>
      <c r="C8972" s="21" t="n">
        <f aca="false">IF(C8928=0,1,C8968/C8928)</f>
        <v>0.994286557219345</v>
      </c>
    </row>
    <row r="8973" customFormat="false" ht="15" hidden="false" customHeight="false" outlineLevel="0" collapsed="false">
      <c r="A8973" s="3" t="s">
        <v>500</v>
      </c>
      <c r="C8973" s="21" t="n">
        <f aca="false">IF(C8929=0,1,C8969/C8929)</f>
        <v>1</v>
      </c>
    </row>
    <row r="8974" customFormat="false" ht="15" hidden="false" customHeight="false" outlineLevel="0" collapsed="false">
      <c r="A8974" s="3" t="s">
        <v>501</v>
      </c>
      <c r="C8974" s="21" t="n">
        <f aca="false">IF(C8930=0,1,C8970/C8930)</f>
        <v>1</v>
      </c>
    </row>
    <row r="8975" customFormat="false" ht="15" hidden="false" customHeight="false" outlineLevel="0" collapsed="false">
      <c r="A8975" s="23" t="s">
        <v>513</v>
      </c>
      <c r="B8975" s="24"/>
      <c r="C8975" s="24"/>
      <c r="D8975" s="24"/>
      <c r="E8975" s="24"/>
      <c r="F8975" s="24"/>
      <c r="G8975" s="24"/>
      <c r="H8975" s="24"/>
      <c r="I8975" s="24"/>
      <c r="J8975" s="24"/>
      <c r="K8975" s="24"/>
    </row>
    <row r="8976" customFormat="false" ht="15" hidden="false" customHeight="false" outlineLevel="0" collapsed="false">
      <c r="A8976" s="3" t="s">
        <v>499</v>
      </c>
      <c r="C8976" s="25" t="n">
        <f aca="false">C8928-C8968</f>
        <v>7.7109727747702</v>
      </c>
    </row>
    <row r="8977" customFormat="false" ht="15" hidden="false" customHeight="false" outlineLevel="0" collapsed="false">
      <c r="A8977" s="3" t="s">
        <v>500</v>
      </c>
      <c r="C8977" s="25" t="n">
        <f aca="false">C8929-C8969</f>
        <v>0</v>
      </c>
    </row>
    <row r="8978" customFormat="false" ht="15" hidden="false" customHeight="false" outlineLevel="0" collapsed="false">
      <c r="A8978" s="3" t="s">
        <v>501</v>
      </c>
      <c r="C8978" s="25" t="n">
        <f aca="false">C8930-C8970</f>
        <v>0</v>
      </c>
    </row>
    <row r="8979" customFormat="false" ht="15" hidden="false" customHeight="false" outlineLevel="0" collapsed="false">
      <c r="A8979" s="23" t="s">
        <v>514</v>
      </c>
      <c r="B8979" s="24"/>
      <c r="C8979" s="24"/>
      <c r="D8979" s="24"/>
      <c r="E8979" s="24"/>
      <c r="F8979" s="24"/>
      <c r="G8979" s="24"/>
      <c r="H8979" s="24"/>
      <c r="I8979" s="24"/>
      <c r="J8979" s="24"/>
      <c r="K8979" s="24"/>
    </row>
    <row r="8980" customFormat="false" ht="15" hidden="false" customHeight="false" outlineLevel="0" collapsed="false">
      <c r="A8980" s="3" t="s">
        <v>499</v>
      </c>
      <c r="C8980" s="21" t="n">
        <f aca="false">IF(C8928=0,0,C8976/C8928)</f>
        <v>0.00571344278065506</v>
      </c>
    </row>
    <row r="8981" customFormat="false" ht="15" hidden="false" customHeight="false" outlineLevel="0" collapsed="false">
      <c r="A8981" s="3" t="s">
        <v>500</v>
      </c>
      <c r="C8981" s="21" t="n">
        <f aca="false">IF(C8929=0,0,C8977/C8929)</f>
        <v>0</v>
      </c>
    </row>
    <row r="8982" customFormat="false" ht="15" hidden="false" customHeight="false" outlineLevel="0" collapsed="false">
      <c r="A8982" s="3" t="s">
        <v>501</v>
      </c>
      <c r="C8982" s="21" t="n">
        <f aca="false">IF(C8930=0,0,C8978/C8930)</f>
        <v>0</v>
      </c>
    </row>
    <row r="8983" customFormat="false" ht="15" hidden="false" customHeight="false" outlineLevel="0" collapsed="false">
      <c r="A8983" s="2" t="s">
        <v>515</v>
      </c>
      <c r="C8983" s="16" t="n">
        <f aca="false">MAX(0,$C$8926-SUM($C$8940:$C$8942)-SUM($C$8948:$C$8950))</f>
        <v>0</v>
      </c>
    </row>
    <row r="8984" customFormat="false" ht="15" hidden="false" customHeight="false" outlineLevel="0" collapsed="false">
      <c r="A8984" s="3" t="s">
        <v>516</v>
      </c>
      <c r="C8984" s="25" t="n">
        <f aca="false">SUM($C$8968:$C$8970)+C8983+C8925-C8924</f>
        <v>0</v>
      </c>
    </row>
    <row r="8986" customFormat="false" ht="15" hidden="false" customHeight="false" outlineLevel="0" collapsed="false">
      <c r="A8986" s="23" t="s">
        <v>519</v>
      </c>
      <c r="B8986" s="24"/>
      <c r="C8986" s="24"/>
      <c r="D8986" s="24"/>
      <c r="E8986" s="24"/>
      <c r="F8986" s="24"/>
      <c r="G8986" s="24"/>
      <c r="H8986" s="24"/>
      <c r="I8986" s="24"/>
      <c r="J8986" s="24"/>
      <c r="K8986" s="24"/>
    </row>
    <row r="8987" customFormat="false" ht="15" hidden="false" customHeight="false" outlineLevel="0" collapsed="false">
      <c r="A8987" s="3" t="s">
        <v>520</v>
      </c>
      <c r="C8987" s="27" t="n">
        <f aca="false">Assumptions!$C$33</f>
        <v>1</v>
      </c>
    </row>
    <row r="8988" customFormat="false" ht="15" hidden="false" customHeight="false" outlineLevel="0" collapsed="false">
      <c r="A8988" s="3" t="s">
        <v>521</v>
      </c>
      <c r="C8988" s="29" t="n">
        <f aca="false">Assumptions!$C$34</f>
        <v>100</v>
      </c>
    </row>
    <row r="8989" customFormat="false" ht="15" hidden="false" customHeight="false" outlineLevel="0" collapsed="false">
      <c r="A8989" s="3" t="s">
        <v>522</v>
      </c>
      <c r="C8989" s="40" t="n">
        <f aca="false">Assumptions!$C$35</f>
        <v>95</v>
      </c>
    </row>
    <row r="8990" customFormat="false" ht="15" hidden="false" customHeight="false" outlineLevel="0" collapsed="false">
      <c r="A8990" s="3" t="s">
        <v>523</v>
      </c>
      <c r="C8990" s="25" t="n">
        <f aca="false">C8988*C8989/100*(1+Assumptions!$C$36)</f>
        <v>95</v>
      </c>
    </row>
    <row r="8991" customFormat="false" ht="15" hidden="false" customHeight="false" outlineLevel="0" collapsed="false">
      <c r="A8991" s="3" t="s">
        <v>524</v>
      </c>
      <c r="C8991" s="27" t="n">
        <f aca="false">Assumptions!$C$37</f>
        <v>3</v>
      </c>
    </row>
    <row r="8992" customFormat="false" ht="15" hidden="false" customHeight="false" outlineLevel="0" collapsed="false">
      <c r="A8992" s="3" t="s">
        <v>525</v>
      </c>
      <c r="C8992" s="20" t="n">
        <f aca="false">IF(C8917=1,SUMPRODUCT($G$8869:$K$8869,$G$8762:$K$8762),0)</f>
        <v>0</v>
      </c>
    </row>
    <row r="8993" customFormat="false" ht="15" hidden="false" customHeight="false" outlineLevel="0" collapsed="false">
      <c r="A8993" s="3" t="s">
        <v>526</v>
      </c>
      <c r="C8993" s="21" t="n">
        <f aca="false">IFERROR(C8988/CHOOSE(C8987,SUMPRODUCT($G$8916:$K$8916,$G$8808:$K$8808),SUMPRODUCT($G$8916:$K$8916,$G$8821:$K$8821),SUMPRODUCT($G$8916:$K$8916,$G$8834:$K$8834)),0)</f>
        <v>0.0760399605200525</v>
      </c>
    </row>
    <row r="8994" customFormat="false" ht="15" hidden="false" customHeight="false" outlineLevel="0" collapsed="false">
      <c r="A8994" s="3" t="s">
        <v>527</v>
      </c>
      <c r="C8994" s="25" t="n">
        <f aca="false">CHOOSE(C8987,C8968,C8969,C8970)*C8993</f>
        <v>102.038657934635</v>
      </c>
    </row>
    <row r="8995" customFormat="false" ht="15" hidden="false" customHeight="false" outlineLevel="0" collapsed="false">
      <c r="A8995" s="3" t="s">
        <v>528</v>
      </c>
      <c r="C8995" s="21" t="n">
        <f aca="false">CHOOSE(C8987,C8972,C8973,C8974)</f>
        <v>0.994286557219345</v>
      </c>
    </row>
    <row r="8996" customFormat="false" ht="15" hidden="false" customHeight="false" outlineLevel="0" collapsed="false">
      <c r="A8996" s="3" t="s">
        <v>529</v>
      </c>
      <c r="C8996" s="20" t="n">
        <f aca="false">IF(C8917=1,C8992,C8991)</f>
        <v>3</v>
      </c>
    </row>
    <row r="8997" customFormat="false" ht="15" hidden="false" customHeight="false" outlineLevel="0" collapsed="false">
      <c r="A8997" s="3" t="s">
        <v>530</v>
      </c>
      <c r="C8997" s="34" t="n">
        <f aca="false">CHOOSE($C$8754,Assumptions!$C$83,Assumptions!$C$102,Assumptions!$C$121)</f>
        <v>95</v>
      </c>
    </row>
    <row r="8998" customFormat="false" ht="15" hidden="false" customHeight="false" outlineLevel="0" collapsed="false">
      <c r="A8998" s="3" t="s">
        <v>531</v>
      </c>
      <c r="C8998" s="25" t="n">
        <f aca="false">INDEX($G$8771:$K$8771,C8991)*CHOOSE($C$8754,Assumptions!$C$82,Assumptions!$C$101,Assumptions!$C$120)+MAX(0,INDEX($G$8866:$K$8866,C8991))</f>
        <v>1526.66747880861</v>
      </c>
    </row>
    <row r="8999" customFormat="false" ht="15" hidden="false" customHeight="false" outlineLevel="0" collapsed="false">
      <c r="A8999" s="23" t="s">
        <v>532</v>
      </c>
      <c r="B8999" s="24"/>
      <c r="C8999" s="24"/>
      <c r="D8999" s="24"/>
      <c r="E8999" s="24"/>
      <c r="F8999" s="24"/>
      <c r="G8999" s="24"/>
      <c r="H8999" s="24"/>
      <c r="I8999" s="24"/>
      <c r="J8999" s="24"/>
      <c r="K8999" s="24"/>
    </row>
    <row r="9000" customFormat="false" ht="15" hidden="false" customHeight="false" outlineLevel="0" collapsed="false">
      <c r="A9000" s="3" t="s">
        <v>499</v>
      </c>
      <c r="C9000" s="25" t="n">
        <f aca="false">INDEX($G$8808:$K$8808,C8991)</f>
        <v>1315.098</v>
      </c>
    </row>
    <row r="9001" customFormat="false" ht="15" hidden="false" customHeight="false" outlineLevel="0" collapsed="false">
      <c r="A9001" s="3" t="s">
        <v>500</v>
      </c>
      <c r="C9001" s="25" t="n">
        <f aca="false">INDEX($G$8821:$K$8821,C8991)</f>
        <v>0</v>
      </c>
    </row>
    <row r="9002" customFormat="false" ht="15" hidden="false" customHeight="false" outlineLevel="0" collapsed="false">
      <c r="A9002" s="3" t="s">
        <v>501</v>
      </c>
      <c r="C9002" s="25" t="n">
        <f aca="false">INDEX($G$8834:$K$8834,C8991)</f>
        <v>0</v>
      </c>
    </row>
    <row r="9003" customFormat="false" ht="15" hidden="false" customHeight="false" outlineLevel="0" collapsed="false">
      <c r="A9003" s="23" t="s">
        <v>502</v>
      </c>
      <c r="B9003" s="24"/>
      <c r="C9003" s="24"/>
      <c r="D9003" s="24"/>
      <c r="E9003" s="24"/>
      <c r="F9003" s="24"/>
      <c r="G9003" s="24"/>
      <c r="H9003" s="24"/>
      <c r="I9003" s="24"/>
      <c r="J9003" s="24"/>
      <c r="K9003" s="24"/>
    </row>
    <row r="9004" customFormat="false" ht="15" hidden="false" customHeight="false" outlineLevel="0" collapsed="false">
      <c r="A9004" s="3" t="s">
        <v>499</v>
      </c>
      <c r="C9004" s="27" t="n">
        <f aca="false">Assumptions!$M$56</f>
        <v>1</v>
      </c>
    </row>
    <row r="9005" customFormat="false" ht="15" hidden="false" customHeight="false" outlineLevel="0" collapsed="false">
      <c r="A9005" s="3" t="s">
        <v>500</v>
      </c>
      <c r="C9005" s="27" t="n">
        <f aca="false">Assumptions!$M$57</f>
        <v>2</v>
      </c>
    </row>
    <row r="9006" customFormat="false" ht="15" hidden="false" customHeight="false" outlineLevel="0" collapsed="false">
      <c r="A9006" s="3" t="s">
        <v>501</v>
      </c>
      <c r="C9006" s="27" t="n">
        <f aca="false">Assumptions!$M$58</f>
        <v>2</v>
      </c>
    </row>
    <row r="9007" customFormat="false" ht="15" hidden="false" customHeight="false" outlineLevel="0" collapsed="false">
      <c r="A9007" s="23" t="s">
        <v>503</v>
      </c>
      <c r="B9007" s="24"/>
      <c r="C9007" s="24"/>
      <c r="D9007" s="24"/>
      <c r="E9007" s="24"/>
      <c r="F9007" s="24"/>
      <c r="G9007" s="24"/>
      <c r="H9007" s="24"/>
      <c r="I9007" s="24"/>
      <c r="J9007" s="24"/>
      <c r="K9007" s="24"/>
    </row>
    <row r="9008" customFormat="false" ht="15" hidden="false" customHeight="false" outlineLevel="0" collapsed="false">
      <c r="A9008" s="3" t="s">
        <v>499</v>
      </c>
      <c r="C9008" s="35" t="n">
        <f aca="false">Assumptions!$Q$56</f>
        <v>0</v>
      </c>
    </row>
    <row r="9009" customFormat="false" ht="15" hidden="false" customHeight="false" outlineLevel="0" collapsed="false">
      <c r="A9009" s="3" t="s">
        <v>500</v>
      </c>
      <c r="C9009" s="35" t="n">
        <f aca="false">Assumptions!$Q$57</f>
        <v>0</v>
      </c>
    </row>
    <row r="9010" customFormat="false" ht="15" hidden="false" customHeight="false" outlineLevel="0" collapsed="false">
      <c r="A9010" s="3" t="s">
        <v>501</v>
      </c>
      <c r="C9010" s="35" t="n">
        <f aca="false">Assumptions!$Q$58</f>
        <v>0</v>
      </c>
    </row>
    <row r="9011" customFormat="false" ht="15" hidden="false" customHeight="false" outlineLevel="0" collapsed="false">
      <c r="A9011" s="23" t="s">
        <v>504</v>
      </c>
      <c r="B9011" s="24"/>
      <c r="C9011" s="24"/>
      <c r="D9011" s="24"/>
      <c r="E9011" s="24"/>
      <c r="F9011" s="24"/>
      <c r="G9011" s="24"/>
      <c r="H9011" s="24"/>
      <c r="I9011" s="24"/>
      <c r="J9011" s="24"/>
      <c r="K9011" s="24"/>
    </row>
    <row r="9012" customFormat="false" ht="15" hidden="false" customHeight="false" outlineLevel="0" collapsed="false">
      <c r="A9012" s="3" t="s">
        <v>499</v>
      </c>
      <c r="C9012" s="25" t="n">
        <f aca="false">IF(C9008&gt;0,MIN(C9000,C9008*$C$8998),0)</f>
        <v>0</v>
      </c>
    </row>
    <row r="9013" customFormat="false" ht="15" hidden="false" customHeight="false" outlineLevel="0" collapsed="false">
      <c r="A9013" s="3" t="s">
        <v>500</v>
      </c>
      <c r="C9013" s="25" t="n">
        <f aca="false">IF(C9009&gt;0,MIN(C9001,C9009*$C$8998),0)</f>
        <v>0</v>
      </c>
    </row>
    <row r="9014" customFormat="false" ht="15" hidden="false" customHeight="false" outlineLevel="0" collapsed="false">
      <c r="A9014" s="3" t="s">
        <v>501</v>
      </c>
      <c r="C9014" s="25" t="n">
        <f aca="false">IF(C9010&gt;0,MIN(C9002,C9010*$C$8998),0)</f>
        <v>0</v>
      </c>
    </row>
    <row r="9015" customFormat="false" ht="15" hidden="false" customHeight="false" outlineLevel="0" collapsed="false">
      <c r="A9015" s="23" t="s">
        <v>505</v>
      </c>
      <c r="B9015" s="24"/>
      <c r="C9015" s="24"/>
      <c r="D9015" s="24"/>
      <c r="E9015" s="24"/>
      <c r="F9015" s="24"/>
      <c r="G9015" s="24"/>
      <c r="H9015" s="24"/>
      <c r="I9015" s="24"/>
      <c r="J9015" s="24"/>
      <c r="K9015" s="24"/>
    </row>
    <row r="9016" customFormat="false" ht="15" hidden="false" customHeight="false" outlineLevel="0" collapsed="false">
      <c r="A9016" s="3" t="s">
        <v>499</v>
      </c>
      <c r="C9016" s="25" t="n">
        <f aca="false">IF(C9008&gt;0,C9000-C9012,0)</f>
        <v>0</v>
      </c>
    </row>
    <row r="9017" customFormat="false" ht="15" hidden="false" customHeight="false" outlineLevel="0" collapsed="false">
      <c r="A9017" s="3" t="s">
        <v>500</v>
      </c>
      <c r="C9017" s="25" t="n">
        <f aca="false">IF(C9009&gt;0,C9001-C9013,0)</f>
        <v>0</v>
      </c>
    </row>
    <row r="9018" customFormat="false" ht="15" hidden="false" customHeight="false" outlineLevel="0" collapsed="false">
      <c r="A9018" s="3" t="s">
        <v>501</v>
      </c>
      <c r="C9018" s="25" t="n">
        <f aca="false">IF(C9010&gt;0,C9002-C9014,0)</f>
        <v>0</v>
      </c>
    </row>
    <row r="9019" customFormat="false" ht="15" hidden="false" customHeight="false" outlineLevel="0" collapsed="false">
      <c r="A9019" s="23" t="s">
        <v>506</v>
      </c>
      <c r="B9019" s="24"/>
      <c r="C9019" s="24"/>
      <c r="D9019" s="24"/>
      <c r="E9019" s="24"/>
      <c r="F9019" s="24"/>
      <c r="G9019" s="24"/>
      <c r="H9019" s="24"/>
      <c r="I9019" s="24"/>
      <c r="J9019" s="24"/>
      <c r="K9019" s="24"/>
    </row>
    <row r="9020" customFormat="false" ht="15" hidden="false" customHeight="false" outlineLevel="0" collapsed="false">
      <c r="A9020" s="3" t="s">
        <v>499</v>
      </c>
      <c r="C9020" s="25" t="n">
        <f aca="false">IF(C9008&gt;0,C9016,C9000)</f>
        <v>1315.098</v>
      </c>
    </row>
    <row r="9021" customFormat="false" ht="15" hidden="false" customHeight="false" outlineLevel="0" collapsed="false">
      <c r="A9021" s="3" t="s">
        <v>500</v>
      </c>
      <c r="C9021" s="25" t="n">
        <f aca="false">IF(C9009&gt;0,C9017,C9001)</f>
        <v>0</v>
      </c>
    </row>
    <row r="9022" customFormat="false" ht="15" hidden="false" customHeight="false" outlineLevel="0" collapsed="false">
      <c r="A9022" s="3" t="s">
        <v>501</v>
      </c>
      <c r="C9022" s="25" t="n">
        <f aca="false">IF(C9010&gt;0,C9018,C9002)</f>
        <v>0</v>
      </c>
    </row>
    <row r="9023" customFormat="false" ht="15" hidden="false" customHeight="false" outlineLevel="0" collapsed="false">
      <c r="A9023" s="23" t="s">
        <v>507</v>
      </c>
      <c r="B9023" s="24"/>
      <c r="C9023" s="24"/>
      <c r="D9023" s="24"/>
      <c r="E9023" s="24"/>
      <c r="F9023" s="24"/>
      <c r="G9023" s="24"/>
      <c r="H9023" s="24"/>
      <c r="I9023" s="24"/>
      <c r="J9023" s="24"/>
      <c r="K9023" s="24"/>
    </row>
    <row r="9024" customFormat="false" ht="15" hidden="false" customHeight="false" outlineLevel="0" collapsed="false">
      <c r="A9024" s="3" t="s">
        <v>499</v>
      </c>
      <c r="C9024" s="20" t="n">
        <f aca="false">IF(C9008&gt;0,Assumptions!$C$17,C9004)</f>
        <v>1</v>
      </c>
    </row>
    <row r="9025" customFormat="false" ht="15" hidden="false" customHeight="false" outlineLevel="0" collapsed="false">
      <c r="A9025" s="3" t="s">
        <v>500</v>
      </c>
      <c r="C9025" s="20" t="n">
        <f aca="false">IF(C9009&gt;0,Assumptions!$C$17,C9005)</f>
        <v>2</v>
      </c>
    </row>
    <row r="9026" customFormat="false" ht="15" hidden="false" customHeight="false" outlineLevel="0" collapsed="false">
      <c r="A9026" s="3" t="s">
        <v>501</v>
      </c>
      <c r="C9026" s="20" t="n">
        <f aca="false">IF(C9010&gt;0,Assumptions!$C$17,C9006)</f>
        <v>2</v>
      </c>
    </row>
    <row r="9027" customFormat="false" ht="15" hidden="false" customHeight="false" outlineLevel="0" collapsed="false">
      <c r="A9027" s="23" t="s">
        <v>508</v>
      </c>
      <c r="B9027" s="24"/>
      <c r="C9027" s="24"/>
      <c r="D9027" s="24"/>
      <c r="E9027" s="24"/>
      <c r="F9027" s="24"/>
      <c r="G9027" s="24"/>
      <c r="H9027" s="24"/>
      <c r="I9027" s="24"/>
      <c r="J9027" s="24"/>
      <c r="K9027" s="24"/>
    </row>
    <row r="9028" customFormat="false" ht="15" hidden="false" customHeight="false" outlineLevel="0" collapsed="false">
      <c r="A9028" s="3" t="s">
        <v>499</v>
      </c>
      <c r="C9028" s="25" t="n">
        <f aca="false">SUMPRODUCT(($C$9024:$C$9026&lt;C9024)*$C$9020:$C$9022)</f>
        <v>0</v>
      </c>
    </row>
    <row r="9029" customFormat="false" ht="15" hidden="false" customHeight="false" outlineLevel="0" collapsed="false">
      <c r="A9029" s="3" t="s">
        <v>500</v>
      </c>
      <c r="C9029" s="25" t="n">
        <f aca="false">SUMPRODUCT(($C$9024:$C$9026&lt;C9025)*$C$9020:$C$9022)</f>
        <v>1315.098</v>
      </c>
    </row>
    <row r="9030" customFormat="false" ht="15" hidden="false" customHeight="false" outlineLevel="0" collapsed="false">
      <c r="A9030" s="3" t="s">
        <v>501</v>
      </c>
      <c r="C9030" s="25" t="n">
        <f aca="false">SUMPRODUCT(($C$9024:$C$9026&lt;C9026)*$C$9020:$C$9022)</f>
        <v>1315.098</v>
      </c>
    </row>
    <row r="9031" customFormat="false" ht="15" hidden="false" customHeight="false" outlineLevel="0" collapsed="false">
      <c r="A9031" s="23" t="s">
        <v>509</v>
      </c>
      <c r="B9031" s="24"/>
      <c r="C9031" s="24"/>
      <c r="D9031" s="24"/>
      <c r="E9031" s="24"/>
      <c r="F9031" s="24"/>
      <c r="G9031" s="24"/>
      <c r="H9031" s="24"/>
      <c r="I9031" s="24"/>
      <c r="J9031" s="24"/>
      <c r="K9031" s="24"/>
    </row>
    <row r="9032" customFormat="false" ht="15" hidden="false" customHeight="false" outlineLevel="0" collapsed="false">
      <c r="A9032" s="3" t="s">
        <v>499</v>
      </c>
      <c r="C9032" s="25" t="n">
        <f aca="false">SUMPRODUCT(($C$9024:$C$9026=C9024)*$C$9020:$C$9022)</f>
        <v>1315.098</v>
      </c>
    </row>
    <row r="9033" customFormat="false" ht="15" hidden="false" customHeight="false" outlineLevel="0" collapsed="false">
      <c r="A9033" s="3" t="s">
        <v>500</v>
      </c>
      <c r="C9033" s="25" t="n">
        <f aca="false">SUMPRODUCT(($C$9024:$C$9026=C9025)*$C$9020:$C$9022)</f>
        <v>0</v>
      </c>
    </row>
    <row r="9034" customFormat="false" ht="15" hidden="false" customHeight="false" outlineLevel="0" collapsed="false">
      <c r="A9034" s="3" t="s">
        <v>501</v>
      </c>
      <c r="C9034" s="25" t="n">
        <f aca="false">SUMPRODUCT(($C$9024:$C$9026=C9026)*$C$9020:$C$9022)</f>
        <v>0</v>
      </c>
    </row>
    <row r="9035" customFormat="false" ht="15" hidden="false" customHeight="false" outlineLevel="0" collapsed="false">
      <c r="A9035" s="23" t="s">
        <v>510</v>
      </c>
      <c r="B9035" s="24"/>
      <c r="C9035" s="24"/>
      <c r="D9035" s="24"/>
      <c r="E9035" s="24"/>
      <c r="F9035" s="24"/>
      <c r="G9035" s="24"/>
      <c r="H9035" s="24"/>
      <c r="I9035" s="24"/>
      <c r="J9035" s="24"/>
      <c r="K9035" s="24"/>
    </row>
    <row r="9036" customFormat="false" ht="15" hidden="false" customHeight="false" outlineLevel="0" collapsed="false">
      <c r="A9036" s="3" t="s">
        <v>499</v>
      </c>
      <c r="C9036" s="25" t="n">
        <f aca="false">IF(C9032=0,0,C9020/C9032*MAX(0,MIN(C9032,$C$8998-SUM($C$9012:$C$9014)-C9028)))</f>
        <v>1315.098</v>
      </c>
    </row>
    <row r="9037" customFormat="false" ht="15" hidden="false" customHeight="false" outlineLevel="0" collapsed="false">
      <c r="A9037" s="3" t="s">
        <v>500</v>
      </c>
      <c r="C9037" s="25" t="n">
        <f aca="false">IF(C9033=0,0,C9021/C9033*MAX(0,MIN(C9033,$C$8998-SUM($C$9012:$C$9014)-C9029)))</f>
        <v>0</v>
      </c>
    </row>
    <row r="9038" customFormat="false" ht="15" hidden="false" customHeight="false" outlineLevel="0" collapsed="false">
      <c r="A9038" s="3" t="s">
        <v>501</v>
      </c>
      <c r="C9038" s="25" t="n">
        <f aca="false">IF(C9034=0,0,C9022/C9034*MAX(0,MIN(C9034,$C$8998-SUM($C$9012:$C$9014)-C9030)))</f>
        <v>0</v>
      </c>
    </row>
    <row r="9039" customFormat="false" ht="15" hidden="false" customHeight="false" outlineLevel="0" collapsed="false">
      <c r="A9039" s="23" t="s">
        <v>511</v>
      </c>
      <c r="B9039" s="24"/>
      <c r="C9039" s="24"/>
      <c r="D9039" s="24"/>
      <c r="E9039" s="24"/>
      <c r="F9039" s="24"/>
      <c r="G9039" s="24"/>
      <c r="H9039" s="24"/>
      <c r="I9039" s="24"/>
      <c r="J9039" s="24"/>
      <c r="K9039" s="24"/>
    </row>
    <row r="9040" customFormat="false" ht="15" hidden="false" customHeight="false" outlineLevel="0" collapsed="false">
      <c r="A9040" s="2" t="s">
        <v>499</v>
      </c>
      <c r="C9040" s="16" t="n">
        <f aca="false">C9012+C9036</f>
        <v>1315.098</v>
      </c>
    </row>
    <row r="9041" customFormat="false" ht="15" hidden="false" customHeight="false" outlineLevel="0" collapsed="false">
      <c r="A9041" s="2" t="s">
        <v>500</v>
      </c>
      <c r="C9041" s="16" t="n">
        <f aca="false">C9013+C9037</f>
        <v>0</v>
      </c>
    </row>
    <row r="9042" customFormat="false" ht="15" hidden="false" customHeight="false" outlineLevel="0" collapsed="false">
      <c r="A9042" s="2" t="s">
        <v>501</v>
      </c>
      <c r="C9042" s="16" t="n">
        <f aca="false">C9014+C9038</f>
        <v>0</v>
      </c>
    </row>
    <row r="9043" customFormat="false" ht="15" hidden="false" customHeight="false" outlineLevel="0" collapsed="false">
      <c r="A9043" s="23" t="s">
        <v>512</v>
      </c>
      <c r="B9043" s="24"/>
      <c r="C9043" s="24"/>
      <c r="D9043" s="24"/>
      <c r="E9043" s="24"/>
      <c r="F9043" s="24"/>
      <c r="G9043" s="24"/>
      <c r="H9043" s="24"/>
      <c r="I9043" s="24"/>
      <c r="J9043" s="24"/>
      <c r="K9043" s="24"/>
    </row>
    <row r="9044" customFormat="false" ht="15" hidden="false" customHeight="false" outlineLevel="0" collapsed="false">
      <c r="A9044" s="3" t="s">
        <v>499</v>
      </c>
      <c r="C9044" s="21" t="n">
        <f aca="false">IF(C9000=0,1,C9040/C9000)</f>
        <v>1</v>
      </c>
    </row>
    <row r="9045" customFormat="false" ht="15" hidden="false" customHeight="false" outlineLevel="0" collapsed="false">
      <c r="A9045" s="3" t="s">
        <v>500</v>
      </c>
      <c r="C9045" s="21" t="n">
        <f aca="false">IF(C9001=0,1,C9041/C9001)</f>
        <v>1</v>
      </c>
    </row>
    <row r="9046" customFormat="false" ht="15" hidden="false" customHeight="false" outlineLevel="0" collapsed="false">
      <c r="A9046" s="3" t="s">
        <v>501</v>
      </c>
      <c r="C9046" s="21" t="n">
        <f aca="false">IF(C9002=0,1,C9042/C9002)</f>
        <v>1</v>
      </c>
    </row>
    <row r="9047" customFormat="false" ht="15" hidden="false" customHeight="false" outlineLevel="0" collapsed="false">
      <c r="A9047" s="23" t="s">
        <v>513</v>
      </c>
      <c r="B9047" s="24"/>
      <c r="C9047" s="24"/>
      <c r="D9047" s="24"/>
      <c r="E9047" s="24"/>
      <c r="F9047" s="24"/>
      <c r="G9047" s="24"/>
      <c r="H9047" s="24"/>
      <c r="I9047" s="24"/>
      <c r="J9047" s="24"/>
      <c r="K9047" s="24"/>
    </row>
    <row r="9048" customFormat="false" ht="15" hidden="false" customHeight="false" outlineLevel="0" collapsed="false">
      <c r="A9048" s="3" t="s">
        <v>499</v>
      </c>
      <c r="C9048" s="25" t="n">
        <f aca="false">C9000-C9040</f>
        <v>0</v>
      </c>
    </row>
    <row r="9049" customFormat="false" ht="15" hidden="false" customHeight="false" outlineLevel="0" collapsed="false">
      <c r="A9049" s="3" t="s">
        <v>500</v>
      </c>
      <c r="C9049" s="25" t="n">
        <f aca="false">C9001-C9041</f>
        <v>0</v>
      </c>
    </row>
    <row r="9050" customFormat="false" ht="15" hidden="false" customHeight="false" outlineLevel="0" collapsed="false">
      <c r="A9050" s="3" t="s">
        <v>501</v>
      </c>
      <c r="C9050" s="25" t="n">
        <f aca="false">C9002-C9042</f>
        <v>0</v>
      </c>
    </row>
    <row r="9051" customFormat="false" ht="15" hidden="false" customHeight="false" outlineLevel="0" collapsed="false">
      <c r="A9051" s="23" t="s">
        <v>514</v>
      </c>
      <c r="B9051" s="24"/>
      <c r="C9051" s="24"/>
      <c r="D9051" s="24"/>
      <c r="E9051" s="24"/>
      <c r="F9051" s="24"/>
      <c r="G9051" s="24"/>
      <c r="H9051" s="24"/>
      <c r="I9051" s="24"/>
      <c r="J9051" s="24"/>
      <c r="K9051" s="24"/>
    </row>
    <row r="9052" customFormat="false" ht="15" hidden="false" customHeight="false" outlineLevel="0" collapsed="false">
      <c r="A9052" s="3" t="s">
        <v>499</v>
      </c>
      <c r="C9052" s="21" t="n">
        <f aca="false">IF(C9000=0,0,C9048/C9000)</f>
        <v>0</v>
      </c>
    </row>
    <row r="9053" customFormat="false" ht="15" hidden="false" customHeight="false" outlineLevel="0" collapsed="false">
      <c r="A9053" s="3" t="s">
        <v>500</v>
      </c>
      <c r="C9053" s="21" t="n">
        <f aca="false">IF(C9001=0,0,C9049/C9001)</f>
        <v>0</v>
      </c>
    </row>
    <row r="9054" customFormat="false" ht="15" hidden="false" customHeight="false" outlineLevel="0" collapsed="false">
      <c r="A9054" s="3" t="s">
        <v>501</v>
      </c>
      <c r="C9054" s="21" t="n">
        <f aca="false">IF(C9002=0,0,C9050/C9002)</f>
        <v>0</v>
      </c>
    </row>
    <row r="9055" customFormat="false" ht="15" hidden="false" customHeight="false" outlineLevel="0" collapsed="false">
      <c r="A9055" s="2" t="s">
        <v>515</v>
      </c>
      <c r="C9055" s="16" t="n">
        <f aca="false">MAX(0,$C$8998-SUM($C$9012:$C$9014)-SUM($C$9020:$C$9022))</f>
        <v>211.569478808608</v>
      </c>
    </row>
    <row r="9056" customFormat="false" ht="15" hidden="false" customHeight="false" outlineLevel="0" collapsed="false">
      <c r="A9056" s="3" t="s">
        <v>533</v>
      </c>
      <c r="C9056" s="34" t="n">
        <f aca="false">MIN(C8997,100*CHOOSE(C8987,C9044,C9045,C9046))</f>
        <v>95</v>
      </c>
    </row>
    <row r="9057" customFormat="false" ht="15" hidden="false" customHeight="false" outlineLevel="0" collapsed="false">
      <c r="A9057" s="3" t="s">
        <v>534</v>
      </c>
      <c r="C9057" s="20" t="n">
        <f aca="false">IF(C8917=1,C8992+Assumptions!$C$39,C8991)</f>
        <v>3</v>
      </c>
    </row>
    <row r="9058" customFormat="false" ht="15" hidden="false" customHeight="false" outlineLevel="0" collapsed="false">
      <c r="A9058" s="23" t="s">
        <v>535</v>
      </c>
      <c r="B9058" s="24"/>
      <c r="C9058" s="24"/>
      <c r="D9058" s="24"/>
      <c r="E9058" s="24"/>
      <c r="F9058" s="24"/>
      <c r="G9058" s="24"/>
      <c r="H9058" s="24"/>
      <c r="I9058" s="24"/>
      <c r="J9058" s="24"/>
      <c r="K9058" s="24"/>
    </row>
    <row r="9059" customFormat="false" ht="15" hidden="false" customHeight="false" outlineLevel="0" collapsed="false">
      <c r="A9059" s="3" t="s">
        <v>536</v>
      </c>
      <c r="C9059" s="20" t="n">
        <f aca="false">COLUMN()-COLUMN($C$1)</f>
        <v>0</v>
      </c>
      <c r="D9059" s="20" t="n">
        <f aca="false">COLUMN()-COLUMN($C$1)</f>
        <v>1</v>
      </c>
      <c r="E9059" s="20" t="n">
        <f aca="false">COLUMN()-COLUMN($C$1)</f>
        <v>2</v>
      </c>
      <c r="F9059" s="20" t="n">
        <f aca="false">COLUMN()-COLUMN($C$1)</f>
        <v>3</v>
      </c>
      <c r="G9059" s="20" t="n">
        <f aca="false">COLUMN()-COLUMN($C$1)</f>
        <v>4</v>
      </c>
      <c r="H9059" s="20" t="n">
        <f aca="false">COLUMN()-COLUMN($C$1)</f>
        <v>5</v>
      </c>
      <c r="I9059" s="20" t="n">
        <f aca="false">COLUMN()-COLUMN($C$1)</f>
        <v>6</v>
      </c>
    </row>
    <row r="9060" customFormat="false" ht="15" hidden="false" customHeight="false" outlineLevel="0" collapsed="false">
      <c r="A9060" s="3" t="s">
        <v>537</v>
      </c>
      <c r="D9060" s="31" t="n">
        <f aca="false">CHOOSE($C$8987,G8800,G8813,G8826)</f>
        <v>0.105</v>
      </c>
      <c r="E9060" s="31" t="n">
        <f aca="false">CHOOSE($C$8987,H8800,H8813,H8826)</f>
        <v>0.105</v>
      </c>
      <c r="F9060" s="31" t="n">
        <f aca="false">CHOOSE($C$8987,I8800,I8813,I8826)</f>
        <v>0.105</v>
      </c>
      <c r="G9060" s="31" t="n">
        <f aca="false">CHOOSE($C$8987,J8800,J8813,J8826)</f>
        <v>0.105</v>
      </c>
      <c r="H9060" s="31" t="n">
        <f aca="false">CHOOSE($C$8987,K8800,K8813,K8826)</f>
        <v>0.105</v>
      </c>
    </row>
    <row r="9061" customFormat="false" ht="15" hidden="false" customHeight="false" outlineLevel="0" collapsed="false">
      <c r="A9061" s="3" t="s">
        <v>538</v>
      </c>
      <c r="D9061" s="25" t="n">
        <f aca="false">IF(D9059&lt;=$C$8996,$C$8988*D9060,0)</f>
        <v>10.5</v>
      </c>
      <c r="E9061" s="25" t="n">
        <f aca="false">IF(E9059&lt;=$C$8996,$C$8988*E9060,0)</f>
        <v>10.5</v>
      </c>
      <c r="F9061" s="25" t="n">
        <f aca="false">IF(F9059&lt;=$C$8996,$C$8988*F9060,0)</f>
        <v>10.5</v>
      </c>
      <c r="G9061" s="25" t="n">
        <f aca="false">IF(G9059&lt;=$C$8996,$C$8988*G9060,0)</f>
        <v>0</v>
      </c>
      <c r="H9061" s="25" t="n">
        <f aca="false">IF(H9059&lt;=$C$8996,$C$8988*H9060,0)</f>
        <v>0</v>
      </c>
    </row>
    <row r="9062" customFormat="false" ht="15" hidden="false" customHeight="false" outlineLevel="0" collapsed="false">
      <c r="A9062" s="3" t="s">
        <v>539</v>
      </c>
      <c r="D9062" s="25" t="n">
        <f aca="false">IF(AND($C$8917=0,D9059=$C$8991),$C$8988*$C$9056/100,0)+IF(AND($C$8917=1,D9059=$C$9057),$C$8994,0)</f>
        <v>0</v>
      </c>
      <c r="E9062" s="25" t="n">
        <f aca="false">IF(AND($C$8917=0,E9059=$C$8991),$C$8988*$C$9056/100,0)+IF(AND($C$8917=1,E9059=$C$9057),$C$8994,0)</f>
        <v>0</v>
      </c>
      <c r="F9062" s="25" t="n">
        <f aca="false">IF(AND($C$8917=0,F9059=$C$8991),$C$8988*$C$9056/100,0)+IF(AND($C$8917=1,F9059=$C$9057),$C$8994,0)</f>
        <v>95</v>
      </c>
      <c r="G9062" s="25" t="n">
        <f aca="false">IF(AND($C$8917=0,G9059=$C$8991),$C$8988*$C$9056/100,0)+IF(AND($C$8917=1,G9059=$C$9057),$C$8994,0)</f>
        <v>0</v>
      </c>
      <c r="H9062" s="25" t="n">
        <f aca="false">IF(AND($C$8917=0,H9059=$C$8991),$C$8988*$C$9056/100,0)+IF(AND($C$8917=1,H9059=$C$9057),$C$8994,0)</f>
        <v>0</v>
      </c>
      <c r="I9062" s="25" t="n">
        <f aca="false">IF(AND($C$8917=0,I9059=$C$8991),$C$8988*$C$9056/100,0)+IF(AND($C$8917=1,I9059=$C$9057),$C$8994,0)</f>
        <v>0</v>
      </c>
    </row>
    <row r="9063" customFormat="false" ht="15" hidden="false" customHeight="false" outlineLevel="0" collapsed="false">
      <c r="A9063" s="2" t="s">
        <v>540</v>
      </c>
      <c r="C9063" s="16" t="n">
        <f aca="false">-$C$8990</f>
        <v>-95</v>
      </c>
      <c r="D9063" s="16" t="n">
        <f aca="false">D9061+D9062</f>
        <v>10.5</v>
      </c>
      <c r="E9063" s="16" t="n">
        <f aca="false">E9061+E9062</f>
        <v>10.5</v>
      </c>
      <c r="F9063" s="16" t="n">
        <f aca="false">F9061+F9062</f>
        <v>105.5</v>
      </c>
      <c r="G9063" s="16" t="n">
        <f aca="false">G9061+G9062</f>
        <v>0</v>
      </c>
      <c r="H9063" s="16" t="n">
        <f aca="false">H9061+H9062</f>
        <v>0</v>
      </c>
      <c r="I9063" s="16" t="n">
        <f aca="false">I9061+I9062</f>
        <v>0</v>
      </c>
    </row>
    <row r="9064" customFormat="false" ht="15" hidden="false" customHeight="false" outlineLevel="0" collapsed="false">
      <c r="A9064" s="3" t="s">
        <v>541</v>
      </c>
      <c r="C9064" s="25" t="n">
        <f aca="false">SUM($C$9061:$I$9061)</f>
        <v>31.5</v>
      </c>
    </row>
    <row r="9065" customFormat="false" ht="15" hidden="false" customHeight="false" outlineLevel="0" collapsed="false">
      <c r="A9065" s="3" t="s">
        <v>542</v>
      </c>
      <c r="C9065" s="25" t="n">
        <f aca="false">SUM($C$9062:$I$9062)</f>
        <v>95</v>
      </c>
    </row>
    <row r="9066" customFormat="false" ht="15" hidden="false" customHeight="false" outlineLevel="0" collapsed="false">
      <c r="A9066" s="3" t="s">
        <v>543</v>
      </c>
      <c r="C9066" s="25" t="n">
        <f aca="false">C9064+C9065</f>
        <v>126.5</v>
      </c>
    </row>
    <row r="9067" customFormat="false" ht="15" hidden="false" customHeight="false" outlineLevel="0" collapsed="false">
      <c r="A9067" s="3" t="s">
        <v>544</v>
      </c>
      <c r="C9067" s="25" t="n">
        <f aca="false">C9065-C8988*C8989/100</f>
        <v>0</v>
      </c>
    </row>
    <row r="9068" customFormat="false" ht="15" hidden="false" customHeight="false" outlineLevel="0" collapsed="false">
      <c r="A9068" s="3" t="s">
        <v>545</v>
      </c>
      <c r="C9068" s="25" t="n">
        <f aca="false">C9066-C8990</f>
        <v>31.5</v>
      </c>
    </row>
    <row r="9069" customFormat="false" ht="15" hidden="false" customHeight="false" outlineLevel="0" collapsed="false">
      <c r="A9069" s="2" t="s">
        <v>427</v>
      </c>
      <c r="C9069" s="44" t="n">
        <f aca="false">C9066/C8990</f>
        <v>1.33157894736842</v>
      </c>
    </row>
    <row r="9070" customFormat="false" ht="15" hidden="false" customHeight="false" outlineLevel="0" collapsed="false">
      <c r="A9070" s="2" t="s">
        <v>426</v>
      </c>
      <c r="C9070" s="42" t="n">
        <f aca="false">IF(C9066&lt;=0,-1,IFERROR(IRR($C$9063:$I$9063,MAX(-0.9,C9069^(1/C9057)-1)),IRR($C$9063:$I$9063,0.1)))</f>
        <v>0.110526315789467</v>
      </c>
    </row>
    <row r="9071" customFormat="false" ht="15" hidden="false" customHeight="false" outlineLevel="0" collapsed="false">
      <c r="A9071" s="3" t="s">
        <v>546</v>
      </c>
      <c r="C9071" s="32" t="n">
        <f aca="false">MAX($G$8877:$K$8877)</f>
        <v>4.37034256161962</v>
      </c>
    </row>
    <row r="9072" customFormat="false" ht="15" hidden="false" customHeight="false" outlineLevel="0" collapsed="false">
      <c r="A9072" s="3" t="s">
        <v>547</v>
      </c>
      <c r="C9072" s="32" t="n">
        <f aca="false">MIN($G$8878:$K$8878)</f>
        <v>1.65235553610751</v>
      </c>
    </row>
    <row r="9073" customFormat="false" ht="15" hidden="false" customHeight="false" outlineLevel="0" collapsed="false">
      <c r="A9073" s="3" t="s">
        <v>548</v>
      </c>
      <c r="C9073" s="25" t="n">
        <f aca="false">SUM($G$8784:$K$8784)</f>
        <v>351.574501366928</v>
      </c>
    </row>
    <row r="9077" customFormat="false" ht="15" hidden="false" customHeight="false" outlineLevel="0" collapsed="false">
      <c r="A9077" s="9" t="s">
        <v>1042</v>
      </c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</row>
    <row r="9078" customFormat="false" ht="15" hidden="false" customHeight="false" outlineLevel="0" collapsed="false">
      <c r="A9078" s="3" t="s">
        <v>1010</v>
      </c>
      <c r="C9078" s="11" t="n">
        <v>3</v>
      </c>
    </row>
    <row r="9079" customFormat="false" ht="15" hidden="false" customHeight="false" outlineLevel="0" collapsed="false">
      <c r="A9079" s="3" t="s">
        <v>1011</v>
      </c>
      <c r="C9079" s="30" t="n">
        <f aca="false">Sensitivities!$A$40</f>
        <v>-0.1</v>
      </c>
    </row>
    <row r="9080" customFormat="false" ht="15" hidden="false" customHeight="false" outlineLevel="0" collapsed="false">
      <c r="A9080" s="3" t="s">
        <v>1012</v>
      </c>
      <c r="C9080" s="18" t="n">
        <v>0</v>
      </c>
    </row>
    <row r="9081" customFormat="false" ht="15" hidden="false" customHeight="false" outlineLevel="0" collapsed="false">
      <c r="A9081" s="3" t="s">
        <v>1013</v>
      </c>
      <c r="C9081" s="18" t="n">
        <v>0</v>
      </c>
    </row>
    <row r="9082" customFormat="false" ht="15" hidden="false" customHeight="false" outlineLevel="0" collapsed="false">
      <c r="A9082" s="3" t="s">
        <v>1014</v>
      </c>
      <c r="C9082" s="15" t="n">
        <v>0</v>
      </c>
    </row>
    <row r="9084" customFormat="false" ht="15" hidden="false" customHeight="false" outlineLevel="0" collapsed="false">
      <c r="A9084" s="23" t="s">
        <v>281</v>
      </c>
      <c r="B9084" s="24"/>
      <c r="C9084" s="24"/>
      <c r="D9084" s="24"/>
      <c r="E9084" s="24"/>
      <c r="F9084" s="24"/>
      <c r="G9084" s="24"/>
      <c r="H9084" s="24"/>
      <c r="I9084" s="24"/>
      <c r="J9084" s="24"/>
      <c r="K9084" s="24"/>
    </row>
    <row r="9085" customFormat="false" ht="15" hidden="false" customHeight="false" outlineLevel="0" collapsed="false">
      <c r="A9085" s="3" t="s">
        <v>282</v>
      </c>
      <c r="F9085" s="27" t="n">
        <f aca="false">Assumptions!$C$6</f>
        <v>2026</v>
      </c>
      <c r="G9085" s="20" t="n">
        <f aca="false">F9085+1</f>
        <v>2027</v>
      </c>
      <c r="H9085" s="20" t="n">
        <f aca="false">G9085+1</f>
        <v>2028</v>
      </c>
      <c r="I9085" s="20" t="n">
        <f aca="false">H9085+1</f>
        <v>2029</v>
      </c>
      <c r="J9085" s="20" t="n">
        <f aca="false">I9085+1</f>
        <v>2030</v>
      </c>
      <c r="K9085" s="20" t="n">
        <f aca="false">J9085+1</f>
        <v>2031</v>
      </c>
    </row>
    <row r="9086" customFormat="false" ht="15" hidden="false" customHeight="false" outlineLevel="0" collapsed="false">
      <c r="A9086" s="3" t="s">
        <v>283</v>
      </c>
      <c r="G9086" s="20" t="n">
        <f aca="false">G9085-Assumptions!$C$6</f>
        <v>1</v>
      </c>
      <c r="H9086" s="20" t="n">
        <f aca="false">H9085-Assumptions!$C$6</f>
        <v>2</v>
      </c>
      <c r="I9086" s="20" t="n">
        <f aca="false">I9085-Assumptions!$C$6</f>
        <v>3</v>
      </c>
      <c r="J9086" s="20" t="n">
        <f aca="false">J9085-Assumptions!$C$6</f>
        <v>4</v>
      </c>
      <c r="K9086" s="20" t="n">
        <f aca="false">K9085-Assumptions!$C$6</f>
        <v>5</v>
      </c>
    </row>
    <row r="9087" customFormat="false" ht="15" hidden="false" customHeight="false" outlineLevel="0" collapsed="false">
      <c r="A9087" s="3" t="s">
        <v>165</v>
      </c>
      <c r="G9087" s="21" t="n">
        <f aca="false">CHOOSE($C$9078,Assumptions!$G$71,Assumptions!$G$90,Assumptions!$G$109)+$C$9079</f>
        <v>-0.24</v>
      </c>
      <c r="H9087" s="21" t="n">
        <f aca="false">CHOOSE($C$9078,Assumptions!$H$71,Assumptions!$H$90,Assumptions!$H$109)+$C$9079</f>
        <v>-0.22</v>
      </c>
      <c r="I9087" s="21" t="n">
        <f aca="false">CHOOSE($C$9078,Assumptions!$I$71,Assumptions!$I$90,Assumptions!$I$109)+$C$9079</f>
        <v>-0.2</v>
      </c>
      <c r="J9087" s="21" t="n">
        <f aca="false">CHOOSE($C$9078,Assumptions!$J$71,Assumptions!$J$90,Assumptions!$J$109)+$C$9079</f>
        <v>-0.18</v>
      </c>
      <c r="K9087" s="21" t="n">
        <f aca="false">CHOOSE($C$9078,Assumptions!$K$71,Assumptions!$K$90,Assumptions!$K$109)+$C$9079</f>
        <v>-0.16</v>
      </c>
    </row>
    <row r="9088" customFormat="false" ht="15" hidden="false" customHeight="false" outlineLevel="0" collapsed="false">
      <c r="A9088" s="3" t="s">
        <v>166</v>
      </c>
      <c r="G9088" s="21" t="n">
        <f aca="false">CHOOSE($C$9078,Assumptions!$G$72,Assumptions!$G$91,Assumptions!$G$110)</f>
        <v>0.433246670103635</v>
      </c>
      <c r="H9088" s="21" t="n">
        <f aca="false">CHOOSE($C$9078,Assumptions!$H$72,Assumptions!$H$91,Assumptions!$H$110)</f>
        <v>0.418246670103635</v>
      </c>
      <c r="I9088" s="21" t="n">
        <f aca="false">CHOOSE($C$9078,Assumptions!$I$72,Assumptions!$I$91,Assumptions!$I$110)</f>
        <v>0.413246670103635</v>
      </c>
      <c r="J9088" s="21" t="n">
        <f aca="false">CHOOSE($C$9078,Assumptions!$J$72,Assumptions!$J$91,Assumptions!$J$110)</f>
        <v>0.413246670103635</v>
      </c>
      <c r="K9088" s="21" t="n">
        <f aca="false">CHOOSE($C$9078,Assumptions!$K$72,Assumptions!$K$91,Assumptions!$K$110)</f>
        <v>0.413246670103635</v>
      </c>
    </row>
    <row r="9089" customFormat="false" ht="15" hidden="false" customHeight="false" outlineLevel="0" collapsed="false">
      <c r="A9089" s="3" t="s">
        <v>167</v>
      </c>
      <c r="G9089" s="21" t="n">
        <f aca="false">CHOOSE($C$9078,Assumptions!$G$73,Assumptions!$G$92,Assumptions!$G$111)+$C$9080</f>
        <v>0.09</v>
      </c>
      <c r="H9089" s="21" t="n">
        <f aca="false">CHOOSE($C$9078,Assumptions!$H$73,Assumptions!$H$92,Assumptions!$H$111)+$C$9080</f>
        <v>0.075</v>
      </c>
      <c r="I9089" s="21" t="n">
        <f aca="false">CHOOSE($C$9078,Assumptions!$I$73,Assumptions!$I$92,Assumptions!$I$111)+$C$9080</f>
        <v>0.07</v>
      </c>
      <c r="J9089" s="21" t="n">
        <f aca="false">CHOOSE($C$9078,Assumptions!$J$73,Assumptions!$J$92,Assumptions!$J$111)+$C$9080</f>
        <v>0.07</v>
      </c>
      <c r="K9089" s="21" t="n">
        <f aca="false">CHOOSE($C$9078,Assumptions!$K$73,Assumptions!$K$92,Assumptions!$K$111)+$C$9080</f>
        <v>0.07</v>
      </c>
    </row>
    <row r="9090" customFormat="false" ht="15" hidden="false" customHeight="false" outlineLevel="0" collapsed="false">
      <c r="A9090" s="23" t="s">
        <v>284</v>
      </c>
      <c r="B9090" s="24"/>
      <c r="C9090" s="24"/>
      <c r="D9090" s="24"/>
      <c r="E9090" s="24"/>
      <c r="F9090" s="24"/>
      <c r="G9090" s="24"/>
      <c r="H9090" s="24"/>
      <c r="I9090" s="24"/>
      <c r="J9090" s="24"/>
      <c r="K9090" s="24"/>
    </row>
    <row r="9091" customFormat="false" ht="15" hidden="false" customHeight="false" outlineLevel="0" collapsed="false">
      <c r="A9091" s="2" t="s">
        <v>256</v>
      </c>
      <c r="F9091" s="28" t="n">
        <f aca="false">'Historical Financials'!G23</f>
        <v>2246.166</v>
      </c>
      <c r="G9091" s="16" t="n">
        <f aca="false">F9091*(1+G9087)</f>
        <v>1707.08616</v>
      </c>
      <c r="H9091" s="16" t="n">
        <f aca="false">G9091*(1+H9087)</f>
        <v>1331.5272048</v>
      </c>
      <c r="I9091" s="16" t="n">
        <f aca="false">H9091*(1+I9087)</f>
        <v>1065.22176384</v>
      </c>
      <c r="J9091" s="16" t="n">
        <f aca="false">I9091*(1+J9087)</f>
        <v>873.4818463488</v>
      </c>
      <c r="K9091" s="16" t="n">
        <f aca="false">J9091*(1+K9087)</f>
        <v>733.724750932992</v>
      </c>
    </row>
    <row r="9092" customFormat="false" ht="15" hidden="false" customHeight="false" outlineLevel="0" collapsed="false">
      <c r="A9092" s="3" t="s">
        <v>257</v>
      </c>
      <c r="G9092" s="25" t="n">
        <f aca="false">G9091*(1-G9088)</f>
        <v>967.4967656</v>
      </c>
      <c r="H9092" s="25" t="n">
        <f aca="false">H9091*(1-H9088)</f>
        <v>774.62038524</v>
      </c>
      <c r="I9092" s="25" t="n">
        <f aca="false">I9091*(1-I9088)</f>
        <v>625.0224170112</v>
      </c>
      <c r="J9092" s="25" t="n">
        <f aca="false">J9091*(1-J9088)</f>
        <v>512.518381949184</v>
      </c>
      <c r="K9092" s="25" t="n">
        <f aca="false">K9091*(1-K9088)</f>
        <v>430.515440837315</v>
      </c>
    </row>
    <row r="9093" customFormat="false" ht="15" hidden="false" customHeight="false" outlineLevel="0" collapsed="false">
      <c r="A9093" s="2" t="s">
        <v>258</v>
      </c>
      <c r="G9093" s="16" t="n">
        <f aca="false">G9091-G9092</f>
        <v>739.5893944</v>
      </c>
      <c r="H9093" s="16" t="n">
        <f aca="false">H9091-H9092</f>
        <v>556.90681956</v>
      </c>
      <c r="I9093" s="16" t="n">
        <f aca="false">I9091-I9092</f>
        <v>440.1993468288</v>
      </c>
      <c r="J9093" s="16" t="n">
        <f aca="false">J9091-J9092</f>
        <v>360.963464399616</v>
      </c>
      <c r="K9093" s="16" t="n">
        <f aca="false">K9091-K9092</f>
        <v>303.209310095678</v>
      </c>
    </row>
    <row r="9094" customFormat="false" ht="15" hidden="false" customHeight="false" outlineLevel="0" collapsed="false">
      <c r="A9094" s="3" t="s">
        <v>285</v>
      </c>
      <c r="G9094" s="25" t="n">
        <f aca="false">G9093-G9095</f>
        <v>585.95164</v>
      </c>
      <c r="H9094" s="25" t="n">
        <f aca="false">H9093-H9095</f>
        <v>457.0422792</v>
      </c>
      <c r="I9094" s="25" t="n">
        <f aca="false">I9093-I9095</f>
        <v>365.63382336</v>
      </c>
      <c r="J9094" s="25" t="n">
        <f aca="false">J9093-J9095</f>
        <v>299.8197351552</v>
      </c>
      <c r="K9094" s="25" t="n">
        <f aca="false">K9093-K9095</f>
        <v>251.848577530368</v>
      </c>
    </row>
    <row r="9095" customFormat="false" ht="15" hidden="false" customHeight="false" outlineLevel="0" collapsed="false">
      <c r="A9095" s="2" t="s">
        <v>286</v>
      </c>
      <c r="G9095" s="16" t="n">
        <f aca="false">G9091*G9089</f>
        <v>153.6377544</v>
      </c>
      <c r="H9095" s="16" t="n">
        <f aca="false">H9091*H9089</f>
        <v>99.86454036</v>
      </c>
      <c r="I9095" s="16" t="n">
        <f aca="false">I9091*I9089</f>
        <v>74.5655234688</v>
      </c>
      <c r="J9095" s="16" t="n">
        <f aca="false">J9091*J9089</f>
        <v>61.143729244416</v>
      </c>
      <c r="K9095" s="16" t="n">
        <f aca="false">K9091*K9089</f>
        <v>51.3607325653095</v>
      </c>
    </row>
    <row r="9096" customFormat="false" ht="15" hidden="false" customHeight="false" outlineLevel="0" collapsed="false">
      <c r="A9096" s="3" t="s">
        <v>287</v>
      </c>
      <c r="G9096" s="25" t="n">
        <f aca="false">G9091*'Historical Financials'!G28/'Historical Financials'!G23</f>
        <v>64.82496</v>
      </c>
      <c r="H9096" s="25" t="n">
        <f aca="false">H9091*'Historical Financials'!G28/'Historical Financials'!G23</f>
        <v>50.5634688</v>
      </c>
      <c r="I9096" s="25" t="n">
        <f aca="false">I9091*'Historical Financials'!G28/'Historical Financials'!G23</f>
        <v>40.45077504</v>
      </c>
      <c r="J9096" s="25" t="n">
        <f aca="false">J9091*'Historical Financials'!G28/'Historical Financials'!G23</f>
        <v>33.1696355328</v>
      </c>
      <c r="K9096" s="25" t="n">
        <f aca="false">K9091*'Historical Financials'!G28/'Historical Financials'!G23</f>
        <v>27.862493847552</v>
      </c>
    </row>
    <row r="9097" customFormat="false" ht="15" hidden="false" customHeight="false" outlineLevel="0" collapsed="false">
      <c r="A9097" s="3" t="s">
        <v>288</v>
      </c>
      <c r="G9097" s="25" t="n">
        <f aca="false">G9091*'Historical Financials'!G29/'Historical Financials'!G23</f>
        <v>18.51056</v>
      </c>
      <c r="H9097" s="25" t="n">
        <f aca="false">H9091*'Historical Financials'!G29/'Historical Financials'!G23</f>
        <v>14.4382368</v>
      </c>
      <c r="I9097" s="25" t="n">
        <f aca="false">I9091*'Historical Financials'!G29/'Historical Financials'!G23</f>
        <v>11.55058944</v>
      </c>
      <c r="J9097" s="25" t="n">
        <f aca="false">J9091*'Historical Financials'!G29/'Historical Financials'!G23</f>
        <v>9.4714833408</v>
      </c>
      <c r="K9097" s="25" t="n">
        <f aca="false">K9091*'Historical Financials'!G29/'Historical Financials'!G23</f>
        <v>7.956046006272</v>
      </c>
    </row>
    <row r="9098" customFormat="false" ht="15" hidden="false" customHeight="false" outlineLevel="0" collapsed="false">
      <c r="A9098" s="2" t="s">
        <v>289</v>
      </c>
      <c r="G9098" s="16" t="n">
        <f aca="false">G9095-G9096-G9097</f>
        <v>70.3022344</v>
      </c>
      <c r="H9098" s="16" t="n">
        <f aca="false">H9095-H9096-H9097</f>
        <v>34.86283476</v>
      </c>
      <c r="I9098" s="16" t="n">
        <f aca="false">I9095-I9096-I9097</f>
        <v>22.5641589888</v>
      </c>
      <c r="J9098" s="16" t="n">
        <f aca="false">J9095-J9096-J9097</f>
        <v>18.502610370816</v>
      </c>
      <c r="K9098" s="16" t="n">
        <f aca="false">K9095-K9096-K9097</f>
        <v>15.5421927114854</v>
      </c>
    </row>
    <row r="9099" customFormat="false" ht="15" hidden="false" customHeight="false" outlineLevel="0" collapsed="false">
      <c r="A9099" s="3" t="s">
        <v>290</v>
      </c>
      <c r="G9099" s="25" t="n">
        <f aca="false">G9125+G9138+G9151</f>
        <v>155.95467</v>
      </c>
      <c r="H9099" s="25" t="n">
        <f aca="false">H9125+H9138+H9151</f>
        <v>155.95467</v>
      </c>
      <c r="I9099" s="25" t="n">
        <f aca="false">I9125+I9138+I9151</f>
        <v>155.95467</v>
      </c>
      <c r="J9099" s="25" t="n">
        <f aca="false">J9125+J9138+J9151</f>
        <v>146.710915967423</v>
      </c>
      <c r="K9099" s="25" t="n">
        <f aca="false">K9125+K9138+K9151</f>
        <v>146.710915967423</v>
      </c>
    </row>
    <row r="9100" customFormat="false" ht="15" hidden="false" customHeight="false" outlineLevel="0" collapsed="false">
      <c r="A9100" s="3" t="s">
        <v>291</v>
      </c>
      <c r="G9100" s="25" t="n">
        <f aca="false">G9126+G9139+G9152</f>
        <v>0</v>
      </c>
      <c r="H9100" s="25" t="n">
        <f aca="false">H9126+H9139+H9152</f>
        <v>0</v>
      </c>
      <c r="I9100" s="25" t="n">
        <f aca="false">I9126+I9139+I9152</f>
        <v>0</v>
      </c>
      <c r="J9100" s="25" t="n">
        <f aca="false">J9126+J9139+J9152</f>
        <v>0</v>
      </c>
      <c r="K9100" s="25" t="n">
        <f aca="false">K9126+K9139+K9152</f>
        <v>0</v>
      </c>
    </row>
    <row r="9101" customFormat="false" ht="15" hidden="false" customHeight="false" outlineLevel="0" collapsed="false">
      <c r="A9101" s="3" t="s">
        <v>239</v>
      </c>
      <c r="G9101" s="25" t="n">
        <f aca="false">G9099+G9100</f>
        <v>155.95467</v>
      </c>
      <c r="H9101" s="25" t="n">
        <f aca="false">H9099+H9100</f>
        <v>155.95467</v>
      </c>
      <c r="I9101" s="25" t="n">
        <f aca="false">I9099+I9100</f>
        <v>155.95467</v>
      </c>
      <c r="J9101" s="25" t="n">
        <f aca="false">J9099+J9100</f>
        <v>146.710915967423</v>
      </c>
      <c r="K9101" s="25" t="n">
        <f aca="false">K9099+K9100</f>
        <v>146.710915967423</v>
      </c>
    </row>
    <row r="9102" customFormat="false" ht="15" hidden="false" customHeight="false" outlineLevel="0" collapsed="false">
      <c r="A9102" s="2" t="s">
        <v>264</v>
      </c>
      <c r="G9102" s="16" t="n">
        <f aca="false">G9098-G9101</f>
        <v>-85.6524356</v>
      </c>
      <c r="H9102" s="16" t="n">
        <f aca="false">H9098-H9101</f>
        <v>-121.09183524</v>
      </c>
      <c r="I9102" s="16" t="n">
        <f aca="false">I9098-I9101</f>
        <v>-133.3905110112</v>
      </c>
      <c r="J9102" s="16" t="n">
        <f aca="false">J9098-J9101</f>
        <v>-128.208305596607</v>
      </c>
      <c r="K9102" s="16" t="n">
        <f aca="false">K9098-K9101</f>
        <v>-131.168723255938</v>
      </c>
    </row>
    <row r="9103" customFormat="false" ht="15" hidden="false" customHeight="false" outlineLevel="0" collapsed="false">
      <c r="A9103" s="3" t="s">
        <v>292</v>
      </c>
      <c r="G9103" s="25" t="n">
        <f aca="false">MAX(0,G9102)*Assumptions!$C$9</f>
        <v>0</v>
      </c>
      <c r="H9103" s="25" t="n">
        <f aca="false">MAX(0,H9102)*Assumptions!$C$9</f>
        <v>0</v>
      </c>
      <c r="I9103" s="25" t="n">
        <f aca="false">MAX(0,I9102)*Assumptions!$C$9</f>
        <v>0</v>
      </c>
      <c r="J9103" s="25" t="n">
        <f aca="false">MAX(0,J9102)*Assumptions!$C$9</f>
        <v>0</v>
      </c>
      <c r="K9103" s="25" t="n">
        <f aca="false">MAX(0,K9102)*Assumptions!$C$9</f>
        <v>0</v>
      </c>
    </row>
    <row r="9104" customFormat="false" ht="15" hidden="false" customHeight="false" outlineLevel="0" collapsed="false">
      <c r="A9104" s="2" t="s">
        <v>293</v>
      </c>
      <c r="G9104" s="16" t="n">
        <f aca="false">G9102-G9103</f>
        <v>-85.6524356</v>
      </c>
      <c r="H9104" s="16" t="n">
        <f aca="false">H9102-H9103</f>
        <v>-121.09183524</v>
      </c>
      <c r="I9104" s="16" t="n">
        <f aca="false">I9102-I9103</f>
        <v>-133.3905110112</v>
      </c>
      <c r="J9104" s="16" t="n">
        <f aca="false">J9102-J9103</f>
        <v>-128.208305596607</v>
      </c>
      <c r="K9104" s="16" t="n">
        <f aca="false">K9102-K9103</f>
        <v>-131.168723255938</v>
      </c>
    </row>
    <row r="9105" customFormat="false" ht="15" hidden="false" customHeight="false" outlineLevel="0" collapsed="false">
      <c r="A9105" s="23" t="s">
        <v>294</v>
      </c>
      <c r="B9105" s="24"/>
      <c r="C9105" s="24"/>
      <c r="D9105" s="24"/>
      <c r="E9105" s="24"/>
      <c r="F9105" s="24"/>
      <c r="G9105" s="24"/>
      <c r="H9105" s="24"/>
      <c r="I9105" s="24"/>
      <c r="J9105" s="24"/>
      <c r="K9105" s="24"/>
    </row>
    <row r="9106" customFormat="false" ht="15" hidden="false" customHeight="false" outlineLevel="0" collapsed="false">
      <c r="A9106" s="3" t="s">
        <v>169</v>
      </c>
      <c r="G9106" s="25" t="n">
        <f aca="false">G9091*CHOOSE($C$9078,Assumptions!$C$75,Assumptions!$C$94,Assumptions!$C$113)</f>
        <v>18.77794776</v>
      </c>
      <c r="H9106" s="25" t="n">
        <f aca="false">H9091*CHOOSE($C$9078,Assumptions!$C$75,Assumptions!$C$94,Assumptions!$C$113)</f>
        <v>14.6467992528</v>
      </c>
      <c r="I9106" s="25" t="n">
        <f aca="false">I9091*CHOOSE($C$9078,Assumptions!$C$75,Assumptions!$C$94,Assumptions!$C$113)</f>
        <v>11.71743940224</v>
      </c>
      <c r="J9106" s="25" t="n">
        <f aca="false">J9091*CHOOSE($C$9078,Assumptions!$C$75,Assumptions!$C$94,Assumptions!$C$113)</f>
        <v>9.6083003098368</v>
      </c>
      <c r="K9106" s="25" t="n">
        <f aca="false">K9091*CHOOSE($C$9078,Assumptions!$C$75,Assumptions!$C$94,Assumptions!$C$113)</f>
        <v>8.07097226026291</v>
      </c>
    </row>
    <row r="9107" customFormat="false" ht="15" hidden="false" customHeight="false" outlineLevel="0" collapsed="false">
      <c r="A9107" s="3" t="s">
        <v>295</v>
      </c>
      <c r="G9107" s="25" t="n">
        <f aca="false">CHOOSE($C$9078,Assumptions!$C$76,Assumptions!$C$95,Assumptions!$C$114)*(G9091-F9091)+CHOOSE($C$9078,Assumptions!$C$77,Assumptions!$C$96,Assumptions!$C$115)*G9091</f>
        <v>25.6062924</v>
      </c>
      <c r="H9107" s="25" t="n">
        <f aca="false">CHOOSE($C$9078,Assumptions!$C$76,Assumptions!$C$95,Assumptions!$C$114)*(H9091-G9091)+CHOOSE($C$9078,Assumptions!$C$77,Assumptions!$C$96,Assumptions!$C$115)*H9091</f>
        <v>19.972908072</v>
      </c>
      <c r="I9107" s="25" t="n">
        <f aca="false">CHOOSE($C$9078,Assumptions!$C$76,Assumptions!$C$95,Assumptions!$C$114)*(I9091-H9091)+CHOOSE($C$9078,Assumptions!$C$77,Assumptions!$C$96,Assumptions!$C$115)*I9091</f>
        <v>15.9783264576</v>
      </c>
      <c r="J9107" s="25" t="n">
        <f aca="false">CHOOSE($C$9078,Assumptions!$C$76,Assumptions!$C$95,Assumptions!$C$114)*(J9091-I9091)+CHOOSE($C$9078,Assumptions!$C$77,Assumptions!$C$96,Assumptions!$C$115)*J9091</f>
        <v>13.102227695232</v>
      </c>
      <c r="K9107" s="25" t="n">
        <f aca="false">CHOOSE($C$9078,Assumptions!$C$76,Assumptions!$C$95,Assumptions!$C$114)*(K9091-J9091)+CHOOSE($C$9078,Assumptions!$C$77,Assumptions!$C$96,Assumptions!$C$115)*K9091</f>
        <v>11.0058712639949</v>
      </c>
    </row>
    <row r="9108" customFormat="false" ht="15" hidden="false" customHeight="false" outlineLevel="0" collapsed="false">
      <c r="A9108" s="2" t="s">
        <v>296</v>
      </c>
      <c r="G9108" s="16" t="n">
        <f aca="false">G9104+G9096+G9097+G9100-G9106-G9107</f>
        <v>-46.70115576</v>
      </c>
      <c r="H9108" s="16" t="n">
        <f aca="false">H9104+H9096+H9097+H9100-H9106-H9107</f>
        <v>-90.7098369648</v>
      </c>
      <c r="I9108" s="16" t="n">
        <f aca="false">I9104+I9096+I9097+I9100-I9106-I9107</f>
        <v>-109.08491239104</v>
      </c>
      <c r="J9108" s="16" t="n">
        <f aca="false">J9104+J9096+J9097+J9100-J9106-J9107</f>
        <v>-108.277714728076</v>
      </c>
      <c r="K9108" s="16" t="n">
        <f aca="false">K9104+K9096+K9097+K9100-K9106-K9107</f>
        <v>-114.427026926372</v>
      </c>
    </row>
    <row r="9110" customFormat="false" ht="15" hidden="false" customHeight="false" outlineLevel="0" collapsed="false">
      <c r="A9110" s="23" t="s">
        <v>298</v>
      </c>
      <c r="B9110" s="24"/>
      <c r="C9110" s="24"/>
      <c r="D9110" s="24"/>
      <c r="E9110" s="24"/>
      <c r="F9110" s="24"/>
      <c r="G9110" s="24"/>
      <c r="H9110" s="24"/>
      <c r="I9110" s="24"/>
      <c r="J9110" s="24"/>
      <c r="K9110" s="24"/>
    </row>
    <row r="9111" customFormat="false" ht="15" hidden="false" customHeight="false" outlineLevel="0" collapsed="false">
      <c r="A9111" s="3" t="s">
        <v>299</v>
      </c>
      <c r="G9111" s="30" t="n">
        <f aca="false">Assumptions!$G$52</f>
        <v>0.039</v>
      </c>
      <c r="H9111" s="30" t="n">
        <f aca="false">Assumptions!$H$52</f>
        <v>0.0375</v>
      </c>
      <c r="I9111" s="30" t="n">
        <f aca="false">Assumptions!$I$52</f>
        <v>0.035</v>
      </c>
      <c r="J9111" s="30" t="n">
        <f aca="false">Assumptions!$J$52</f>
        <v>0.035</v>
      </c>
      <c r="K9111" s="30" t="n">
        <f aca="false">Assumptions!$K$52</f>
        <v>0.035</v>
      </c>
    </row>
    <row r="9112" customFormat="false" ht="15" hidden="false" customHeight="false" outlineLevel="0" collapsed="false">
      <c r="A9112" s="3" t="s">
        <v>300</v>
      </c>
      <c r="C9112" s="31" t="n">
        <f aca="false">CHOOSE($C$9078,Assumptions!$C$78,Assumptions!$C$97,Assumptions!$C$116)+$C$9081</f>
        <v>0.03</v>
      </c>
    </row>
    <row r="9113" customFormat="false" ht="15" hidden="false" customHeight="false" outlineLevel="0" collapsed="false">
      <c r="A9113" s="3" t="s">
        <v>301</v>
      </c>
      <c r="C9113" s="31" t="n">
        <f aca="false">CHOOSE($C$9078,Assumptions!$C$79,Assumptions!$C$98,Assumptions!$C$117)</f>
        <v>0.15</v>
      </c>
    </row>
    <row r="9114" customFormat="false" ht="15" hidden="false" customHeight="false" outlineLevel="0" collapsed="false">
      <c r="A9114" s="3" t="s">
        <v>302</v>
      </c>
      <c r="C9114" s="32" t="n">
        <f aca="false">CHOOSE($C$9078,Assumptions!$C$80,Assumptions!$C$99,Assumptions!$C$118)</f>
        <v>5</v>
      </c>
    </row>
    <row r="9115" customFormat="false" ht="15" hidden="false" customHeight="false" outlineLevel="0" collapsed="false">
      <c r="A9115" s="3" t="s">
        <v>303</v>
      </c>
      <c r="C9115" s="32" t="n">
        <f aca="false">CHOOSE($C$9078,Assumptions!$C$81,Assumptions!$C$100,Assumptions!$C$119)</f>
        <v>1.75</v>
      </c>
    </row>
    <row r="9116" customFormat="false" ht="15" hidden="false" customHeight="false" outlineLevel="0" collapsed="false">
      <c r="A9116" s="3" t="s">
        <v>304</v>
      </c>
      <c r="G9116" s="25" t="n">
        <f aca="false">G9121+G9134+G9147</f>
        <v>1735.554</v>
      </c>
      <c r="H9116" s="25" t="n">
        <f aca="false">H9121+H9134+H9147</f>
        <v>1735.554</v>
      </c>
      <c r="I9116" s="25" t="n">
        <f aca="false">I9121+I9134+I9147</f>
        <v>1735.554</v>
      </c>
      <c r="J9116" s="25" t="n">
        <f aca="false">J9121+J9134+J9147</f>
        <v>1518.05390511584</v>
      </c>
      <c r="K9116" s="25" t="n">
        <f aca="false">K9121+K9134+K9147</f>
        <v>1518.05390511584</v>
      </c>
    </row>
    <row r="9117" customFormat="false" ht="15" hidden="false" customHeight="false" outlineLevel="0" collapsed="false">
      <c r="A9117" s="3" t="s">
        <v>305</v>
      </c>
      <c r="G9117" s="25" t="n">
        <f aca="false">F9190</f>
        <v>463.996</v>
      </c>
      <c r="H9117" s="25" t="n">
        <f aca="false">G9190</f>
        <v>417.29484424</v>
      </c>
      <c r="I9117" s="25" t="n">
        <f aca="false">H9190</f>
        <v>326.5850072752</v>
      </c>
      <c r="J9117" s="25" t="n">
        <f aca="false">I9190</f>
        <v>0</v>
      </c>
      <c r="K9117" s="25" t="n">
        <f aca="false">J9190</f>
        <v>-108.277714728076</v>
      </c>
    </row>
    <row r="9118" customFormat="false" ht="15" hidden="false" customHeight="false" outlineLevel="0" collapsed="false">
      <c r="A9118" s="3" t="s">
        <v>306</v>
      </c>
      <c r="G9118" s="25" t="n">
        <f aca="false">G9121*IF(G9122=1,$C$9113,IF(Assumptions!$I$56=1,MAX(G9111,Assumptions!$G$56)+Assumptions!$F$56+$C$9112,Assumptions!$E$56))+G9134*IF(G9135=1,$C$9113,IF(Assumptions!$I$57=1,MAX(G9111,Assumptions!$G$57)+Assumptions!$F$57+$C$9112,Assumptions!$E$57))+G9147*IF(G9148=1,$C$9113,IF(Assumptions!$I$58=1,MAX(G9111,Assumptions!$G$58)+Assumptions!$F$58+$C$9112,Assumptions!$E$58))</f>
        <v>155.95467</v>
      </c>
      <c r="H9118" s="25" t="n">
        <f aca="false">H9121*IF(OR(H9122=1,G9268=1),$C$9113,IF(Assumptions!$I$56=1,MAX(H9111,Assumptions!$G$56)+Assumptions!$F$56+$C$9112,Assumptions!$E$56))+H9134*IF(OR(H9135=1,G9269=1),$C$9113,IF(Assumptions!$I$57=1,MAX(H9111,Assumptions!$G$57)+Assumptions!$F$57+$C$9112,Assumptions!$E$57))+H9147*IF(OR(H9148=1,G9270=1),$C$9113,IF(Assumptions!$I$58=1,MAX(H9111,Assumptions!$G$58)+Assumptions!$F$58+$C$9112,Assumptions!$E$58))</f>
        <v>155.95467</v>
      </c>
      <c r="I9118" s="25" t="n">
        <f aca="false">I9121*IF(OR(I9122=1,H9268=1),$C$9113,IF(Assumptions!$I$56=1,MAX(I9111,Assumptions!$G$56)+Assumptions!$F$56+$C$9112,Assumptions!$E$56))+I9134*IF(OR(I9135=1,H9269=1),$C$9113,IF(Assumptions!$I$57=1,MAX(I9111,Assumptions!$G$57)+Assumptions!$F$57+$C$9112,Assumptions!$E$57))+I9147*IF(OR(I9148=1,H9270=1),$C$9113,IF(Assumptions!$I$58=1,MAX(I9111,Assumptions!$G$58)+Assumptions!$F$58+$C$9112,Assumptions!$E$58))</f>
        <v>201.15369</v>
      </c>
      <c r="J9118" s="25" t="n">
        <f aca="false">J9121*IF(OR(J9122=1,I9268=1),$C$9113,IF(Assumptions!$I$56=1,MAX(J9111,Assumptions!$G$56)+Assumptions!$F$56+$C$9112,Assumptions!$E$56))+J9134*IF(OR(J9135=1,I9269=1),$C$9113,IF(Assumptions!$I$57=1,MAX(J9111,Assumptions!$G$57)+Assumptions!$F$57+$C$9112,Assumptions!$E$57))+J9147*IF(OR(J9148=1,I9270=1),$C$9113,IF(Assumptions!$I$58=1,MAX(J9111,Assumptions!$G$58)+Assumptions!$F$58+$C$9112,Assumptions!$E$58))</f>
        <v>146.710915967423</v>
      </c>
      <c r="K9118" s="25" t="n">
        <f aca="false">K9121*IF(OR(K9122=1,J9268=1),$C$9113,IF(Assumptions!$I$56=1,MAX(K9111,Assumptions!$G$56)+Assumptions!$F$56+$C$9112,Assumptions!$E$56))+K9134*IF(OR(K9135=1,J9269=1),$C$9113,IF(Assumptions!$I$57=1,MAX(K9111,Assumptions!$G$57)+Assumptions!$F$57+$C$9112,Assumptions!$E$57))+K9147*IF(OR(K9148=1,J9270=1),$C$9113,IF(Assumptions!$I$58=1,MAX(K9111,Assumptions!$G$58)+Assumptions!$F$58+$C$9112,Assumptions!$E$58))</f>
        <v>146.710915967423</v>
      </c>
    </row>
    <row r="9119" customFormat="false" ht="15" hidden="false" customHeight="false" outlineLevel="0" collapsed="false">
      <c r="A9119" s="3" t="s">
        <v>307</v>
      </c>
      <c r="G9119" s="20" t="n">
        <f aca="false">IF(G9095&lt;=0,0,IF(AND((G9116-G9117)/G9095&lt;=$C$9114,G9095/G9118&gt;=$C$9115),1,0))</f>
        <v>0</v>
      </c>
      <c r="H9119" s="20" t="n">
        <f aca="false">IF(H9095&lt;=0,0,IF(AND((H9116-H9117)/H9095&lt;=$C$9114,H9095/H9118&gt;=$C$9115),1,0))</f>
        <v>0</v>
      </c>
      <c r="I9119" s="20" t="n">
        <f aca="false">IF(I9095&lt;=0,0,IF(AND((I9116-I9117)/I9095&lt;=$C$9114,I9095/I9118&gt;=$C$9115),1,0))</f>
        <v>0</v>
      </c>
      <c r="J9119" s="20" t="n">
        <f aca="false">IF(J9095&lt;=0,0,IF(AND((J9116-J9117)/J9095&lt;=$C$9114,J9095/J9118&gt;=$C$9115),1,0))</f>
        <v>0</v>
      </c>
      <c r="K9119" s="20" t="n">
        <f aca="false">IF(K9095&lt;=0,0,IF(AND((K9116-K9117)/K9095&lt;=$C$9114,K9095/K9118&gt;=$C$9115),1,0))</f>
        <v>0</v>
      </c>
    </row>
    <row r="9120" customFormat="false" ht="15" hidden="false" customHeight="false" outlineLevel="0" collapsed="false">
      <c r="A9120" s="23" t="s">
        <v>308</v>
      </c>
      <c r="B9120" s="24"/>
      <c r="C9120" s="24"/>
      <c r="D9120" s="24"/>
      <c r="E9120" s="24"/>
      <c r="F9120" s="24"/>
      <c r="G9120" s="24"/>
      <c r="H9120" s="24"/>
      <c r="I9120" s="24"/>
      <c r="J9120" s="24"/>
      <c r="K9120" s="24"/>
    </row>
    <row r="9121" customFormat="false" ht="15" hidden="false" customHeight="false" outlineLevel="0" collapsed="false">
      <c r="A9121" s="3" t="s">
        <v>309</v>
      </c>
      <c r="G9121" s="25" t="n">
        <f aca="false">F9132</f>
        <v>1315.098</v>
      </c>
      <c r="H9121" s="25" t="n">
        <f aca="false">G9132</f>
        <v>1315.098</v>
      </c>
      <c r="I9121" s="25" t="n">
        <f aca="false">H9132</f>
        <v>1315.098</v>
      </c>
      <c r="J9121" s="25" t="n">
        <f aca="false">I9132</f>
        <v>1315.098</v>
      </c>
      <c r="K9121" s="25" t="n">
        <f aca="false">J9132</f>
        <v>1315.098</v>
      </c>
    </row>
    <row r="9122" customFormat="false" ht="15" hidden="false" customHeight="false" outlineLevel="0" collapsed="false">
      <c r="A9122" s="3" t="s">
        <v>310</v>
      </c>
      <c r="G9122" s="20" t="n">
        <f aca="false">IF(G9085=Assumptions!$K$56,1,0)</f>
        <v>0</v>
      </c>
      <c r="H9122" s="20" t="n">
        <f aca="false">IF(H9085=Assumptions!$K$56,1,0)</f>
        <v>0</v>
      </c>
      <c r="I9122" s="20" t="n">
        <f aca="false">IF(I9085=Assumptions!$K$56,1,0)</f>
        <v>0</v>
      </c>
      <c r="J9122" s="20" t="n">
        <f aca="false">IF(J9085=Assumptions!$K$56,1,0)</f>
        <v>0</v>
      </c>
      <c r="K9122" s="20" t="n">
        <f aca="false">IF(K9085=Assumptions!$K$56,1,0)</f>
        <v>0</v>
      </c>
    </row>
    <row r="9124" customFormat="false" ht="15" hidden="false" customHeight="false" outlineLevel="0" collapsed="false">
      <c r="A9124" s="3" t="s">
        <v>311</v>
      </c>
      <c r="G9124" s="31" t="n">
        <f aca="false">IF(Assumptions!$I$56=1,MAX(G9111,Assumptions!$G$56)+Assumptions!$F$56+$C$9112,Assumptions!$E$56)</f>
        <v>0.105</v>
      </c>
      <c r="H9124" s="31" t="n">
        <f aca="false">IF(G9268=1,$C$9113,IF(Assumptions!$I$56=1,MAX(H9111,Assumptions!$G$56)+Assumptions!$F$56+$C$9112,Assumptions!$E$56))</f>
        <v>0.105</v>
      </c>
      <c r="I9124" s="31" t="n">
        <f aca="false">IF(H9268=1,$C$9113,IF(Assumptions!$I$56=1,MAX(I9111,Assumptions!$G$56)+Assumptions!$F$56+$C$9112,Assumptions!$E$56))</f>
        <v>0.105</v>
      </c>
      <c r="J9124" s="31" t="n">
        <f aca="false">IF(I9268=1,$C$9113,IF(Assumptions!$I$56=1,MAX(J9111,Assumptions!$G$56)+Assumptions!$F$56+$C$9112,Assumptions!$E$56))</f>
        <v>0.105</v>
      </c>
      <c r="K9124" s="31" t="n">
        <f aca="false">IF(J9268=1,$C$9113,IF(Assumptions!$I$56=1,MAX(K9111,Assumptions!$G$56)+Assumptions!$F$56+$C$9112,Assumptions!$E$56))</f>
        <v>0.105</v>
      </c>
    </row>
    <row r="9125" customFormat="false" ht="15" hidden="false" customHeight="false" outlineLevel="0" collapsed="false">
      <c r="A9125" s="3" t="s">
        <v>312</v>
      </c>
      <c r="G9125" s="25" t="n">
        <f aca="false">G9121*G9124</f>
        <v>138.08529</v>
      </c>
      <c r="H9125" s="25" t="n">
        <f aca="false">H9121*H9124</f>
        <v>138.08529</v>
      </c>
      <c r="I9125" s="25" t="n">
        <f aca="false">I9121*I9124</f>
        <v>138.08529</v>
      </c>
      <c r="J9125" s="25" t="n">
        <f aca="false">J9121*J9124</f>
        <v>138.08529</v>
      </c>
      <c r="K9125" s="25" t="n">
        <f aca="false">K9121*K9124</f>
        <v>138.08529</v>
      </c>
    </row>
    <row r="9126" customFormat="false" ht="15" hidden="false" customHeight="false" outlineLevel="0" collapsed="false">
      <c r="A9126" s="3" t="s">
        <v>313</v>
      </c>
      <c r="G9126" s="25" t="n">
        <f aca="false">G9121*Assumptions!$H$56</f>
        <v>0</v>
      </c>
      <c r="H9126" s="25" t="n">
        <f aca="false">H9121*Assumptions!$H$56</f>
        <v>0</v>
      </c>
      <c r="I9126" s="25" t="n">
        <f aca="false">I9121*Assumptions!$H$56</f>
        <v>0</v>
      </c>
      <c r="J9126" s="25" t="n">
        <f aca="false">J9121*Assumptions!$H$56</f>
        <v>0</v>
      </c>
      <c r="K9126" s="25" t="n">
        <f aca="false">K9121*Assumptions!$H$56</f>
        <v>0</v>
      </c>
    </row>
    <row r="9127" customFormat="false" ht="15" hidden="false" customHeight="false" outlineLevel="0" collapsed="false">
      <c r="A9127" s="3" t="s">
        <v>314</v>
      </c>
      <c r="G9127" s="25" t="n">
        <f aca="false">MIN(G9121,Assumptions!$L$56*Assumptions!$C$56)</f>
        <v>0</v>
      </c>
      <c r="H9127" s="25" t="n">
        <f aca="false">MIN(H9121,Assumptions!$L$56*Assumptions!$C$56)</f>
        <v>0</v>
      </c>
      <c r="I9127" s="25" t="n">
        <f aca="false">MIN(I9121,Assumptions!$L$56*Assumptions!$C$56)</f>
        <v>0</v>
      </c>
      <c r="J9127" s="25" t="n">
        <f aca="false">MIN(J9121,Assumptions!$L$56*Assumptions!$C$56)</f>
        <v>0</v>
      </c>
      <c r="K9127" s="25" t="n">
        <f aca="false">MIN(K9121,Assumptions!$L$56*Assumptions!$C$56)</f>
        <v>0</v>
      </c>
    </row>
    <row r="9128" customFormat="false" ht="15" hidden="false" customHeight="false" outlineLevel="0" collapsed="false">
      <c r="A9128" s="3" t="s">
        <v>315</v>
      </c>
      <c r="G9128" s="25" t="n">
        <f aca="false">IF(AND(Assumptions!$P$56=1,G9085&lt;Assumptions!$K$56),MIN(MAX(0,-G9182),MAX(0,Assumptions!$D$56-G9121)),0)</f>
        <v>0</v>
      </c>
      <c r="H9128" s="25" t="n">
        <f aca="false">IF(AND(Assumptions!$P$56=1,OR(H9085&lt;Assumptions!$K$56,G9268=1)),MIN(MAX(0,-H9182),MAX(0,Assumptions!$D$56-H9121)),0)</f>
        <v>0</v>
      </c>
      <c r="I9128" s="25" t="n">
        <f aca="false">IF(AND(Assumptions!$P$56=1,OR(I9085&lt;Assumptions!$K$56,H9268=1)),MIN(MAX(0,-I9182),MAX(0,Assumptions!$D$56-I9121)),0)</f>
        <v>0</v>
      </c>
      <c r="J9128" s="25" t="n">
        <f aca="false">IF(AND(Assumptions!$P$56=1,OR(J9085&lt;Assumptions!$K$56,I9268=1)),MIN(MAX(0,-J9182),MAX(0,Assumptions!$D$56-J9121)),0)</f>
        <v>0</v>
      </c>
      <c r="K9128" s="25" t="n">
        <f aca="false">IF(AND(Assumptions!$P$56=1,OR(K9085&lt;Assumptions!$K$56,J9268=1)),MIN(MAX(0,-K9182),MAX(0,Assumptions!$D$56-K9121)),0)</f>
        <v>0</v>
      </c>
    </row>
    <row r="9129" customFormat="false" ht="15" hidden="false" customHeight="false" outlineLevel="0" collapsed="false">
      <c r="A9129" s="3" t="s">
        <v>316</v>
      </c>
      <c r="G9129" s="25" t="n">
        <f aca="false">G9122*MIN(G9121-G9127+G9126,MAX(0,G9184-Assumptions!$C$12*G9119))</f>
        <v>0</v>
      </c>
      <c r="H9129" s="25" t="n">
        <f aca="false">H9122*MIN(H9121-H9127+H9126,MAX(0,H9184-Assumptions!$C$12*H9119))</f>
        <v>0</v>
      </c>
      <c r="I9129" s="25" t="n">
        <f aca="false">I9122*MIN(I9121-I9127+I9126,MAX(0,I9184-Assumptions!$C$12*I9119))</f>
        <v>0</v>
      </c>
      <c r="J9129" s="25" t="n">
        <f aca="false">J9122*MIN(J9121-J9127+J9126,MAX(0,J9184-Assumptions!$C$12*J9119))</f>
        <v>0</v>
      </c>
      <c r="K9129" s="25" t="n">
        <f aca="false">K9122*MIN(K9121-K9127+K9126,MAX(0,K9184-Assumptions!$C$12*K9119))</f>
        <v>0</v>
      </c>
    </row>
    <row r="9130" customFormat="false" ht="15" hidden="false" customHeight="false" outlineLevel="0" collapsed="false">
      <c r="A9130" s="3" t="s">
        <v>317</v>
      </c>
      <c r="G9130" s="25" t="n">
        <f aca="false">Assumptions!$N$56*MIN(G9121+G9128+G9126-G9127-G9129,MAX(0,G9188))</f>
        <v>0</v>
      </c>
      <c r="H9130" s="25" t="n">
        <f aca="false">Assumptions!$N$56*MIN(H9121+H9128+H9126-H9127-H9129,MAX(0,H9188))</f>
        <v>0</v>
      </c>
      <c r="I9130" s="25" t="n">
        <f aca="false">Assumptions!$N$56*MIN(I9121+I9128+I9126-I9127-I9129,MAX(0,I9188))</f>
        <v>0</v>
      </c>
      <c r="J9130" s="25" t="n">
        <f aca="false">Assumptions!$N$56*MIN(J9121+J9128+J9126-J9127-J9129,MAX(0,J9188))</f>
        <v>0</v>
      </c>
      <c r="K9130" s="25" t="n">
        <f aca="false">Assumptions!$N$56*MIN(K9121+K9128+K9126-K9127-K9129,MAX(0,K9188))</f>
        <v>0</v>
      </c>
    </row>
    <row r="9131" customFormat="false" ht="15" hidden="false" customHeight="false" outlineLevel="0" collapsed="false">
      <c r="A9131" s="3" t="s">
        <v>318</v>
      </c>
      <c r="G9131" s="25" t="n">
        <f aca="false">G9122*(1-G9119)*(G9121-G9127+G9126-G9129)</f>
        <v>0</v>
      </c>
      <c r="H9131" s="25" t="n">
        <f aca="false">H9122*(1-H9119)*(H9121-H9127+H9126-H9129)</f>
        <v>0</v>
      </c>
      <c r="I9131" s="25" t="n">
        <f aca="false">I9122*(1-I9119)*(I9121-I9127+I9126-I9129)</f>
        <v>0</v>
      </c>
      <c r="J9131" s="25" t="n">
        <f aca="false">J9122*(1-J9119)*(J9121-J9127+J9126-J9129)</f>
        <v>0</v>
      </c>
      <c r="K9131" s="25" t="n">
        <f aca="false">K9122*(1-K9119)*(K9121-K9127+K9126-K9129)</f>
        <v>0</v>
      </c>
    </row>
    <row r="9132" customFormat="false" ht="15" hidden="false" customHeight="false" outlineLevel="0" collapsed="false">
      <c r="A9132" s="2" t="s">
        <v>319</v>
      </c>
      <c r="F9132" s="28" t="n">
        <f aca="false">Assumptions!$C$56</f>
        <v>1315.098</v>
      </c>
      <c r="G9132" s="16" t="n">
        <f aca="false">G9121+G9128+G9126-G9127-G9129-G9130</f>
        <v>1315.098</v>
      </c>
      <c r="H9132" s="16" t="n">
        <f aca="false">H9121+H9128+H9126-H9127-H9129-H9130</f>
        <v>1315.098</v>
      </c>
      <c r="I9132" s="16" t="n">
        <f aca="false">I9121+I9128+I9126-I9127-I9129-I9130</f>
        <v>1315.098</v>
      </c>
      <c r="J9132" s="16" t="n">
        <f aca="false">J9121+J9128+J9126-J9127-J9129-J9130</f>
        <v>1315.098</v>
      </c>
      <c r="K9132" s="16" t="n">
        <f aca="false">K9121+K9128+K9126-K9127-K9129-K9130</f>
        <v>1315.098</v>
      </c>
    </row>
    <row r="9133" customFormat="false" ht="15" hidden="false" customHeight="false" outlineLevel="0" collapsed="false">
      <c r="A9133" s="23" t="s">
        <v>320</v>
      </c>
      <c r="B9133" s="24"/>
      <c r="C9133" s="24"/>
      <c r="D9133" s="24"/>
      <c r="E9133" s="24"/>
      <c r="F9133" s="24"/>
      <c r="G9133" s="24"/>
      <c r="H9133" s="24"/>
      <c r="I9133" s="24"/>
      <c r="J9133" s="24"/>
      <c r="K9133" s="24"/>
    </row>
    <row r="9134" customFormat="false" ht="15" hidden="false" customHeight="false" outlineLevel="0" collapsed="false">
      <c r="A9134" s="3" t="s">
        <v>309</v>
      </c>
      <c r="G9134" s="25" t="n">
        <f aca="false">F9145</f>
        <v>276.706</v>
      </c>
      <c r="H9134" s="25" t="n">
        <f aca="false">G9145</f>
        <v>276.706</v>
      </c>
      <c r="I9134" s="25" t="n">
        <f aca="false">H9145</f>
        <v>276.706</v>
      </c>
      <c r="J9134" s="25" t="n">
        <f aca="false">I9145</f>
        <v>59.20590511584</v>
      </c>
      <c r="K9134" s="25" t="n">
        <f aca="false">J9145</f>
        <v>59.20590511584</v>
      </c>
    </row>
    <row r="9135" customFormat="false" ht="15" hidden="false" customHeight="false" outlineLevel="0" collapsed="false">
      <c r="A9135" s="3" t="s">
        <v>310</v>
      </c>
      <c r="G9135" s="20" t="n">
        <f aca="false">IF(G9085=Assumptions!$K$57,1,0)</f>
        <v>0</v>
      </c>
      <c r="H9135" s="20" t="n">
        <f aca="false">IF(H9085=Assumptions!$K$57,1,0)</f>
        <v>0</v>
      </c>
      <c r="I9135" s="20" t="n">
        <f aca="false">IF(I9085=Assumptions!$K$57,1,0)</f>
        <v>1</v>
      </c>
      <c r="J9135" s="20" t="n">
        <f aca="false">IF(J9085=Assumptions!$K$57,1,0)</f>
        <v>0</v>
      </c>
      <c r="K9135" s="20" t="n">
        <f aca="false">IF(K9085=Assumptions!$K$57,1,0)</f>
        <v>0</v>
      </c>
    </row>
    <row r="9137" customFormat="false" ht="15" hidden="false" customHeight="false" outlineLevel="0" collapsed="false">
      <c r="A9137" s="3" t="s">
        <v>311</v>
      </c>
      <c r="G9137" s="31" t="n">
        <f aca="false">IF(Assumptions!$I$57=1,MAX(G9111,Assumptions!$G$57)+Assumptions!$F$57+$C$9112,Assumptions!$E$57)</f>
        <v>0.0425</v>
      </c>
      <c r="H9137" s="31" t="n">
        <f aca="false">IF(G9269=1,$C$9113,IF(Assumptions!$I$57=1,MAX(H9111,Assumptions!$G$57)+Assumptions!$F$57+$C$9112,Assumptions!$E$57))</f>
        <v>0.0425</v>
      </c>
      <c r="I9137" s="31" t="n">
        <f aca="false">IF(H9269=1,$C$9113,IF(Assumptions!$I$57=1,MAX(I9111,Assumptions!$G$57)+Assumptions!$F$57+$C$9112,Assumptions!$E$57))</f>
        <v>0.0425</v>
      </c>
      <c r="J9137" s="31" t="n">
        <f aca="false">IF(I9269=1,$C$9113,IF(Assumptions!$I$57=1,MAX(J9111,Assumptions!$G$57)+Assumptions!$F$57+$C$9112,Assumptions!$E$57))</f>
        <v>0.0425</v>
      </c>
      <c r="K9137" s="31" t="n">
        <f aca="false">IF(J9269=1,$C$9113,IF(Assumptions!$I$57=1,MAX(K9111,Assumptions!$G$57)+Assumptions!$F$57+$C$9112,Assumptions!$E$57))</f>
        <v>0.0425</v>
      </c>
    </row>
    <row r="9138" customFormat="false" ht="15" hidden="false" customHeight="false" outlineLevel="0" collapsed="false">
      <c r="A9138" s="3" t="s">
        <v>312</v>
      </c>
      <c r="G9138" s="25" t="n">
        <f aca="false">G9134*G9137</f>
        <v>11.760005</v>
      </c>
      <c r="H9138" s="25" t="n">
        <f aca="false">H9134*H9137</f>
        <v>11.760005</v>
      </c>
      <c r="I9138" s="25" t="n">
        <f aca="false">I9134*I9137</f>
        <v>11.760005</v>
      </c>
      <c r="J9138" s="25" t="n">
        <f aca="false">J9134*J9137</f>
        <v>2.5162509674232</v>
      </c>
      <c r="K9138" s="25" t="n">
        <f aca="false">K9134*K9137</f>
        <v>2.5162509674232</v>
      </c>
    </row>
    <row r="9139" customFormat="false" ht="15" hidden="false" customHeight="false" outlineLevel="0" collapsed="false">
      <c r="A9139" s="3" t="s">
        <v>313</v>
      </c>
      <c r="G9139" s="25" t="n">
        <f aca="false">G9134*Assumptions!$H$57</f>
        <v>0</v>
      </c>
      <c r="H9139" s="25" t="n">
        <f aca="false">H9134*Assumptions!$H$57</f>
        <v>0</v>
      </c>
      <c r="I9139" s="25" t="n">
        <f aca="false">I9134*Assumptions!$H$57</f>
        <v>0</v>
      </c>
      <c r="J9139" s="25" t="n">
        <f aca="false">J9134*Assumptions!$H$57</f>
        <v>0</v>
      </c>
      <c r="K9139" s="25" t="n">
        <f aca="false">K9134*Assumptions!$H$57</f>
        <v>0</v>
      </c>
    </row>
    <row r="9140" customFormat="false" ht="15" hidden="false" customHeight="false" outlineLevel="0" collapsed="false">
      <c r="A9140" s="3" t="s">
        <v>314</v>
      </c>
      <c r="G9140" s="25" t="n">
        <f aca="false">MIN(G9134,Assumptions!$L$57*Assumptions!$C$57)</f>
        <v>0</v>
      </c>
      <c r="H9140" s="25" t="n">
        <f aca="false">MIN(H9134,Assumptions!$L$57*Assumptions!$C$57)</f>
        <v>0</v>
      </c>
      <c r="I9140" s="25" t="n">
        <f aca="false">MIN(I9134,Assumptions!$L$57*Assumptions!$C$57)</f>
        <v>0</v>
      </c>
      <c r="J9140" s="25" t="n">
        <f aca="false">MIN(J9134,Assumptions!$L$57*Assumptions!$C$57)</f>
        <v>0</v>
      </c>
      <c r="K9140" s="25" t="n">
        <f aca="false">MIN(K9134,Assumptions!$L$57*Assumptions!$C$57)</f>
        <v>0</v>
      </c>
    </row>
    <row r="9141" customFormat="false" ht="15" hidden="false" customHeight="false" outlineLevel="0" collapsed="false">
      <c r="A9141" s="3" t="s">
        <v>315</v>
      </c>
      <c r="G9141" s="25" t="n">
        <f aca="false">IF(AND(Assumptions!$P$57=1,G9085&lt;Assumptions!$K$57),MIN(MAX(0,-G9182),MAX(0,Assumptions!$D$57-G9134)),0)</f>
        <v>0</v>
      </c>
      <c r="H9141" s="25" t="n">
        <f aca="false">IF(AND(Assumptions!$P$57=1,OR(H9085&lt;Assumptions!$K$57,G9269=1)),MIN(MAX(0,-H9182),MAX(0,Assumptions!$D$57-H9134)),0)</f>
        <v>0</v>
      </c>
      <c r="I9141" s="25" t="n">
        <f aca="false">IF(AND(Assumptions!$P$57=1,OR(I9085&lt;Assumptions!$K$57,H9269=1)),MIN(MAX(0,-I9182),MAX(0,Assumptions!$D$57-I9134)),0)</f>
        <v>0</v>
      </c>
      <c r="J9141" s="25" t="n">
        <f aca="false">IF(AND(Assumptions!$P$57=1,OR(J9085&lt;Assumptions!$K$57,I9269=1)),MIN(MAX(0,-J9182),MAX(0,Assumptions!$D$57-J9134)),0)</f>
        <v>0</v>
      </c>
      <c r="K9141" s="25" t="n">
        <f aca="false">IF(AND(Assumptions!$P$57=1,OR(K9085&lt;Assumptions!$K$57,J9269=1)),MIN(MAX(0,-K9182),MAX(0,Assumptions!$D$57-K9134)),0)</f>
        <v>0</v>
      </c>
    </row>
    <row r="9142" customFormat="false" ht="15" hidden="false" customHeight="false" outlineLevel="0" collapsed="false">
      <c r="A9142" s="3" t="s">
        <v>316</v>
      </c>
      <c r="G9142" s="25" t="n">
        <f aca="false">G9135*MIN(G9134-G9140+G9139,MAX(0,G9184-Assumptions!$C$12*G9119-G9129))</f>
        <v>0</v>
      </c>
      <c r="H9142" s="25" t="n">
        <f aca="false">H9135*MIN(H9134-H9140+H9139,MAX(0,H9184-Assumptions!$C$12*H9119-H9129))</f>
        <v>0</v>
      </c>
      <c r="I9142" s="25" t="n">
        <f aca="false">I9135*MIN(I9134-I9140+I9139,MAX(0,I9184-Assumptions!$C$12*I9119-I9129))</f>
        <v>217.50009488416</v>
      </c>
      <c r="J9142" s="25" t="n">
        <f aca="false">J9135*MIN(J9134-J9140+J9139,MAX(0,J9184-Assumptions!$C$12*J9119-J9129))</f>
        <v>0</v>
      </c>
      <c r="K9142" s="25" t="n">
        <f aca="false">K9135*MIN(K9134-K9140+K9139,MAX(0,K9184-Assumptions!$C$12*K9119-K9129))</f>
        <v>0</v>
      </c>
    </row>
    <row r="9143" customFormat="false" ht="15" hidden="false" customHeight="false" outlineLevel="0" collapsed="false">
      <c r="A9143" s="3" t="s">
        <v>317</v>
      </c>
      <c r="G9143" s="25" t="n">
        <f aca="false">Assumptions!$N$57*MIN(G9134+G9141+G9139-G9140-G9142,MAX(0,G9188-G9130))</f>
        <v>0</v>
      </c>
      <c r="H9143" s="25" t="n">
        <f aca="false">Assumptions!$N$57*MIN(H9134+H9141+H9139-H9140-H9142,MAX(0,H9188-H9130))</f>
        <v>0</v>
      </c>
      <c r="I9143" s="25" t="n">
        <f aca="false">Assumptions!$N$57*MIN(I9134+I9141+I9139-I9140-I9142,MAX(0,I9188-I9130))</f>
        <v>0</v>
      </c>
      <c r="J9143" s="25" t="n">
        <f aca="false">Assumptions!$N$57*MIN(J9134+J9141+J9139-J9140-J9142,MAX(0,J9188-J9130))</f>
        <v>0</v>
      </c>
      <c r="K9143" s="25" t="n">
        <f aca="false">Assumptions!$N$57*MIN(K9134+K9141+K9139-K9140-K9142,MAX(0,K9188-K9130))</f>
        <v>0</v>
      </c>
    </row>
    <row r="9144" customFormat="false" ht="15" hidden="false" customHeight="false" outlineLevel="0" collapsed="false">
      <c r="A9144" s="3" t="s">
        <v>318</v>
      </c>
      <c r="G9144" s="25" t="n">
        <f aca="false">G9135*(1-G9119)*(G9134-G9140+G9139-G9142)</f>
        <v>0</v>
      </c>
      <c r="H9144" s="25" t="n">
        <f aca="false">H9135*(1-H9119)*(H9134-H9140+H9139-H9142)</f>
        <v>0</v>
      </c>
      <c r="I9144" s="25" t="n">
        <f aca="false">I9135*(1-I9119)*(I9134-I9140+I9139-I9142)</f>
        <v>59.20590511584</v>
      </c>
      <c r="J9144" s="25" t="n">
        <f aca="false">J9135*(1-J9119)*(J9134-J9140+J9139-J9142)</f>
        <v>0</v>
      </c>
      <c r="K9144" s="25" t="n">
        <f aca="false">K9135*(1-K9119)*(K9134-K9140+K9139-K9142)</f>
        <v>0</v>
      </c>
    </row>
    <row r="9145" customFormat="false" ht="15" hidden="false" customHeight="false" outlineLevel="0" collapsed="false">
      <c r="A9145" s="2" t="s">
        <v>319</v>
      </c>
      <c r="F9145" s="28" t="n">
        <f aca="false">Assumptions!$C$57</f>
        <v>276.706</v>
      </c>
      <c r="G9145" s="16" t="n">
        <f aca="false">G9134+G9141+G9139-G9140-G9142-G9143</f>
        <v>276.706</v>
      </c>
      <c r="H9145" s="16" t="n">
        <f aca="false">H9134+H9141+H9139-H9140-H9142-H9143</f>
        <v>276.706</v>
      </c>
      <c r="I9145" s="16" t="n">
        <f aca="false">I9134+I9141+I9139-I9140-I9142-I9143</f>
        <v>59.20590511584</v>
      </c>
      <c r="J9145" s="16" t="n">
        <f aca="false">J9134+J9141+J9139-J9140-J9142-J9143</f>
        <v>59.20590511584</v>
      </c>
      <c r="K9145" s="16" t="n">
        <f aca="false">K9134+K9141+K9139-K9140-K9142-K9143</f>
        <v>59.20590511584</v>
      </c>
    </row>
    <row r="9146" customFormat="false" ht="15" hidden="false" customHeight="false" outlineLevel="0" collapsed="false">
      <c r="A9146" s="23" t="s">
        <v>321</v>
      </c>
      <c r="B9146" s="24"/>
      <c r="C9146" s="24"/>
      <c r="D9146" s="24"/>
      <c r="E9146" s="24"/>
      <c r="F9146" s="24"/>
      <c r="G9146" s="24"/>
      <c r="H9146" s="24"/>
      <c r="I9146" s="24"/>
      <c r="J9146" s="24"/>
      <c r="K9146" s="24"/>
    </row>
    <row r="9147" customFormat="false" ht="15" hidden="false" customHeight="false" outlineLevel="0" collapsed="false">
      <c r="A9147" s="3" t="s">
        <v>309</v>
      </c>
      <c r="G9147" s="25" t="n">
        <f aca="false">F9158</f>
        <v>143.75</v>
      </c>
      <c r="H9147" s="25" t="n">
        <f aca="false">G9158</f>
        <v>143.75</v>
      </c>
      <c r="I9147" s="25" t="n">
        <f aca="false">H9158</f>
        <v>143.75</v>
      </c>
      <c r="J9147" s="25" t="n">
        <f aca="false">I9158</f>
        <v>143.75</v>
      </c>
      <c r="K9147" s="25" t="n">
        <f aca="false">J9158</f>
        <v>143.75</v>
      </c>
    </row>
    <row r="9148" customFormat="false" ht="15" hidden="false" customHeight="false" outlineLevel="0" collapsed="false">
      <c r="A9148" s="3" t="s">
        <v>310</v>
      </c>
      <c r="G9148" s="20" t="n">
        <f aca="false">IF(G9085=Assumptions!$K$58,1,0)</f>
        <v>0</v>
      </c>
      <c r="H9148" s="20" t="n">
        <f aca="false">IF(H9085=Assumptions!$K$58,1,0)</f>
        <v>0</v>
      </c>
      <c r="I9148" s="20" t="n">
        <f aca="false">IF(I9085=Assumptions!$K$58,1,0)</f>
        <v>1</v>
      </c>
      <c r="J9148" s="20" t="n">
        <f aca="false">IF(J9085=Assumptions!$K$58,1,0)</f>
        <v>0</v>
      </c>
      <c r="K9148" s="20" t="n">
        <f aca="false">IF(K9085=Assumptions!$K$58,1,0)</f>
        <v>0</v>
      </c>
    </row>
    <row r="9150" customFormat="false" ht="15" hidden="false" customHeight="false" outlineLevel="0" collapsed="false">
      <c r="A9150" s="3" t="s">
        <v>311</v>
      </c>
      <c r="G9150" s="31" t="n">
        <f aca="false">IF(Assumptions!$I$58=1,MAX(G9111,Assumptions!$G$58)+Assumptions!$F$58+$C$9112,Assumptions!$E$58)</f>
        <v>0.0425</v>
      </c>
      <c r="H9150" s="31" t="n">
        <f aca="false">IF(G9270=1,$C$9113,IF(Assumptions!$I$58=1,MAX(H9111,Assumptions!$G$58)+Assumptions!$F$58+$C$9112,Assumptions!$E$58))</f>
        <v>0.0425</v>
      </c>
      <c r="I9150" s="31" t="n">
        <f aca="false">IF(H9270=1,$C$9113,IF(Assumptions!$I$58=1,MAX(I9111,Assumptions!$G$58)+Assumptions!$F$58+$C$9112,Assumptions!$E$58))</f>
        <v>0.0425</v>
      </c>
      <c r="J9150" s="31" t="n">
        <f aca="false">IF(I9270=1,$C$9113,IF(Assumptions!$I$58=1,MAX(J9111,Assumptions!$G$58)+Assumptions!$F$58+$C$9112,Assumptions!$E$58))</f>
        <v>0.0425</v>
      </c>
      <c r="K9150" s="31" t="n">
        <f aca="false">IF(J9270=1,$C$9113,IF(Assumptions!$I$58=1,MAX(K9111,Assumptions!$G$58)+Assumptions!$F$58+$C$9112,Assumptions!$E$58))</f>
        <v>0.0425</v>
      </c>
    </row>
    <row r="9151" customFormat="false" ht="15" hidden="false" customHeight="false" outlineLevel="0" collapsed="false">
      <c r="A9151" s="3" t="s">
        <v>312</v>
      </c>
      <c r="G9151" s="25" t="n">
        <f aca="false">G9147*G9150</f>
        <v>6.109375</v>
      </c>
      <c r="H9151" s="25" t="n">
        <f aca="false">H9147*H9150</f>
        <v>6.109375</v>
      </c>
      <c r="I9151" s="25" t="n">
        <f aca="false">I9147*I9150</f>
        <v>6.109375</v>
      </c>
      <c r="J9151" s="25" t="n">
        <f aca="false">J9147*J9150</f>
        <v>6.109375</v>
      </c>
      <c r="K9151" s="25" t="n">
        <f aca="false">K9147*K9150</f>
        <v>6.109375</v>
      </c>
    </row>
    <row r="9152" customFormat="false" ht="15" hidden="false" customHeight="false" outlineLevel="0" collapsed="false">
      <c r="A9152" s="3" t="s">
        <v>313</v>
      </c>
      <c r="G9152" s="25" t="n">
        <f aca="false">G9147*Assumptions!$H$58</f>
        <v>0</v>
      </c>
      <c r="H9152" s="25" t="n">
        <f aca="false">H9147*Assumptions!$H$58</f>
        <v>0</v>
      </c>
      <c r="I9152" s="25" t="n">
        <f aca="false">I9147*Assumptions!$H$58</f>
        <v>0</v>
      </c>
      <c r="J9152" s="25" t="n">
        <f aca="false">J9147*Assumptions!$H$58</f>
        <v>0</v>
      </c>
      <c r="K9152" s="25" t="n">
        <f aca="false">K9147*Assumptions!$H$58</f>
        <v>0</v>
      </c>
    </row>
    <row r="9153" customFormat="false" ht="15" hidden="false" customHeight="false" outlineLevel="0" collapsed="false">
      <c r="A9153" s="3" t="s">
        <v>314</v>
      </c>
      <c r="G9153" s="25" t="n">
        <f aca="false">MIN(G9147,Assumptions!$L$58*Assumptions!$C$58)</f>
        <v>0</v>
      </c>
      <c r="H9153" s="25" t="n">
        <f aca="false">MIN(H9147,Assumptions!$L$58*Assumptions!$C$58)</f>
        <v>0</v>
      </c>
      <c r="I9153" s="25" t="n">
        <f aca="false">MIN(I9147,Assumptions!$L$58*Assumptions!$C$58)</f>
        <v>0</v>
      </c>
      <c r="J9153" s="25" t="n">
        <f aca="false">MIN(J9147,Assumptions!$L$58*Assumptions!$C$58)</f>
        <v>0</v>
      </c>
      <c r="K9153" s="25" t="n">
        <f aca="false">MIN(K9147,Assumptions!$L$58*Assumptions!$C$58)</f>
        <v>0</v>
      </c>
    </row>
    <row r="9154" customFormat="false" ht="15" hidden="false" customHeight="false" outlineLevel="0" collapsed="false">
      <c r="A9154" s="3" t="s">
        <v>315</v>
      </c>
      <c r="G9154" s="25" t="n">
        <f aca="false">IF(AND(Assumptions!$P$58=1,G9085&lt;Assumptions!$K$58),MIN(MAX(0,-G9182),MAX(0,Assumptions!$D$58-G9147)),0)</f>
        <v>0</v>
      </c>
      <c r="H9154" s="25" t="n">
        <f aca="false">IF(AND(Assumptions!$P$58=1,OR(H9085&lt;Assumptions!$K$58,G9270=1)),MIN(MAX(0,-H9182),MAX(0,Assumptions!$D$58-H9147)),0)</f>
        <v>0</v>
      </c>
      <c r="I9154" s="25" t="n">
        <f aca="false">IF(AND(Assumptions!$P$58=1,OR(I9085&lt;Assumptions!$K$58,H9270=1)),MIN(MAX(0,-I9182),MAX(0,Assumptions!$D$58-I9147)),0)</f>
        <v>0</v>
      </c>
      <c r="J9154" s="25" t="n">
        <f aca="false">IF(AND(Assumptions!$P$58=1,OR(J9085&lt;Assumptions!$K$58,I9270=1)),MIN(MAX(0,-J9182),MAX(0,Assumptions!$D$58-J9147)),0)</f>
        <v>0</v>
      </c>
      <c r="K9154" s="25" t="n">
        <f aca="false">IF(AND(Assumptions!$P$58=1,OR(K9085&lt;Assumptions!$K$58,J9270=1)),MIN(MAX(0,-K9182),MAX(0,Assumptions!$D$58-K9147)),0)</f>
        <v>0</v>
      </c>
    </row>
    <row r="9155" customFormat="false" ht="15" hidden="false" customHeight="false" outlineLevel="0" collapsed="false">
      <c r="A9155" s="3" t="s">
        <v>316</v>
      </c>
      <c r="G9155" s="25" t="n">
        <f aca="false">G9148*MIN(G9147-G9153+G9152,MAX(0,G9184-Assumptions!$C$12*G9119-G9129-G9142))</f>
        <v>0</v>
      </c>
      <c r="H9155" s="25" t="n">
        <f aca="false">H9148*MIN(H9147-H9153+H9152,MAX(0,H9184-Assumptions!$C$12*H9119-H9129-H9142))</f>
        <v>0</v>
      </c>
      <c r="I9155" s="25" t="n">
        <f aca="false">I9148*MIN(I9147-I9153+I9152,MAX(0,I9184-Assumptions!$C$12*I9119-I9129-I9142))</f>
        <v>0</v>
      </c>
      <c r="J9155" s="25" t="n">
        <f aca="false">J9148*MIN(J9147-J9153+J9152,MAX(0,J9184-Assumptions!$C$12*J9119-J9129-J9142))</f>
        <v>0</v>
      </c>
      <c r="K9155" s="25" t="n">
        <f aca="false">K9148*MIN(K9147-K9153+K9152,MAX(0,K9184-Assumptions!$C$12*K9119-K9129-K9142))</f>
        <v>0</v>
      </c>
    </row>
    <row r="9156" customFormat="false" ht="15" hidden="false" customHeight="false" outlineLevel="0" collapsed="false">
      <c r="A9156" s="3" t="s">
        <v>317</v>
      </c>
      <c r="G9156" s="25" t="n">
        <f aca="false">Assumptions!$N$58*MIN(G9147+G9154+G9152-G9153-G9155,MAX(0,G9188-G9130-G9143))</f>
        <v>0</v>
      </c>
      <c r="H9156" s="25" t="n">
        <f aca="false">Assumptions!$N$58*MIN(H9147+H9154+H9152-H9153-H9155,MAX(0,H9188-H9130-H9143))</f>
        <v>0</v>
      </c>
      <c r="I9156" s="25" t="n">
        <f aca="false">Assumptions!$N$58*MIN(I9147+I9154+I9152-I9153-I9155,MAX(0,I9188-I9130-I9143))</f>
        <v>0</v>
      </c>
      <c r="J9156" s="25" t="n">
        <f aca="false">Assumptions!$N$58*MIN(J9147+J9154+J9152-J9153-J9155,MAX(0,J9188-J9130-J9143))</f>
        <v>0</v>
      </c>
      <c r="K9156" s="25" t="n">
        <f aca="false">Assumptions!$N$58*MIN(K9147+K9154+K9152-K9153-K9155,MAX(0,K9188-K9130-K9143))</f>
        <v>0</v>
      </c>
    </row>
    <row r="9157" customFormat="false" ht="15" hidden="false" customHeight="false" outlineLevel="0" collapsed="false">
      <c r="A9157" s="3" t="s">
        <v>318</v>
      </c>
      <c r="G9157" s="25" t="n">
        <f aca="false">G9148*(1-G9119)*(G9147-G9153+G9152-G9155)</f>
        <v>0</v>
      </c>
      <c r="H9157" s="25" t="n">
        <f aca="false">H9148*(1-H9119)*(H9147-H9153+H9152-H9155)</f>
        <v>0</v>
      </c>
      <c r="I9157" s="25" t="n">
        <f aca="false">I9148*(1-I9119)*(I9147-I9153+I9152-I9155)</f>
        <v>143.75</v>
      </c>
      <c r="J9157" s="25" t="n">
        <f aca="false">J9148*(1-J9119)*(J9147-J9153+J9152-J9155)</f>
        <v>0</v>
      </c>
      <c r="K9157" s="25" t="n">
        <f aca="false">K9148*(1-K9119)*(K9147-K9153+K9152-K9155)</f>
        <v>0</v>
      </c>
    </row>
    <row r="9158" customFormat="false" ht="15" hidden="false" customHeight="false" outlineLevel="0" collapsed="false">
      <c r="A9158" s="2" t="s">
        <v>319</v>
      </c>
      <c r="F9158" s="28" t="n">
        <f aca="false">Assumptions!$C$58</f>
        <v>143.75</v>
      </c>
      <c r="G9158" s="16" t="n">
        <f aca="false">G9147+G9154+G9152-G9153-G9155-G9156</f>
        <v>143.75</v>
      </c>
      <c r="H9158" s="16" t="n">
        <f aca="false">H9147+H9154+H9152-H9153-H9155-H9156</f>
        <v>143.75</v>
      </c>
      <c r="I9158" s="16" t="n">
        <f aca="false">I9147+I9154+I9152-I9153-I9155-I9156</f>
        <v>143.75</v>
      </c>
      <c r="J9158" s="16" t="n">
        <f aca="false">J9147+J9154+J9152-J9153-J9155-J9156</f>
        <v>143.75</v>
      </c>
      <c r="K9158" s="16" t="n">
        <f aca="false">K9147+K9154+K9152-K9153-K9155-K9156</f>
        <v>143.75</v>
      </c>
    </row>
    <row r="9159" customFormat="false" ht="15" hidden="false" customHeight="false" outlineLevel="0" collapsed="false">
      <c r="A9159" s="23" t="s">
        <v>322</v>
      </c>
      <c r="B9159" s="24"/>
      <c r="C9159" s="24"/>
      <c r="D9159" s="24"/>
      <c r="E9159" s="24"/>
      <c r="F9159" s="24"/>
      <c r="G9159" s="24"/>
      <c r="H9159" s="24"/>
      <c r="I9159" s="24"/>
      <c r="J9159" s="24"/>
      <c r="K9159" s="24"/>
    </row>
    <row r="9160" customFormat="false" ht="15" hidden="false" customHeight="false" outlineLevel="0" collapsed="false">
      <c r="A9160" s="2" t="s">
        <v>323</v>
      </c>
      <c r="F9160" s="16" t="n">
        <f aca="false">F9132+F9145+F9158</f>
        <v>1735.554</v>
      </c>
      <c r="G9160" s="16" t="n">
        <f aca="false">G9132+G9145+G9158</f>
        <v>1735.554</v>
      </c>
      <c r="H9160" s="16" t="n">
        <f aca="false">H9132+H9145+H9158</f>
        <v>1735.554</v>
      </c>
      <c r="I9160" s="16" t="n">
        <f aca="false">I9132+I9145+I9158</f>
        <v>1518.05390511584</v>
      </c>
      <c r="J9160" s="16" t="n">
        <f aca="false">J9132+J9145+J9158</f>
        <v>1518.05390511584</v>
      </c>
      <c r="K9160" s="16" t="n">
        <f aca="false">K9132+K9145+K9158</f>
        <v>1518.05390511584</v>
      </c>
    </row>
    <row r="9161" customFormat="false" ht="15" hidden="false" customHeight="false" outlineLevel="0" collapsed="false">
      <c r="A9161" s="3" t="s">
        <v>324</v>
      </c>
      <c r="G9161" s="25" t="n">
        <f aca="false">G9122*Assumptions!$C$56+G9135*Assumptions!$C$57+G9148*Assumptions!$C$58</f>
        <v>0</v>
      </c>
      <c r="H9161" s="25" t="n">
        <f aca="false">H9122*Assumptions!$C$56+H9135*Assumptions!$C$57+H9148*Assumptions!$C$58</f>
        <v>0</v>
      </c>
      <c r="I9161" s="25" t="n">
        <f aca="false">I9122*Assumptions!$C$56+I9135*Assumptions!$C$57+I9148*Assumptions!$C$58</f>
        <v>420.456</v>
      </c>
      <c r="J9161" s="25" t="n">
        <f aca="false">J9122*Assumptions!$C$56+J9135*Assumptions!$C$57+J9148*Assumptions!$C$58</f>
        <v>0</v>
      </c>
      <c r="K9161" s="25" t="n">
        <f aca="false">K9122*Assumptions!$C$56+K9135*Assumptions!$C$57+K9148*Assumptions!$C$58</f>
        <v>0</v>
      </c>
    </row>
    <row r="9162" customFormat="false" ht="15" hidden="false" customHeight="false" outlineLevel="0" collapsed="false">
      <c r="A9162" s="23" t="s">
        <v>325</v>
      </c>
      <c r="B9162" s="24"/>
      <c r="C9162" s="24"/>
      <c r="D9162" s="24"/>
      <c r="E9162" s="24"/>
      <c r="F9162" s="24"/>
      <c r="G9162" s="24"/>
      <c r="H9162" s="24"/>
      <c r="I9162" s="24"/>
      <c r="J9162" s="24"/>
      <c r="K9162" s="24"/>
    </row>
    <row r="9163" customFormat="false" ht="15" hidden="false" customHeight="false" outlineLevel="0" collapsed="false">
      <c r="A9163" s="3" t="s">
        <v>326</v>
      </c>
      <c r="C9163" s="25" t="n">
        <f aca="false">SUMPRODUCT($G$9122:$K$9122,$G$9121:$K$9121-$G$9127:$K$9127+$G$9126:$K$9126)</f>
        <v>0</v>
      </c>
    </row>
    <row r="9164" customFormat="false" ht="15" hidden="false" customHeight="false" outlineLevel="0" collapsed="false">
      <c r="A9164" s="3" t="s">
        <v>327</v>
      </c>
      <c r="C9164" s="25" t="n">
        <f aca="false">SUMPRODUCT($G$9122:$K$9122,$G$9129:$K$9129)</f>
        <v>0</v>
      </c>
    </row>
    <row r="9165" customFormat="false" ht="15" hidden="false" customHeight="false" outlineLevel="0" collapsed="false">
      <c r="A9165" s="3" t="s">
        <v>328</v>
      </c>
      <c r="C9165" s="3" t="str">
        <f aca="false">IF(SUM($G$9122:$K$9122)=0,"n/a (beyond horizon)",IF(SUMPRODUCT($G$9122:$K$9122,$G$9119:$K$9119)&gt;0,"REFINANCING PASS","REFINANCING FAILURE"))</f>
        <v>n/a (beyond horizon)</v>
      </c>
    </row>
    <row r="9166" customFormat="false" ht="15" hidden="false" customHeight="false" outlineLevel="0" collapsed="false">
      <c r="A9166" s="3" t="s">
        <v>329</v>
      </c>
      <c r="C9166" s="3" t="str">
        <f aca="false">IF(SUM($G$9122:$K$9122)=0,"n/a",IF(C9164&gt;=C9163-0.001,"Repaid from cash",IF(SUMPRODUCT($G$9122:$K$9122,$G$9119:$K$9119)&gt;0,IF(C9164&gt;0,"Partly repaid; remainder refinanced","Refinanced"),IF(SUM($G$9131:$K$9131)&gt;0.001,IF(C9164&gt;0,"Partial repayment; PAYMENT DEFAULT","PAYMENT DEFAULT"),"Repaid from cash"))))</f>
        <v>n/a</v>
      </c>
    </row>
    <row r="9167" customFormat="false" ht="15" hidden="false" customHeight="false" outlineLevel="0" collapsed="false">
      <c r="A9167" s="3" t="s">
        <v>330</v>
      </c>
      <c r="C9167" s="25" t="n">
        <f aca="false">SUMPRODUCT($G$9135:$K$9135,$G$9134:$K$9134-$G$9140:$K$9140+$G$9139:$K$9139)</f>
        <v>276.706</v>
      </c>
    </row>
    <row r="9168" customFormat="false" ht="15" hidden="false" customHeight="false" outlineLevel="0" collapsed="false">
      <c r="A9168" s="3" t="s">
        <v>331</v>
      </c>
      <c r="C9168" s="25" t="n">
        <f aca="false">SUMPRODUCT($G$9135:$K$9135,$G$9142:$K$9142)</f>
        <v>217.50009488416</v>
      </c>
    </row>
    <row r="9169" customFormat="false" ht="15" hidden="false" customHeight="false" outlineLevel="0" collapsed="false">
      <c r="A9169" s="3" t="s">
        <v>332</v>
      </c>
      <c r="C9169" s="3" t="str">
        <f aca="false">IF(SUM($G$9135:$K$9135)=0,"n/a (beyond horizon)",IF(SUMPRODUCT($G$9135:$K$9135,$G$9119:$K$9119)&gt;0,"REFINANCING PASS","REFINANCING FAILURE"))</f>
        <v>REFINANCING FAILURE</v>
      </c>
    </row>
    <row r="9170" customFormat="false" ht="15" hidden="false" customHeight="false" outlineLevel="0" collapsed="false">
      <c r="A9170" s="3" t="s">
        <v>333</v>
      </c>
      <c r="C9170" s="3" t="str">
        <f aca="false">IF(SUM($G$9135:$K$9135)=0,"n/a",IF(C9168&gt;=C9167-0.001,"Repaid from cash",IF(SUMPRODUCT($G$9135:$K$9135,$G$9119:$K$9119)&gt;0,IF(C9168&gt;0,"Partly repaid; remainder refinanced","Refinanced"),IF(SUM($G$9144:$K$9144)&gt;0.001,IF(C9168&gt;0,"Partial repayment; PAYMENT DEFAULT","PAYMENT DEFAULT"),"Repaid from cash"))))</f>
        <v>Partial repayment; PAYMENT DEFAULT</v>
      </c>
    </row>
    <row r="9171" customFormat="false" ht="15" hidden="false" customHeight="false" outlineLevel="0" collapsed="false">
      <c r="A9171" s="3" t="s">
        <v>334</v>
      </c>
      <c r="C9171" s="25" t="n">
        <f aca="false">SUMPRODUCT($G$9148:$K$9148,$G$9147:$K$9147-$G$9153:$K$9153+$G$9152:$K$9152)</f>
        <v>143.75</v>
      </c>
    </row>
    <row r="9172" customFormat="false" ht="15" hidden="false" customHeight="false" outlineLevel="0" collapsed="false">
      <c r="A9172" s="3" t="s">
        <v>335</v>
      </c>
      <c r="C9172" s="25" t="n">
        <f aca="false">SUMPRODUCT($G$9148:$K$9148,$G$9155:$K$9155)</f>
        <v>0</v>
      </c>
    </row>
    <row r="9173" customFormat="false" ht="15" hidden="false" customHeight="false" outlineLevel="0" collapsed="false">
      <c r="A9173" s="3" t="s">
        <v>336</v>
      </c>
      <c r="C9173" s="3" t="str">
        <f aca="false">IF(SUM($G$9148:$K$9148)=0,"n/a (beyond horizon)",IF(SUMPRODUCT($G$9148:$K$9148,$G$9119:$K$9119)&gt;0,"REFINANCING PASS","REFINANCING FAILURE"))</f>
        <v>REFINANCING FAILURE</v>
      </c>
    </row>
    <row r="9174" customFormat="false" ht="15" hidden="false" customHeight="false" outlineLevel="0" collapsed="false">
      <c r="A9174" s="3" t="s">
        <v>337</v>
      </c>
      <c r="C9174" s="3" t="str">
        <f aca="false">IF(SUM($G$9148:$K$9148)=0,"n/a",IF(C9172&gt;=C9171-0.001,"Repaid from cash",IF(SUMPRODUCT($G$9148:$K$9148,$G$9119:$K$9119)&gt;0,IF(C9172&gt;0,"Partly repaid; remainder refinanced","Refinanced"),IF(SUM($G$9157:$K$9157)&gt;0.001,IF(C9172&gt;0,"Partial repayment; PAYMENT DEFAULT","PAYMENT DEFAULT"),"Repaid from cash"))))</f>
        <v>PAYMENT DEFAULT</v>
      </c>
    </row>
    <row r="9175" customFormat="false" ht="15" hidden="false" customHeight="false" outlineLevel="0" collapsed="false">
      <c r="A9175" s="3" t="s">
        <v>338</v>
      </c>
      <c r="C9175" s="20" t="n">
        <f aca="false">IF(C9165="REFINANCING FAILURE",1,0)+IF(C9169="REFINANCING FAILURE",1,0)+IF(C9173="REFINANCING FAILURE",1,0)</f>
        <v>2</v>
      </c>
    </row>
    <row r="9177" customFormat="false" ht="15" hidden="false" customHeight="false" outlineLevel="0" collapsed="false">
      <c r="A9177" s="23" t="s">
        <v>340</v>
      </c>
      <c r="B9177" s="24"/>
      <c r="C9177" s="24"/>
      <c r="D9177" s="24"/>
      <c r="E9177" s="24"/>
      <c r="F9177" s="24"/>
      <c r="G9177" s="24"/>
      <c r="H9177" s="24"/>
      <c r="I9177" s="24"/>
      <c r="J9177" s="24"/>
      <c r="K9177" s="24"/>
    </row>
    <row r="9178" customFormat="false" ht="15" hidden="false" customHeight="false" outlineLevel="0" collapsed="false">
      <c r="A9178" s="3" t="s">
        <v>305</v>
      </c>
      <c r="G9178" s="25" t="n">
        <f aca="false">F9190</f>
        <v>463.996</v>
      </c>
      <c r="H9178" s="25" t="n">
        <f aca="false">G9190</f>
        <v>417.29484424</v>
      </c>
      <c r="I9178" s="25" t="n">
        <f aca="false">H9190</f>
        <v>326.5850072752</v>
      </c>
      <c r="J9178" s="25" t="n">
        <f aca="false">I9190</f>
        <v>0</v>
      </c>
      <c r="K9178" s="25" t="n">
        <f aca="false">J9190</f>
        <v>-108.277714728076</v>
      </c>
    </row>
    <row r="9179" customFormat="false" ht="15" hidden="false" customHeight="false" outlineLevel="0" collapsed="false">
      <c r="A9179" s="3" t="s">
        <v>341</v>
      </c>
      <c r="G9179" s="25" t="n">
        <f aca="false">G9108</f>
        <v>-46.70115576</v>
      </c>
      <c r="H9179" s="25" t="n">
        <f aca="false">H9108</f>
        <v>-90.7098369648</v>
      </c>
      <c r="I9179" s="25" t="n">
        <f aca="false">I9108</f>
        <v>-109.08491239104</v>
      </c>
      <c r="J9179" s="25" t="n">
        <f aca="false">J9108</f>
        <v>-108.277714728076</v>
      </c>
      <c r="K9179" s="25" t="n">
        <f aca="false">K9108</f>
        <v>-114.427026926372</v>
      </c>
    </row>
    <row r="9180" customFormat="false" ht="15" hidden="false" customHeight="false" outlineLevel="0" collapsed="false">
      <c r="A9180" s="3" t="s">
        <v>342</v>
      </c>
      <c r="G9180" s="25" t="n">
        <f aca="false">CHOOSE($C$9078,Assumptions!$G$74,Assumptions!$G$93,Assumptions!$G$112)</f>
        <v>0</v>
      </c>
      <c r="H9180" s="25" t="n">
        <f aca="false">CHOOSE($C$9078,Assumptions!$H$74,Assumptions!$H$93,Assumptions!$H$112)</f>
        <v>0</v>
      </c>
      <c r="I9180" s="25" t="n">
        <f aca="false">CHOOSE($C$9078,Assumptions!$I$74,Assumptions!$I$93,Assumptions!$I$112)</f>
        <v>0</v>
      </c>
      <c r="J9180" s="25" t="n">
        <f aca="false">CHOOSE($C$9078,Assumptions!$J$74,Assumptions!$J$93,Assumptions!$J$112)</f>
        <v>0</v>
      </c>
      <c r="K9180" s="25" t="n">
        <f aca="false">CHOOSE($C$9078,Assumptions!$K$74,Assumptions!$K$93,Assumptions!$K$112)</f>
        <v>0</v>
      </c>
    </row>
    <row r="9181" customFormat="false" ht="15" hidden="false" customHeight="false" outlineLevel="0" collapsed="false">
      <c r="A9181" s="3" t="s">
        <v>343</v>
      </c>
      <c r="G9181" s="25" t="n">
        <f aca="false">G9127+G9140+G9153</f>
        <v>0</v>
      </c>
      <c r="H9181" s="25" t="n">
        <f aca="false">H9127+H9140+H9153</f>
        <v>0</v>
      </c>
      <c r="I9181" s="25" t="n">
        <f aca="false">I9127+I9140+I9153</f>
        <v>0</v>
      </c>
      <c r="J9181" s="25" t="n">
        <f aca="false">J9127+J9140+J9153</f>
        <v>0</v>
      </c>
      <c r="K9181" s="25" t="n">
        <f aca="false">K9127+K9140+K9153</f>
        <v>0</v>
      </c>
    </row>
    <row r="9182" customFormat="false" ht="15" hidden="false" customHeight="false" outlineLevel="0" collapsed="false">
      <c r="A9182" s="2" t="s">
        <v>344</v>
      </c>
      <c r="G9182" s="16" t="n">
        <f aca="false">G9178+G9179+G9180-G9181</f>
        <v>417.29484424</v>
      </c>
      <c r="H9182" s="16" t="n">
        <f aca="false">H9178+H9179+H9180-H9181</f>
        <v>326.5850072752</v>
      </c>
      <c r="I9182" s="16" t="n">
        <f aca="false">I9178+I9179+I9180-I9181</f>
        <v>217.50009488416</v>
      </c>
      <c r="J9182" s="16" t="n">
        <f aca="false">J9178+J9179+J9180-J9181</f>
        <v>-108.277714728076</v>
      </c>
      <c r="K9182" s="16" t="n">
        <f aca="false">K9178+K9179+K9180-K9181</f>
        <v>-222.704741654447</v>
      </c>
    </row>
    <row r="9183" customFormat="false" ht="15" hidden="false" customHeight="false" outlineLevel="0" collapsed="false">
      <c r="A9183" s="3" t="s">
        <v>345</v>
      </c>
      <c r="G9183" s="25" t="n">
        <f aca="false">G9128+G9141+G9154</f>
        <v>0</v>
      </c>
      <c r="H9183" s="25" t="n">
        <f aca="false">H9128+H9141+H9154</f>
        <v>0</v>
      </c>
      <c r="I9183" s="25" t="n">
        <f aca="false">I9128+I9141+I9154</f>
        <v>0</v>
      </c>
      <c r="J9183" s="25" t="n">
        <f aca="false">J9128+J9141+J9154</f>
        <v>0</v>
      </c>
      <c r="K9183" s="25" t="n">
        <f aca="false">K9128+K9141+K9154</f>
        <v>0</v>
      </c>
    </row>
    <row r="9184" customFormat="false" ht="15" hidden="false" customHeight="false" outlineLevel="0" collapsed="false">
      <c r="A9184" s="2" t="s">
        <v>346</v>
      </c>
      <c r="G9184" s="16" t="n">
        <f aca="false">G9182+G9183</f>
        <v>417.29484424</v>
      </c>
      <c r="H9184" s="16" t="n">
        <f aca="false">H9182+H9183</f>
        <v>326.5850072752</v>
      </c>
      <c r="I9184" s="16" t="n">
        <f aca="false">I9182+I9183</f>
        <v>217.50009488416</v>
      </c>
      <c r="J9184" s="16" t="n">
        <f aca="false">J9182+J9183</f>
        <v>-108.277714728076</v>
      </c>
      <c r="K9184" s="16" t="n">
        <f aca="false">K9182+K9183</f>
        <v>-222.704741654447</v>
      </c>
    </row>
    <row r="9185" customFormat="false" ht="15" hidden="false" customHeight="false" outlineLevel="0" collapsed="false">
      <c r="A9185" s="3" t="s">
        <v>347</v>
      </c>
      <c r="G9185" s="25" t="n">
        <f aca="false">G9129+G9142+G9155</f>
        <v>0</v>
      </c>
      <c r="H9185" s="25" t="n">
        <f aca="false">H9129+H9142+H9155</f>
        <v>0</v>
      </c>
      <c r="I9185" s="25" t="n">
        <f aca="false">I9129+I9142+I9155</f>
        <v>217.50009488416</v>
      </c>
      <c r="J9185" s="25" t="n">
        <f aca="false">J9129+J9142+J9155</f>
        <v>0</v>
      </c>
      <c r="K9185" s="25" t="n">
        <f aca="false">K9129+K9142+K9155</f>
        <v>0</v>
      </c>
    </row>
    <row r="9186" customFormat="false" ht="15" hidden="false" customHeight="false" outlineLevel="0" collapsed="false">
      <c r="A9186" s="2" t="s">
        <v>348</v>
      </c>
      <c r="G9186" s="16" t="n">
        <f aca="false">G9184-G9185</f>
        <v>417.29484424</v>
      </c>
      <c r="H9186" s="16" t="n">
        <f aca="false">H9184-H9185</f>
        <v>326.5850072752</v>
      </c>
      <c r="I9186" s="16" t="n">
        <f aca="false">I9184-I9185</f>
        <v>0</v>
      </c>
      <c r="J9186" s="16" t="n">
        <f aca="false">J9184-J9185</f>
        <v>-108.277714728076</v>
      </c>
      <c r="K9186" s="16" t="n">
        <f aca="false">K9184-K9185</f>
        <v>-222.704741654447</v>
      </c>
    </row>
    <row r="9187" customFormat="false" ht="15" hidden="false" customHeight="false" outlineLevel="0" collapsed="false">
      <c r="A9187" s="3" t="s">
        <v>349</v>
      </c>
      <c r="G9187" s="25" t="n">
        <f aca="false">MAX(0,-G9186)</f>
        <v>0</v>
      </c>
      <c r="H9187" s="25" t="n">
        <f aca="false">MAX(0,-H9186)</f>
        <v>0</v>
      </c>
      <c r="I9187" s="25" t="n">
        <f aca="false">MAX(0,-I9186)</f>
        <v>-0</v>
      </c>
      <c r="J9187" s="25" t="n">
        <f aca="false">MAX(0,-J9186)</f>
        <v>108.277714728076</v>
      </c>
      <c r="K9187" s="25" t="n">
        <f aca="false">MAX(0,-K9186)</f>
        <v>222.704741654447</v>
      </c>
    </row>
    <row r="9188" customFormat="false" ht="15" hidden="false" customHeight="false" outlineLevel="0" collapsed="false">
      <c r="A9188" s="3" t="s">
        <v>350</v>
      </c>
      <c r="G9188" s="25" t="n">
        <f aca="false">MAX(0,G9186-Assumptions!$C$12)*Assumptions!$C$13</f>
        <v>0</v>
      </c>
      <c r="H9188" s="25" t="n">
        <f aca="false">MAX(0,H9186-Assumptions!$C$12)*Assumptions!$C$13</f>
        <v>0</v>
      </c>
      <c r="I9188" s="25" t="n">
        <f aca="false">MAX(0,I9186-Assumptions!$C$12)*Assumptions!$C$13</f>
        <v>0</v>
      </c>
      <c r="J9188" s="25" t="n">
        <f aca="false">MAX(0,J9186-Assumptions!$C$12)*Assumptions!$C$13</f>
        <v>0</v>
      </c>
      <c r="K9188" s="25" t="n">
        <f aca="false">MAX(0,K9186-Assumptions!$C$12)*Assumptions!$C$13</f>
        <v>0</v>
      </c>
    </row>
    <row r="9189" customFormat="false" ht="15" hidden="false" customHeight="false" outlineLevel="0" collapsed="false">
      <c r="A9189" s="3" t="s">
        <v>351</v>
      </c>
      <c r="G9189" s="25" t="n">
        <f aca="false">G9130+G9143+G9156</f>
        <v>0</v>
      </c>
      <c r="H9189" s="25" t="n">
        <f aca="false">H9130+H9143+H9156</f>
        <v>0</v>
      </c>
      <c r="I9189" s="25" t="n">
        <f aca="false">I9130+I9143+I9156</f>
        <v>0</v>
      </c>
      <c r="J9189" s="25" t="n">
        <f aca="false">J9130+J9143+J9156</f>
        <v>0</v>
      </c>
      <c r="K9189" s="25" t="n">
        <f aca="false">K9130+K9143+K9156</f>
        <v>0</v>
      </c>
    </row>
    <row r="9190" customFormat="false" ht="15" hidden="false" customHeight="false" outlineLevel="0" collapsed="false">
      <c r="A9190" s="2" t="s">
        <v>352</v>
      </c>
      <c r="F9190" s="28" t="n">
        <f aca="false">Assumptions!$C$11</f>
        <v>463.996</v>
      </c>
      <c r="G9190" s="16" t="n">
        <f aca="false">G9186-G9189</f>
        <v>417.29484424</v>
      </c>
      <c r="H9190" s="16" t="n">
        <f aca="false">H9186-H9189</f>
        <v>326.5850072752</v>
      </c>
      <c r="I9190" s="16" t="n">
        <f aca="false">I9186-I9189</f>
        <v>0</v>
      </c>
      <c r="J9190" s="16" t="n">
        <f aca="false">J9186-J9189</f>
        <v>-108.277714728076</v>
      </c>
      <c r="K9190" s="16" t="n">
        <f aca="false">K9186-K9189</f>
        <v>-222.704741654447</v>
      </c>
    </row>
    <row r="9191" customFormat="false" ht="15" hidden="false" customHeight="false" outlineLevel="0" collapsed="false">
      <c r="A9191" s="3" t="s">
        <v>353</v>
      </c>
      <c r="G9191" s="25" t="n">
        <f aca="false">G9131+G9144+G9157</f>
        <v>0</v>
      </c>
      <c r="H9191" s="25" t="n">
        <f aca="false">H9131+H9144+H9157</f>
        <v>0</v>
      </c>
      <c r="I9191" s="25" t="n">
        <f aca="false">I9131+I9144+I9157</f>
        <v>202.95590511584</v>
      </c>
      <c r="J9191" s="25" t="n">
        <f aca="false">J9131+J9144+J9157</f>
        <v>0</v>
      </c>
      <c r="K9191" s="25" t="n">
        <f aca="false">K9131+K9144+K9157</f>
        <v>0</v>
      </c>
    </row>
    <row r="9192" customFormat="false" ht="15" hidden="false" customHeight="false" outlineLevel="0" collapsed="false">
      <c r="A9192" s="3" t="s">
        <v>354</v>
      </c>
      <c r="G9192" s="20" t="n">
        <f aca="false">IF(OR(G9187&gt;0.001,G9191&gt;0.001),1,0)</f>
        <v>0</v>
      </c>
      <c r="H9192" s="20" t="n">
        <f aca="false">IF(OR(H9187&gt;0.001,H9191&gt;0.001),1,0)</f>
        <v>0</v>
      </c>
      <c r="I9192" s="20" t="n">
        <f aca="false">IF(OR(I9187&gt;0.001,I9191&gt;0.001),1,0)</f>
        <v>1</v>
      </c>
      <c r="J9192" s="20" t="n">
        <f aca="false">IF(OR(J9187&gt;0.001,J9191&gt;0.001),1,0)</f>
        <v>1</v>
      </c>
      <c r="K9192" s="20" t="n">
        <f aca="false">IF(OR(K9187&gt;0.001,K9191&gt;0.001),1,0)</f>
        <v>1</v>
      </c>
    </row>
    <row r="9193" customFormat="false" ht="15" hidden="false" customHeight="false" outlineLevel="0" collapsed="false">
      <c r="A9193" s="3" t="s">
        <v>355</v>
      </c>
      <c r="G9193" s="20" t="n">
        <f aca="false">IF(G9192=1,1,0)</f>
        <v>0</v>
      </c>
      <c r="H9193" s="20" t="n">
        <f aca="false">IF(AND(H9192=1,SUM($G$9192:G9192)=0),1,0)</f>
        <v>0</v>
      </c>
      <c r="I9193" s="20" t="n">
        <f aca="false">IF(AND(I9192=1,SUM($G$9192:H9192)=0),1,0)</f>
        <v>1</v>
      </c>
      <c r="J9193" s="20" t="n">
        <f aca="false">IF(AND(J9192=1,SUM($G$9192:I9192)=0),1,0)</f>
        <v>0</v>
      </c>
      <c r="K9193" s="20" t="n">
        <f aca="false">IF(AND(K9192=1,SUM($G$9192:J9192)=0),1,0)</f>
        <v>0</v>
      </c>
    </row>
    <row r="9194" customFormat="false" ht="15" hidden="false" customHeight="false" outlineLevel="0" collapsed="false">
      <c r="A9194" s="3" t="s">
        <v>356</v>
      </c>
      <c r="G9194" s="25" t="n">
        <f aca="false">(G9160-F9160)-(G9183+G9100-G9181-G9185-G9189)</f>
        <v>0</v>
      </c>
      <c r="H9194" s="25" t="n">
        <f aca="false">(H9160-G9160)-(H9183+H9100-H9181-H9185-H9189)</f>
        <v>0</v>
      </c>
      <c r="I9194" s="25" t="n">
        <f aca="false">(I9160-H9160)-(I9183+I9100-I9181-I9185-I9189)</f>
        <v>0</v>
      </c>
      <c r="J9194" s="25" t="n">
        <f aca="false">(J9160-I9160)-(J9183+J9100-J9181-J9185-J9189)</f>
        <v>0</v>
      </c>
      <c r="K9194" s="25" t="n">
        <f aca="false">(K9160-J9160)-(K9183+K9100-K9181-K9185-K9189)</f>
        <v>0</v>
      </c>
    </row>
    <row r="9196" customFormat="false" ht="15" hidden="false" customHeight="false" outlineLevel="0" collapsed="false">
      <c r="A9196" s="23" t="s">
        <v>358</v>
      </c>
      <c r="B9196" s="24"/>
      <c r="C9196" s="24"/>
      <c r="D9196" s="24"/>
      <c r="E9196" s="24"/>
      <c r="F9196" s="24"/>
      <c r="G9196" s="24"/>
      <c r="H9196" s="24"/>
      <c r="I9196" s="24"/>
      <c r="J9196" s="24"/>
      <c r="K9196" s="24"/>
    </row>
    <row r="9197" customFormat="false" ht="15" hidden="false" customHeight="false" outlineLevel="0" collapsed="false">
      <c r="A9197" s="3" t="s">
        <v>359</v>
      </c>
      <c r="G9197" s="25" t="n">
        <f aca="false">G9160</f>
        <v>1735.554</v>
      </c>
      <c r="H9197" s="25" t="n">
        <f aca="false">H9160</f>
        <v>1735.554</v>
      </c>
      <c r="I9197" s="25" t="n">
        <f aca="false">I9160</f>
        <v>1518.05390511584</v>
      </c>
      <c r="J9197" s="25" t="n">
        <f aca="false">J9160</f>
        <v>1518.05390511584</v>
      </c>
      <c r="K9197" s="25" t="n">
        <f aca="false">K9160</f>
        <v>1518.05390511584</v>
      </c>
    </row>
    <row r="9198" customFormat="false" ht="15" hidden="false" customHeight="false" outlineLevel="0" collapsed="false">
      <c r="A9198" s="3" t="s">
        <v>360</v>
      </c>
      <c r="G9198" s="25" t="n">
        <f aca="false">Assumptions!$O$56*G9132+Assumptions!$O$57*G9145+Assumptions!$O$58*G9158</f>
        <v>1315.098</v>
      </c>
      <c r="H9198" s="25" t="n">
        <f aca="false">Assumptions!$O$56*H9132+Assumptions!$O$57*H9145+Assumptions!$O$58*H9158</f>
        <v>1315.098</v>
      </c>
      <c r="I9198" s="25" t="n">
        <f aca="false">Assumptions!$O$56*I9132+Assumptions!$O$57*I9145+Assumptions!$O$58*I9158</f>
        <v>1315.098</v>
      </c>
      <c r="J9198" s="25" t="n">
        <f aca="false">Assumptions!$O$56*J9132+Assumptions!$O$57*J9145+Assumptions!$O$58*J9158</f>
        <v>1315.098</v>
      </c>
      <c r="K9198" s="25" t="n">
        <f aca="false">Assumptions!$O$56*K9132+Assumptions!$O$57*K9145+Assumptions!$O$58*K9158</f>
        <v>1315.098</v>
      </c>
    </row>
    <row r="9199" customFormat="false" ht="15" hidden="false" customHeight="false" outlineLevel="0" collapsed="false">
      <c r="A9199" s="3" t="s">
        <v>361</v>
      </c>
      <c r="G9199" s="25" t="n">
        <f aca="false">G9197-G9190</f>
        <v>1318.25915576</v>
      </c>
      <c r="H9199" s="25" t="n">
        <f aca="false">H9197-H9190</f>
        <v>1408.9689927248</v>
      </c>
      <c r="I9199" s="25" t="n">
        <f aca="false">I9197-I9190</f>
        <v>1518.05390511584</v>
      </c>
      <c r="J9199" s="25" t="n">
        <f aca="false">J9197-J9190</f>
        <v>1626.33161984392</v>
      </c>
      <c r="K9199" s="25" t="n">
        <f aca="false">K9197-K9190</f>
        <v>1740.75864677029</v>
      </c>
    </row>
    <row r="9200" customFormat="false" ht="15" hidden="false" customHeight="false" outlineLevel="0" collapsed="false">
      <c r="A9200" s="3" t="s">
        <v>362</v>
      </c>
      <c r="G9200" s="32" t="n">
        <f aca="false">IF(G9095&gt;0,G9197/G9095,0)</f>
        <v>11.2964030669274</v>
      </c>
      <c r="H9200" s="32" t="n">
        <f aca="false">IF(H9095&gt;0,H9197/H9095,0)</f>
        <v>17.3790816414268</v>
      </c>
      <c r="I9200" s="32" t="n">
        <f aca="false">IF(I9095&gt;0,I9197/I9095,0)</f>
        <v>20.3586568496502</v>
      </c>
      <c r="J9200" s="32" t="n">
        <f aca="false">IF(J9095&gt;0,J9197/J9095,0)</f>
        <v>24.8276303044515</v>
      </c>
      <c r="K9200" s="32" t="n">
        <f aca="false">IF(K9095&gt;0,K9197/K9095,0)</f>
        <v>29.5567027433946</v>
      </c>
    </row>
    <row r="9201" customFormat="false" ht="15" hidden="false" customHeight="false" outlineLevel="0" collapsed="false">
      <c r="A9201" s="3" t="s">
        <v>363</v>
      </c>
      <c r="G9201" s="32" t="n">
        <f aca="false">IF(G9095&gt;0,G9199/G9095,0)</f>
        <v>8.58030736590876</v>
      </c>
      <c r="H9201" s="32" t="n">
        <f aca="false">IF(H9095&gt;0,H9199/H9095,0)</f>
        <v>14.1088016591838</v>
      </c>
      <c r="I9201" s="32" t="n">
        <f aca="false">IF(I9095&gt;0,I9199/I9095,0)</f>
        <v>20.3586568496502</v>
      </c>
      <c r="J9201" s="32" t="n">
        <f aca="false">IF(J9095&gt;0,J9199/J9095,0)</f>
        <v>26.5985022493937</v>
      </c>
      <c r="K9201" s="32" t="n">
        <f aca="false">IF(K9095&gt;0,K9199/K9095,0)</f>
        <v>33.8927924082229</v>
      </c>
    </row>
    <row r="9202" customFormat="false" ht="15" hidden="false" customHeight="false" outlineLevel="0" collapsed="false">
      <c r="A9202" s="3" t="s">
        <v>364</v>
      </c>
      <c r="G9202" s="32" t="n">
        <f aca="false">IF(G9099&gt;0,G9095/G9099,0)</f>
        <v>0.985143660013515</v>
      </c>
      <c r="H9202" s="32" t="n">
        <f aca="false">IF(H9099&gt;0,H9095/H9099,0)</f>
        <v>0.640343379008785</v>
      </c>
      <c r="I9202" s="32" t="n">
        <f aca="false">IF(I9099&gt;0,I9095/I9099,0)</f>
        <v>0.47812305632656</v>
      </c>
      <c r="J9202" s="32" t="n">
        <f aca="false">IF(J9099&gt;0,J9095/J9099,0)</f>
        <v>0.416763325627337</v>
      </c>
      <c r="K9202" s="32" t="n">
        <f aca="false">IF(K9099&gt;0,K9095/K9099,0)</f>
        <v>0.350081193526963</v>
      </c>
    </row>
    <row r="9203" customFormat="false" ht="15" hidden="false" customHeight="false" outlineLevel="0" collapsed="false">
      <c r="A9203" s="3" t="s">
        <v>365</v>
      </c>
      <c r="G9203" s="32" t="n">
        <f aca="false">IF(G9099&gt;0,G9098/G9099,0)</f>
        <v>0.450786336824668</v>
      </c>
      <c r="H9203" s="32" t="n">
        <f aca="false">IF(H9099&gt;0,H9098/H9099,0)</f>
        <v>0.223544666921484</v>
      </c>
      <c r="I9203" s="32" t="n">
        <f aca="false">IF(I9099&gt;0,I9098/I9099,0)</f>
        <v>0.144684086656719</v>
      </c>
      <c r="J9203" s="32" t="n">
        <f aca="false">IF(J9099&gt;0,J9098/J9099,0)</f>
        <v>0.126116112416096</v>
      </c>
      <c r="K9203" s="32" t="n">
        <f aca="false">IF(K9099&gt;0,K9098/K9099,0)</f>
        <v>0.105937534429521</v>
      </c>
    </row>
    <row r="9204" customFormat="false" ht="15" hidden="false" customHeight="false" outlineLevel="0" collapsed="false">
      <c r="A9204" s="3" t="s">
        <v>198</v>
      </c>
      <c r="G9204" s="21" t="n">
        <f aca="false">IF(G9197&gt;0,G9108/G9197,0)</f>
        <v>-0.0269085005479518</v>
      </c>
      <c r="H9204" s="21" t="n">
        <f aca="false">IF(H9197&gt;0,H9108/H9197,0)</f>
        <v>-0.0522656379258726</v>
      </c>
      <c r="I9204" s="21" t="n">
        <f aca="false">IF(I9197&gt;0,I9108/I9197,0)</f>
        <v>-0.0718583918683151</v>
      </c>
      <c r="J9204" s="21" t="n">
        <f aca="false">IF(J9197&gt;0,J9108/J9197,0)</f>
        <v>-0.0713266599843261</v>
      </c>
      <c r="K9204" s="21" t="n">
        <f aca="false">IF(K9197&gt;0,K9108/K9197,0)</f>
        <v>-0.0753774464403092</v>
      </c>
    </row>
    <row r="9205" customFormat="false" ht="15" hidden="false" customHeight="false" outlineLevel="0" collapsed="false">
      <c r="A9205" s="3" t="s">
        <v>366</v>
      </c>
      <c r="G9205" s="32" t="n">
        <f aca="false">IF(G9099+G9181&gt;0,(G9095-G9106-G9103)/(G9099+G9181),0)</f>
        <v>0.86473721267853</v>
      </c>
      <c r="H9205" s="32" t="n">
        <f aca="false">IF(H9099+H9181&gt;0,(H9095-H9106-H9103)/(H9099+H9181),0)</f>
        <v>0.546426350087497</v>
      </c>
      <c r="I9205" s="32" t="n">
        <f aca="false">IF(I9099+I9181&gt;0,(I9095-I9106-I9103)/(I9099+I9181),0)</f>
        <v>0.402989433189529</v>
      </c>
      <c r="J9205" s="32" t="n">
        <f aca="false">IF(J9099+J9181&gt;0,(J9095-J9106-J9103)/(J9099+J9181),0)</f>
        <v>0.351271945885898</v>
      </c>
      <c r="K9205" s="32" t="n">
        <f aca="false">IF(K9099+K9181&gt;0,(K9095-K9106-K9103)/(K9099+K9181),0)</f>
        <v>0.295068434544154</v>
      </c>
    </row>
    <row r="9206" customFormat="false" ht="15" hidden="false" customHeight="false" outlineLevel="0" collapsed="false">
      <c r="A9206" s="3" t="s">
        <v>367</v>
      </c>
      <c r="G9206" s="25" t="n">
        <f aca="false">MAX(0,G9190)+Assumptions!$P$56*MAX(0,Assumptions!$D$56-G9132)+Assumptions!$P$57*MAX(0,Assumptions!$D$57-G9145)+Assumptions!$P$58*MAX(0,Assumptions!$D$58-G9158)</f>
        <v>417.29484424</v>
      </c>
      <c r="H9206" s="25" t="n">
        <f aca="false">MAX(0,H9190)+Assumptions!$P$56*MAX(0,Assumptions!$D$56-H9132)+Assumptions!$P$57*MAX(0,Assumptions!$D$57-H9145)+Assumptions!$P$58*MAX(0,Assumptions!$D$58-H9158)</f>
        <v>326.5850072752</v>
      </c>
      <c r="I9206" s="25" t="n">
        <f aca="false">MAX(0,I9190)+Assumptions!$P$56*MAX(0,Assumptions!$D$56-I9132)+Assumptions!$P$57*MAX(0,Assumptions!$D$57-I9145)+Assumptions!$P$58*MAX(0,Assumptions!$D$58-I9158)</f>
        <v>0</v>
      </c>
      <c r="J9206" s="25" t="n">
        <f aca="false">MAX(0,J9190)+Assumptions!$P$56*MAX(0,Assumptions!$D$56-J9132)+Assumptions!$P$57*MAX(0,Assumptions!$D$57-J9145)+Assumptions!$P$58*MAX(0,Assumptions!$D$58-J9158)</f>
        <v>0</v>
      </c>
      <c r="K9206" s="25" t="n">
        <f aca="false">MAX(0,K9190)+Assumptions!$P$56*MAX(0,Assumptions!$D$56-K9132)+Assumptions!$P$57*MAX(0,Assumptions!$D$57-K9145)+Assumptions!$P$58*MAX(0,Assumptions!$D$58-K9158)</f>
        <v>0</v>
      </c>
    </row>
    <row r="9207" customFormat="false" ht="15" hidden="false" customHeight="false" outlineLevel="0" collapsed="false">
      <c r="A9207" s="3" t="s">
        <v>368</v>
      </c>
      <c r="G9207" s="21" t="n">
        <f aca="false">IF(G9197&gt;0,G9197/(G9197+MAX(0,G9095*CHOOSE($C$9078,Assumptions!$C$82,Assumptions!$C$101,Assumptions!$C$120)-G9199)),0)</f>
        <v>1</v>
      </c>
      <c r="H9207" s="21" t="n">
        <f aca="false">IF(H9197&gt;0,H9197/(H9197+MAX(0,H9095*CHOOSE($C$9078,Assumptions!$C$82,Assumptions!$C$101,Assumptions!$C$120)-H9199)),0)</f>
        <v>1</v>
      </c>
      <c r="I9207" s="21" t="n">
        <f aca="false">IF(I9197&gt;0,I9197/(I9197+MAX(0,I9095*CHOOSE($C$9078,Assumptions!$C$82,Assumptions!$C$101,Assumptions!$C$120)-I9199)),0)</f>
        <v>1</v>
      </c>
      <c r="J9207" s="21" t="n">
        <f aca="false">IF(J9197&gt;0,J9197/(J9197+MAX(0,J9095*CHOOSE($C$9078,Assumptions!$C$82,Assumptions!$C$101,Assumptions!$C$120)-J9199)),0)</f>
        <v>1</v>
      </c>
      <c r="K9207" s="21" t="n">
        <f aca="false">IF(K9197&gt;0,K9197/(K9197+MAX(0,K9095*CHOOSE($C$9078,Assumptions!$C$82,Assumptions!$C$101,Assumptions!$C$120)-K9199)),0)</f>
        <v>1</v>
      </c>
    </row>
    <row r="9208" customFormat="false" ht="15" hidden="false" customHeight="false" outlineLevel="0" collapsed="false">
      <c r="A9208" s="3" t="s">
        <v>369</v>
      </c>
      <c r="G9208" s="21" t="n">
        <f aca="false">IF(G9197&gt;0,MAX(0,G9190)/G9197,0)</f>
        <v>0.240438986191153</v>
      </c>
      <c r="H9208" s="21" t="n">
        <f aca="false">IF(H9197&gt;0,MAX(0,H9190)/H9197,0)</f>
        <v>0.18817334826528</v>
      </c>
      <c r="I9208" s="21" t="n">
        <f aca="false">IF(I9197&gt;0,MAX(0,I9190)/I9197,0)</f>
        <v>0</v>
      </c>
      <c r="J9208" s="21" t="n">
        <f aca="false">IF(J9197&gt;0,MAX(0,J9190)/J9197,0)</f>
        <v>0</v>
      </c>
      <c r="K9208" s="21" t="n">
        <f aca="false">IF(K9197&gt;0,MAX(0,K9190)/K9197,0)</f>
        <v>0</v>
      </c>
    </row>
    <row r="9209" customFormat="false" ht="15" hidden="false" customHeight="false" outlineLevel="0" collapsed="false">
      <c r="A9209" s="3" t="s">
        <v>370</v>
      </c>
      <c r="G9209" s="25" t="n">
        <f aca="false">Assumptions!$C$30*(1-CHOOSE($C$9078,Assumptions!$C$85,Assumptions!$C$104,Assumptions!$C$123))</f>
        <v>1595.73115</v>
      </c>
      <c r="H9209" s="25" t="n">
        <f aca="false">Assumptions!$C$30*(1-CHOOSE($C$9078,Assumptions!$C$85,Assumptions!$C$104,Assumptions!$C$123))</f>
        <v>1595.73115</v>
      </c>
      <c r="I9209" s="25" t="n">
        <f aca="false">Assumptions!$C$30*(1-CHOOSE($C$9078,Assumptions!$C$85,Assumptions!$C$104,Assumptions!$C$123))</f>
        <v>1595.73115</v>
      </c>
      <c r="J9209" s="25" t="n">
        <f aca="false">Assumptions!$C$30*(1-CHOOSE($C$9078,Assumptions!$C$85,Assumptions!$C$104,Assumptions!$C$123))</f>
        <v>1595.73115</v>
      </c>
      <c r="K9209" s="25" t="n">
        <f aca="false">Assumptions!$C$30*(1-CHOOSE($C$9078,Assumptions!$C$85,Assumptions!$C$104,Assumptions!$C$123))</f>
        <v>1595.73115</v>
      </c>
    </row>
    <row r="9210" customFormat="false" ht="15" hidden="false" customHeight="false" outlineLevel="0" collapsed="false">
      <c r="A9210" s="23" t="s">
        <v>371</v>
      </c>
      <c r="B9210" s="24"/>
      <c r="C9210" s="24"/>
      <c r="D9210" s="24"/>
      <c r="E9210" s="24"/>
      <c r="F9210" s="24"/>
      <c r="G9210" s="24"/>
      <c r="H9210" s="24"/>
      <c r="I9210" s="24"/>
      <c r="J9210" s="24"/>
      <c r="K9210" s="24"/>
    </row>
    <row r="9211" customFormat="false" ht="15" hidden="false" customHeight="false" outlineLevel="0" collapsed="false">
      <c r="A9211" s="23" t="s">
        <v>372</v>
      </c>
      <c r="B9211" s="24"/>
      <c r="C9211" s="24"/>
      <c r="D9211" s="24"/>
      <c r="E9211" s="24"/>
      <c r="F9211" s="24"/>
      <c r="G9211" s="24"/>
      <c r="H9211" s="24"/>
      <c r="I9211" s="24"/>
      <c r="J9211" s="24"/>
      <c r="K9211" s="24"/>
    </row>
    <row r="9212" customFormat="false" ht="15" hidden="false" customHeight="false" outlineLevel="0" collapsed="false">
      <c r="A9212" s="3" t="s">
        <v>373</v>
      </c>
      <c r="G9212" s="32" t="n">
        <f aca="false">IF(G9095&gt;0,G9199/G9095,99)</f>
        <v>8.58030736590876</v>
      </c>
      <c r="H9212" s="32" t="n">
        <f aca="false">IF(H9095&gt;0,H9199/H9095,99)</f>
        <v>14.1088016591838</v>
      </c>
      <c r="I9212" s="32" t="n">
        <f aca="false">IF(I9095&gt;0,I9199/I9095,99)</f>
        <v>20.3586568496502</v>
      </c>
      <c r="J9212" s="32" t="n">
        <f aca="false">IF(J9095&gt;0,J9199/J9095,99)</f>
        <v>26.5985022493937</v>
      </c>
      <c r="K9212" s="32" t="n">
        <f aca="false">IF(K9095&gt;0,K9199/K9095,99)</f>
        <v>33.8927924082229</v>
      </c>
    </row>
    <row r="9213" customFormat="false" ht="15" hidden="false" customHeight="false" outlineLevel="0" collapsed="false">
      <c r="A9213" s="3" t="s">
        <v>374</v>
      </c>
      <c r="G9213" s="33" t="n">
        <f aca="false">Assumptions!$G$65</f>
        <v>5.25</v>
      </c>
      <c r="H9213" s="33" t="n">
        <f aca="false">Assumptions!$H$65</f>
        <v>5.25</v>
      </c>
      <c r="I9213" s="33" t="n">
        <f aca="false">Assumptions!$I$65</f>
        <v>5</v>
      </c>
      <c r="J9213" s="33" t="n">
        <f aca="false">Assumptions!$J$65</f>
        <v>5</v>
      </c>
      <c r="K9213" s="33" t="n">
        <f aca="false">Assumptions!$K$65</f>
        <v>5</v>
      </c>
    </row>
    <row r="9214" customFormat="false" ht="15" hidden="false" customHeight="false" outlineLevel="0" collapsed="false">
      <c r="A9214" s="3" t="s">
        <v>375</v>
      </c>
      <c r="G9214" s="32" t="n">
        <f aca="false">G9213-G9212</f>
        <v>-3.33030736590876</v>
      </c>
      <c r="H9214" s="32" t="n">
        <f aca="false">H9213-H9212</f>
        <v>-8.85880165918385</v>
      </c>
      <c r="I9214" s="32" t="n">
        <f aca="false">I9213-I9212</f>
        <v>-15.3586568496502</v>
      </c>
      <c r="J9214" s="32" t="n">
        <f aca="false">J9213-J9212</f>
        <v>-21.5985022493937</v>
      </c>
      <c r="K9214" s="32" t="n">
        <f aca="false">K9213-K9212</f>
        <v>-28.8927924082229</v>
      </c>
    </row>
    <row r="9215" customFormat="false" ht="15" hidden="false" customHeight="false" outlineLevel="0" collapsed="false">
      <c r="A9215" s="3" t="s">
        <v>376</v>
      </c>
      <c r="G9215" s="21" t="n">
        <f aca="false">IF(G9213=0,0,G9214/ABS(G9213))</f>
        <v>-0.634344260173096</v>
      </c>
      <c r="H9215" s="21" t="n">
        <f aca="false">IF(H9213=0,0,H9214/ABS(H9213))</f>
        <v>-1.68739079222549</v>
      </c>
      <c r="I9215" s="21" t="n">
        <f aca="false">IF(I9213=0,0,I9214/ABS(I9213))</f>
        <v>-3.07173136993005</v>
      </c>
      <c r="J9215" s="21" t="n">
        <f aca="false">IF(J9213=0,0,J9214/ABS(J9213))</f>
        <v>-4.31970044987873</v>
      </c>
      <c r="K9215" s="21" t="n">
        <f aca="false">IF(K9213=0,0,K9214/ABS(K9213))</f>
        <v>-5.77855848164458</v>
      </c>
    </row>
    <row r="9216" customFormat="false" ht="15" hidden="false" customHeight="false" outlineLevel="0" collapsed="false">
      <c r="A9216" s="3" t="s">
        <v>377</v>
      </c>
      <c r="G9216" s="20" t="n">
        <f aca="false">IF(G9214&lt;0,1,0)</f>
        <v>1</v>
      </c>
      <c r="H9216" s="20" t="n">
        <f aca="false">IF(H9214&lt;0,1,0)</f>
        <v>1</v>
      </c>
      <c r="I9216" s="20" t="n">
        <f aca="false">IF(I9214&lt;0,1,0)</f>
        <v>1</v>
      </c>
      <c r="J9216" s="20" t="n">
        <f aca="false">IF(J9214&lt;0,1,0)</f>
        <v>1</v>
      </c>
      <c r="K9216" s="20" t="n">
        <f aca="false">IF(K9214&lt;0,1,0)</f>
        <v>1</v>
      </c>
    </row>
    <row r="9217" customFormat="false" ht="15" hidden="false" customHeight="false" outlineLevel="0" collapsed="false">
      <c r="A9217" s="3" t="s">
        <v>378</v>
      </c>
      <c r="C9217" s="20" t="n">
        <f aca="false">IFERROR(INDEX($G$9085:$K$9085,MATCH(1,$G$9216:$K$9216,0)),0)</f>
        <v>2027</v>
      </c>
    </row>
    <row r="9218" customFormat="false" ht="15" hidden="false" customHeight="false" outlineLevel="0" collapsed="false">
      <c r="A9218" s="3" t="s">
        <v>379</v>
      </c>
      <c r="C9218" s="21" t="n">
        <f aca="false">MIN($G$9215:$K$9215)</f>
        <v>-5.77855848164458</v>
      </c>
    </row>
    <row r="9219" customFormat="false" ht="15" hidden="false" customHeight="false" outlineLevel="0" collapsed="false">
      <c r="A9219" s="23" t="s">
        <v>380</v>
      </c>
      <c r="B9219" s="24"/>
      <c r="C9219" s="24"/>
      <c r="D9219" s="24"/>
      <c r="E9219" s="24"/>
      <c r="F9219" s="24"/>
      <c r="G9219" s="24"/>
      <c r="H9219" s="24"/>
      <c r="I9219" s="24"/>
      <c r="J9219" s="24"/>
      <c r="K9219" s="24"/>
    </row>
    <row r="9220" customFormat="false" ht="15" hidden="false" customHeight="false" outlineLevel="0" collapsed="false">
      <c r="A9220" s="3" t="s">
        <v>373</v>
      </c>
      <c r="G9220" s="32" t="n">
        <f aca="false">IF(G9099&gt;0,G9095/G9099,99)</f>
        <v>0.985143660013515</v>
      </c>
      <c r="H9220" s="32" t="n">
        <f aca="false">IF(H9099&gt;0,H9095/H9099,99)</f>
        <v>0.640343379008785</v>
      </c>
      <c r="I9220" s="32" t="n">
        <f aca="false">IF(I9099&gt;0,I9095/I9099,99)</f>
        <v>0.47812305632656</v>
      </c>
      <c r="J9220" s="32" t="n">
        <f aca="false">IF(J9099&gt;0,J9095/J9099,99)</f>
        <v>0.416763325627337</v>
      </c>
      <c r="K9220" s="32" t="n">
        <f aca="false">IF(K9099&gt;0,K9095/K9099,99)</f>
        <v>0.350081193526963</v>
      </c>
    </row>
    <row r="9221" customFormat="false" ht="15" hidden="false" customHeight="false" outlineLevel="0" collapsed="false">
      <c r="A9221" s="3" t="s">
        <v>374</v>
      </c>
      <c r="G9221" s="33" t="n">
        <f aca="false">Assumptions!$G$66</f>
        <v>1.4</v>
      </c>
      <c r="H9221" s="33" t="n">
        <f aca="false">Assumptions!$H$66</f>
        <v>1.4</v>
      </c>
      <c r="I9221" s="33" t="n">
        <f aca="false">Assumptions!$I$66</f>
        <v>1.4</v>
      </c>
      <c r="J9221" s="33" t="n">
        <f aca="false">Assumptions!$J$66</f>
        <v>1.5</v>
      </c>
      <c r="K9221" s="33" t="n">
        <f aca="false">Assumptions!$K$66</f>
        <v>1.5</v>
      </c>
    </row>
    <row r="9222" customFormat="false" ht="15" hidden="false" customHeight="false" outlineLevel="0" collapsed="false">
      <c r="A9222" s="3" t="s">
        <v>375</v>
      </c>
      <c r="G9222" s="32" t="n">
        <f aca="false">G9220-G9221</f>
        <v>-0.414856339986485</v>
      </c>
      <c r="H9222" s="32" t="n">
        <f aca="false">H9220-H9221</f>
        <v>-0.759656620991215</v>
      </c>
      <c r="I9222" s="32" t="n">
        <f aca="false">I9220-I9221</f>
        <v>-0.92187694367344</v>
      </c>
      <c r="J9222" s="32" t="n">
        <f aca="false">J9220-J9221</f>
        <v>-1.08323667437266</v>
      </c>
      <c r="K9222" s="32" t="n">
        <f aca="false">K9220-K9221</f>
        <v>-1.14991880647304</v>
      </c>
    </row>
    <row r="9223" customFormat="false" ht="15" hidden="false" customHeight="false" outlineLevel="0" collapsed="false">
      <c r="A9223" s="3" t="s">
        <v>376</v>
      </c>
      <c r="G9223" s="21" t="n">
        <f aca="false">IF(G9221=0,0,G9222/ABS(G9221))</f>
        <v>-0.296325957133203</v>
      </c>
      <c r="H9223" s="21" t="n">
        <f aca="false">IF(H9221=0,0,H9222/ABS(H9221))</f>
        <v>-0.542611872136582</v>
      </c>
      <c r="I9223" s="21" t="n">
        <f aca="false">IF(I9221=0,0,I9222/ABS(I9221))</f>
        <v>-0.658483531195315</v>
      </c>
      <c r="J9223" s="21" t="n">
        <f aca="false">IF(J9221=0,0,J9222/ABS(J9221))</f>
        <v>-0.722157782915109</v>
      </c>
      <c r="K9223" s="21" t="n">
        <f aca="false">IF(K9221=0,0,K9222/ABS(K9221))</f>
        <v>-0.766612537648692</v>
      </c>
    </row>
    <row r="9224" customFormat="false" ht="15" hidden="false" customHeight="false" outlineLevel="0" collapsed="false">
      <c r="A9224" s="3" t="s">
        <v>377</v>
      </c>
      <c r="G9224" s="20" t="n">
        <f aca="false">IF(G9222&lt;0,1,0)</f>
        <v>1</v>
      </c>
      <c r="H9224" s="20" t="n">
        <f aca="false">IF(H9222&lt;0,1,0)</f>
        <v>1</v>
      </c>
      <c r="I9224" s="20" t="n">
        <f aca="false">IF(I9222&lt;0,1,0)</f>
        <v>1</v>
      </c>
      <c r="J9224" s="20" t="n">
        <f aca="false">IF(J9222&lt;0,1,0)</f>
        <v>1</v>
      </c>
      <c r="K9224" s="20" t="n">
        <f aca="false">IF(K9222&lt;0,1,0)</f>
        <v>1</v>
      </c>
    </row>
    <row r="9225" customFormat="false" ht="15" hidden="false" customHeight="false" outlineLevel="0" collapsed="false">
      <c r="A9225" s="3" t="s">
        <v>378</v>
      </c>
      <c r="C9225" s="20" t="n">
        <f aca="false">IFERROR(INDEX($G$9085:$K$9085,MATCH(1,$G$9224:$K$9224,0)),0)</f>
        <v>2027</v>
      </c>
    </row>
    <row r="9226" customFormat="false" ht="15" hidden="false" customHeight="false" outlineLevel="0" collapsed="false">
      <c r="A9226" s="3" t="s">
        <v>379</v>
      </c>
      <c r="C9226" s="21" t="n">
        <f aca="false">MIN($G$9223:$K$9223)</f>
        <v>-0.766612537648692</v>
      </c>
    </row>
    <row r="9227" customFormat="false" ht="15" hidden="false" customHeight="false" outlineLevel="0" collapsed="false">
      <c r="A9227" s="23" t="s">
        <v>381</v>
      </c>
      <c r="B9227" s="24"/>
      <c r="C9227" s="24"/>
      <c r="D9227" s="24"/>
      <c r="E9227" s="24"/>
      <c r="F9227" s="24"/>
      <c r="G9227" s="24"/>
      <c r="H9227" s="24"/>
      <c r="I9227" s="24"/>
      <c r="J9227" s="24"/>
      <c r="K9227" s="24"/>
    </row>
    <row r="9228" customFormat="false" ht="15" hidden="false" customHeight="false" outlineLevel="0" collapsed="false">
      <c r="A9228" s="3" t="s">
        <v>373</v>
      </c>
      <c r="G9228" s="25" t="n">
        <f aca="false">G9206</f>
        <v>417.29484424</v>
      </c>
      <c r="H9228" s="25" t="n">
        <f aca="false">H9206</f>
        <v>326.5850072752</v>
      </c>
      <c r="I9228" s="25" t="n">
        <f aca="false">I9206</f>
        <v>0</v>
      </c>
      <c r="J9228" s="25" t="n">
        <f aca="false">J9206</f>
        <v>0</v>
      </c>
      <c r="K9228" s="25" t="n">
        <f aca="false">K9206</f>
        <v>0</v>
      </c>
    </row>
    <row r="9229" customFormat="false" ht="15" hidden="false" customHeight="false" outlineLevel="0" collapsed="false">
      <c r="A9229" s="3" t="s">
        <v>374</v>
      </c>
      <c r="G9229" s="29" t="n">
        <f aca="false">Assumptions!$G$67</f>
        <v>200</v>
      </c>
      <c r="H9229" s="29" t="n">
        <f aca="false">Assumptions!$H$67</f>
        <v>200</v>
      </c>
      <c r="I9229" s="29" t="n">
        <f aca="false">Assumptions!$I$67</f>
        <v>200</v>
      </c>
      <c r="J9229" s="29" t="n">
        <f aca="false">Assumptions!$J$67</f>
        <v>200</v>
      </c>
      <c r="K9229" s="29" t="n">
        <f aca="false">Assumptions!$K$67</f>
        <v>200</v>
      </c>
    </row>
    <row r="9230" customFormat="false" ht="15" hidden="false" customHeight="false" outlineLevel="0" collapsed="false">
      <c r="A9230" s="3" t="s">
        <v>375</v>
      </c>
      <c r="G9230" s="25" t="n">
        <f aca="false">G9228-G9229</f>
        <v>217.29484424</v>
      </c>
      <c r="H9230" s="25" t="n">
        <f aca="false">H9228-H9229</f>
        <v>126.5850072752</v>
      </c>
      <c r="I9230" s="25" t="n">
        <f aca="false">I9228-I9229</f>
        <v>-200</v>
      </c>
      <c r="J9230" s="25" t="n">
        <f aca="false">J9228-J9229</f>
        <v>-200</v>
      </c>
      <c r="K9230" s="25" t="n">
        <f aca="false">K9228-K9229</f>
        <v>-200</v>
      </c>
    </row>
    <row r="9231" customFormat="false" ht="15" hidden="false" customHeight="false" outlineLevel="0" collapsed="false">
      <c r="A9231" s="3" t="s">
        <v>376</v>
      </c>
      <c r="G9231" s="21" t="n">
        <f aca="false">IF(G9229=0,0,G9230/ABS(G9229))</f>
        <v>1.0864742212</v>
      </c>
      <c r="H9231" s="21" t="n">
        <f aca="false">IF(H9229=0,0,H9230/ABS(H9229))</f>
        <v>0.632925036376</v>
      </c>
      <c r="I9231" s="21" t="n">
        <f aca="false">IF(I9229=0,0,I9230/ABS(I9229))</f>
        <v>-1</v>
      </c>
      <c r="J9231" s="21" t="n">
        <f aca="false">IF(J9229=0,0,J9230/ABS(J9229))</f>
        <v>-1</v>
      </c>
      <c r="K9231" s="21" t="n">
        <f aca="false">IF(K9229=0,0,K9230/ABS(K9229))</f>
        <v>-1</v>
      </c>
    </row>
    <row r="9232" customFormat="false" ht="15" hidden="false" customHeight="false" outlineLevel="0" collapsed="false">
      <c r="A9232" s="3" t="s">
        <v>377</v>
      </c>
      <c r="G9232" s="20" t="n">
        <f aca="false">IF(G9230&lt;0,1,0)</f>
        <v>0</v>
      </c>
      <c r="H9232" s="20" t="n">
        <f aca="false">IF(H9230&lt;0,1,0)</f>
        <v>0</v>
      </c>
      <c r="I9232" s="20" t="n">
        <f aca="false">IF(I9230&lt;0,1,0)</f>
        <v>1</v>
      </c>
      <c r="J9232" s="20" t="n">
        <f aca="false">IF(J9230&lt;0,1,0)</f>
        <v>1</v>
      </c>
      <c r="K9232" s="20" t="n">
        <f aca="false">IF(K9230&lt;0,1,0)</f>
        <v>1</v>
      </c>
    </row>
    <row r="9233" customFormat="false" ht="15" hidden="false" customHeight="false" outlineLevel="0" collapsed="false">
      <c r="A9233" s="3" t="s">
        <v>378</v>
      </c>
      <c r="C9233" s="20" t="n">
        <f aca="false">IFERROR(INDEX($G$9085:$K$9085,MATCH(1,$G$9232:$K$9232,0)),0)</f>
        <v>2029</v>
      </c>
    </row>
    <row r="9234" customFormat="false" ht="15" hidden="false" customHeight="false" outlineLevel="0" collapsed="false">
      <c r="A9234" s="3" t="s">
        <v>379</v>
      </c>
      <c r="C9234" s="21" t="n">
        <f aca="false">MIN($G$9231:$K$9231)</f>
        <v>-1</v>
      </c>
    </row>
    <row r="9235" customFormat="false" ht="15" hidden="false" customHeight="false" outlineLevel="0" collapsed="false">
      <c r="A9235" s="3" t="s">
        <v>382</v>
      </c>
      <c r="G9235" s="20" t="n">
        <f aca="false">G9216+G9224+G9232</f>
        <v>2</v>
      </c>
      <c r="H9235" s="20" t="n">
        <f aca="false">H9216+H9224+H9232</f>
        <v>2</v>
      </c>
      <c r="I9235" s="20" t="n">
        <f aca="false">I9216+I9224+I9232</f>
        <v>3</v>
      </c>
      <c r="J9235" s="20" t="n">
        <f aca="false">J9216+J9224+J9232</f>
        <v>3</v>
      </c>
      <c r="K9235" s="20" t="n">
        <f aca="false">K9216+K9224+K9232</f>
        <v>3</v>
      </c>
    </row>
    <row r="9236" customFormat="false" ht="15" hidden="false" customHeight="false" outlineLevel="0" collapsed="false">
      <c r="A9236" s="3" t="s">
        <v>383</v>
      </c>
      <c r="C9236" s="20" t="n">
        <f aca="false">SUM($G$9235:$K$9235)</f>
        <v>13</v>
      </c>
    </row>
    <row r="9237" customFormat="false" ht="15" hidden="false" customHeight="false" outlineLevel="0" collapsed="false">
      <c r="A9237" s="3" t="s">
        <v>384</v>
      </c>
      <c r="C9237" s="21" t="n">
        <f aca="false">MIN(C9218,C9226,C9234)</f>
        <v>-5.77855848164458</v>
      </c>
    </row>
    <row r="9239" customFormat="false" ht="15" hidden="false" customHeight="false" outlineLevel="0" collapsed="false">
      <c r="A9239" s="23" t="s">
        <v>486</v>
      </c>
      <c r="B9239" s="24"/>
      <c r="C9239" s="24"/>
      <c r="D9239" s="24"/>
      <c r="E9239" s="24"/>
      <c r="F9239" s="24"/>
      <c r="G9239" s="24"/>
      <c r="H9239" s="24"/>
      <c r="I9239" s="24"/>
      <c r="J9239" s="24"/>
      <c r="K9239" s="24"/>
    </row>
    <row r="9240" customFormat="false" ht="15" hidden="false" customHeight="false" outlineLevel="0" collapsed="false">
      <c r="A9240" s="3" t="s">
        <v>487</v>
      </c>
      <c r="G9240" s="20" t="n">
        <f aca="false">IF($C$9241=1,G9193,IF(G9095=MIN($G$9095:$K$9095),1,0))</f>
        <v>0</v>
      </c>
      <c r="H9240" s="20" t="n">
        <f aca="false">IF($C$9241=1,H9193,IF(AND(H9095=MIN($G$9095:$K$9095),SUM($G$9240:G9240)=0),1,0))</f>
        <v>0</v>
      </c>
      <c r="I9240" s="20" t="n">
        <f aca="false">IF($C$9241=1,I9193,IF(AND(I9095=MIN($G$9095:$K$9095),SUM($G$9240:H9240)=0),1,0))</f>
        <v>1</v>
      </c>
      <c r="J9240" s="20" t="n">
        <f aca="false">IF($C$9241=1,J9193,IF(AND(J9095=MIN($G$9095:$K$9095),SUM($G$9240:I9240)=0),1,0))</f>
        <v>0</v>
      </c>
      <c r="K9240" s="20" t="n">
        <f aca="false">IF($C$9241=1,K9193,IF(AND(K9095=MIN($G$9095:$K$9095),SUM($G$9240:J9240)=0),1,0))</f>
        <v>0</v>
      </c>
    </row>
    <row r="9241" customFormat="false" ht="15" hidden="false" customHeight="false" outlineLevel="0" collapsed="false">
      <c r="A9241" s="3" t="s">
        <v>488</v>
      </c>
      <c r="C9241" s="20" t="n">
        <f aca="false">IF(SUM($G$9193:$K$9193)&gt;0,1,0)</f>
        <v>1</v>
      </c>
    </row>
    <row r="9242" customFormat="false" ht="15" hidden="false" customHeight="false" outlineLevel="0" collapsed="false">
      <c r="A9242" s="3" t="s">
        <v>489</v>
      </c>
      <c r="C9242" s="20" t="n">
        <f aca="false">SUMPRODUCT($G$9240:$K$9240,$G$9085:$K$9085)</f>
        <v>2029</v>
      </c>
    </row>
    <row r="9243" customFormat="false" ht="15" hidden="false" customHeight="false" outlineLevel="0" collapsed="false">
      <c r="A9243" s="3" t="s">
        <v>490</v>
      </c>
      <c r="C9243" s="25" t="n">
        <f aca="false">SUMPRODUCT($G$9240:$K$9240,$G$9095:$K$9095)</f>
        <v>74.5655234688</v>
      </c>
    </row>
    <row r="9244" customFormat="false" ht="15" hidden="false" customHeight="false" outlineLevel="0" collapsed="false">
      <c r="A9244" s="3" t="s">
        <v>491</v>
      </c>
      <c r="C9244" s="25" t="n">
        <f aca="false">MAX(0,SUMPRODUCT($G$9240:$K$9240,$G$9190:$K$9190))</f>
        <v>0</v>
      </c>
    </row>
    <row r="9245" customFormat="false" ht="15" hidden="false" customHeight="false" outlineLevel="0" collapsed="false">
      <c r="A9245" s="3" t="s">
        <v>492</v>
      </c>
      <c r="C9245" s="25" t="n">
        <f aca="false">(CHOOSE($C$9078,Assumptions!$C$84,Assumptions!$C$103,Assumptions!$C$122)+$C$9082)*C9243</f>
        <v>298.2620938752</v>
      </c>
    </row>
    <row r="9246" customFormat="false" ht="15" hidden="false" customHeight="false" outlineLevel="0" collapsed="false">
      <c r="A9246" s="3" t="s">
        <v>493</v>
      </c>
      <c r="C9246" s="25" t="n">
        <f aca="false">Assumptions!$C$30*(1-CHOOSE($C$9078,Assumptions!$C$85,Assumptions!$C$104,Assumptions!$C$123))*CHOOSE($C$9078,Assumptions!$C$86,Assumptions!$C$105,Assumptions!$C$124)</f>
        <v>478.719345</v>
      </c>
    </row>
    <row r="9247" customFormat="false" ht="15" hidden="false" customHeight="false" outlineLevel="0" collapsed="false">
      <c r="A9247" s="3" t="s">
        <v>494</v>
      </c>
      <c r="C9247" s="25" t="n">
        <f aca="false">MAX(C9245,C9246)+C9244</f>
        <v>478.719345</v>
      </c>
    </row>
    <row r="9248" customFormat="false" ht="15" hidden="false" customHeight="false" outlineLevel="0" collapsed="false">
      <c r="A9248" s="2" t="s">
        <v>495</v>
      </c>
      <c r="C9248" s="16" t="n">
        <f aca="false">IF(ISNUMBER(Assumptions!$C$14),Assumptions!$C$14,C9247)</f>
        <v>478.719345</v>
      </c>
    </row>
    <row r="9249" customFormat="false" ht="15" hidden="false" customHeight="false" outlineLevel="0" collapsed="false">
      <c r="A9249" s="3" t="s">
        <v>496</v>
      </c>
      <c r="C9249" s="25" t="n">
        <f aca="false">C9248*Assumptions!$C$15</f>
        <v>19.1487738</v>
      </c>
    </row>
    <row r="9250" customFormat="false" ht="15" hidden="false" customHeight="false" outlineLevel="0" collapsed="false">
      <c r="A9250" s="2" t="s">
        <v>497</v>
      </c>
      <c r="C9250" s="16" t="n">
        <f aca="false">C9248-C9249</f>
        <v>459.5705712</v>
      </c>
    </row>
    <row r="9251" customFormat="false" ht="15" hidden="false" customHeight="false" outlineLevel="0" collapsed="false">
      <c r="A9251" s="23" t="s">
        <v>498</v>
      </c>
      <c r="B9251" s="24"/>
      <c r="C9251" s="24"/>
      <c r="D9251" s="24"/>
      <c r="E9251" s="24"/>
      <c r="F9251" s="24"/>
      <c r="G9251" s="24"/>
      <c r="H9251" s="24"/>
      <c r="I9251" s="24"/>
      <c r="J9251" s="24"/>
      <c r="K9251" s="24"/>
    </row>
    <row r="9252" customFormat="false" ht="15" hidden="false" customHeight="false" outlineLevel="0" collapsed="false">
      <c r="A9252" s="3" t="s">
        <v>499</v>
      </c>
      <c r="C9252" s="25" t="n">
        <f aca="false">SUMPRODUCT($G$9240:$K$9240,$G$9132:$K$9132)*(1+SUMPRODUCT($G$9240:$K$9240,$G$9124:$K$9124)*Assumptions!$C$16/12)</f>
        <v>1349.6193225</v>
      </c>
    </row>
    <row r="9253" customFormat="false" ht="15" hidden="false" customHeight="false" outlineLevel="0" collapsed="false">
      <c r="A9253" s="3" t="s">
        <v>500</v>
      </c>
      <c r="C9253" s="25" t="n">
        <f aca="false">SUMPRODUCT($G$9240:$K$9240,$G$9145:$K$9145)*(1+SUMPRODUCT($G$9240:$K$9240,$G$9137:$K$9137)*Assumptions!$C$16/12)</f>
        <v>59.8349678576958</v>
      </c>
    </row>
    <row r="9254" customFormat="false" ht="15" hidden="false" customHeight="false" outlineLevel="0" collapsed="false">
      <c r="A9254" s="3" t="s">
        <v>501</v>
      </c>
      <c r="C9254" s="25" t="n">
        <f aca="false">SUMPRODUCT($G$9240:$K$9240,$G$9158:$K$9158)*(1+SUMPRODUCT($G$9240:$K$9240,$G$9150:$K$9150)*Assumptions!$C$16/12)</f>
        <v>145.27734375</v>
      </c>
    </row>
    <row r="9255" customFormat="false" ht="15" hidden="false" customHeight="false" outlineLevel="0" collapsed="false">
      <c r="A9255" s="23" t="s">
        <v>502</v>
      </c>
      <c r="B9255" s="24"/>
      <c r="C9255" s="24"/>
      <c r="D9255" s="24"/>
      <c r="E9255" s="24"/>
      <c r="F9255" s="24"/>
      <c r="G9255" s="24"/>
      <c r="H9255" s="24"/>
      <c r="I9255" s="24"/>
      <c r="J9255" s="24"/>
      <c r="K9255" s="24"/>
    </row>
    <row r="9256" customFormat="false" ht="15" hidden="false" customHeight="false" outlineLevel="0" collapsed="false">
      <c r="A9256" s="3" t="s">
        <v>499</v>
      </c>
      <c r="C9256" s="27" t="n">
        <f aca="false">Assumptions!$M$56</f>
        <v>1</v>
      </c>
    </row>
    <row r="9257" customFormat="false" ht="15" hidden="false" customHeight="false" outlineLevel="0" collapsed="false">
      <c r="A9257" s="3" t="s">
        <v>500</v>
      </c>
      <c r="C9257" s="27" t="n">
        <f aca="false">Assumptions!$M$57</f>
        <v>2</v>
      </c>
    </row>
    <row r="9258" customFormat="false" ht="15" hidden="false" customHeight="false" outlineLevel="0" collapsed="false">
      <c r="A9258" s="3" t="s">
        <v>501</v>
      </c>
      <c r="C9258" s="27" t="n">
        <f aca="false">Assumptions!$M$58</f>
        <v>2</v>
      </c>
    </row>
    <row r="9259" customFormat="false" ht="15" hidden="false" customHeight="false" outlineLevel="0" collapsed="false">
      <c r="A9259" s="23" t="s">
        <v>503</v>
      </c>
      <c r="B9259" s="24"/>
      <c r="C9259" s="24"/>
      <c r="D9259" s="24"/>
      <c r="E9259" s="24"/>
      <c r="F9259" s="24"/>
      <c r="G9259" s="24"/>
      <c r="H9259" s="24"/>
      <c r="I9259" s="24"/>
      <c r="J9259" s="24"/>
      <c r="K9259" s="24"/>
    </row>
    <row r="9260" customFormat="false" ht="15" hidden="false" customHeight="false" outlineLevel="0" collapsed="false">
      <c r="A9260" s="3" t="s">
        <v>499</v>
      </c>
      <c r="C9260" s="35" t="n">
        <f aca="false">Assumptions!$Q$56</f>
        <v>0</v>
      </c>
    </row>
    <row r="9261" customFormat="false" ht="15" hidden="false" customHeight="false" outlineLevel="0" collapsed="false">
      <c r="A9261" s="3" t="s">
        <v>500</v>
      </c>
      <c r="C9261" s="35" t="n">
        <f aca="false">Assumptions!$Q$57</f>
        <v>0</v>
      </c>
    </row>
    <row r="9262" customFormat="false" ht="15" hidden="false" customHeight="false" outlineLevel="0" collapsed="false">
      <c r="A9262" s="3" t="s">
        <v>501</v>
      </c>
      <c r="C9262" s="35" t="n">
        <f aca="false">Assumptions!$Q$58</f>
        <v>0</v>
      </c>
    </row>
    <row r="9263" customFormat="false" ht="15" hidden="false" customHeight="false" outlineLevel="0" collapsed="false">
      <c r="A9263" s="23" t="s">
        <v>504</v>
      </c>
      <c r="B9263" s="24"/>
      <c r="C9263" s="24"/>
      <c r="D9263" s="24"/>
      <c r="E9263" s="24"/>
      <c r="F9263" s="24"/>
      <c r="G9263" s="24"/>
      <c r="H9263" s="24"/>
      <c r="I9263" s="24"/>
      <c r="J9263" s="24"/>
      <c r="K9263" s="24"/>
    </row>
    <row r="9264" customFormat="false" ht="15" hidden="false" customHeight="false" outlineLevel="0" collapsed="false">
      <c r="A9264" s="3" t="s">
        <v>499</v>
      </c>
      <c r="C9264" s="25" t="n">
        <f aca="false">IF(C9260&gt;0,MIN(C9252,C9260*$C$9250),0)</f>
        <v>0</v>
      </c>
    </row>
    <row r="9265" customFormat="false" ht="15" hidden="false" customHeight="false" outlineLevel="0" collapsed="false">
      <c r="A9265" s="3" t="s">
        <v>500</v>
      </c>
      <c r="C9265" s="25" t="n">
        <f aca="false">IF(C9261&gt;0,MIN(C9253,C9261*$C$9250),0)</f>
        <v>0</v>
      </c>
    </row>
    <row r="9266" customFormat="false" ht="15" hidden="false" customHeight="false" outlineLevel="0" collapsed="false">
      <c r="A9266" s="3" t="s">
        <v>501</v>
      </c>
      <c r="C9266" s="25" t="n">
        <f aca="false">IF(C9262&gt;0,MIN(C9254,C9262*$C$9250),0)</f>
        <v>0</v>
      </c>
    </row>
    <row r="9267" customFormat="false" ht="15" hidden="false" customHeight="false" outlineLevel="0" collapsed="false">
      <c r="A9267" s="23" t="s">
        <v>505</v>
      </c>
      <c r="B9267" s="24"/>
      <c r="C9267" s="24"/>
      <c r="D9267" s="24"/>
      <c r="E9267" s="24"/>
      <c r="F9267" s="24"/>
      <c r="G9267" s="24"/>
      <c r="H9267" s="24"/>
      <c r="I9267" s="24"/>
      <c r="J9267" s="24"/>
      <c r="K9267" s="24"/>
    </row>
    <row r="9268" customFormat="false" ht="15" hidden="false" customHeight="false" outlineLevel="0" collapsed="false">
      <c r="A9268" s="3" t="s">
        <v>499</v>
      </c>
      <c r="C9268" s="25" t="n">
        <f aca="false">IF(C9260&gt;0,C9252-C9264,0)</f>
        <v>0</v>
      </c>
      <c r="G9268" s="20" t="n">
        <f aca="false">IF(AND(G9122=1,G9119=1),1,0)</f>
        <v>0</v>
      </c>
      <c r="H9268" s="20" t="n">
        <f aca="false">IF(G9268=1,1,IF(AND(H9122=1,H9119=1),1,0))</f>
        <v>0</v>
      </c>
      <c r="I9268" s="20" t="n">
        <f aca="false">IF(H9268=1,1,IF(AND(I9122=1,I9119=1),1,0))</f>
        <v>0</v>
      </c>
      <c r="J9268" s="20" t="n">
        <f aca="false">IF(I9268=1,1,IF(AND(J9122=1,J9119=1),1,0))</f>
        <v>0</v>
      </c>
      <c r="K9268" s="20" t="n">
        <f aca="false">IF(J9268=1,1,IF(AND(K9122=1,K9119=1),1,0))</f>
        <v>0</v>
      </c>
    </row>
    <row r="9269" customFormat="false" ht="15" hidden="false" customHeight="false" outlineLevel="0" collapsed="false">
      <c r="A9269" s="3" t="s">
        <v>500</v>
      </c>
      <c r="C9269" s="25" t="n">
        <f aca="false">IF(C9261&gt;0,C9253-C9265,0)</f>
        <v>0</v>
      </c>
      <c r="G9269" s="20" t="n">
        <f aca="false">IF(AND(G9135=1,G9119=1),1,0)</f>
        <v>0</v>
      </c>
      <c r="H9269" s="20" t="n">
        <f aca="false">IF(G9269=1,1,IF(AND(H9135=1,H9119=1),1,0))</f>
        <v>0</v>
      </c>
      <c r="I9269" s="20" t="n">
        <f aca="false">IF(H9269=1,1,IF(AND(I9135=1,I9119=1),1,0))</f>
        <v>0</v>
      </c>
      <c r="J9269" s="20" t="n">
        <f aca="false">IF(I9269=1,1,IF(AND(J9135=1,J9119=1),1,0))</f>
        <v>0</v>
      </c>
      <c r="K9269" s="20" t="n">
        <f aca="false">IF(J9269=1,1,IF(AND(K9135=1,K9119=1),1,0))</f>
        <v>0</v>
      </c>
    </row>
    <row r="9270" customFormat="false" ht="15" hidden="false" customHeight="false" outlineLevel="0" collapsed="false">
      <c r="A9270" s="3" t="s">
        <v>501</v>
      </c>
      <c r="C9270" s="25" t="n">
        <f aca="false">IF(C9262&gt;0,C9254-C9266,0)</f>
        <v>0</v>
      </c>
      <c r="G9270" s="20" t="n">
        <f aca="false">IF(AND(G9148=1,G9119=1),1,0)</f>
        <v>0</v>
      </c>
      <c r="H9270" s="20" t="n">
        <f aca="false">IF(G9270=1,1,IF(AND(H9148=1,H9119=1),1,0))</f>
        <v>0</v>
      </c>
      <c r="I9270" s="20" t="n">
        <f aca="false">IF(H9270=1,1,IF(AND(I9148=1,I9119=1),1,0))</f>
        <v>0</v>
      </c>
      <c r="J9270" s="20" t="n">
        <f aca="false">IF(I9270=1,1,IF(AND(J9148=1,J9119=1),1,0))</f>
        <v>0</v>
      </c>
      <c r="K9270" s="20" t="n">
        <f aca="false">IF(J9270=1,1,IF(AND(K9148=1,K9119=1),1,0))</f>
        <v>0</v>
      </c>
    </row>
    <row r="9271" customFormat="false" ht="15" hidden="false" customHeight="false" outlineLevel="0" collapsed="false">
      <c r="A9271" s="23" t="s">
        <v>506</v>
      </c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</row>
    <row r="9272" customFormat="false" ht="15" hidden="false" customHeight="false" outlineLevel="0" collapsed="false">
      <c r="A9272" s="3" t="s">
        <v>499</v>
      </c>
      <c r="C9272" s="25" t="n">
        <f aca="false">IF(C9260&gt;0,C9268,C9252)</f>
        <v>1349.6193225</v>
      </c>
    </row>
    <row r="9273" customFormat="false" ht="15" hidden="false" customHeight="false" outlineLevel="0" collapsed="false">
      <c r="A9273" s="3" t="s">
        <v>500</v>
      </c>
      <c r="C9273" s="25" t="n">
        <f aca="false">IF(C9261&gt;0,C9269,C9253)</f>
        <v>59.8349678576958</v>
      </c>
    </row>
    <row r="9274" customFormat="false" ht="15" hidden="false" customHeight="false" outlineLevel="0" collapsed="false">
      <c r="A9274" s="3" t="s">
        <v>501</v>
      </c>
      <c r="C9274" s="25" t="n">
        <f aca="false">IF(C9262&gt;0,C9270,C9254)</f>
        <v>145.27734375</v>
      </c>
    </row>
    <row r="9275" customFormat="false" ht="15" hidden="false" customHeight="false" outlineLevel="0" collapsed="false">
      <c r="A9275" s="23" t="s">
        <v>507</v>
      </c>
      <c r="B9275" s="24"/>
      <c r="C9275" s="24"/>
      <c r="D9275" s="24"/>
      <c r="E9275" s="24"/>
      <c r="F9275" s="24"/>
      <c r="G9275" s="24"/>
      <c r="H9275" s="24"/>
      <c r="I9275" s="24"/>
      <c r="J9275" s="24"/>
      <c r="K9275" s="24"/>
    </row>
    <row r="9276" customFormat="false" ht="15" hidden="false" customHeight="false" outlineLevel="0" collapsed="false">
      <c r="A9276" s="3" t="s">
        <v>499</v>
      </c>
      <c r="C9276" s="20" t="n">
        <f aca="false">IF(C9260&gt;0,Assumptions!$C$17,C9256)</f>
        <v>1</v>
      </c>
    </row>
    <row r="9277" customFormat="false" ht="15" hidden="false" customHeight="false" outlineLevel="0" collapsed="false">
      <c r="A9277" s="3" t="s">
        <v>500</v>
      </c>
      <c r="C9277" s="20" t="n">
        <f aca="false">IF(C9261&gt;0,Assumptions!$C$17,C9257)</f>
        <v>2</v>
      </c>
    </row>
    <row r="9278" customFormat="false" ht="15" hidden="false" customHeight="false" outlineLevel="0" collapsed="false">
      <c r="A9278" s="3" t="s">
        <v>501</v>
      </c>
      <c r="C9278" s="20" t="n">
        <f aca="false">IF(C9262&gt;0,Assumptions!$C$17,C9258)</f>
        <v>2</v>
      </c>
    </row>
    <row r="9279" customFormat="false" ht="15" hidden="false" customHeight="false" outlineLevel="0" collapsed="false">
      <c r="A9279" s="23" t="s">
        <v>508</v>
      </c>
      <c r="B9279" s="24"/>
      <c r="C9279" s="24"/>
      <c r="D9279" s="24"/>
      <c r="E9279" s="24"/>
      <c r="F9279" s="24"/>
      <c r="G9279" s="24"/>
      <c r="H9279" s="24"/>
      <c r="I9279" s="24"/>
      <c r="J9279" s="24"/>
      <c r="K9279" s="24"/>
    </row>
    <row r="9280" customFormat="false" ht="15" hidden="false" customHeight="false" outlineLevel="0" collapsed="false">
      <c r="A9280" s="3" t="s">
        <v>499</v>
      </c>
      <c r="C9280" s="25" t="n">
        <f aca="false">SUMPRODUCT(($C$9276:$C$9278&lt;C9276)*$C$9272:$C$9274)</f>
        <v>0</v>
      </c>
    </row>
    <row r="9281" customFormat="false" ht="15" hidden="false" customHeight="false" outlineLevel="0" collapsed="false">
      <c r="A9281" s="3" t="s">
        <v>500</v>
      </c>
      <c r="C9281" s="25" t="n">
        <f aca="false">SUMPRODUCT(($C$9276:$C$9278&lt;C9277)*$C$9272:$C$9274)</f>
        <v>1349.6193225</v>
      </c>
    </row>
    <row r="9282" customFormat="false" ht="15" hidden="false" customHeight="false" outlineLevel="0" collapsed="false">
      <c r="A9282" s="3" t="s">
        <v>501</v>
      </c>
      <c r="C9282" s="25" t="n">
        <f aca="false">SUMPRODUCT(($C$9276:$C$9278&lt;C9278)*$C$9272:$C$9274)</f>
        <v>1349.6193225</v>
      </c>
    </row>
    <row r="9283" customFormat="false" ht="15" hidden="false" customHeight="false" outlineLevel="0" collapsed="false">
      <c r="A9283" s="23" t="s">
        <v>509</v>
      </c>
      <c r="B9283" s="24"/>
      <c r="C9283" s="24"/>
      <c r="D9283" s="24"/>
      <c r="E9283" s="24"/>
      <c r="F9283" s="24"/>
      <c r="G9283" s="24"/>
      <c r="H9283" s="24"/>
      <c r="I9283" s="24"/>
      <c r="J9283" s="24"/>
      <c r="K9283" s="24"/>
    </row>
    <row r="9284" customFormat="false" ht="15" hidden="false" customHeight="false" outlineLevel="0" collapsed="false">
      <c r="A9284" s="3" t="s">
        <v>499</v>
      </c>
      <c r="C9284" s="25" t="n">
        <f aca="false">SUMPRODUCT(($C$9276:$C$9278=C9276)*$C$9272:$C$9274)</f>
        <v>1349.6193225</v>
      </c>
    </row>
    <row r="9285" customFormat="false" ht="15" hidden="false" customHeight="false" outlineLevel="0" collapsed="false">
      <c r="A9285" s="3" t="s">
        <v>500</v>
      </c>
      <c r="C9285" s="25" t="n">
        <f aca="false">SUMPRODUCT(($C$9276:$C$9278=C9277)*$C$9272:$C$9274)</f>
        <v>205.112311607696</v>
      </c>
    </row>
    <row r="9286" customFormat="false" ht="15" hidden="false" customHeight="false" outlineLevel="0" collapsed="false">
      <c r="A9286" s="3" t="s">
        <v>501</v>
      </c>
      <c r="C9286" s="25" t="n">
        <f aca="false">SUMPRODUCT(($C$9276:$C$9278=C9278)*$C$9272:$C$9274)</f>
        <v>205.112311607696</v>
      </c>
    </row>
    <row r="9287" customFormat="false" ht="15" hidden="false" customHeight="false" outlineLevel="0" collapsed="false">
      <c r="A9287" s="23" t="s">
        <v>510</v>
      </c>
      <c r="B9287" s="24"/>
      <c r="C9287" s="24"/>
      <c r="D9287" s="24"/>
      <c r="E9287" s="24"/>
      <c r="F9287" s="24"/>
      <c r="G9287" s="24"/>
      <c r="H9287" s="24"/>
      <c r="I9287" s="24"/>
      <c r="J9287" s="24"/>
      <c r="K9287" s="24"/>
    </row>
    <row r="9288" customFormat="false" ht="15" hidden="false" customHeight="false" outlineLevel="0" collapsed="false">
      <c r="A9288" s="3" t="s">
        <v>499</v>
      </c>
      <c r="C9288" s="25" t="n">
        <f aca="false">IF(C9284=0,0,C9272/C9284*MAX(0,MIN(C9284,$C$9250-SUM($C$9264:$C$9266)-C9280)))</f>
        <v>459.5705712</v>
      </c>
    </row>
    <row r="9289" customFormat="false" ht="15" hidden="false" customHeight="false" outlineLevel="0" collapsed="false">
      <c r="A9289" s="3" t="s">
        <v>500</v>
      </c>
      <c r="C9289" s="25" t="n">
        <f aca="false">IF(C9285=0,0,C9273/C9285*MAX(0,MIN(C9285,$C$9250-SUM($C$9264:$C$9266)-C9281)))</f>
        <v>0</v>
      </c>
    </row>
    <row r="9290" customFormat="false" ht="15" hidden="false" customHeight="false" outlineLevel="0" collapsed="false">
      <c r="A9290" s="3" t="s">
        <v>501</v>
      </c>
      <c r="C9290" s="25" t="n">
        <f aca="false">IF(C9286=0,0,C9274/C9286*MAX(0,MIN(C9286,$C$9250-SUM($C$9264:$C$9266)-C9282)))</f>
        <v>0</v>
      </c>
    </row>
    <row r="9291" customFormat="false" ht="15" hidden="false" customHeight="false" outlineLevel="0" collapsed="false">
      <c r="A9291" s="23" t="s">
        <v>511</v>
      </c>
      <c r="B9291" s="24"/>
      <c r="C9291" s="24"/>
      <c r="D9291" s="24"/>
      <c r="E9291" s="24"/>
      <c r="F9291" s="24"/>
      <c r="G9291" s="24"/>
      <c r="H9291" s="24"/>
      <c r="I9291" s="24"/>
      <c r="J9291" s="24"/>
      <c r="K9291" s="24"/>
    </row>
    <row r="9292" customFormat="false" ht="15" hidden="false" customHeight="false" outlineLevel="0" collapsed="false">
      <c r="A9292" s="2" t="s">
        <v>499</v>
      </c>
      <c r="C9292" s="16" t="n">
        <f aca="false">C9264+C9288</f>
        <v>459.5705712</v>
      </c>
    </row>
    <row r="9293" customFormat="false" ht="15" hidden="false" customHeight="false" outlineLevel="0" collapsed="false">
      <c r="A9293" s="2" t="s">
        <v>500</v>
      </c>
      <c r="C9293" s="16" t="n">
        <f aca="false">C9265+C9289</f>
        <v>0</v>
      </c>
    </row>
    <row r="9294" customFormat="false" ht="15" hidden="false" customHeight="false" outlineLevel="0" collapsed="false">
      <c r="A9294" s="2" t="s">
        <v>501</v>
      </c>
      <c r="C9294" s="16" t="n">
        <f aca="false">C9266+C9290</f>
        <v>0</v>
      </c>
    </row>
    <row r="9295" customFormat="false" ht="15" hidden="false" customHeight="false" outlineLevel="0" collapsed="false">
      <c r="A9295" s="23" t="s">
        <v>512</v>
      </c>
      <c r="B9295" s="24"/>
      <c r="C9295" s="24"/>
      <c r="D9295" s="24"/>
      <c r="E9295" s="24"/>
      <c r="F9295" s="24"/>
      <c r="G9295" s="24"/>
      <c r="H9295" s="24"/>
      <c r="I9295" s="24"/>
      <c r="J9295" s="24"/>
      <c r="K9295" s="24"/>
    </row>
    <row r="9296" customFormat="false" ht="15" hidden="false" customHeight="false" outlineLevel="0" collapsed="false">
      <c r="A9296" s="3" t="s">
        <v>499</v>
      </c>
      <c r="C9296" s="21" t="n">
        <f aca="false">IF(C9252=0,1,C9292/C9252)</f>
        <v>0.340518665921812</v>
      </c>
    </row>
    <row r="9297" customFormat="false" ht="15" hidden="false" customHeight="false" outlineLevel="0" collapsed="false">
      <c r="A9297" s="3" t="s">
        <v>500</v>
      </c>
      <c r="C9297" s="21" t="n">
        <f aca="false">IF(C9253=0,1,C9293/C9253)</f>
        <v>0</v>
      </c>
    </row>
    <row r="9298" customFormat="false" ht="15" hidden="false" customHeight="false" outlineLevel="0" collapsed="false">
      <c r="A9298" s="3" t="s">
        <v>501</v>
      </c>
      <c r="C9298" s="21" t="n">
        <f aca="false">IF(C9254=0,1,C9294/C9254)</f>
        <v>0</v>
      </c>
    </row>
    <row r="9299" customFormat="false" ht="15" hidden="false" customHeight="false" outlineLevel="0" collapsed="false">
      <c r="A9299" s="23" t="s">
        <v>513</v>
      </c>
      <c r="B9299" s="24"/>
      <c r="C9299" s="24"/>
      <c r="D9299" s="24"/>
      <c r="E9299" s="24"/>
      <c r="F9299" s="24"/>
      <c r="G9299" s="24"/>
      <c r="H9299" s="24"/>
      <c r="I9299" s="24"/>
      <c r="J9299" s="24"/>
      <c r="K9299" s="24"/>
    </row>
    <row r="9300" customFormat="false" ht="15" hidden="false" customHeight="false" outlineLevel="0" collapsed="false">
      <c r="A9300" s="3" t="s">
        <v>499</v>
      </c>
      <c r="C9300" s="25" t="n">
        <f aca="false">C9252-C9292</f>
        <v>890.0487513</v>
      </c>
    </row>
    <row r="9301" customFormat="false" ht="15" hidden="false" customHeight="false" outlineLevel="0" collapsed="false">
      <c r="A9301" s="3" t="s">
        <v>500</v>
      </c>
      <c r="C9301" s="25" t="n">
        <f aca="false">C9253-C9293</f>
        <v>59.8349678576958</v>
      </c>
    </row>
    <row r="9302" customFormat="false" ht="15" hidden="false" customHeight="false" outlineLevel="0" collapsed="false">
      <c r="A9302" s="3" t="s">
        <v>501</v>
      </c>
      <c r="C9302" s="25" t="n">
        <f aca="false">C9254-C9294</f>
        <v>145.27734375</v>
      </c>
    </row>
    <row r="9303" customFormat="false" ht="15" hidden="false" customHeight="false" outlineLevel="0" collapsed="false">
      <c r="A9303" s="23" t="s">
        <v>514</v>
      </c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</row>
    <row r="9304" customFormat="false" ht="15" hidden="false" customHeight="false" outlineLevel="0" collapsed="false">
      <c r="A9304" s="3" t="s">
        <v>499</v>
      </c>
      <c r="C9304" s="21" t="n">
        <f aca="false">IF(C9252=0,0,C9300/C9252)</f>
        <v>0.659481334078188</v>
      </c>
    </row>
    <row r="9305" customFormat="false" ht="15" hidden="false" customHeight="false" outlineLevel="0" collapsed="false">
      <c r="A9305" s="3" t="s">
        <v>500</v>
      </c>
      <c r="C9305" s="21" t="n">
        <f aca="false">IF(C9253=0,0,C9301/C9253)</f>
        <v>1</v>
      </c>
    </row>
    <row r="9306" customFormat="false" ht="15" hidden="false" customHeight="false" outlineLevel="0" collapsed="false">
      <c r="A9306" s="3" t="s">
        <v>501</v>
      </c>
      <c r="C9306" s="21" t="n">
        <f aca="false">IF(C9254=0,0,C9302/C9254)</f>
        <v>1</v>
      </c>
    </row>
    <row r="9307" customFormat="false" ht="15" hidden="false" customHeight="false" outlineLevel="0" collapsed="false">
      <c r="A9307" s="2" t="s">
        <v>515</v>
      </c>
      <c r="C9307" s="16" t="n">
        <f aca="false">MAX(0,$C$9250-SUM($C$9264:$C$9266)-SUM($C$9272:$C$9274))</f>
        <v>0</v>
      </c>
    </row>
    <row r="9308" customFormat="false" ht="15" hidden="false" customHeight="false" outlineLevel="0" collapsed="false">
      <c r="A9308" s="3" t="s">
        <v>516</v>
      </c>
      <c r="C9308" s="25" t="n">
        <f aca="false">SUM($C$9292:$C$9294)+C9307+C9249-C9248</f>
        <v>0</v>
      </c>
    </row>
    <row r="9310" customFormat="false" ht="15" hidden="false" customHeight="false" outlineLevel="0" collapsed="false">
      <c r="A9310" s="23" t="s">
        <v>519</v>
      </c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</row>
    <row r="9311" customFormat="false" ht="15" hidden="false" customHeight="false" outlineLevel="0" collapsed="false">
      <c r="A9311" s="3" t="s">
        <v>520</v>
      </c>
      <c r="C9311" s="27" t="n">
        <f aca="false">Assumptions!$C$33</f>
        <v>1</v>
      </c>
    </row>
    <row r="9312" customFormat="false" ht="15" hidden="false" customHeight="false" outlineLevel="0" collapsed="false">
      <c r="A9312" s="3" t="s">
        <v>521</v>
      </c>
      <c r="C9312" s="29" t="n">
        <f aca="false">Assumptions!$C$34</f>
        <v>100</v>
      </c>
    </row>
    <row r="9313" customFormat="false" ht="15" hidden="false" customHeight="false" outlineLevel="0" collapsed="false">
      <c r="A9313" s="3" t="s">
        <v>522</v>
      </c>
      <c r="C9313" s="40" t="n">
        <f aca="false">Assumptions!$C$35</f>
        <v>95</v>
      </c>
    </row>
    <row r="9314" customFormat="false" ht="15" hidden="false" customHeight="false" outlineLevel="0" collapsed="false">
      <c r="A9314" s="3" t="s">
        <v>523</v>
      </c>
      <c r="C9314" s="25" t="n">
        <f aca="false">C9312*C9313/100*(1+Assumptions!$C$36)</f>
        <v>95</v>
      </c>
    </row>
    <row r="9315" customFormat="false" ht="15" hidden="false" customHeight="false" outlineLevel="0" collapsed="false">
      <c r="A9315" s="3" t="s">
        <v>524</v>
      </c>
      <c r="C9315" s="27" t="n">
        <f aca="false">Assumptions!$C$37</f>
        <v>3</v>
      </c>
    </row>
    <row r="9316" customFormat="false" ht="15" hidden="false" customHeight="false" outlineLevel="0" collapsed="false">
      <c r="A9316" s="3" t="s">
        <v>525</v>
      </c>
      <c r="C9316" s="20" t="n">
        <f aca="false">IF(C9241=1,SUMPRODUCT($G$9193:$K$9193,$G$9086:$K$9086),0)</f>
        <v>3</v>
      </c>
    </row>
    <row r="9317" customFormat="false" ht="15" hidden="false" customHeight="false" outlineLevel="0" collapsed="false">
      <c r="A9317" s="3" t="s">
        <v>526</v>
      </c>
      <c r="C9317" s="21" t="n">
        <f aca="false">IFERROR(C9312/CHOOSE(C9311,SUMPRODUCT($G$9240:$K$9240,$G$9132:$K$9132),SUMPRODUCT($G$9240:$K$9240,$G$9145:$K$9145),SUMPRODUCT($G$9240:$K$9240,$G$9158:$K$9158)),0)</f>
        <v>0.0760399605200525</v>
      </c>
    </row>
    <row r="9318" customFormat="false" ht="15" hidden="false" customHeight="false" outlineLevel="0" collapsed="false">
      <c r="A9318" s="3" t="s">
        <v>527</v>
      </c>
      <c r="C9318" s="25" t="n">
        <f aca="false">CHOOSE(C9311,C9292,C9293,C9294)*C9317</f>
        <v>34.945728090226</v>
      </c>
    </row>
    <row r="9319" customFormat="false" ht="15" hidden="false" customHeight="false" outlineLevel="0" collapsed="false">
      <c r="A9319" s="3" t="s">
        <v>528</v>
      </c>
      <c r="C9319" s="21" t="n">
        <f aca="false">CHOOSE(C9311,C9296,C9297,C9298)</f>
        <v>0.340518665921812</v>
      </c>
    </row>
    <row r="9320" customFormat="false" ht="15" hidden="false" customHeight="false" outlineLevel="0" collapsed="false">
      <c r="A9320" s="3" t="s">
        <v>529</v>
      </c>
      <c r="C9320" s="20" t="n">
        <f aca="false">IF(C9241=1,C9316,C9315)</f>
        <v>3</v>
      </c>
    </row>
    <row r="9321" customFormat="false" ht="15" hidden="false" customHeight="false" outlineLevel="0" collapsed="false">
      <c r="A9321" s="3" t="s">
        <v>530</v>
      </c>
      <c r="C9321" s="34" t="n">
        <f aca="false">CHOOSE($C$9078,Assumptions!$C$83,Assumptions!$C$102,Assumptions!$C$121)</f>
        <v>80</v>
      </c>
    </row>
    <row r="9322" customFormat="false" ht="15" hidden="false" customHeight="false" outlineLevel="0" collapsed="false">
      <c r="A9322" s="3" t="s">
        <v>531</v>
      </c>
      <c r="C9322" s="25" t="n">
        <f aca="false">INDEX($G$9095:$K$9095,C9315)*CHOOSE($C$9078,Assumptions!$C$82,Assumptions!$C$101,Assumptions!$C$120)+MAX(0,INDEX($G$9190:$K$9190,C9315))</f>
        <v>298.2620938752</v>
      </c>
    </row>
    <row r="9323" customFormat="false" ht="15" hidden="false" customHeight="false" outlineLevel="0" collapsed="false">
      <c r="A9323" s="23" t="s">
        <v>532</v>
      </c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</row>
    <row r="9324" customFormat="false" ht="15" hidden="false" customHeight="false" outlineLevel="0" collapsed="false">
      <c r="A9324" s="3" t="s">
        <v>499</v>
      </c>
      <c r="C9324" s="25" t="n">
        <f aca="false">INDEX($G$9132:$K$9132,C9315)</f>
        <v>1315.098</v>
      </c>
    </row>
    <row r="9325" customFormat="false" ht="15" hidden="false" customHeight="false" outlineLevel="0" collapsed="false">
      <c r="A9325" s="3" t="s">
        <v>500</v>
      </c>
      <c r="C9325" s="25" t="n">
        <f aca="false">INDEX($G$9145:$K$9145,C9315)</f>
        <v>59.20590511584</v>
      </c>
    </row>
    <row r="9326" customFormat="false" ht="15" hidden="false" customHeight="false" outlineLevel="0" collapsed="false">
      <c r="A9326" s="3" t="s">
        <v>501</v>
      </c>
      <c r="C9326" s="25" t="n">
        <f aca="false">INDEX($G$9158:$K$9158,C9315)</f>
        <v>143.75</v>
      </c>
    </row>
    <row r="9327" customFormat="false" ht="15" hidden="false" customHeight="false" outlineLevel="0" collapsed="false">
      <c r="A9327" s="23" t="s">
        <v>502</v>
      </c>
      <c r="B9327" s="24"/>
      <c r="C9327" s="24"/>
      <c r="D9327" s="24"/>
      <c r="E9327" s="24"/>
      <c r="F9327" s="24"/>
      <c r="G9327" s="24"/>
      <c r="H9327" s="24"/>
      <c r="I9327" s="24"/>
      <c r="J9327" s="24"/>
      <c r="K9327" s="24"/>
    </row>
    <row r="9328" customFormat="false" ht="15" hidden="false" customHeight="false" outlineLevel="0" collapsed="false">
      <c r="A9328" s="3" t="s">
        <v>499</v>
      </c>
      <c r="C9328" s="27" t="n">
        <f aca="false">Assumptions!$M$56</f>
        <v>1</v>
      </c>
    </row>
    <row r="9329" customFormat="false" ht="15" hidden="false" customHeight="false" outlineLevel="0" collapsed="false">
      <c r="A9329" s="3" t="s">
        <v>500</v>
      </c>
      <c r="C9329" s="27" t="n">
        <f aca="false">Assumptions!$M$57</f>
        <v>2</v>
      </c>
    </row>
    <row r="9330" customFormat="false" ht="15" hidden="false" customHeight="false" outlineLevel="0" collapsed="false">
      <c r="A9330" s="3" t="s">
        <v>501</v>
      </c>
      <c r="C9330" s="27" t="n">
        <f aca="false">Assumptions!$M$58</f>
        <v>2</v>
      </c>
    </row>
    <row r="9331" customFormat="false" ht="15" hidden="false" customHeight="false" outlineLevel="0" collapsed="false">
      <c r="A9331" s="23" t="s">
        <v>503</v>
      </c>
      <c r="B9331" s="24"/>
      <c r="C9331" s="24"/>
      <c r="D9331" s="24"/>
      <c r="E9331" s="24"/>
      <c r="F9331" s="24"/>
      <c r="G9331" s="24"/>
      <c r="H9331" s="24"/>
      <c r="I9331" s="24"/>
      <c r="J9331" s="24"/>
      <c r="K9331" s="24"/>
    </row>
    <row r="9332" customFormat="false" ht="15" hidden="false" customHeight="false" outlineLevel="0" collapsed="false">
      <c r="A9332" s="3" t="s">
        <v>499</v>
      </c>
      <c r="C9332" s="35" t="n">
        <f aca="false">Assumptions!$Q$56</f>
        <v>0</v>
      </c>
    </row>
    <row r="9333" customFormat="false" ht="15" hidden="false" customHeight="false" outlineLevel="0" collapsed="false">
      <c r="A9333" s="3" t="s">
        <v>500</v>
      </c>
      <c r="C9333" s="35" t="n">
        <f aca="false">Assumptions!$Q$57</f>
        <v>0</v>
      </c>
    </row>
    <row r="9334" customFormat="false" ht="15" hidden="false" customHeight="false" outlineLevel="0" collapsed="false">
      <c r="A9334" s="3" t="s">
        <v>501</v>
      </c>
      <c r="C9334" s="35" t="n">
        <f aca="false">Assumptions!$Q$58</f>
        <v>0</v>
      </c>
    </row>
    <row r="9335" customFormat="false" ht="15" hidden="false" customHeight="false" outlineLevel="0" collapsed="false">
      <c r="A9335" s="23" t="s">
        <v>504</v>
      </c>
      <c r="B9335" s="24"/>
      <c r="C9335" s="24"/>
      <c r="D9335" s="24"/>
      <c r="E9335" s="24"/>
      <c r="F9335" s="24"/>
      <c r="G9335" s="24"/>
      <c r="H9335" s="24"/>
      <c r="I9335" s="24"/>
      <c r="J9335" s="24"/>
      <c r="K9335" s="24"/>
    </row>
    <row r="9336" customFormat="false" ht="15" hidden="false" customHeight="false" outlineLevel="0" collapsed="false">
      <c r="A9336" s="3" t="s">
        <v>499</v>
      </c>
      <c r="C9336" s="25" t="n">
        <f aca="false">IF(C9332&gt;0,MIN(C9324,C9332*$C$9322),0)</f>
        <v>0</v>
      </c>
    </row>
    <row r="9337" customFormat="false" ht="15" hidden="false" customHeight="false" outlineLevel="0" collapsed="false">
      <c r="A9337" s="3" t="s">
        <v>500</v>
      </c>
      <c r="C9337" s="25" t="n">
        <f aca="false">IF(C9333&gt;0,MIN(C9325,C9333*$C$9322),0)</f>
        <v>0</v>
      </c>
    </row>
    <row r="9338" customFormat="false" ht="15" hidden="false" customHeight="false" outlineLevel="0" collapsed="false">
      <c r="A9338" s="3" t="s">
        <v>501</v>
      </c>
      <c r="C9338" s="25" t="n">
        <f aca="false">IF(C9334&gt;0,MIN(C9326,C9334*$C$9322),0)</f>
        <v>0</v>
      </c>
    </row>
    <row r="9339" customFormat="false" ht="15" hidden="false" customHeight="false" outlineLevel="0" collapsed="false">
      <c r="A9339" s="23" t="s">
        <v>505</v>
      </c>
      <c r="B9339" s="24"/>
      <c r="C9339" s="24"/>
      <c r="D9339" s="24"/>
      <c r="E9339" s="24"/>
      <c r="F9339" s="24"/>
      <c r="G9339" s="24"/>
      <c r="H9339" s="24"/>
      <c r="I9339" s="24"/>
      <c r="J9339" s="24"/>
      <c r="K9339" s="24"/>
    </row>
    <row r="9340" customFormat="false" ht="15" hidden="false" customHeight="false" outlineLevel="0" collapsed="false">
      <c r="A9340" s="3" t="s">
        <v>499</v>
      </c>
      <c r="C9340" s="25" t="n">
        <f aca="false">IF(C9332&gt;0,C9324-C9336,0)</f>
        <v>0</v>
      </c>
    </row>
    <row r="9341" customFormat="false" ht="15" hidden="false" customHeight="false" outlineLevel="0" collapsed="false">
      <c r="A9341" s="3" t="s">
        <v>500</v>
      </c>
      <c r="C9341" s="25" t="n">
        <f aca="false">IF(C9333&gt;0,C9325-C9337,0)</f>
        <v>0</v>
      </c>
    </row>
    <row r="9342" customFormat="false" ht="15" hidden="false" customHeight="false" outlineLevel="0" collapsed="false">
      <c r="A9342" s="3" t="s">
        <v>501</v>
      </c>
      <c r="C9342" s="25" t="n">
        <f aca="false">IF(C9334&gt;0,C9326-C9338,0)</f>
        <v>0</v>
      </c>
    </row>
    <row r="9343" customFormat="false" ht="15" hidden="false" customHeight="false" outlineLevel="0" collapsed="false">
      <c r="A9343" s="23" t="s">
        <v>506</v>
      </c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</row>
    <row r="9344" customFormat="false" ht="15" hidden="false" customHeight="false" outlineLevel="0" collapsed="false">
      <c r="A9344" s="3" t="s">
        <v>499</v>
      </c>
      <c r="C9344" s="25" t="n">
        <f aca="false">IF(C9332&gt;0,C9340,C9324)</f>
        <v>1315.098</v>
      </c>
    </row>
    <row r="9345" customFormat="false" ht="15" hidden="false" customHeight="false" outlineLevel="0" collapsed="false">
      <c r="A9345" s="3" t="s">
        <v>500</v>
      </c>
      <c r="C9345" s="25" t="n">
        <f aca="false">IF(C9333&gt;0,C9341,C9325)</f>
        <v>59.20590511584</v>
      </c>
    </row>
    <row r="9346" customFormat="false" ht="15" hidden="false" customHeight="false" outlineLevel="0" collapsed="false">
      <c r="A9346" s="3" t="s">
        <v>501</v>
      </c>
      <c r="C9346" s="25" t="n">
        <f aca="false">IF(C9334&gt;0,C9342,C9326)</f>
        <v>143.75</v>
      </c>
    </row>
    <row r="9347" customFormat="false" ht="15" hidden="false" customHeight="false" outlineLevel="0" collapsed="false">
      <c r="A9347" s="23" t="s">
        <v>507</v>
      </c>
      <c r="B9347" s="24"/>
      <c r="C9347" s="24"/>
      <c r="D9347" s="24"/>
      <c r="E9347" s="24"/>
      <c r="F9347" s="24"/>
      <c r="G9347" s="24"/>
      <c r="H9347" s="24"/>
      <c r="I9347" s="24"/>
      <c r="J9347" s="24"/>
      <c r="K9347" s="24"/>
    </row>
    <row r="9348" customFormat="false" ht="15" hidden="false" customHeight="false" outlineLevel="0" collapsed="false">
      <c r="A9348" s="3" t="s">
        <v>499</v>
      </c>
      <c r="C9348" s="20" t="n">
        <f aca="false">IF(C9332&gt;0,Assumptions!$C$17,C9328)</f>
        <v>1</v>
      </c>
    </row>
    <row r="9349" customFormat="false" ht="15" hidden="false" customHeight="false" outlineLevel="0" collapsed="false">
      <c r="A9349" s="3" t="s">
        <v>500</v>
      </c>
      <c r="C9349" s="20" t="n">
        <f aca="false">IF(C9333&gt;0,Assumptions!$C$17,C9329)</f>
        <v>2</v>
      </c>
    </row>
    <row r="9350" customFormat="false" ht="15" hidden="false" customHeight="false" outlineLevel="0" collapsed="false">
      <c r="A9350" s="3" t="s">
        <v>501</v>
      </c>
      <c r="C9350" s="20" t="n">
        <f aca="false">IF(C9334&gt;0,Assumptions!$C$17,C9330)</f>
        <v>2</v>
      </c>
    </row>
    <row r="9351" customFormat="false" ht="15" hidden="false" customHeight="false" outlineLevel="0" collapsed="false">
      <c r="A9351" s="23" t="s">
        <v>508</v>
      </c>
      <c r="B9351" s="24"/>
      <c r="C9351" s="24"/>
      <c r="D9351" s="24"/>
      <c r="E9351" s="24"/>
      <c r="F9351" s="24"/>
      <c r="G9351" s="24"/>
      <c r="H9351" s="24"/>
      <c r="I9351" s="24"/>
      <c r="J9351" s="24"/>
      <c r="K9351" s="24"/>
    </row>
    <row r="9352" customFormat="false" ht="15" hidden="false" customHeight="false" outlineLevel="0" collapsed="false">
      <c r="A9352" s="3" t="s">
        <v>499</v>
      </c>
      <c r="C9352" s="25" t="n">
        <f aca="false">SUMPRODUCT(($C$9348:$C$9350&lt;C9348)*$C$9344:$C$9346)</f>
        <v>0</v>
      </c>
    </row>
    <row r="9353" customFormat="false" ht="15" hidden="false" customHeight="false" outlineLevel="0" collapsed="false">
      <c r="A9353" s="3" t="s">
        <v>500</v>
      </c>
      <c r="C9353" s="25" t="n">
        <f aca="false">SUMPRODUCT(($C$9348:$C$9350&lt;C9349)*$C$9344:$C$9346)</f>
        <v>1315.098</v>
      </c>
    </row>
    <row r="9354" customFormat="false" ht="15" hidden="false" customHeight="false" outlineLevel="0" collapsed="false">
      <c r="A9354" s="3" t="s">
        <v>501</v>
      </c>
      <c r="C9354" s="25" t="n">
        <f aca="false">SUMPRODUCT(($C$9348:$C$9350&lt;C9350)*$C$9344:$C$9346)</f>
        <v>1315.098</v>
      </c>
    </row>
    <row r="9355" customFormat="false" ht="15" hidden="false" customHeight="false" outlineLevel="0" collapsed="false">
      <c r="A9355" s="23" t="s">
        <v>509</v>
      </c>
      <c r="B9355" s="24"/>
      <c r="C9355" s="24"/>
      <c r="D9355" s="24"/>
      <c r="E9355" s="24"/>
      <c r="F9355" s="24"/>
      <c r="G9355" s="24"/>
      <c r="H9355" s="24"/>
      <c r="I9355" s="24"/>
      <c r="J9355" s="24"/>
      <c r="K9355" s="24"/>
    </row>
    <row r="9356" customFormat="false" ht="15" hidden="false" customHeight="false" outlineLevel="0" collapsed="false">
      <c r="A9356" s="3" t="s">
        <v>499</v>
      </c>
      <c r="C9356" s="25" t="n">
        <f aca="false">SUMPRODUCT(($C$9348:$C$9350=C9348)*$C$9344:$C$9346)</f>
        <v>1315.098</v>
      </c>
    </row>
    <row r="9357" customFormat="false" ht="15" hidden="false" customHeight="false" outlineLevel="0" collapsed="false">
      <c r="A9357" s="3" t="s">
        <v>500</v>
      </c>
      <c r="C9357" s="25" t="n">
        <f aca="false">SUMPRODUCT(($C$9348:$C$9350=C9349)*$C$9344:$C$9346)</f>
        <v>202.95590511584</v>
      </c>
    </row>
    <row r="9358" customFormat="false" ht="15" hidden="false" customHeight="false" outlineLevel="0" collapsed="false">
      <c r="A9358" s="3" t="s">
        <v>501</v>
      </c>
      <c r="C9358" s="25" t="n">
        <f aca="false">SUMPRODUCT(($C$9348:$C$9350=C9350)*$C$9344:$C$9346)</f>
        <v>202.95590511584</v>
      </c>
    </row>
    <row r="9359" customFormat="false" ht="15" hidden="false" customHeight="false" outlineLevel="0" collapsed="false">
      <c r="A9359" s="23" t="s">
        <v>510</v>
      </c>
      <c r="B9359" s="24"/>
      <c r="C9359" s="24"/>
      <c r="D9359" s="24"/>
      <c r="E9359" s="24"/>
      <c r="F9359" s="24"/>
      <c r="G9359" s="24"/>
      <c r="H9359" s="24"/>
      <c r="I9359" s="24"/>
      <c r="J9359" s="24"/>
      <c r="K9359" s="24"/>
    </row>
    <row r="9360" customFormat="false" ht="15" hidden="false" customHeight="false" outlineLevel="0" collapsed="false">
      <c r="A9360" s="3" t="s">
        <v>499</v>
      </c>
      <c r="C9360" s="25" t="n">
        <f aca="false">IF(C9356=0,0,C9344/C9356*MAX(0,MIN(C9356,$C$9322-SUM($C$9336:$C$9338)-C9352)))</f>
        <v>298.2620938752</v>
      </c>
    </row>
    <row r="9361" customFormat="false" ht="15" hidden="false" customHeight="false" outlineLevel="0" collapsed="false">
      <c r="A9361" s="3" t="s">
        <v>500</v>
      </c>
      <c r="C9361" s="25" t="n">
        <f aca="false">IF(C9357=0,0,C9345/C9357*MAX(0,MIN(C9357,$C$9322-SUM($C$9336:$C$9338)-C9353)))</f>
        <v>0</v>
      </c>
    </row>
    <row r="9362" customFormat="false" ht="15" hidden="false" customHeight="false" outlineLevel="0" collapsed="false">
      <c r="A9362" s="3" t="s">
        <v>501</v>
      </c>
      <c r="C9362" s="25" t="n">
        <f aca="false">IF(C9358=0,0,C9346/C9358*MAX(0,MIN(C9358,$C$9322-SUM($C$9336:$C$9338)-C9354)))</f>
        <v>0</v>
      </c>
    </row>
    <row r="9363" customFormat="false" ht="15" hidden="false" customHeight="false" outlineLevel="0" collapsed="false">
      <c r="A9363" s="23" t="s">
        <v>511</v>
      </c>
      <c r="B9363" s="24"/>
      <c r="C9363" s="24"/>
      <c r="D9363" s="24"/>
      <c r="E9363" s="24"/>
      <c r="F9363" s="24"/>
      <c r="G9363" s="24"/>
      <c r="H9363" s="24"/>
      <c r="I9363" s="24"/>
      <c r="J9363" s="24"/>
      <c r="K9363" s="24"/>
    </row>
    <row r="9364" customFormat="false" ht="15" hidden="false" customHeight="false" outlineLevel="0" collapsed="false">
      <c r="A9364" s="2" t="s">
        <v>499</v>
      </c>
      <c r="C9364" s="16" t="n">
        <f aca="false">C9336+C9360</f>
        <v>298.2620938752</v>
      </c>
    </row>
    <row r="9365" customFormat="false" ht="15" hidden="false" customHeight="false" outlineLevel="0" collapsed="false">
      <c r="A9365" s="2" t="s">
        <v>500</v>
      </c>
      <c r="C9365" s="16" t="n">
        <f aca="false">C9337+C9361</f>
        <v>0</v>
      </c>
    </row>
    <row r="9366" customFormat="false" ht="15" hidden="false" customHeight="false" outlineLevel="0" collapsed="false">
      <c r="A9366" s="2" t="s">
        <v>501</v>
      </c>
      <c r="C9366" s="16" t="n">
        <f aca="false">C9338+C9362</f>
        <v>0</v>
      </c>
    </row>
    <row r="9367" customFormat="false" ht="15" hidden="false" customHeight="false" outlineLevel="0" collapsed="false">
      <c r="A9367" s="23" t="s">
        <v>512</v>
      </c>
      <c r="B9367" s="24"/>
      <c r="C9367" s="24"/>
      <c r="D9367" s="24"/>
      <c r="E9367" s="24"/>
      <c r="F9367" s="24"/>
      <c r="G9367" s="24"/>
      <c r="H9367" s="24"/>
      <c r="I9367" s="24"/>
      <c r="J9367" s="24"/>
      <c r="K9367" s="24"/>
    </row>
    <row r="9368" customFormat="false" ht="15" hidden="false" customHeight="false" outlineLevel="0" collapsed="false">
      <c r="A9368" s="3" t="s">
        <v>499</v>
      </c>
      <c r="C9368" s="21" t="n">
        <f aca="false">IF(C9324=0,1,C9364/C9324)</f>
        <v>0.226798378428984</v>
      </c>
    </row>
    <row r="9369" customFormat="false" ht="15" hidden="false" customHeight="false" outlineLevel="0" collapsed="false">
      <c r="A9369" s="3" t="s">
        <v>500</v>
      </c>
      <c r="C9369" s="21" t="n">
        <f aca="false">IF(C9325=0,1,C9365/C9325)</f>
        <v>0</v>
      </c>
    </row>
    <row r="9370" customFormat="false" ht="15" hidden="false" customHeight="false" outlineLevel="0" collapsed="false">
      <c r="A9370" s="3" t="s">
        <v>501</v>
      </c>
      <c r="C9370" s="21" t="n">
        <f aca="false">IF(C9326=0,1,C9366/C9326)</f>
        <v>0</v>
      </c>
    </row>
    <row r="9371" customFormat="false" ht="15" hidden="false" customHeight="false" outlineLevel="0" collapsed="false">
      <c r="A9371" s="23" t="s">
        <v>513</v>
      </c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</row>
    <row r="9372" customFormat="false" ht="15" hidden="false" customHeight="false" outlineLevel="0" collapsed="false">
      <c r="A9372" s="3" t="s">
        <v>499</v>
      </c>
      <c r="C9372" s="25" t="n">
        <f aca="false">C9324-C9364</f>
        <v>1016.8359061248</v>
      </c>
    </row>
    <row r="9373" customFormat="false" ht="15" hidden="false" customHeight="false" outlineLevel="0" collapsed="false">
      <c r="A9373" s="3" t="s">
        <v>500</v>
      </c>
      <c r="C9373" s="25" t="n">
        <f aca="false">C9325-C9365</f>
        <v>59.20590511584</v>
      </c>
    </row>
    <row r="9374" customFormat="false" ht="15" hidden="false" customHeight="false" outlineLevel="0" collapsed="false">
      <c r="A9374" s="3" t="s">
        <v>501</v>
      </c>
      <c r="C9374" s="25" t="n">
        <f aca="false">C9326-C9366</f>
        <v>143.75</v>
      </c>
    </row>
    <row r="9375" customFormat="false" ht="15" hidden="false" customHeight="false" outlineLevel="0" collapsed="false">
      <c r="A9375" s="23" t="s">
        <v>514</v>
      </c>
      <c r="B9375" s="24"/>
      <c r="C9375" s="24"/>
      <c r="D9375" s="24"/>
      <c r="E9375" s="24"/>
      <c r="F9375" s="24"/>
      <c r="G9375" s="24"/>
      <c r="H9375" s="24"/>
      <c r="I9375" s="24"/>
      <c r="J9375" s="24"/>
      <c r="K9375" s="24"/>
    </row>
    <row r="9376" customFormat="false" ht="15" hidden="false" customHeight="false" outlineLevel="0" collapsed="false">
      <c r="A9376" s="3" t="s">
        <v>499</v>
      </c>
      <c r="C9376" s="21" t="n">
        <f aca="false">IF(C9324=0,0,C9372/C9324)</f>
        <v>0.773201621571016</v>
      </c>
    </row>
    <row r="9377" customFormat="false" ht="15" hidden="false" customHeight="false" outlineLevel="0" collapsed="false">
      <c r="A9377" s="3" t="s">
        <v>500</v>
      </c>
      <c r="C9377" s="21" t="n">
        <f aca="false">IF(C9325=0,0,C9373/C9325)</f>
        <v>1</v>
      </c>
    </row>
    <row r="9378" customFormat="false" ht="15" hidden="false" customHeight="false" outlineLevel="0" collapsed="false">
      <c r="A9378" s="3" t="s">
        <v>501</v>
      </c>
      <c r="C9378" s="21" t="n">
        <f aca="false">IF(C9326=0,0,C9374/C9326)</f>
        <v>1</v>
      </c>
    </row>
    <row r="9379" customFormat="false" ht="15" hidden="false" customHeight="false" outlineLevel="0" collapsed="false">
      <c r="A9379" s="2" t="s">
        <v>515</v>
      </c>
      <c r="C9379" s="16" t="n">
        <f aca="false">MAX(0,$C$9322-SUM($C$9336:$C$9338)-SUM($C$9344:$C$9346))</f>
        <v>0</v>
      </c>
    </row>
    <row r="9380" customFormat="false" ht="15" hidden="false" customHeight="false" outlineLevel="0" collapsed="false">
      <c r="A9380" s="3" t="s">
        <v>533</v>
      </c>
      <c r="C9380" s="34" t="n">
        <f aca="false">MIN(C9321,100*CHOOSE(C9311,C9368,C9369,C9370))</f>
        <v>22.6798378428984</v>
      </c>
    </row>
    <row r="9381" customFormat="false" ht="15" hidden="false" customHeight="false" outlineLevel="0" collapsed="false">
      <c r="A9381" s="3" t="s">
        <v>534</v>
      </c>
      <c r="C9381" s="20" t="n">
        <f aca="false">IF(C9241=1,C9316+Assumptions!$C$39,C9315)</f>
        <v>4</v>
      </c>
    </row>
    <row r="9382" customFormat="false" ht="15" hidden="false" customHeight="false" outlineLevel="0" collapsed="false">
      <c r="A9382" s="23" t="s">
        <v>535</v>
      </c>
      <c r="B9382" s="24"/>
      <c r="C9382" s="24"/>
      <c r="D9382" s="24"/>
      <c r="E9382" s="24"/>
      <c r="F9382" s="24"/>
      <c r="G9382" s="24"/>
      <c r="H9382" s="24"/>
      <c r="I9382" s="24"/>
      <c r="J9382" s="24"/>
      <c r="K9382" s="24"/>
    </row>
    <row r="9383" customFormat="false" ht="15" hidden="false" customHeight="false" outlineLevel="0" collapsed="false">
      <c r="A9383" s="3" t="s">
        <v>536</v>
      </c>
      <c r="C9383" s="20" t="n">
        <f aca="false">COLUMN()-COLUMN($C$1)</f>
        <v>0</v>
      </c>
      <c r="D9383" s="20" t="n">
        <f aca="false">COLUMN()-COLUMN($C$1)</f>
        <v>1</v>
      </c>
      <c r="E9383" s="20" t="n">
        <f aca="false">COLUMN()-COLUMN($C$1)</f>
        <v>2</v>
      </c>
      <c r="F9383" s="20" t="n">
        <f aca="false">COLUMN()-COLUMN($C$1)</f>
        <v>3</v>
      </c>
      <c r="G9383" s="20" t="n">
        <f aca="false">COLUMN()-COLUMN($C$1)</f>
        <v>4</v>
      </c>
      <c r="H9383" s="20" t="n">
        <f aca="false">COLUMN()-COLUMN($C$1)</f>
        <v>5</v>
      </c>
      <c r="I9383" s="20" t="n">
        <f aca="false">COLUMN()-COLUMN($C$1)</f>
        <v>6</v>
      </c>
    </row>
    <row r="9384" customFormat="false" ht="15" hidden="false" customHeight="false" outlineLevel="0" collapsed="false">
      <c r="A9384" s="3" t="s">
        <v>537</v>
      </c>
      <c r="D9384" s="31" t="n">
        <f aca="false">CHOOSE($C$9311,G9124,G9137,G9150)</f>
        <v>0.105</v>
      </c>
      <c r="E9384" s="31" t="n">
        <f aca="false">CHOOSE($C$9311,H9124,H9137,H9150)</f>
        <v>0.105</v>
      </c>
      <c r="F9384" s="31" t="n">
        <f aca="false">CHOOSE($C$9311,I9124,I9137,I9150)</f>
        <v>0.105</v>
      </c>
      <c r="G9384" s="31" t="n">
        <f aca="false">CHOOSE($C$9311,J9124,J9137,J9150)</f>
        <v>0.105</v>
      </c>
      <c r="H9384" s="31" t="n">
        <f aca="false">CHOOSE($C$9311,K9124,K9137,K9150)</f>
        <v>0.105</v>
      </c>
    </row>
    <row r="9385" customFormat="false" ht="15" hidden="false" customHeight="false" outlineLevel="0" collapsed="false">
      <c r="A9385" s="3" t="s">
        <v>538</v>
      </c>
      <c r="D9385" s="25" t="n">
        <f aca="false">IF(D9383&lt;=$C$9320,$C$9312*D9384,0)</f>
        <v>10.5</v>
      </c>
      <c r="E9385" s="25" t="n">
        <f aca="false">IF(E9383&lt;=$C$9320,$C$9312*E9384,0)</f>
        <v>10.5</v>
      </c>
      <c r="F9385" s="25" t="n">
        <f aca="false">IF(F9383&lt;=$C$9320,$C$9312*F9384,0)</f>
        <v>10.5</v>
      </c>
      <c r="G9385" s="25" t="n">
        <f aca="false">IF(G9383&lt;=$C$9320,$C$9312*G9384,0)</f>
        <v>0</v>
      </c>
      <c r="H9385" s="25" t="n">
        <f aca="false">IF(H9383&lt;=$C$9320,$C$9312*H9384,0)</f>
        <v>0</v>
      </c>
    </row>
    <row r="9386" customFormat="false" ht="15" hidden="false" customHeight="false" outlineLevel="0" collapsed="false">
      <c r="A9386" s="3" t="s">
        <v>539</v>
      </c>
      <c r="D9386" s="25" t="n">
        <f aca="false">IF(AND($C$9241=0,D9383=$C$9315),$C$9312*$C$9380/100,0)+IF(AND($C$9241=1,D9383=$C$9381),$C$9318,0)</f>
        <v>0</v>
      </c>
      <c r="E9386" s="25" t="n">
        <f aca="false">IF(AND($C$9241=0,E9383=$C$9315),$C$9312*$C$9380/100,0)+IF(AND($C$9241=1,E9383=$C$9381),$C$9318,0)</f>
        <v>0</v>
      </c>
      <c r="F9386" s="25" t="n">
        <f aca="false">IF(AND($C$9241=0,F9383=$C$9315),$C$9312*$C$9380/100,0)+IF(AND($C$9241=1,F9383=$C$9381),$C$9318,0)</f>
        <v>0</v>
      </c>
      <c r="G9386" s="25" t="n">
        <f aca="false">IF(AND($C$9241=0,G9383=$C$9315),$C$9312*$C$9380/100,0)+IF(AND($C$9241=1,G9383=$C$9381),$C$9318,0)</f>
        <v>34.945728090226</v>
      </c>
      <c r="H9386" s="25" t="n">
        <f aca="false">IF(AND($C$9241=0,H9383=$C$9315),$C$9312*$C$9380/100,0)+IF(AND($C$9241=1,H9383=$C$9381),$C$9318,0)</f>
        <v>0</v>
      </c>
      <c r="I9386" s="25" t="n">
        <f aca="false">IF(AND($C$9241=0,I9383=$C$9315),$C$9312*$C$9380/100,0)+IF(AND($C$9241=1,I9383=$C$9381),$C$9318,0)</f>
        <v>0</v>
      </c>
    </row>
    <row r="9387" customFormat="false" ht="15" hidden="false" customHeight="false" outlineLevel="0" collapsed="false">
      <c r="A9387" s="2" t="s">
        <v>540</v>
      </c>
      <c r="C9387" s="16" t="n">
        <f aca="false">-$C$9314</f>
        <v>-95</v>
      </c>
      <c r="D9387" s="16" t="n">
        <f aca="false">D9385+D9386</f>
        <v>10.5</v>
      </c>
      <c r="E9387" s="16" t="n">
        <f aca="false">E9385+E9386</f>
        <v>10.5</v>
      </c>
      <c r="F9387" s="16" t="n">
        <f aca="false">F9385+F9386</f>
        <v>10.5</v>
      </c>
      <c r="G9387" s="16" t="n">
        <f aca="false">G9385+G9386</f>
        <v>34.945728090226</v>
      </c>
      <c r="H9387" s="16" t="n">
        <f aca="false">H9385+H9386</f>
        <v>0</v>
      </c>
      <c r="I9387" s="16" t="n">
        <f aca="false">I9385+I9386</f>
        <v>0</v>
      </c>
    </row>
    <row r="9388" customFormat="false" ht="15" hidden="false" customHeight="false" outlineLevel="0" collapsed="false">
      <c r="A9388" s="3" t="s">
        <v>541</v>
      </c>
      <c r="C9388" s="25" t="n">
        <f aca="false">SUM($C$9385:$I$9385)</f>
        <v>31.5</v>
      </c>
    </row>
    <row r="9389" customFormat="false" ht="15" hidden="false" customHeight="false" outlineLevel="0" collapsed="false">
      <c r="A9389" s="3" t="s">
        <v>542</v>
      </c>
      <c r="C9389" s="25" t="n">
        <f aca="false">SUM($C$9386:$I$9386)</f>
        <v>34.945728090226</v>
      </c>
    </row>
    <row r="9390" customFormat="false" ht="15" hidden="false" customHeight="false" outlineLevel="0" collapsed="false">
      <c r="A9390" s="3" t="s">
        <v>543</v>
      </c>
      <c r="C9390" s="25" t="n">
        <f aca="false">C9388+C9389</f>
        <v>66.445728090226</v>
      </c>
    </row>
    <row r="9391" customFormat="false" ht="15" hidden="false" customHeight="false" outlineLevel="0" collapsed="false">
      <c r="A9391" s="3" t="s">
        <v>544</v>
      </c>
      <c r="C9391" s="25" t="n">
        <f aca="false">C9389-C9312*C9313/100</f>
        <v>-60.054271909774</v>
      </c>
    </row>
    <row r="9392" customFormat="false" ht="15" hidden="false" customHeight="false" outlineLevel="0" collapsed="false">
      <c r="A9392" s="3" t="s">
        <v>545</v>
      </c>
      <c r="C9392" s="25" t="n">
        <f aca="false">C9390-C9314</f>
        <v>-28.554271909774</v>
      </c>
    </row>
    <row r="9393" customFormat="false" ht="15" hidden="false" customHeight="false" outlineLevel="0" collapsed="false">
      <c r="A9393" s="2" t="s">
        <v>427</v>
      </c>
      <c r="C9393" s="44" t="n">
        <f aca="false">C9390/C9314</f>
        <v>0.699428716739221</v>
      </c>
    </row>
    <row r="9394" customFormat="false" ht="15" hidden="false" customHeight="false" outlineLevel="0" collapsed="false">
      <c r="A9394" s="2" t="s">
        <v>426</v>
      </c>
      <c r="C9394" s="42" t="n">
        <f aca="false">IF(C9390&lt;=0,-1,IFERROR(IRR($C$9387:$I$9387,MAX(-0.9,C9393^(1/C9381)-1)),IRR($C$9387:$I$9387,0.1)))</f>
        <v>-0.10811295237651</v>
      </c>
    </row>
    <row r="9395" customFormat="false" ht="15" hidden="false" customHeight="false" outlineLevel="0" collapsed="false">
      <c r="A9395" s="3" t="s">
        <v>546</v>
      </c>
      <c r="C9395" s="32" t="n">
        <f aca="false">MAX($G$9201:$K$9201)</f>
        <v>33.8927924082229</v>
      </c>
    </row>
    <row r="9396" customFormat="false" ht="15" hidden="false" customHeight="false" outlineLevel="0" collapsed="false">
      <c r="A9396" s="3" t="s">
        <v>547</v>
      </c>
      <c r="C9396" s="32" t="n">
        <f aca="false">MIN($G$9202:$K$9202)</f>
        <v>0.350081193526963</v>
      </c>
    </row>
    <row r="9397" customFormat="false" ht="15" hidden="false" customHeight="false" outlineLevel="0" collapsed="false">
      <c r="A9397" s="3" t="s">
        <v>548</v>
      </c>
      <c r="C9397" s="25" t="n">
        <f aca="false">SUM($G$9108:$K$9108)</f>
        <v>-469.200646770287</v>
      </c>
    </row>
    <row r="9401" customFormat="false" ht="15" hidden="false" customHeight="false" outlineLevel="0" collapsed="false">
      <c r="A9401" s="9" t="s">
        <v>1043</v>
      </c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</row>
    <row r="9402" customFormat="false" ht="15" hidden="false" customHeight="false" outlineLevel="0" collapsed="false">
      <c r="A9402" s="3" t="s">
        <v>1010</v>
      </c>
      <c r="C9402" s="11" t="n">
        <v>3</v>
      </c>
    </row>
    <row r="9403" customFormat="false" ht="15" hidden="false" customHeight="false" outlineLevel="0" collapsed="false">
      <c r="A9403" s="3" t="s">
        <v>1011</v>
      </c>
      <c r="C9403" s="30" t="n">
        <f aca="false">Sensitivities!$A$41</f>
        <v>-0.05</v>
      </c>
    </row>
    <row r="9404" customFormat="false" ht="15" hidden="false" customHeight="false" outlineLevel="0" collapsed="false">
      <c r="A9404" s="3" t="s">
        <v>1012</v>
      </c>
      <c r="C9404" s="18" t="n">
        <v>0</v>
      </c>
    </row>
    <row r="9405" customFormat="false" ht="15" hidden="false" customHeight="false" outlineLevel="0" collapsed="false">
      <c r="A9405" s="3" t="s">
        <v>1013</v>
      </c>
      <c r="C9405" s="18" t="n">
        <v>0</v>
      </c>
    </row>
    <row r="9406" customFormat="false" ht="15" hidden="false" customHeight="false" outlineLevel="0" collapsed="false">
      <c r="A9406" s="3" t="s">
        <v>1014</v>
      </c>
      <c r="C9406" s="15" t="n">
        <v>0</v>
      </c>
    </row>
    <row r="9408" customFormat="false" ht="15" hidden="false" customHeight="false" outlineLevel="0" collapsed="false">
      <c r="A9408" s="23" t="s">
        <v>281</v>
      </c>
      <c r="B9408" s="24"/>
      <c r="C9408" s="24"/>
      <c r="D9408" s="24"/>
      <c r="E9408" s="24"/>
      <c r="F9408" s="24"/>
      <c r="G9408" s="24"/>
      <c r="H9408" s="24"/>
      <c r="I9408" s="24"/>
      <c r="J9408" s="24"/>
      <c r="K9408" s="24"/>
    </row>
    <row r="9409" customFormat="false" ht="15" hidden="false" customHeight="false" outlineLevel="0" collapsed="false">
      <c r="A9409" s="3" t="s">
        <v>282</v>
      </c>
      <c r="F9409" s="27" t="n">
        <f aca="false">Assumptions!$C$6</f>
        <v>2026</v>
      </c>
      <c r="G9409" s="20" t="n">
        <f aca="false">F9409+1</f>
        <v>2027</v>
      </c>
      <c r="H9409" s="20" t="n">
        <f aca="false">G9409+1</f>
        <v>2028</v>
      </c>
      <c r="I9409" s="20" t="n">
        <f aca="false">H9409+1</f>
        <v>2029</v>
      </c>
      <c r="J9409" s="20" t="n">
        <f aca="false">I9409+1</f>
        <v>2030</v>
      </c>
      <c r="K9409" s="20" t="n">
        <f aca="false">J9409+1</f>
        <v>2031</v>
      </c>
    </row>
    <row r="9410" customFormat="false" ht="15" hidden="false" customHeight="false" outlineLevel="0" collapsed="false">
      <c r="A9410" s="3" t="s">
        <v>283</v>
      </c>
      <c r="G9410" s="20" t="n">
        <f aca="false">G9409-Assumptions!$C$6</f>
        <v>1</v>
      </c>
      <c r="H9410" s="20" t="n">
        <f aca="false">H9409-Assumptions!$C$6</f>
        <v>2</v>
      </c>
      <c r="I9410" s="20" t="n">
        <f aca="false">I9409-Assumptions!$C$6</f>
        <v>3</v>
      </c>
      <c r="J9410" s="20" t="n">
        <f aca="false">J9409-Assumptions!$C$6</f>
        <v>4</v>
      </c>
      <c r="K9410" s="20" t="n">
        <f aca="false">K9409-Assumptions!$C$6</f>
        <v>5</v>
      </c>
    </row>
    <row r="9411" customFormat="false" ht="15" hidden="false" customHeight="false" outlineLevel="0" collapsed="false">
      <c r="A9411" s="3" t="s">
        <v>165</v>
      </c>
      <c r="G9411" s="21" t="n">
        <f aca="false">CHOOSE($C$9402,Assumptions!$G$71,Assumptions!$G$90,Assumptions!$G$109)+$C$9403</f>
        <v>-0.19</v>
      </c>
      <c r="H9411" s="21" t="n">
        <f aca="false">CHOOSE($C$9402,Assumptions!$H$71,Assumptions!$H$90,Assumptions!$H$109)+$C$9403</f>
        <v>-0.17</v>
      </c>
      <c r="I9411" s="21" t="n">
        <f aca="false">CHOOSE($C$9402,Assumptions!$I$71,Assumptions!$I$90,Assumptions!$I$109)+$C$9403</f>
        <v>-0.15</v>
      </c>
      <c r="J9411" s="21" t="n">
        <f aca="false">CHOOSE($C$9402,Assumptions!$J$71,Assumptions!$J$90,Assumptions!$J$109)+$C$9403</f>
        <v>-0.13</v>
      </c>
      <c r="K9411" s="21" t="n">
        <f aca="false">CHOOSE($C$9402,Assumptions!$K$71,Assumptions!$K$90,Assumptions!$K$109)+$C$9403</f>
        <v>-0.11</v>
      </c>
    </row>
    <row r="9412" customFormat="false" ht="15" hidden="false" customHeight="false" outlineLevel="0" collapsed="false">
      <c r="A9412" s="3" t="s">
        <v>166</v>
      </c>
      <c r="G9412" s="21" t="n">
        <f aca="false">CHOOSE($C$9402,Assumptions!$G$72,Assumptions!$G$91,Assumptions!$G$110)</f>
        <v>0.433246670103635</v>
      </c>
      <c r="H9412" s="21" t="n">
        <f aca="false">CHOOSE($C$9402,Assumptions!$H$72,Assumptions!$H$91,Assumptions!$H$110)</f>
        <v>0.418246670103635</v>
      </c>
      <c r="I9412" s="21" t="n">
        <f aca="false">CHOOSE($C$9402,Assumptions!$I$72,Assumptions!$I$91,Assumptions!$I$110)</f>
        <v>0.413246670103635</v>
      </c>
      <c r="J9412" s="21" t="n">
        <f aca="false">CHOOSE($C$9402,Assumptions!$J$72,Assumptions!$J$91,Assumptions!$J$110)</f>
        <v>0.413246670103635</v>
      </c>
      <c r="K9412" s="21" t="n">
        <f aca="false">CHOOSE($C$9402,Assumptions!$K$72,Assumptions!$K$91,Assumptions!$K$110)</f>
        <v>0.413246670103635</v>
      </c>
    </row>
    <row r="9413" customFormat="false" ht="15" hidden="false" customHeight="false" outlineLevel="0" collapsed="false">
      <c r="A9413" s="3" t="s">
        <v>167</v>
      </c>
      <c r="G9413" s="21" t="n">
        <f aca="false">CHOOSE($C$9402,Assumptions!$G$73,Assumptions!$G$92,Assumptions!$G$111)+$C$9404</f>
        <v>0.09</v>
      </c>
      <c r="H9413" s="21" t="n">
        <f aca="false">CHOOSE($C$9402,Assumptions!$H$73,Assumptions!$H$92,Assumptions!$H$111)+$C$9404</f>
        <v>0.075</v>
      </c>
      <c r="I9413" s="21" t="n">
        <f aca="false">CHOOSE($C$9402,Assumptions!$I$73,Assumptions!$I$92,Assumptions!$I$111)+$C$9404</f>
        <v>0.07</v>
      </c>
      <c r="J9413" s="21" t="n">
        <f aca="false">CHOOSE($C$9402,Assumptions!$J$73,Assumptions!$J$92,Assumptions!$J$111)+$C$9404</f>
        <v>0.07</v>
      </c>
      <c r="K9413" s="21" t="n">
        <f aca="false">CHOOSE($C$9402,Assumptions!$K$73,Assumptions!$K$92,Assumptions!$K$111)+$C$9404</f>
        <v>0.07</v>
      </c>
    </row>
    <row r="9414" customFormat="false" ht="15" hidden="false" customHeight="false" outlineLevel="0" collapsed="false">
      <c r="A9414" s="23" t="s">
        <v>284</v>
      </c>
      <c r="B9414" s="24"/>
      <c r="C9414" s="24"/>
      <c r="D9414" s="24"/>
      <c r="E9414" s="24"/>
      <c r="F9414" s="24"/>
      <c r="G9414" s="24"/>
      <c r="H9414" s="24"/>
      <c r="I9414" s="24"/>
      <c r="J9414" s="24"/>
      <c r="K9414" s="24"/>
    </row>
    <row r="9415" customFormat="false" ht="15" hidden="false" customHeight="false" outlineLevel="0" collapsed="false">
      <c r="A9415" s="2" t="s">
        <v>256</v>
      </c>
      <c r="F9415" s="28" t="n">
        <f aca="false">'Historical Financials'!G23</f>
        <v>2246.166</v>
      </c>
      <c r="G9415" s="16" t="n">
        <f aca="false">F9415*(1+G9411)</f>
        <v>1819.39446</v>
      </c>
      <c r="H9415" s="16" t="n">
        <f aca="false">G9415*(1+H9411)</f>
        <v>1510.0974018</v>
      </c>
      <c r="I9415" s="16" t="n">
        <f aca="false">H9415*(1+I9411)</f>
        <v>1283.58279153</v>
      </c>
      <c r="J9415" s="16" t="n">
        <f aca="false">I9415*(1+J9411)</f>
        <v>1116.7170286311</v>
      </c>
      <c r="K9415" s="16" t="n">
        <f aca="false">J9415*(1+K9411)</f>
        <v>993.878155481679</v>
      </c>
    </row>
    <row r="9416" customFormat="false" ht="15" hidden="false" customHeight="false" outlineLevel="0" collapsed="false">
      <c r="A9416" s="3" t="s">
        <v>257</v>
      </c>
      <c r="G9416" s="25" t="n">
        <f aca="false">G9415*(1-G9412)</f>
        <v>1031.1478686</v>
      </c>
      <c r="H9416" s="25" t="n">
        <f aca="false">H9415*(1-H9412)</f>
        <v>878.504191965</v>
      </c>
      <c r="I9416" s="25" t="n">
        <f aca="false">I9415*(1-I9412)</f>
        <v>753.1464771279</v>
      </c>
      <c r="J9416" s="25" t="n">
        <f aca="false">J9415*(1-J9412)</f>
        <v>655.237435101273</v>
      </c>
      <c r="K9416" s="25" t="n">
        <f aca="false">K9415*(1-K9412)</f>
        <v>583.161317240133</v>
      </c>
    </row>
    <row r="9417" customFormat="false" ht="15" hidden="false" customHeight="false" outlineLevel="0" collapsed="false">
      <c r="A9417" s="2" t="s">
        <v>258</v>
      </c>
      <c r="G9417" s="16" t="n">
        <f aca="false">G9415-G9416</f>
        <v>788.2465914</v>
      </c>
      <c r="H9417" s="16" t="n">
        <f aca="false">H9415-H9416</f>
        <v>631.593209835</v>
      </c>
      <c r="I9417" s="16" t="n">
        <f aca="false">I9415-I9416</f>
        <v>530.4363144021</v>
      </c>
      <c r="J9417" s="16" t="n">
        <f aca="false">J9415-J9416</f>
        <v>461.479593529827</v>
      </c>
      <c r="K9417" s="16" t="n">
        <f aca="false">K9415-K9416</f>
        <v>410.716838241546</v>
      </c>
    </row>
    <row r="9418" customFormat="false" ht="15" hidden="false" customHeight="false" outlineLevel="0" collapsed="false">
      <c r="A9418" s="3" t="s">
        <v>285</v>
      </c>
      <c r="G9418" s="25" t="n">
        <f aca="false">G9417-G9419</f>
        <v>624.50109</v>
      </c>
      <c r="H9418" s="25" t="n">
        <f aca="false">H9417-H9419</f>
        <v>518.3359047</v>
      </c>
      <c r="I9418" s="25" t="n">
        <f aca="false">I9417-I9419</f>
        <v>440.585518995</v>
      </c>
      <c r="J9418" s="25" t="n">
        <f aca="false">J9417-J9419</f>
        <v>383.30940152565</v>
      </c>
      <c r="K9418" s="25" t="n">
        <f aca="false">K9417-K9419</f>
        <v>341.145367357829</v>
      </c>
    </row>
    <row r="9419" customFormat="false" ht="15" hidden="false" customHeight="false" outlineLevel="0" collapsed="false">
      <c r="A9419" s="2" t="s">
        <v>286</v>
      </c>
      <c r="G9419" s="16" t="n">
        <f aca="false">G9415*G9413</f>
        <v>163.7455014</v>
      </c>
      <c r="H9419" s="16" t="n">
        <f aca="false">H9415*H9413</f>
        <v>113.257305135</v>
      </c>
      <c r="I9419" s="16" t="n">
        <f aca="false">I9415*I9413</f>
        <v>89.8507954071</v>
      </c>
      <c r="J9419" s="16" t="n">
        <f aca="false">J9415*J9413</f>
        <v>78.170192004177</v>
      </c>
      <c r="K9419" s="16" t="n">
        <f aca="false">K9415*K9413</f>
        <v>69.5714708837175</v>
      </c>
    </row>
    <row r="9420" customFormat="false" ht="15" hidden="false" customHeight="false" outlineLevel="0" collapsed="false">
      <c r="A9420" s="3" t="s">
        <v>287</v>
      </c>
      <c r="G9420" s="25" t="n">
        <f aca="false">G9415*'Historical Financials'!G28/'Historical Financials'!G23</f>
        <v>69.08976</v>
      </c>
      <c r="H9420" s="25" t="n">
        <f aca="false">H9415*'Historical Financials'!G28/'Historical Financials'!G23</f>
        <v>57.3445008</v>
      </c>
      <c r="I9420" s="25" t="n">
        <f aca="false">I9415*'Historical Financials'!G28/'Historical Financials'!G23</f>
        <v>48.74282568</v>
      </c>
      <c r="J9420" s="25" t="n">
        <f aca="false">J9415*'Historical Financials'!G28/'Historical Financials'!G23</f>
        <v>42.4062583416</v>
      </c>
      <c r="K9420" s="25" t="n">
        <f aca="false">K9415*'Historical Financials'!G28/'Historical Financials'!G23</f>
        <v>37.741569924024</v>
      </c>
    </row>
    <row r="9421" customFormat="false" ht="15" hidden="false" customHeight="false" outlineLevel="0" collapsed="false">
      <c r="A9421" s="3" t="s">
        <v>288</v>
      </c>
      <c r="G9421" s="25" t="n">
        <f aca="false">G9415*'Historical Financials'!G29/'Historical Financials'!G23</f>
        <v>19.72836</v>
      </c>
      <c r="H9421" s="25" t="n">
        <f aca="false">H9415*'Historical Financials'!G29/'Historical Financials'!G23</f>
        <v>16.3745388</v>
      </c>
      <c r="I9421" s="25" t="n">
        <f aca="false">I9415*'Historical Financials'!G29/'Historical Financials'!G23</f>
        <v>13.91835798</v>
      </c>
      <c r="J9421" s="25" t="n">
        <f aca="false">J9415*'Historical Financials'!G29/'Historical Financials'!G23</f>
        <v>12.1089714426</v>
      </c>
      <c r="K9421" s="25" t="n">
        <f aca="false">K9415*'Historical Financials'!G29/'Historical Financials'!G23</f>
        <v>10.776984583914</v>
      </c>
    </row>
    <row r="9422" customFormat="false" ht="15" hidden="false" customHeight="false" outlineLevel="0" collapsed="false">
      <c r="A9422" s="2" t="s">
        <v>289</v>
      </c>
      <c r="G9422" s="16" t="n">
        <f aca="false">G9419-G9420-G9421</f>
        <v>74.9273814</v>
      </c>
      <c r="H9422" s="16" t="n">
        <f aca="false">H9419-H9420-H9421</f>
        <v>39.538265535</v>
      </c>
      <c r="I9422" s="16" t="n">
        <f aca="false">I9419-I9420-I9421</f>
        <v>27.1896117471</v>
      </c>
      <c r="J9422" s="16" t="n">
        <f aca="false">J9419-J9420-J9421</f>
        <v>23.654962219977</v>
      </c>
      <c r="K9422" s="16" t="n">
        <f aca="false">K9419-K9420-K9421</f>
        <v>21.0529163757795</v>
      </c>
    </row>
    <row r="9423" customFormat="false" ht="15" hidden="false" customHeight="false" outlineLevel="0" collapsed="false">
      <c r="A9423" s="3" t="s">
        <v>290</v>
      </c>
      <c r="G9423" s="25" t="n">
        <f aca="false">G9449+G9462+G9475</f>
        <v>155.95467</v>
      </c>
      <c r="H9423" s="25" t="n">
        <f aca="false">H9449+H9462+H9475</f>
        <v>155.95467</v>
      </c>
      <c r="I9423" s="25" t="n">
        <f aca="false">I9449+I9462+I9475</f>
        <v>155.95467</v>
      </c>
      <c r="J9423" s="25" t="n">
        <f aca="false">J9449+J9462+J9475</f>
        <v>145.62522983439</v>
      </c>
      <c r="K9423" s="25" t="n">
        <f aca="false">K9449+K9462+K9475</f>
        <v>145.62522983439</v>
      </c>
    </row>
    <row r="9424" customFormat="false" ht="15" hidden="false" customHeight="false" outlineLevel="0" collapsed="false">
      <c r="A9424" s="3" t="s">
        <v>291</v>
      </c>
      <c r="G9424" s="25" t="n">
        <f aca="false">G9450+G9463+G9476</f>
        <v>0</v>
      </c>
      <c r="H9424" s="25" t="n">
        <f aca="false">H9450+H9463+H9476</f>
        <v>0</v>
      </c>
      <c r="I9424" s="25" t="n">
        <f aca="false">I9450+I9463+I9476</f>
        <v>0</v>
      </c>
      <c r="J9424" s="25" t="n">
        <f aca="false">J9450+J9463+J9476</f>
        <v>0</v>
      </c>
      <c r="K9424" s="25" t="n">
        <f aca="false">K9450+K9463+K9476</f>
        <v>0</v>
      </c>
    </row>
    <row r="9425" customFormat="false" ht="15" hidden="false" customHeight="false" outlineLevel="0" collapsed="false">
      <c r="A9425" s="3" t="s">
        <v>239</v>
      </c>
      <c r="G9425" s="25" t="n">
        <f aca="false">G9423+G9424</f>
        <v>155.95467</v>
      </c>
      <c r="H9425" s="25" t="n">
        <f aca="false">H9423+H9424</f>
        <v>155.95467</v>
      </c>
      <c r="I9425" s="25" t="n">
        <f aca="false">I9423+I9424</f>
        <v>155.95467</v>
      </c>
      <c r="J9425" s="25" t="n">
        <f aca="false">J9423+J9424</f>
        <v>145.62522983439</v>
      </c>
      <c r="K9425" s="25" t="n">
        <f aca="false">K9423+K9424</f>
        <v>145.62522983439</v>
      </c>
    </row>
    <row r="9426" customFormat="false" ht="15" hidden="false" customHeight="false" outlineLevel="0" collapsed="false">
      <c r="A9426" s="2" t="s">
        <v>264</v>
      </c>
      <c r="G9426" s="16" t="n">
        <f aca="false">G9422-G9425</f>
        <v>-81.0272886</v>
      </c>
      <c r="H9426" s="16" t="n">
        <f aca="false">H9422-H9425</f>
        <v>-116.416404465</v>
      </c>
      <c r="I9426" s="16" t="n">
        <f aca="false">I9422-I9425</f>
        <v>-128.7650582529</v>
      </c>
      <c r="J9426" s="16" t="n">
        <f aca="false">J9422-J9425</f>
        <v>-121.970267614413</v>
      </c>
      <c r="K9426" s="16" t="n">
        <f aca="false">K9422-K9425</f>
        <v>-124.572313458611</v>
      </c>
    </row>
    <row r="9427" customFormat="false" ht="15" hidden="false" customHeight="false" outlineLevel="0" collapsed="false">
      <c r="A9427" s="3" t="s">
        <v>292</v>
      </c>
      <c r="G9427" s="25" t="n">
        <f aca="false">MAX(0,G9426)*Assumptions!$C$9</f>
        <v>0</v>
      </c>
      <c r="H9427" s="25" t="n">
        <f aca="false">MAX(0,H9426)*Assumptions!$C$9</f>
        <v>0</v>
      </c>
      <c r="I9427" s="25" t="n">
        <f aca="false">MAX(0,I9426)*Assumptions!$C$9</f>
        <v>0</v>
      </c>
      <c r="J9427" s="25" t="n">
        <f aca="false">MAX(0,J9426)*Assumptions!$C$9</f>
        <v>0</v>
      </c>
      <c r="K9427" s="25" t="n">
        <f aca="false">MAX(0,K9426)*Assumptions!$C$9</f>
        <v>0</v>
      </c>
    </row>
    <row r="9428" customFormat="false" ht="15" hidden="false" customHeight="false" outlineLevel="0" collapsed="false">
      <c r="A9428" s="2" t="s">
        <v>293</v>
      </c>
      <c r="G9428" s="16" t="n">
        <f aca="false">G9426-G9427</f>
        <v>-81.0272886</v>
      </c>
      <c r="H9428" s="16" t="n">
        <f aca="false">H9426-H9427</f>
        <v>-116.416404465</v>
      </c>
      <c r="I9428" s="16" t="n">
        <f aca="false">I9426-I9427</f>
        <v>-128.7650582529</v>
      </c>
      <c r="J9428" s="16" t="n">
        <f aca="false">J9426-J9427</f>
        <v>-121.970267614413</v>
      </c>
      <c r="K9428" s="16" t="n">
        <f aca="false">K9426-K9427</f>
        <v>-124.572313458611</v>
      </c>
    </row>
    <row r="9429" customFormat="false" ht="15" hidden="false" customHeight="false" outlineLevel="0" collapsed="false">
      <c r="A9429" s="23" t="s">
        <v>294</v>
      </c>
      <c r="B9429" s="24"/>
      <c r="C9429" s="24"/>
      <c r="D9429" s="24"/>
      <c r="E9429" s="24"/>
      <c r="F9429" s="24"/>
      <c r="G9429" s="24"/>
      <c r="H9429" s="24"/>
      <c r="I9429" s="24"/>
      <c r="J9429" s="24"/>
      <c r="K9429" s="24"/>
    </row>
    <row r="9430" customFormat="false" ht="15" hidden="false" customHeight="false" outlineLevel="0" collapsed="false">
      <c r="A9430" s="3" t="s">
        <v>169</v>
      </c>
      <c r="G9430" s="25" t="n">
        <f aca="false">G9415*CHOOSE($C$9402,Assumptions!$C$75,Assumptions!$C$94,Assumptions!$C$113)</f>
        <v>20.01333906</v>
      </c>
      <c r="H9430" s="25" t="n">
        <f aca="false">H9415*CHOOSE($C$9402,Assumptions!$C$75,Assumptions!$C$94,Assumptions!$C$113)</f>
        <v>16.6110714198</v>
      </c>
      <c r="I9430" s="25" t="n">
        <f aca="false">I9415*CHOOSE($C$9402,Assumptions!$C$75,Assumptions!$C$94,Assumptions!$C$113)</f>
        <v>14.11941070683</v>
      </c>
      <c r="J9430" s="25" t="n">
        <f aca="false">J9415*CHOOSE($C$9402,Assumptions!$C$75,Assumptions!$C$94,Assumptions!$C$113)</f>
        <v>12.2838873149421</v>
      </c>
      <c r="K9430" s="25" t="n">
        <f aca="false">K9415*CHOOSE($C$9402,Assumptions!$C$75,Assumptions!$C$94,Assumptions!$C$113)</f>
        <v>10.9326597102985</v>
      </c>
    </row>
    <row r="9431" customFormat="false" ht="15" hidden="false" customHeight="false" outlineLevel="0" collapsed="false">
      <c r="A9431" s="3" t="s">
        <v>295</v>
      </c>
      <c r="G9431" s="25" t="n">
        <f aca="false">CHOOSE($C$9402,Assumptions!$C$76,Assumptions!$C$95,Assumptions!$C$114)*(G9415-F9415)+CHOOSE($C$9402,Assumptions!$C$77,Assumptions!$C$96,Assumptions!$C$115)*G9415</f>
        <v>27.2909169</v>
      </c>
      <c r="H9431" s="25" t="n">
        <f aca="false">CHOOSE($C$9402,Assumptions!$C$76,Assumptions!$C$95,Assumptions!$C$114)*(H9415-G9415)+CHOOSE($C$9402,Assumptions!$C$77,Assumptions!$C$96,Assumptions!$C$115)*H9415</f>
        <v>22.651461027</v>
      </c>
      <c r="I9431" s="25" t="n">
        <f aca="false">CHOOSE($C$9402,Assumptions!$C$76,Assumptions!$C$95,Assumptions!$C$114)*(I9415-H9415)+CHOOSE($C$9402,Assumptions!$C$77,Assumptions!$C$96,Assumptions!$C$115)*I9415</f>
        <v>19.25374187295</v>
      </c>
      <c r="J9431" s="25" t="n">
        <f aca="false">CHOOSE($C$9402,Assumptions!$C$76,Assumptions!$C$95,Assumptions!$C$114)*(J9415-I9415)+CHOOSE($C$9402,Assumptions!$C$77,Assumptions!$C$96,Assumptions!$C$115)*J9415</f>
        <v>16.7507554294665</v>
      </c>
      <c r="K9431" s="25" t="n">
        <f aca="false">CHOOSE($C$9402,Assumptions!$C$76,Assumptions!$C$95,Assumptions!$C$114)*(K9415-J9415)+CHOOSE($C$9402,Assumptions!$C$77,Assumptions!$C$96,Assumptions!$C$115)*K9415</f>
        <v>14.9081723322252</v>
      </c>
    </row>
    <row r="9432" customFormat="false" ht="15" hidden="false" customHeight="false" outlineLevel="0" collapsed="false">
      <c r="A9432" s="2" t="s">
        <v>296</v>
      </c>
      <c r="G9432" s="16" t="n">
        <f aca="false">G9428+G9420+G9421+G9424-G9430-G9431</f>
        <v>-39.51342456</v>
      </c>
      <c r="H9432" s="16" t="n">
        <f aca="false">H9428+H9420+H9421+H9424-H9430-H9431</f>
        <v>-81.9598973118</v>
      </c>
      <c r="I9432" s="16" t="n">
        <f aca="false">I9428+I9420+I9421+I9424-I9430-I9431</f>
        <v>-99.47702717268</v>
      </c>
      <c r="J9432" s="16" t="n">
        <f aca="false">J9428+J9420+J9421+J9424-J9430-J9431</f>
        <v>-96.489680574622</v>
      </c>
      <c r="K9432" s="16" t="n">
        <f aca="false">K9428+K9420+K9421+K9424-K9430-K9431</f>
        <v>-101.894590993196</v>
      </c>
    </row>
    <row r="9434" customFormat="false" ht="15" hidden="false" customHeight="false" outlineLevel="0" collapsed="false">
      <c r="A9434" s="23" t="s">
        <v>298</v>
      </c>
      <c r="B9434" s="24"/>
      <c r="C9434" s="24"/>
      <c r="D9434" s="24"/>
      <c r="E9434" s="24"/>
      <c r="F9434" s="24"/>
      <c r="G9434" s="24"/>
      <c r="H9434" s="24"/>
      <c r="I9434" s="24"/>
      <c r="J9434" s="24"/>
      <c r="K9434" s="24"/>
    </row>
    <row r="9435" customFormat="false" ht="15" hidden="false" customHeight="false" outlineLevel="0" collapsed="false">
      <c r="A9435" s="3" t="s">
        <v>299</v>
      </c>
      <c r="G9435" s="30" t="n">
        <f aca="false">Assumptions!$G$52</f>
        <v>0.039</v>
      </c>
      <c r="H9435" s="30" t="n">
        <f aca="false">Assumptions!$H$52</f>
        <v>0.0375</v>
      </c>
      <c r="I9435" s="30" t="n">
        <f aca="false">Assumptions!$I$52</f>
        <v>0.035</v>
      </c>
      <c r="J9435" s="30" t="n">
        <f aca="false">Assumptions!$J$52</f>
        <v>0.035</v>
      </c>
      <c r="K9435" s="30" t="n">
        <f aca="false">Assumptions!$K$52</f>
        <v>0.035</v>
      </c>
    </row>
    <row r="9436" customFormat="false" ht="15" hidden="false" customHeight="false" outlineLevel="0" collapsed="false">
      <c r="A9436" s="3" t="s">
        <v>300</v>
      </c>
      <c r="C9436" s="31" t="n">
        <f aca="false">CHOOSE($C$9402,Assumptions!$C$78,Assumptions!$C$97,Assumptions!$C$116)+$C$9405</f>
        <v>0.03</v>
      </c>
    </row>
    <row r="9437" customFormat="false" ht="15" hidden="false" customHeight="false" outlineLevel="0" collapsed="false">
      <c r="A9437" s="3" t="s">
        <v>301</v>
      </c>
      <c r="C9437" s="31" t="n">
        <f aca="false">CHOOSE($C$9402,Assumptions!$C$79,Assumptions!$C$98,Assumptions!$C$117)</f>
        <v>0.15</v>
      </c>
    </row>
    <row r="9438" customFormat="false" ht="15" hidden="false" customHeight="false" outlineLevel="0" collapsed="false">
      <c r="A9438" s="3" t="s">
        <v>302</v>
      </c>
      <c r="C9438" s="32" t="n">
        <f aca="false">CHOOSE($C$9402,Assumptions!$C$80,Assumptions!$C$99,Assumptions!$C$118)</f>
        <v>5</v>
      </c>
    </row>
    <row r="9439" customFormat="false" ht="15" hidden="false" customHeight="false" outlineLevel="0" collapsed="false">
      <c r="A9439" s="3" t="s">
        <v>303</v>
      </c>
      <c r="C9439" s="32" t="n">
        <f aca="false">CHOOSE($C$9402,Assumptions!$C$81,Assumptions!$C$100,Assumptions!$C$119)</f>
        <v>1.75</v>
      </c>
    </row>
    <row r="9440" customFormat="false" ht="15" hidden="false" customHeight="false" outlineLevel="0" collapsed="false">
      <c r="A9440" s="3" t="s">
        <v>304</v>
      </c>
      <c r="G9440" s="25" t="n">
        <f aca="false">G9445+G9458+G9471</f>
        <v>1735.554</v>
      </c>
      <c r="H9440" s="25" t="n">
        <f aca="false">H9445+H9458+H9471</f>
        <v>1735.554</v>
      </c>
      <c r="I9440" s="25" t="n">
        <f aca="false">I9445+I9458+I9471</f>
        <v>1735.554</v>
      </c>
      <c r="J9440" s="25" t="n">
        <f aca="false">J9445+J9458+J9471</f>
        <v>1492.50834904448</v>
      </c>
      <c r="K9440" s="25" t="n">
        <f aca="false">K9445+K9458+K9471</f>
        <v>1492.50834904448</v>
      </c>
    </row>
    <row r="9441" customFormat="false" ht="15" hidden="false" customHeight="false" outlineLevel="0" collapsed="false">
      <c r="A9441" s="3" t="s">
        <v>305</v>
      </c>
      <c r="G9441" s="25" t="n">
        <f aca="false">F9514</f>
        <v>463.996</v>
      </c>
      <c r="H9441" s="25" t="n">
        <f aca="false">G9514</f>
        <v>424.48257544</v>
      </c>
      <c r="I9441" s="25" t="n">
        <f aca="false">H9514</f>
        <v>342.5226781282</v>
      </c>
      <c r="J9441" s="25" t="n">
        <f aca="false">I9514</f>
        <v>0</v>
      </c>
      <c r="K9441" s="25" t="n">
        <f aca="false">J9514</f>
        <v>-96.489680574622</v>
      </c>
    </row>
    <row r="9442" customFormat="false" ht="15" hidden="false" customHeight="false" outlineLevel="0" collapsed="false">
      <c r="A9442" s="3" t="s">
        <v>306</v>
      </c>
      <c r="G9442" s="25" t="n">
        <f aca="false">G9445*IF(G9446=1,$C$9437,IF(Assumptions!$I$56=1,MAX(G9435,Assumptions!$G$56)+Assumptions!$F$56+$C$9436,Assumptions!$E$56))+G9458*IF(G9459=1,$C$9437,IF(Assumptions!$I$57=1,MAX(G9435,Assumptions!$G$57)+Assumptions!$F$57+$C$9436,Assumptions!$E$57))+G9471*IF(G9472=1,$C$9437,IF(Assumptions!$I$58=1,MAX(G9435,Assumptions!$G$58)+Assumptions!$F$58+$C$9436,Assumptions!$E$58))</f>
        <v>155.95467</v>
      </c>
      <c r="H9442" s="25" t="n">
        <f aca="false">H9445*IF(OR(H9446=1,G9592=1),$C$9437,IF(Assumptions!$I$56=1,MAX(H9435,Assumptions!$G$56)+Assumptions!$F$56+$C$9436,Assumptions!$E$56))+H9458*IF(OR(H9459=1,G9593=1),$C$9437,IF(Assumptions!$I$57=1,MAX(H9435,Assumptions!$G$57)+Assumptions!$F$57+$C$9436,Assumptions!$E$57))+H9471*IF(OR(H9472=1,G9594=1),$C$9437,IF(Assumptions!$I$58=1,MAX(H9435,Assumptions!$G$58)+Assumptions!$F$58+$C$9436,Assumptions!$E$58))</f>
        <v>155.95467</v>
      </c>
      <c r="I9442" s="25" t="n">
        <f aca="false">I9445*IF(OR(I9446=1,H9592=1),$C$9437,IF(Assumptions!$I$56=1,MAX(I9435,Assumptions!$G$56)+Assumptions!$F$56+$C$9436,Assumptions!$E$56))+I9458*IF(OR(I9459=1,H9593=1),$C$9437,IF(Assumptions!$I$57=1,MAX(I9435,Assumptions!$G$57)+Assumptions!$F$57+$C$9436,Assumptions!$E$57))+I9471*IF(OR(I9472=1,H9594=1),$C$9437,IF(Assumptions!$I$58=1,MAX(I9435,Assumptions!$G$58)+Assumptions!$F$58+$C$9436,Assumptions!$E$58))</f>
        <v>201.15369</v>
      </c>
      <c r="J9442" s="25" t="n">
        <f aca="false">J9445*IF(OR(J9446=1,I9592=1),$C$9437,IF(Assumptions!$I$56=1,MAX(J9435,Assumptions!$G$56)+Assumptions!$F$56+$C$9436,Assumptions!$E$56))+J9458*IF(OR(J9459=1,I9593=1),$C$9437,IF(Assumptions!$I$57=1,MAX(J9435,Assumptions!$G$57)+Assumptions!$F$57+$C$9436,Assumptions!$E$57))+J9471*IF(OR(J9472=1,I9594=1),$C$9437,IF(Assumptions!$I$58=1,MAX(J9435,Assumptions!$G$58)+Assumptions!$F$58+$C$9436,Assumptions!$E$58))</f>
        <v>145.62522983439</v>
      </c>
      <c r="K9442" s="25" t="n">
        <f aca="false">K9445*IF(OR(K9446=1,J9592=1),$C$9437,IF(Assumptions!$I$56=1,MAX(K9435,Assumptions!$G$56)+Assumptions!$F$56+$C$9436,Assumptions!$E$56))+K9458*IF(OR(K9459=1,J9593=1),$C$9437,IF(Assumptions!$I$57=1,MAX(K9435,Assumptions!$G$57)+Assumptions!$F$57+$C$9436,Assumptions!$E$57))+K9471*IF(OR(K9472=1,J9594=1),$C$9437,IF(Assumptions!$I$58=1,MAX(K9435,Assumptions!$G$58)+Assumptions!$F$58+$C$9436,Assumptions!$E$58))</f>
        <v>145.62522983439</v>
      </c>
    </row>
    <row r="9443" customFormat="false" ht="15" hidden="false" customHeight="false" outlineLevel="0" collapsed="false">
      <c r="A9443" s="3" t="s">
        <v>307</v>
      </c>
      <c r="G9443" s="20" t="n">
        <f aca="false">IF(G9419&lt;=0,0,IF(AND((G9440-G9441)/G9419&lt;=$C$9438,G9419/G9442&gt;=$C$9439),1,0))</f>
        <v>0</v>
      </c>
      <c r="H9443" s="20" t="n">
        <f aca="false">IF(H9419&lt;=0,0,IF(AND((H9440-H9441)/H9419&lt;=$C$9438,H9419/H9442&gt;=$C$9439),1,0))</f>
        <v>0</v>
      </c>
      <c r="I9443" s="20" t="n">
        <f aca="false">IF(I9419&lt;=0,0,IF(AND((I9440-I9441)/I9419&lt;=$C$9438,I9419/I9442&gt;=$C$9439),1,0))</f>
        <v>0</v>
      </c>
      <c r="J9443" s="20" t="n">
        <f aca="false">IF(J9419&lt;=0,0,IF(AND((J9440-J9441)/J9419&lt;=$C$9438,J9419/J9442&gt;=$C$9439),1,0))</f>
        <v>0</v>
      </c>
      <c r="K9443" s="20" t="n">
        <f aca="false">IF(K9419&lt;=0,0,IF(AND((K9440-K9441)/K9419&lt;=$C$9438,K9419/K9442&gt;=$C$9439),1,0))</f>
        <v>0</v>
      </c>
    </row>
    <row r="9444" customFormat="false" ht="15" hidden="false" customHeight="false" outlineLevel="0" collapsed="false">
      <c r="A9444" s="23" t="s">
        <v>308</v>
      </c>
      <c r="B9444" s="24"/>
      <c r="C9444" s="24"/>
      <c r="D9444" s="24"/>
      <c r="E9444" s="24"/>
      <c r="F9444" s="24"/>
      <c r="G9444" s="24"/>
      <c r="H9444" s="24"/>
      <c r="I9444" s="24"/>
      <c r="J9444" s="24"/>
      <c r="K9444" s="24"/>
    </row>
    <row r="9445" customFormat="false" ht="15" hidden="false" customHeight="false" outlineLevel="0" collapsed="false">
      <c r="A9445" s="3" t="s">
        <v>309</v>
      </c>
      <c r="G9445" s="25" t="n">
        <f aca="false">F9456</f>
        <v>1315.098</v>
      </c>
      <c r="H9445" s="25" t="n">
        <f aca="false">G9456</f>
        <v>1315.098</v>
      </c>
      <c r="I9445" s="25" t="n">
        <f aca="false">H9456</f>
        <v>1315.098</v>
      </c>
      <c r="J9445" s="25" t="n">
        <f aca="false">I9456</f>
        <v>1315.098</v>
      </c>
      <c r="K9445" s="25" t="n">
        <f aca="false">J9456</f>
        <v>1315.098</v>
      </c>
    </row>
    <row r="9446" customFormat="false" ht="15" hidden="false" customHeight="false" outlineLevel="0" collapsed="false">
      <c r="A9446" s="3" t="s">
        <v>310</v>
      </c>
      <c r="G9446" s="20" t="n">
        <f aca="false">IF(G9409=Assumptions!$K$56,1,0)</f>
        <v>0</v>
      </c>
      <c r="H9446" s="20" t="n">
        <f aca="false">IF(H9409=Assumptions!$K$56,1,0)</f>
        <v>0</v>
      </c>
      <c r="I9446" s="20" t="n">
        <f aca="false">IF(I9409=Assumptions!$K$56,1,0)</f>
        <v>0</v>
      </c>
      <c r="J9446" s="20" t="n">
        <f aca="false">IF(J9409=Assumptions!$K$56,1,0)</f>
        <v>0</v>
      </c>
      <c r="K9446" s="20" t="n">
        <f aca="false">IF(K9409=Assumptions!$K$56,1,0)</f>
        <v>0</v>
      </c>
    </row>
    <row r="9448" customFormat="false" ht="15" hidden="false" customHeight="false" outlineLevel="0" collapsed="false">
      <c r="A9448" s="3" t="s">
        <v>311</v>
      </c>
      <c r="G9448" s="31" t="n">
        <f aca="false">IF(Assumptions!$I$56=1,MAX(G9435,Assumptions!$G$56)+Assumptions!$F$56+$C$9436,Assumptions!$E$56)</f>
        <v>0.105</v>
      </c>
      <c r="H9448" s="31" t="n">
        <f aca="false">IF(G9592=1,$C$9437,IF(Assumptions!$I$56=1,MAX(H9435,Assumptions!$G$56)+Assumptions!$F$56+$C$9436,Assumptions!$E$56))</f>
        <v>0.105</v>
      </c>
      <c r="I9448" s="31" t="n">
        <f aca="false">IF(H9592=1,$C$9437,IF(Assumptions!$I$56=1,MAX(I9435,Assumptions!$G$56)+Assumptions!$F$56+$C$9436,Assumptions!$E$56))</f>
        <v>0.105</v>
      </c>
      <c r="J9448" s="31" t="n">
        <f aca="false">IF(I9592=1,$C$9437,IF(Assumptions!$I$56=1,MAX(J9435,Assumptions!$G$56)+Assumptions!$F$56+$C$9436,Assumptions!$E$56))</f>
        <v>0.105</v>
      </c>
      <c r="K9448" s="31" t="n">
        <f aca="false">IF(J9592=1,$C$9437,IF(Assumptions!$I$56=1,MAX(K9435,Assumptions!$G$56)+Assumptions!$F$56+$C$9436,Assumptions!$E$56))</f>
        <v>0.105</v>
      </c>
    </row>
    <row r="9449" customFormat="false" ht="15" hidden="false" customHeight="false" outlineLevel="0" collapsed="false">
      <c r="A9449" s="3" t="s">
        <v>312</v>
      </c>
      <c r="G9449" s="25" t="n">
        <f aca="false">G9445*G9448</f>
        <v>138.08529</v>
      </c>
      <c r="H9449" s="25" t="n">
        <f aca="false">H9445*H9448</f>
        <v>138.08529</v>
      </c>
      <c r="I9449" s="25" t="n">
        <f aca="false">I9445*I9448</f>
        <v>138.08529</v>
      </c>
      <c r="J9449" s="25" t="n">
        <f aca="false">J9445*J9448</f>
        <v>138.08529</v>
      </c>
      <c r="K9449" s="25" t="n">
        <f aca="false">K9445*K9448</f>
        <v>138.08529</v>
      </c>
    </row>
    <row r="9450" customFormat="false" ht="15" hidden="false" customHeight="false" outlineLevel="0" collapsed="false">
      <c r="A9450" s="3" t="s">
        <v>313</v>
      </c>
      <c r="G9450" s="25" t="n">
        <f aca="false">G9445*Assumptions!$H$56</f>
        <v>0</v>
      </c>
      <c r="H9450" s="25" t="n">
        <f aca="false">H9445*Assumptions!$H$56</f>
        <v>0</v>
      </c>
      <c r="I9450" s="25" t="n">
        <f aca="false">I9445*Assumptions!$H$56</f>
        <v>0</v>
      </c>
      <c r="J9450" s="25" t="n">
        <f aca="false">J9445*Assumptions!$H$56</f>
        <v>0</v>
      </c>
      <c r="K9450" s="25" t="n">
        <f aca="false">K9445*Assumptions!$H$56</f>
        <v>0</v>
      </c>
    </row>
    <row r="9451" customFormat="false" ht="15" hidden="false" customHeight="false" outlineLevel="0" collapsed="false">
      <c r="A9451" s="3" t="s">
        <v>314</v>
      </c>
      <c r="G9451" s="25" t="n">
        <f aca="false">MIN(G9445,Assumptions!$L$56*Assumptions!$C$56)</f>
        <v>0</v>
      </c>
      <c r="H9451" s="25" t="n">
        <f aca="false">MIN(H9445,Assumptions!$L$56*Assumptions!$C$56)</f>
        <v>0</v>
      </c>
      <c r="I9451" s="25" t="n">
        <f aca="false">MIN(I9445,Assumptions!$L$56*Assumptions!$C$56)</f>
        <v>0</v>
      </c>
      <c r="J9451" s="25" t="n">
        <f aca="false">MIN(J9445,Assumptions!$L$56*Assumptions!$C$56)</f>
        <v>0</v>
      </c>
      <c r="K9451" s="25" t="n">
        <f aca="false">MIN(K9445,Assumptions!$L$56*Assumptions!$C$56)</f>
        <v>0</v>
      </c>
    </row>
    <row r="9452" customFormat="false" ht="15" hidden="false" customHeight="false" outlineLevel="0" collapsed="false">
      <c r="A9452" s="3" t="s">
        <v>315</v>
      </c>
      <c r="G9452" s="25" t="n">
        <f aca="false">IF(AND(Assumptions!$P$56=1,G9409&lt;Assumptions!$K$56),MIN(MAX(0,-G9506),MAX(0,Assumptions!$D$56-G9445)),0)</f>
        <v>0</v>
      </c>
      <c r="H9452" s="25" t="n">
        <f aca="false">IF(AND(Assumptions!$P$56=1,OR(H9409&lt;Assumptions!$K$56,G9592=1)),MIN(MAX(0,-H9506),MAX(0,Assumptions!$D$56-H9445)),0)</f>
        <v>0</v>
      </c>
      <c r="I9452" s="25" t="n">
        <f aca="false">IF(AND(Assumptions!$P$56=1,OR(I9409&lt;Assumptions!$K$56,H9592=1)),MIN(MAX(0,-I9506),MAX(0,Assumptions!$D$56-I9445)),0)</f>
        <v>0</v>
      </c>
      <c r="J9452" s="25" t="n">
        <f aca="false">IF(AND(Assumptions!$P$56=1,OR(J9409&lt;Assumptions!$K$56,I9592=1)),MIN(MAX(0,-J9506),MAX(0,Assumptions!$D$56-J9445)),0)</f>
        <v>0</v>
      </c>
      <c r="K9452" s="25" t="n">
        <f aca="false">IF(AND(Assumptions!$P$56=1,OR(K9409&lt;Assumptions!$K$56,J9592=1)),MIN(MAX(0,-K9506),MAX(0,Assumptions!$D$56-K9445)),0)</f>
        <v>0</v>
      </c>
    </row>
    <row r="9453" customFormat="false" ht="15" hidden="false" customHeight="false" outlineLevel="0" collapsed="false">
      <c r="A9453" s="3" t="s">
        <v>316</v>
      </c>
      <c r="G9453" s="25" t="n">
        <f aca="false">G9446*MIN(G9445-G9451+G9450,MAX(0,G9508-Assumptions!$C$12*G9443))</f>
        <v>0</v>
      </c>
      <c r="H9453" s="25" t="n">
        <f aca="false">H9446*MIN(H9445-H9451+H9450,MAX(0,H9508-Assumptions!$C$12*H9443))</f>
        <v>0</v>
      </c>
      <c r="I9453" s="25" t="n">
        <f aca="false">I9446*MIN(I9445-I9451+I9450,MAX(0,I9508-Assumptions!$C$12*I9443))</f>
        <v>0</v>
      </c>
      <c r="J9453" s="25" t="n">
        <f aca="false">J9446*MIN(J9445-J9451+J9450,MAX(0,J9508-Assumptions!$C$12*J9443))</f>
        <v>0</v>
      </c>
      <c r="K9453" s="25" t="n">
        <f aca="false">K9446*MIN(K9445-K9451+K9450,MAX(0,K9508-Assumptions!$C$12*K9443))</f>
        <v>0</v>
      </c>
    </row>
    <row r="9454" customFormat="false" ht="15" hidden="false" customHeight="false" outlineLevel="0" collapsed="false">
      <c r="A9454" s="3" t="s">
        <v>317</v>
      </c>
      <c r="G9454" s="25" t="n">
        <f aca="false">Assumptions!$N$56*MIN(G9445+G9452+G9450-G9451-G9453,MAX(0,G9512))</f>
        <v>0</v>
      </c>
      <c r="H9454" s="25" t="n">
        <f aca="false">Assumptions!$N$56*MIN(H9445+H9452+H9450-H9451-H9453,MAX(0,H9512))</f>
        <v>0</v>
      </c>
      <c r="I9454" s="25" t="n">
        <f aca="false">Assumptions!$N$56*MIN(I9445+I9452+I9450-I9451-I9453,MAX(0,I9512))</f>
        <v>0</v>
      </c>
      <c r="J9454" s="25" t="n">
        <f aca="false">Assumptions!$N$56*MIN(J9445+J9452+J9450-J9451-J9453,MAX(0,J9512))</f>
        <v>0</v>
      </c>
      <c r="K9454" s="25" t="n">
        <f aca="false">Assumptions!$N$56*MIN(K9445+K9452+K9450-K9451-K9453,MAX(0,K9512))</f>
        <v>0</v>
      </c>
    </row>
    <row r="9455" customFormat="false" ht="15" hidden="false" customHeight="false" outlineLevel="0" collapsed="false">
      <c r="A9455" s="3" t="s">
        <v>318</v>
      </c>
      <c r="G9455" s="25" t="n">
        <f aca="false">G9446*(1-G9443)*(G9445-G9451+G9450-G9453)</f>
        <v>0</v>
      </c>
      <c r="H9455" s="25" t="n">
        <f aca="false">H9446*(1-H9443)*(H9445-H9451+H9450-H9453)</f>
        <v>0</v>
      </c>
      <c r="I9455" s="25" t="n">
        <f aca="false">I9446*(1-I9443)*(I9445-I9451+I9450-I9453)</f>
        <v>0</v>
      </c>
      <c r="J9455" s="25" t="n">
        <f aca="false">J9446*(1-J9443)*(J9445-J9451+J9450-J9453)</f>
        <v>0</v>
      </c>
      <c r="K9455" s="25" t="n">
        <f aca="false">K9446*(1-K9443)*(K9445-K9451+K9450-K9453)</f>
        <v>0</v>
      </c>
    </row>
    <row r="9456" customFormat="false" ht="15" hidden="false" customHeight="false" outlineLevel="0" collapsed="false">
      <c r="A9456" s="2" t="s">
        <v>319</v>
      </c>
      <c r="F9456" s="28" t="n">
        <f aca="false">Assumptions!$C$56</f>
        <v>1315.098</v>
      </c>
      <c r="G9456" s="16" t="n">
        <f aca="false">G9445+G9452+G9450-G9451-G9453-G9454</f>
        <v>1315.098</v>
      </c>
      <c r="H9456" s="16" t="n">
        <f aca="false">H9445+H9452+H9450-H9451-H9453-H9454</f>
        <v>1315.098</v>
      </c>
      <c r="I9456" s="16" t="n">
        <f aca="false">I9445+I9452+I9450-I9451-I9453-I9454</f>
        <v>1315.098</v>
      </c>
      <c r="J9456" s="16" t="n">
        <f aca="false">J9445+J9452+J9450-J9451-J9453-J9454</f>
        <v>1315.098</v>
      </c>
      <c r="K9456" s="16" t="n">
        <f aca="false">K9445+K9452+K9450-K9451-K9453-K9454</f>
        <v>1315.098</v>
      </c>
    </row>
    <row r="9457" customFormat="false" ht="15" hidden="false" customHeight="false" outlineLevel="0" collapsed="false">
      <c r="A9457" s="23" t="s">
        <v>320</v>
      </c>
      <c r="B9457" s="24"/>
      <c r="C9457" s="24"/>
      <c r="D9457" s="24"/>
      <c r="E9457" s="24"/>
      <c r="F9457" s="24"/>
      <c r="G9457" s="24"/>
      <c r="H9457" s="24"/>
      <c r="I9457" s="24"/>
      <c r="J9457" s="24"/>
      <c r="K9457" s="24"/>
    </row>
    <row r="9458" customFormat="false" ht="15" hidden="false" customHeight="false" outlineLevel="0" collapsed="false">
      <c r="A9458" s="3" t="s">
        <v>309</v>
      </c>
      <c r="G9458" s="25" t="n">
        <f aca="false">F9469</f>
        <v>276.706</v>
      </c>
      <c r="H9458" s="25" t="n">
        <f aca="false">G9469</f>
        <v>276.706</v>
      </c>
      <c r="I9458" s="25" t="n">
        <f aca="false">H9469</f>
        <v>276.706</v>
      </c>
      <c r="J9458" s="25" t="n">
        <f aca="false">I9469</f>
        <v>33.66034904448</v>
      </c>
      <c r="K9458" s="25" t="n">
        <f aca="false">J9469</f>
        <v>33.66034904448</v>
      </c>
    </row>
    <row r="9459" customFormat="false" ht="15" hidden="false" customHeight="false" outlineLevel="0" collapsed="false">
      <c r="A9459" s="3" t="s">
        <v>310</v>
      </c>
      <c r="G9459" s="20" t="n">
        <f aca="false">IF(G9409=Assumptions!$K$57,1,0)</f>
        <v>0</v>
      </c>
      <c r="H9459" s="20" t="n">
        <f aca="false">IF(H9409=Assumptions!$K$57,1,0)</f>
        <v>0</v>
      </c>
      <c r="I9459" s="20" t="n">
        <f aca="false">IF(I9409=Assumptions!$K$57,1,0)</f>
        <v>1</v>
      </c>
      <c r="J9459" s="20" t="n">
        <f aca="false">IF(J9409=Assumptions!$K$57,1,0)</f>
        <v>0</v>
      </c>
      <c r="K9459" s="20" t="n">
        <f aca="false">IF(K9409=Assumptions!$K$57,1,0)</f>
        <v>0</v>
      </c>
    </row>
    <row r="9461" customFormat="false" ht="15" hidden="false" customHeight="false" outlineLevel="0" collapsed="false">
      <c r="A9461" s="3" t="s">
        <v>311</v>
      </c>
      <c r="G9461" s="31" t="n">
        <f aca="false">IF(Assumptions!$I$57=1,MAX(G9435,Assumptions!$G$57)+Assumptions!$F$57+$C$9436,Assumptions!$E$57)</f>
        <v>0.0425</v>
      </c>
      <c r="H9461" s="31" t="n">
        <f aca="false">IF(G9593=1,$C$9437,IF(Assumptions!$I$57=1,MAX(H9435,Assumptions!$G$57)+Assumptions!$F$57+$C$9436,Assumptions!$E$57))</f>
        <v>0.0425</v>
      </c>
      <c r="I9461" s="31" t="n">
        <f aca="false">IF(H9593=1,$C$9437,IF(Assumptions!$I$57=1,MAX(I9435,Assumptions!$G$57)+Assumptions!$F$57+$C$9436,Assumptions!$E$57))</f>
        <v>0.0425</v>
      </c>
      <c r="J9461" s="31" t="n">
        <f aca="false">IF(I9593=1,$C$9437,IF(Assumptions!$I$57=1,MAX(J9435,Assumptions!$G$57)+Assumptions!$F$57+$C$9436,Assumptions!$E$57))</f>
        <v>0.0425</v>
      </c>
      <c r="K9461" s="31" t="n">
        <f aca="false">IF(J9593=1,$C$9437,IF(Assumptions!$I$57=1,MAX(K9435,Assumptions!$G$57)+Assumptions!$F$57+$C$9436,Assumptions!$E$57))</f>
        <v>0.0425</v>
      </c>
    </row>
    <row r="9462" customFormat="false" ht="15" hidden="false" customHeight="false" outlineLevel="0" collapsed="false">
      <c r="A9462" s="3" t="s">
        <v>312</v>
      </c>
      <c r="G9462" s="25" t="n">
        <f aca="false">G9458*G9461</f>
        <v>11.760005</v>
      </c>
      <c r="H9462" s="25" t="n">
        <f aca="false">H9458*H9461</f>
        <v>11.760005</v>
      </c>
      <c r="I9462" s="25" t="n">
        <f aca="false">I9458*I9461</f>
        <v>11.760005</v>
      </c>
      <c r="J9462" s="25" t="n">
        <f aca="false">J9458*J9461</f>
        <v>1.4305648343904</v>
      </c>
      <c r="K9462" s="25" t="n">
        <f aca="false">K9458*K9461</f>
        <v>1.4305648343904</v>
      </c>
    </row>
    <row r="9463" customFormat="false" ht="15" hidden="false" customHeight="false" outlineLevel="0" collapsed="false">
      <c r="A9463" s="3" t="s">
        <v>313</v>
      </c>
      <c r="G9463" s="25" t="n">
        <f aca="false">G9458*Assumptions!$H$57</f>
        <v>0</v>
      </c>
      <c r="H9463" s="25" t="n">
        <f aca="false">H9458*Assumptions!$H$57</f>
        <v>0</v>
      </c>
      <c r="I9463" s="25" t="n">
        <f aca="false">I9458*Assumptions!$H$57</f>
        <v>0</v>
      </c>
      <c r="J9463" s="25" t="n">
        <f aca="false">J9458*Assumptions!$H$57</f>
        <v>0</v>
      </c>
      <c r="K9463" s="25" t="n">
        <f aca="false">K9458*Assumptions!$H$57</f>
        <v>0</v>
      </c>
    </row>
    <row r="9464" customFormat="false" ht="15" hidden="false" customHeight="false" outlineLevel="0" collapsed="false">
      <c r="A9464" s="3" t="s">
        <v>314</v>
      </c>
      <c r="G9464" s="25" t="n">
        <f aca="false">MIN(G9458,Assumptions!$L$57*Assumptions!$C$57)</f>
        <v>0</v>
      </c>
      <c r="H9464" s="25" t="n">
        <f aca="false">MIN(H9458,Assumptions!$L$57*Assumptions!$C$57)</f>
        <v>0</v>
      </c>
      <c r="I9464" s="25" t="n">
        <f aca="false">MIN(I9458,Assumptions!$L$57*Assumptions!$C$57)</f>
        <v>0</v>
      </c>
      <c r="J9464" s="25" t="n">
        <f aca="false">MIN(J9458,Assumptions!$L$57*Assumptions!$C$57)</f>
        <v>0</v>
      </c>
      <c r="K9464" s="25" t="n">
        <f aca="false">MIN(K9458,Assumptions!$L$57*Assumptions!$C$57)</f>
        <v>0</v>
      </c>
    </row>
    <row r="9465" customFormat="false" ht="15" hidden="false" customHeight="false" outlineLevel="0" collapsed="false">
      <c r="A9465" s="3" t="s">
        <v>315</v>
      </c>
      <c r="G9465" s="25" t="n">
        <f aca="false">IF(AND(Assumptions!$P$57=1,G9409&lt;Assumptions!$K$57),MIN(MAX(0,-G9506),MAX(0,Assumptions!$D$57-G9458)),0)</f>
        <v>0</v>
      </c>
      <c r="H9465" s="25" t="n">
        <f aca="false">IF(AND(Assumptions!$P$57=1,OR(H9409&lt;Assumptions!$K$57,G9593=1)),MIN(MAX(0,-H9506),MAX(0,Assumptions!$D$57-H9458)),0)</f>
        <v>0</v>
      </c>
      <c r="I9465" s="25" t="n">
        <f aca="false">IF(AND(Assumptions!$P$57=1,OR(I9409&lt;Assumptions!$K$57,H9593=1)),MIN(MAX(0,-I9506),MAX(0,Assumptions!$D$57-I9458)),0)</f>
        <v>0</v>
      </c>
      <c r="J9465" s="25" t="n">
        <f aca="false">IF(AND(Assumptions!$P$57=1,OR(J9409&lt;Assumptions!$K$57,I9593=1)),MIN(MAX(0,-J9506),MAX(0,Assumptions!$D$57-J9458)),0)</f>
        <v>0</v>
      </c>
      <c r="K9465" s="25" t="n">
        <f aca="false">IF(AND(Assumptions!$P$57=1,OR(K9409&lt;Assumptions!$K$57,J9593=1)),MIN(MAX(0,-K9506),MAX(0,Assumptions!$D$57-K9458)),0)</f>
        <v>0</v>
      </c>
    </row>
    <row r="9466" customFormat="false" ht="15" hidden="false" customHeight="false" outlineLevel="0" collapsed="false">
      <c r="A9466" s="3" t="s">
        <v>316</v>
      </c>
      <c r="G9466" s="25" t="n">
        <f aca="false">G9459*MIN(G9458-G9464+G9463,MAX(0,G9508-Assumptions!$C$12*G9443-G9453))</f>
        <v>0</v>
      </c>
      <c r="H9466" s="25" t="n">
        <f aca="false">H9459*MIN(H9458-H9464+H9463,MAX(0,H9508-Assumptions!$C$12*H9443-H9453))</f>
        <v>0</v>
      </c>
      <c r="I9466" s="25" t="n">
        <f aca="false">I9459*MIN(I9458-I9464+I9463,MAX(0,I9508-Assumptions!$C$12*I9443-I9453))</f>
        <v>243.04565095552</v>
      </c>
      <c r="J9466" s="25" t="n">
        <f aca="false">J9459*MIN(J9458-J9464+J9463,MAX(0,J9508-Assumptions!$C$12*J9443-J9453))</f>
        <v>0</v>
      </c>
      <c r="K9466" s="25" t="n">
        <f aca="false">K9459*MIN(K9458-K9464+K9463,MAX(0,K9508-Assumptions!$C$12*K9443-K9453))</f>
        <v>0</v>
      </c>
    </row>
    <row r="9467" customFormat="false" ht="15" hidden="false" customHeight="false" outlineLevel="0" collapsed="false">
      <c r="A9467" s="3" t="s">
        <v>317</v>
      </c>
      <c r="G9467" s="25" t="n">
        <f aca="false">Assumptions!$N$57*MIN(G9458+G9465+G9463-G9464-G9466,MAX(0,G9512-G9454))</f>
        <v>0</v>
      </c>
      <c r="H9467" s="25" t="n">
        <f aca="false">Assumptions!$N$57*MIN(H9458+H9465+H9463-H9464-H9466,MAX(0,H9512-H9454))</f>
        <v>0</v>
      </c>
      <c r="I9467" s="25" t="n">
        <f aca="false">Assumptions!$N$57*MIN(I9458+I9465+I9463-I9464-I9466,MAX(0,I9512-I9454))</f>
        <v>0</v>
      </c>
      <c r="J9467" s="25" t="n">
        <f aca="false">Assumptions!$N$57*MIN(J9458+J9465+J9463-J9464-J9466,MAX(0,J9512-J9454))</f>
        <v>0</v>
      </c>
      <c r="K9467" s="25" t="n">
        <f aca="false">Assumptions!$N$57*MIN(K9458+K9465+K9463-K9464-K9466,MAX(0,K9512-K9454))</f>
        <v>0</v>
      </c>
    </row>
    <row r="9468" customFormat="false" ht="15" hidden="false" customHeight="false" outlineLevel="0" collapsed="false">
      <c r="A9468" s="3" t="s">
        <v>318</v>
      </c>
      <c r="G9468" s="25" t="n">
        <f aca="false">G9459*(1-G9443)*(G9458-G9464+G9463-G9466)</f>
        <v>0</v>
      </c>
      <c r="H9468" s="25" t="n">
        <f aca="false">H9459*(1-H9443)*(H9458-H9464+H9463-H9466)</f>
        <v>0</v>
      </c>
      <c r="I9468" s="25" t="n">
        <f aca="false">I9459*(1-I9443)*(I9458-I9464+I9463-I9466)</f>
        <v>33.66034904448</v>
      </c>
      <c r="J9468" s="25" t="n">
        <f aca="false">J9459*(1-J9443)*(J9458-J9464+J9463-J9466)</f>
        <v>0</v>
      </c>
      <c r="K9468" s="25" t="n">
        <f aca="false">K9459*(1-K9443)*(K9458-K9464+K9463-K9466)</f>
        <v>0</v>
      </c>
    </row>
    <row r="9469" customFormat="false" ht="15" hidden="false" customHeight="false" outlineLevel="0" collapsed="false">
      <c r="A9469" s="2" t="s">
        <v>319</v>
      </c>
      <c r="F9469" s="28" t="n">
        <f aca="false">Assumptions!$C$57</f>
        <v>276.706</v>
      </c>
      <c r="G9469" s="16" t="n">
        <f aca="false">G9458+G9465+G9463-G9464-G9466-G9467</f>
        <v>276.706</v>
      </c>
      <c r="H9469" s="16" t="n">
        <f aca="false">H9458+H9465+H9463-H9464-H9466-H9467</f>
        <v>276.706</v>
      </c>
      <c r="I9469" s="16" t="n">
        <f aca="false">I9458+I9465+I9463-I9464-I9466-I9467</f>
        <v>33.66034904448</v>
      </c>
      <c r="J9469" s="16" t="n">
        <f aca="false">J9458+J9465+J9463-J9464-J9466-J9467</f>
        <v>33.66034904448</v>
      </c>
      <c r="K9469" s="16" t="n">
        <f aca="false">K9458+K9465+K9463-K9464-K9466-K9467</f>
        <v>33.66034904448</v>
      </c>
    </row>
    <row r="9470" customFormat="false" ht="15" hidden="false" customHeight="false" outlineLevel="0" collapsed="false">
      <c r="A9470" s="23" t="s">
        <v>321</v>
      </c>
      <c r="B9470" s="24"/>
      <c r="C9470" s="24"/>
      <c r="D9470" s="24"/>
      <c r="E9470" s="24"/>
      <c r="F9470" s="24"/>
      <c r="G9470" s="24"/>
      <c r="H9470" s="24"/>
      <c r="I9470" s="24"/>
      <c r="J9470" s="24"/>
      <c r="K9470" s="24"/>
    </row>
    <row r="9471" customFormat="false" ht="15" hidden="false" customHeight="false" outlineLevel="0" collapsed="false">
      <c r="A9471" s="3" t="s">
        <v>309</v>
      </c>
      <c r="G9471" s="25" t="n">
        <f aca="false">F9482</f>
        <v>143.75</v>
      </c>
      <c r="H9471" s="25" t="n">
        <f aca="false">G9482</f>
        <v>143.75</v>
      </c>
      <c r="I9471" s="25" t="n">
        <f aca="false">H9482</f>
        <v>143.75</v>
      </c>
      <c r="J9471" s="25" t="n">
        <f aca="false">I9482</f>
        <v>143.75</v>
      </c>
      <c r="K9471" s="25" t="n">
        <f aca="false">J9482</f>
        <v>143.75</v>
      </c>
    </row>
    <row r="9472" customFormat="false" ht="15" hidden="false" customHeight="false" outlineLevel="0" collapsed="false">
      <c r="A9472" s="3" t="s">
        <v>310</v>
      </c>
      <c r="G9472" s="20" t="n">
        <f aca="false">IF(G9409=Assumptions!$K$58,1,0)</f>
        <v>0</v>
      </c>
      <c r="H9472" s="20" t="n">
        <f aca="false">IF(H9409=Assumptions!$K$58,1,0)</f>
        <v>0</v>
      </c>
      <c r="I9472" s="20" t="n">
        <f aca="false">IF(I9409=Assumptions!$K$58,1,0)</f>
        <v>1</v>
      </c>
      <c r="J9472" s="20" t="n">
        <f aca="false">IF(J9409=Assumptions!$K$58,1,0)</f>
        <v>0</v>
      </c>
      <c r="K9472" s="20" t="n">
        <f aca="false">IF(K9409=Assumptions!$K$58,1,0)</f>
        <v>0</v>
      </c>
    </row>
    <row r="9474" customFormat="false" ht="15" hidden="false" customHeight="false" outlineLevel="0" collapsed="false">
      <c r="A9474" s="3" t="s">
        <v>311</v>
      </c>
      <c r="G9474" s="31" t="n">
        <f aca="false">IF(Assumptions!$I$58=1,MAX(G9435,Assumptions!$G$58)+Assumptions!$F$58+$C$9436,Assumptions!$E$58)</f>
        <v>0.0425</v>
      </c>
      <c r="H9474" s="31" t="n">
        <f aca="false">IF(G9594=1,$C$9437,IF(Assumptions!$I$58=1,MAX(H9435,Assumptions!$G$58)+Assumptions!$F$58+$C$9436,Assumptions!$E$58))</f>
        <v>0.0425</v>
      </c>
      <c r="I9474" s="31" t="n">
        <f aca="false">IF(H9594=1,$C$9437,IF(Assumptions!$I$58=1,MAX(I9435,Assumptions!$G$58)+Assumptions!$F$58+$C$9436,Assumptions!$E$58))</f>
        <v>0.0425</v>
      </c>
      <c r="J9474" s="31" t="n">
        <f aca="false">IF(I9594=1,$C$9437,IF(Assumptions!$I$58=1,MAX(J9435,Assumptions!$G$58)+Assumptions!$F$58+$C$9436,Assumptions!$E$58))</f>
        <v>0.0425</v>
      </c>
      <c r="K9474" s="31" t="n">
        <f aca="false">IF(J9594=1,$C$9437,IF(Assumptions!$I$58=1,MAX(K9435,Assumptions!$G$58)+Assumptions!$F$58+$C$9436,Assumptions!$E$58))</f>
        <v>0.0425</v>
      </c>
    </row>
    <row r="9475" customFormat="false" ht="15" hidden="false" customHeight="false" outlineLevel="0" collapsed="false">
      <c r="A9475" s="3" t="s">
        <v>312</v>
      </c>
      <c r="G9475" s="25" t="n">
        <f aca="false">G9471*G9474</f>
        <v>6.109375</v>
      </c>
      <c r="H9475" s="25" t="n">
        <f aca="false">H9471*H9474</f>
        <v>6.109375</v>
      </c>
      <c r="I9475" s="25" t="n">
        <f aca="false">I9471*I9474</f>
        <v>6.109375</v>
      </c>
      <c r="J9475" s="25" t="n">
        <f aca="false">J9471*J9474</f>
        <v>6.109375</v>
      </c>
      <c r="K9475" s="25" t="n">
        <f aca="false">K9471*K9474</f>
        <v>6.109375</v>
      </c>
    </row>
    <row r="9476" customFormat="false" ht="15" hidden="false" customHeight="false" outlineLevel="0" collapsed="false">
      <c r="A9476" s="3" t="s">
        <v>313</v>
      </c>
      <c r="G9476" s="25" t="n">
        <f aca="false">G9471*Assumptions!$H$58</f>
        <v>0</v>
      </c>
      <c r="H9476" s="25" t="n">
        <f aca="false">H9471*Assumptions!$H$58</f>
        <v>0</v>
      </c>
      <c r="I9476" s="25" t="n">
        <f aca="false">I9471*Assumptions!$H$58</f>
        <v>0</v>
      </c>
      <c r="J9476" s="25" t="n">
        <f aca="false">J9471*Assumptions!$H$58</f>
        <v>0</v>
      </c>
      <c r="K9476" s="25" t="n">
        <f aca="false">K9471*Assumptions!$H$58</f>
        <v>0</v>
      </c>
    </row>
    <row r="9477" customFormat="false" ht="15" hidden="false" customHeight="false" outlineLevel="0" collapsed="false">
      <c r="A9477" s="3" t="s">
        <v>314</v>
      </c>
      <c r="G9477" s="25" t="n">
        <f aca="false">MIN(G9471,Assumptions!$L$58*Assumptions!$C$58)</f>
        <v>0</v>
      </c>
      <c r="H9477" s="25" t="n">
        <f aca="false">MIN(H9471,Assumptions!$L$58*Assumptions!$C$58)</f>
        <v>0</v>
      </c>
      <c r="I9477" s="25" t="n">
        <f aca="false">MIN(I9471,Assumptions!$L$58*Assumptions!$C$58)</f>
        <v>0</v>
      </c>
      <c r="J9477" s="25" t="n">
        <f aca="false">MIN(J9471,Assumptions!$L$58*Assumptions!$C$58)</f>
        <v>0</v>
      </c>
      <c r="K9477" s="25" t="n">
        <f aca="false">MIN(K9471,Assumptions!$L$58*Assumptions!$C$58)</f>
        <v>0</v>
      </c>
    </row>
    <row r="9478" customFormat="false" ht="15" hidden="false" customHeight="false" outlineLevel="0" collapsed="false">
      <c r="A9478" s="3" t="s">
        <v>315</v>
      </c>
      <c r="G9478" s="25" t="n">
        <f aca="false">IF(AND(Assumptions!$P$58=1,G9409&lt;Assumptions!$K$58),MIN(MAX(0,-G9506),MAX(0,Assumptions!$D$58-G9471)),0)</f>
        <v>0</v>
      </c>
      <c r="H9478" s="25" t="n">
        <f aca="false">IF(AND(Assumptions!$P$58=1,OR(H9409&lt;Assumptions!$K$58,G9594=1)),MIN(MAX(0,-H9506),MAX(0,Assumptions!$D$58-H9471)),0)</f>
        <v>0</v>
      </c>
      <c r="I9478" s="25" t="n">
        <f aca="false">IF(AND(Assumptions!$P$58=1,OR(I9409&lt;Assumptions!$K$58,H9594=1)),MIN(MAX(0,-I9506),MAX(0,Assumptions!$D$58-I9471)),0)</f>
        <v>0</v>
      </c>
      <c r="J9478" s="25" t="n">
        <f aca="false">IF(AND(Assumptions!$P$58=1,OR(J9409&lt;Assumptions!$K$58,I9594=1)),MIN(MAX(0,-J9506),MAX(0,Assumptions!$D$58-J9471)),0)</f>
        <v>0</v>
      </c>
      <c r="K9478" s="25" t="n">
        <f aca="false">IF(AND(Assumptions!$P$58=1,OR(K9409&lt;Assumptions!$K$58,J9594=1)),MIN(MAX(0,-K9506),MAX(0,Assumptions!$D$58-K9471)),0)</f>
        <v>0</v>
      </c>
    </row>
    <row r="9479" customFormat="false" ht="15" hidden="false" customHeight="false" outlineLevel="0" collapsed="false">
      <c r="A9479" s="3" t="s">
        <v>316</v>
      </c>
      <c r="G9479" s="25" t="n">
        <f aca="false">G9472*MIN(G9471-G9477+G9476,MAX(0,G9508-Assumptions!$C$12*G9443-G9453-G9466))</f>
        <v>0</v>
      </c>
      <c r="H9479" s="25" t="n">
        <f aca="false">H9472*MIN(H9471-H9477+H9476,MAX(0,H9508-Assumptions!$C$12*H9443-H9453-H9466))</f>
        <v>0</v>
      </c>
      <c r="I9479" s="25" t="n">
        <f aca="false">I9472*MIN(I9471-I9477+I9476,MAX(0,I9508-Assumptions!$C$12*I9443-I9453-I9466))</f>
        <v>0</v>
      </c>
      <c r="J9479" s="25" t="n">
        <f aca="false">J9472*MIN(J9471-J9477+J9476,MAX(0,J9508-Assumptions!$C$12*J9443-J9453-J9466))</f>
        <v>0</v>
      </c>
      <c r="K9479" s="25" t="n">
        <f aca="false">K9472*MIN(K9471-K9477+K9476,MAX(0,K9508-Assumptions!$C$12*K9443-K9453-K9466))</f>
        <v>0</v>
      </c>
    </row>
    <row r="9480" customFormat="false" ht="15" hidden="false" customHeight="false" outlineLevel="0" collapsed="false">
      <c r="A9480" s="3" t="s">
        <v>317</v>
      </c>
      <c r="G9480" s="25" t="n">
        <f aca="false">Assumptions!$N$58*MIN(G9471+G9478+G9476-G9477-G9479,MAX(0,G9512-G9454-G9467))</f>
        <v>0</v>
      </c>
      <c r="H9480" s="25" t="n">
        <f aca="false">Assumptions!$N$58*MIN(H9471+H9478+H9476-H9477-H9479,MAX(0,H9512-H9454-H9467))</f>
        <v>0</v>
      </c>
      <c r="I9480" s="25" t="n">
        <f aca="false">Assumptions!$N$58*MIN(I9471+I9478+I9476-I9477-I9479,MAX(0,I9512-I9454-I9467))</f>
        <v>0</v>
      </c>
      <c r="J9480" s="25" t="n">
        <f aca="false">Assumptions!$N$58*MIN(J9471+J9478+J9476-J9477-J9479,MAX(0,J9512-J9454-J9467))</f>
        <v>0</v>
      </c>
      <c r="K9480" s="25" t="n">
        <f aca="false">Assumptions!$N$58*MIN(K9471+K9478+K9476-K9477-K9479,MAX(0,K9512-K9454-K9467))</f>
        <v>0</v>
      </c>
    </row>
    <row r="9481" customFormat="false" ht="15" hidden="false" customHeight="false" outlineLevel="0" collapsed="false">
      <c r="A9481" s="3" t="s">
        <v>318</v>
      </c>
      <c r="G9481" s="25" t="n">
        <f aca="false">G9472*(1-G9443)*(G9471-G9477+G9476-G9479)</f>
        <v>0</v>
      </c>
      <c r="H9481" s="25" t="n">
        <f aca="false">H9472*(1-H9443)*(H9471-H9477+H9476-H9479)</f>
        <v>0</v>
      </c>
      <c r="I9481" s="25" t="n">
        <f aca="false">I9472*(1-I9443)*(I9471-I9477+I9476-I9479)</f>
        <v>143.75</v>
      </c>
      <c r="J9481" s="25" t="n">
        <f aca="false">J9472*(1-J9443)*(J9471-J9477+J9476-J9479)</f>
        <v>0</v>
      </c>
      <c r="K9481" s="25" t="n">
        <f aca="false">K9472*(1-K9443)*(K9471-K9477+K9476-K9479)</f>
        <v>0</v>
      </c>
    </row>
    <row r="9482" customFormat="false" ht="15" hidden="false" customHeight="false" outlineLevel="0" collapsed="false">
      <c r="A9482" s="2" t="s">
        <v>319</v>
      </c>
      <c r="F9482" s="28" t="n">
        <f aca="false">Assumptions!$C$58</f>
        <v>143.75</v>
      </c>
      <c r="G9482" s="16" t="n">
        <f aca="false">G9471+G9478+G9476-G9477-G9479-G9480</f>
        <v>143.75</v>
      </c>
      <c r="H9482" s="16" t="n">
        <f aca="false">H9471+H9478+H9476-H9477-H9479-H9480</f>
        <v>143.75</v>
      </c>
      <c r="I9482" s="16" t="n">
        <f aca="false">I9471+I9478+I9476-I9477-I9479-I9480</f>
        <v>143.75</v>
      </c>
      <c r="J9482" s="16" t="n">
        <f aca="false">J9471+J9478+J9476-J9477-J9479-J9480</f>
        <v>143.75</v>
      </c>
      <c r="K9482" s="16" t="n">
        <f aca="false">K9471+K9478+K9476-K9477-K9479-K9480</f>
        <v>143.75</v>
      </c>
    </row>
    <row r="9483" customFormat="false" ht="15" hidden="false" customHeight="false" outlineLevel="0" collapsed="false">
      <c r="A9483" s="23" t="s">
        <v>322</v>
      </c>
      <c r="B9483" s="24"/>
      <c r="C9483" s="24"/>
      <c r="D9483" s="24"/>
      <c r="E9483" s="24"/>
      <c r="F9483" s="24"/>
      <c r="G9483" s="24"/>
      <c r="H9483" s="24"/>
      <c r="I9483" s="24"/>
      <c r="J9483" s="24"/>
      <c r="K9483" s="24"/>
    </row>
    <row r="9484" customFormat="false" ht="15" hidden="false" customHeight="false" outlineLevel="0" collapsed="false">
      <c r="A9484" s="2" t="s">
        <v>323</v>
      </c>
      <c r="F9484" s="16" t="n">
        <f aca="false">F9456+F9469+F9482</f>
        <v>1735.554</v>
      </c>
      <c r="G9484" s="16" t="n">
        <f aca="false">G9456+G9469+G9482</f>
        <v>1735.554</v>
      </c>
      <c r="H9484" s="16" t="n">
        <f aca="false">H9456+H9469+H9482</f>
        <v>1735.554</v>
      </c>
      <c r="I9484" s="16" t="n">
        <f aca="false">I9456+I9469+I9482</f>
        <v>1492.50834904448</v>
      </c>
      <c r="J9484" s="16" t="n">
        <f aca="false">J9456+J9469+J9482</f>
        <v>1492.50834904448</v>
      </c>
      <c r="K9484" s="16" t="n">
        <f aca="false">K9456+K9469+K9482</f>
        <v>1492.50834904448</v>
      </c>
    </row>
    <row r="9485" customFormat="false" ht="15" hidden="false" customHeight="false" outlineLevel="0" collapsed="false">
      <c r="A9485" s="3" t="s">
        <v>324</v>
      </c>
      <c r="G9485" s="25" t="n">
        <f aca="false">G9446*Assumptions!$C$56+G9459*Assumptions!$C$57+G9472*Assumptions!$C$58</f>
        <v>0</v>
      </c>
      <c r="H9485" s="25" t="n">
        <f aca="false">H9446*Assumptions!$C$56+H9459*Assumptions!$C$57+H9472*Assumptions!$C$58</f>
        <v>0</v>
      </c>
      <c r="I9485" s="25" t="n">
        <f aca="false">I9446*Assumptions!$C$56+I9459*Assumptions!$C$57+I9472*Assumptions!$C$58</f>
        <v>420.456</v>
      </c>
      <c r="J9485" s="25" t="n">
        <f aca="false">J9446*Assumptions!$C$56+J9459*Assumptions!$C$57+J9472*Assumptions!$C$58</f>
        <v>0</v>
      </c>
      <c r="K9485" s="25" t="n">
        <f aca="false">K9446*Assumptions!$C$56+K9459*Assumptions!$C$57+K9472*Assumptions!$C$58</f>
        <v>0</v>
      </c>
    </row>
    <row r="9486" customFormat="false" ht="15" hidden="false" customHeight="false" outlineLevel="0" collapsed="false">
      <c r="A9486" s="23" t="s">
        <v>325</v>
      </c>
      <c r="B9486" s="24"/>
      <c r="C9486" s="24"/>
      <c r="D9486" s="24"/>
      <c r="E9486" s="24"/>
      <c r="F9486" s="24"/>
      <c r="G9486" s="24"/>
      <c r="H9486" s="24"/>
      <c r="I9486" s="24"/>
      <c r="J9486" s="24"/>
      <c r="K9486" s="24"/>
    </row>
    <row r="9487" customFormat="false" ht="15" hidden="false" customHeight="false" outlineLevel="0" collapsed="false">
      <c r="A9487" s="3" t="s">
        <v>326</v>
      </c>
      <c r="C9487" s="25" t="n">
        <f aca="false">SUMPRODUCT($G$9446:$K$9446,$G$9445:$K$9445-$G$9451:$K$9451+$G$9450:$K$9450)</f>
        <v>0</v>
      </c>
    </row>
    <row r="9488" customFormat="false" ht="15" hidden="false" customHeight="false" outlineLevel="0" collapsed="false">
      <c r="A9488" s="3" t="s">
        <v>327</v>
      </c>
      <c r="C9488" s="25" t="n">
        <f aca="false">SUMPRODUCT($G$9446:$K$9446,$G$9453:$K$9453)</f>
        <v>0</v>
      </c>
    </row>
    <row r="9489" customFormat="false" ht="15" hidden="false" customHeight="false" outlineLevel="0" collapsed="false">
      <c r="A9489" s="3" t="s">
        <v>328</v>
      </c>
      <c r="C9489" s="3" t="str">
        <f aca="false">IF(SUM($G$9446:$K$9446)=0,"n/a (beyond horizon)",IF(SUMPRODUCT($G$9446:$K$9446,$G$9443:$K$9443)&gt;0,"REFINANCING PASS","REFINANCING FAILURE"))</f>
        <v>n/a (beyond horizon)</v>
      </c>
    </row>
    <row r="9490" customFormat="false" ht="15" hidden="false" customHeight="false" outlineLevel="0" collapsed="false">
      <c r="A9490" s="3" t="s">
        <v>329</v>
      </c>
      <c r="C9490" s="3" t="str">
        <f aca="false">IF(SUM($G$9446:$K$9446)=0,"n/a",IF(C9488&gt;=C9487-0.001,"Repaid from cash",IF(SUMPRODUCT($G$9446:$K$9446,$G$9443:$K$9443)&gt;0,IF(C9488&gt;0,"Partly repaid; remainder refinanced","Refinanced"),IF(SUM($G$9455:$K$9455)&gt;0.001,IF(C9488&gt;0,"Partial repayment; PAYMENT DEFAULT","PAYMENT DEFAULT"),"Repaid from cash"))))</f>
        <v>n/a</v>
      </c>
    </row>
    <row r="9491" customFormat="false" ht="15" hidden="false" customHeight="false" outlineLevel="0" collapsed="false">
      <c r="A9491" s="3" t="s">
        <v>330</v>
      </c>
      <c r="C9491" s="25" t="n">
        <f aca="false">SUMPRODUCT($G$9459:$K$9459,$G$9458:$K$9458-$G$9464:$K$9464+$G$9463:$K$9463)</f>
        <v>276.706</v>
      </c>
    </row>
    <row r="9492" customFormat="false" ht="15" hidden="false" customHeight="false" outlineLevel="0" collapsed="false">
      <c r="A9492" s="3" t="s">
        <v>331</v>
      </c>
      <c r="C9492" s="25" t="n">
        <f aca="false">SUMPRODUCT($G$9459:$K$9459,$G$9466:$K$9466)</f>
        <v>243.04565095552</v>
      </c>
    </row>
    <row r="9493" customFormat="false" ht="15" hidden="false" customHeight="false" outlineLevel="0" collapsed="false">
      <c r="A9493" s="3" t="s">
        <v>332</v>
      </c>
      <c r="C9493" s="3" t="str">
        <f aca="false">IF(SUM($G$9459:$K$9459)=0,"n/a (beyond horizon)",IF(SUMPRODUCT($G$9459:$K$9459,$G$9443:$K$9443)&gt;0,"REFINANCING PASS","REFINANCING FAILURE"))</f>
        <v>REFINANCING FAILURE</v>
      </c>
    </row>
    <row r="9494" customFormat="false" ht="15" hidden="false" customHeight="false" outlineLevel="0" collapsed="false">
      <c r="A9494" s="3" t="s">
        <v>333</v>
      </c>
      <c r="C9494" s="3" t="str">
        <f aca="false">IF(SUM($G$9459:$K$9459)=0,"n/a",IF(C9492&gt;=C9491-0.001,"Repaid from cash",IF(SUMPRODUCT($G$9459:$K$9459,$G$9443:$K$9443)&gt;0,IF(C9492&gt;0,"Partly repaid; remainder refinanced","Refinanced"),IF(SUM($G$9468:$K$9468)&gt;0.001,IF(C9492&gt;0,"Partial repayment; PAYMENT DEFAULT","PAYMENT DEFAULT"),"Repaid from cash"))))</f>
        <v>Partial repayment; PAYMENT DEFAULT</v>
      </c>
    </row>
    <row r="9495" customFormat="false" ht="15" hidden="false" customHeight="false" outlineLevel="0" collapsed="false">
      <c r="A9495" s="3" t="s">
        <v>334</v>
      </c>
      <c r="C9495" s="25" t="n">
        <f aca="false">SUMPRODUCT($G$9472:$K$9472,$G$9471:$K$9471-$G$9477:$K$9477+$G$9476:$K$9476)</f>
        <v>143.75</v>
      </c>
    </row>
    <row r="9496" customFormat="false" ht="15" hidden="false" customHeight="false" outlineLevel="0" collapsed="false">
      <c r="A9496" s="3" t="s">
        <v>335</v>
      </c>
      <c r="C9496" s="25" t="n">
        <f aca="false">SUMPRODUCT($G$9472:$K$9472,$G$9479:$K$9479)</f>
        <v>0</v>
      </c>
    </row>
    <row r="9497" customFormat="false" ht="15" hidden="false" customHeight="false" outlineLevel="0" collapsed="false">
      <c r="A9497" s="3" t="s">
        <v>336</v>
      </c>
      <c r="C9497" s="3" t="str">
        <f aca="false">IF(SUM($G$9472:$K$9472)=0,"n/a (beyond horizon)",IF(SUMPRODUCT($G$9472:$K$9472,$G$9443:$K$9443)&gt;0,"REFINANCING PASS","REFINANCING FAILURE"))</f>
        <v>REFINANCING FAILURE</v>
      </c>
    </row>
    <row r="9498" customFormat="false" ht="15" hidden="false" customHeight="false" outlineLevel="0" collapsed="false">
      <c r="A9498" s="3" t="s">
        <v>337</v>
      </c>
      <c r="C9498" s="3" t="str">
        <f aca="false">IF(SUM($G$9472:$K$9472)=0,"n/a",IF(C9496&gt;=C9495-0.001,"Repaid from cash",IF(SUMPRODUCT($G$9472:$K$9472,$G$9443:$K$9443)&gt;0,IF(C9496&gt;0,"Partly repaid; remainder refinanced","Refinanced"),IF(SUM($G$9481:$K$9481)&gt;0.001,IF(C9496&gt;0,"Partial repayment; PAYMENT DEFAULT","PAYMENT DEFAULT"),"Repaid from cash"))))</f>
        <v>PAYMENT DEFAULT</v>
      </c>
    </row>
    <row r="9499" customFormat="false" ht="15" hidden="false" customHeight="false" outlineLevel="0" collapsed="false">
      <c r="A9499" s="3" t="s">
        <v>338</v>
      </c>
      <c r="C9499" s="20" t="n">
        <f aca="false">IF(C9489="REFINANCING FAILURE",1,0)+IF(C9493="REFINANCING FAILURE",1,0)+IF(C9497="REFINANCING FAILURE",1,0)</f>
        <v>2</v>
      </c>
    </row>
    <row r="9501" customFormat="false" ht="15" hidden="false" customHeight="false" outlineLevel="0" collapsed="false">
      <c r="A9501" s="23" t="s">
        <v>340</v>
      </c>
      <c r="B9501" s="24"/>
      <c r="C9501" s="24"/>
      <c r="D9501" s="24"/>
      <c r="E9501" s="24"/>
      <c r="F9501" s="24"/>
      <c r="G9501" s="24"/>
      <c r="H9501" s="24"/>
      <c r="I9501" s="24"/>
      <c r="J9501" s="24"/>
      <c r="K9501" s="24"/>
    </row>
    <row r="9502" customFormat="false" ht="15" hidden="false" customHeight="false" outlineLevel="0" collapsed="false">
      <c r="A9502" s="3" t="s">
        <v>305</v>
      </c>
      <c r="G9502" s="25" t="n">
        <f aca="false">F9514</f>
        <v>463.996</v>
      </c>
      <c r="H9502" s="25" t="n">
        <f aca="false">G9514</f>
        <v>424.48257544</v>
      </c>
      <c r="I9502" s="25" t="n">
        <f aca="false">H9514</f>
        <v>342.5226781282</v>
      </c>
      <c r="J9502" s="25" t="n">
        <f aca="false">I9514</f>
        <v>0</v>
      </c>
      <c r="K9502" s="25" t="n">
        <f aca="false">J9514</f>
        <v>-96.489680574622</v>
      </c>
    </row>
    <row r="9503" customFormat="false" ht="15" hidden="false" customHeight="false" outlineLevel="0" collapsed="false">
      <c r="A9503" s="3" t="s">
        <v>341</v>
      </c>
      <c r="G9503" s="25" t="n">
        <f aca="false">G9432</f>
        <v>-39.51342456</v>
      </c>
      <c r="H9503" s="25" t="n">
        <f aca="false">H9432</f>
        <v>-81.9598973118</v>
      </c>
      <c r="I9503" s="25" t="n">
        <f aca="false">I9432</f>
        <v>-99.47702717268</v>
      </c>
      <c r="J9503" s="25" t="n">
        <f aca="false">J9432</f>
        <v>-96.489680574622</v>
      </c>
      <c r="K9503" s="25" t="n">
        <f aca="false">K9432</f>
        <v>-101.894590993196</v>
      </c>
    </row>
    <row r="9504" customFormat="false" ht="15" hidden="false" customHeight="false" outlineLevel="0" collapsed="false">
      <c r="A9504" s="3" t="s">
        <v>342</v>
      </c>
      <c r="G9504" s="25" t="n">
        <f aca="false">CHOOSE($C$9402,Assumptions!$G$74,Assumptions!$G$93,Assumptions!$G$112)</f>
        <v>0</v>
      </c>
      <c r="H9504" s="25" t="n">
        <f aca="false">CHOOSE($C$9402,Assumptions!$H$74,Assumptions!$H$93,Assumptions!$H$112)</f>
        <v>0</v>
      </c>
      <c r="I9504" s="25" t="n">
        <f aca="false">CHOOSE($C$9402,Assumptions!$I$74,Assumptions!$I$93,Assumptions!$I$112)</f>
        <v>0</v>
      </c>
      <c r="J9504" s="25" t="n">
        <f aca="false">CHOOSE($C$9402,Assumptions!$J$74,Assumptions!$J$93,Assumptions!$J$112)</f>
        <v>0</v>
      </c>
      <c r="K9504" s="25" t="n">
        <f aca="false">CHOOSE($C$9402,Assumptions!$K$74,Assumptions!$K$93,Assumptions!$K$112)</f>
        <v>0</v>
      </c>
    </row>
    <row r="9505" customFormat="false" ht="15" hidden="false" customHeight="false" outlineLevel="0" collapsed="false">
      <c r="A9505" s="3" t="s">
        <v>343</v>
      </c>
      <c r="G9505" s="25" t="n">
        <f aca="false">G9451+G9464+G9477</f>
        <v>0</v>
      </c>
      <c r="H9505" s="25" t="n">
        <f aca="false">H9451+H9464+H9477</f>
        <v>0</v>
      </c>
      <c r="I9505" s="25" t="n">
        <f aca="false">I9451+I9464+I9477</f>
        <v>0</v>
      </c>
      <c r="J9505" s="25" t="n">
        <f aca="false">J9451+J9464+J9477</f>
        <v>0</v>
      </c>
      <c r="K9505" s="25" t="n">
        <f aca="false">K9451+K9464+K9477</f>
        <v>0</v>
      </c>
    </row>
    <row r="9506" customFormat="false" ht="15" hidden="false" customHeight="false" outlineLevel="0" collapsed="false">
      <c r="A9506" s="2" t="s">
        <v>344</v>
      </c>
      <c r="G9506" s="16" t="n">
        <f aca="false">G9502+G9503+G9504-G9505</f>
        <v>424.48257544</v>
      </c>
      <c r="H9506" s="16" t="n">
        <f aca="false">H9502+H9503+H9504-H9505</f>
        <v>342.5226781282</v>
      </c>
      <c r="I9506" s="16" t="n">
        <f aca="false">I9502+I9503+I9504-I9505</f>
        <v>243.04565095552</v>
      </c>
      <c r="J9506" s="16" t="n">
        <f aca="false">J9502+J9503+J9504-J9505</f>
        <v>-96.489680574622</v>
      </c>
      <c r="K9506" s="16" t="n">
        <f aca="false">K9502+K9503+K9504-K9505</f>
        <v>-198.384271567818</v>
      </c>
    </row>
    <row r="9507" customFormat="false" ht="15" hidden="false" customHeight="false" outlineLevel="0" collapsed="false">
      <c r="A9507" s="3" t="s">
        <v>345</v>
      </c>
      <c r="G9507" s="25" t="n">
        <f aca="false">G9452+G9465+G9478</f>
        <v>0</v>
      </c>
      <c r="H9507" s="25" t="n">
        <f aca="false">H9452+H9465+H9478</f>
        <v>0</v>
      </c>
      <c r="I9507" s="25" t="n">
        <f aca="false">I9452+I9465+I9478</f>
        <v>0</v>
      </c>
      <c r="J9507" s="25" t="n">
        <f aca="false">J9452+J9465+J9478</f>
        <v>0</v>
      </c>
      <c r="K9507" s="25" t="n">
        <f aca="false">K9452+K9465+K9478</f>
        <v>0</v>
      </c>
    </row>
    <row r="9508" customFormat="false" ht="15" hidden="false" customHeight="false" outlineLevel="0" collapsed="false">
      <c r="A9508" s="2" t="s">
        <v>346</v>
      </c>
      <c r="G9508" s="16" t="n">
        <f aca="false">G9506+G9507</f>
        <v>424.48257544</v>
      </c>
      <c r="H9508" s="16" t="n">
        <f aca="false">H9506+H9507</f>
        <v>342.5226781282</v>
      </c>
      <c r="I9508" s="16" t="n">
        <f aca="false">I9506+I9507</f>
        <v>243.04565095552</v>
      </c>
      <c r="J9508" s="16" t="n">
        <f aca="false">J9506+J9507</f>
        <v>-96.489680574622</v>
      </c>
      <c r="K9508" s="16" t="n">
        <f aca="false">K9506+K9507</f>
        <v>-198.384271567818</v>
      </c>
    </row>
    <row r="9509" customFormat="false" ht="15" hidden="false" customHeight="false" outlineLevel="0" collapsed="false">
      <c r="A9509" s="3" t="s">
        <v>347</v>
      </c>
      <c r="G9509" s="25" t="n">
        <f aca="false">G9453+G9466+G9479</f>
        <v>0</v>
      </c>
      <c r="H9509" s="25" t="n">
        <f aca="false">H9453+H9466+H9479</f>
        <v>0</v>
      </c>
      <c r="I9509" s="25" t="n">
        <f aca="false">I9453+I9466+I9479</f>
        <v>243.04565095552</v>
      </c>
      <c r="J9509" s="25" t="n">
        <f aca="false">J9453+J9466+J9479</f>
        <v>0</v>
      </c>
      <c r="K9509" s="25" t="n">
        <f aca="false">K9453+K9466+K9479</f>
        <v>0</v>
      </c>
    </row>
    <row r="9510" customFormat="false" ht="15" hidden="false" customHeight="false" outlineLevel="0" collapsed="false">
      <c r="A9510" s="2" t="s">
        <v>348</v>
      </c>
      <c r="G9510" s="16" t="n">
        <f aca="false">G9508-G9509</f>
        <v>424.48257544</v>
      </c>
      <c r="H9510" s="16" t="n">
        <f aca="false">H9508-H9509</f>
        <v>342.5226781282</v>
      </c>
      <c r="I9510" s="16" t="n">
        <f aca="false">I9508-I9509</f>
        <v>0</v>
      </c>
      <c r="J9510" s="16" t="n">
        <f aca="false">J9508-J9509</f>
        <v>-96.489680574622</v>
      </c>
      <c r="K9510" s="16" t="n">
        <f aca="false">K9508-K9509</f>
        <v>-198.384271567818</v>
      </c>
    </row>
    <row r="9511" customFormat="false" ht="15" hidden="false" customHeight="false" outlineLevel="0" collapsed="false">
      <c r="A9511" s="3" t="s">
        <v>349</v>
      </c>
      <c r="G9511" s="25" t="n">
        <f aca="false">MAX(0,-G9510)</f>
        <v>0</v>
      </c>
      <c r="H9511" s="25" t="n">
        <f aca="false">MAX(0,-H9510)</f>
        <v>0</v>
      </c>
      <c r="I9511" s="25" t="n">
        <f aca="false">MAX(0,-I9510)</f>
        <v>-0</v>
      </c>
      <c r="J9511" s="25" t="n">
        <f aca="false">MAX(0,-J9510)</f>
        <v>96.489680574622</v>
      </c>
      <c r="K9511" s="25" t="n">
        <f aca="false">MAX(0,-K9510)</f>
        <v>198.384271567818</v>
      </c>
    </row>
    <row r="9512" customFormat="false" ht="15" hidden="false" customHeight="false" outlineLevel="0" collapsed="false">
      <c r="A9512" s="3" t="s">
        <v>350</v>
      </c>
      <c r="G9512" s="25" t="n">
        <f aca="false">MAX(0,G9510-Assumptions!$C$12)*Assumptions!$C$13</f>
        <v>0</v>
      </c>
      <c r="H9512" s="25" t="n">
        <f aca="false">MAX(0,H9510-Assumptions!$C$12)*Assumptions!$C$13</f>
        <v>0</v>
      </c>
      <c r="I9512" s="25" t="n">
        <f aca="false">MAX(0,I9510-Assumptions!$C$12)*Assumptions!$C$13</f>
        <v>0</v>
      </c>
      <c r="J9512" s="25" t="n">
        <f aca="false">MAX(0,J9510-Assumptions!$C$12)*Assumptions!$C$13</f>
        <v>0</v>
      </c>
      <c r="K9512" s="25" t="n">
        <f aca="false">MAX(0,K9510-Assumptions!$C$12)*Assumptions!$C$13</f>
        <v>0</v>
      </c>
    </row>
    <row r="9513" customFormat="false" ht="15" hidden="false" customHeight="false" outlineLevel="0" collapsed="false">
      <c r="A9513" s="3" t="s">
        <v>351</v>
      </c>
      <c r="G9513" s="25" t="n">
        <f aca="false">G9454+G9467+G9480</f>
        <v>0</v>
      </c>
      <c r="H9513" s="25" t="n">
        <f aca="false">H9454+H9467+H9480</f>
        <v>0</v>
      </c>
      <c r="I9513" s="25" t="n">
        <f aca="false">I9454+I9467+I9480</f>
        <v>0</v>
      </c>
      <c r="J9513" s="25" t="n">
        <f aca="false">J9454+J9467+J9480</f>
        <v>0</v>
      </c>
      <c r="K9513" s="25" t="n">
        <f aca="false">K9454+K9467+K9480</f>
        <v>0</v>
      </c>
    </row>
    <row r="9514" customFormat="false" ht="15" hidden="false" customHeight="false" outlineLevel="0" collapsed="false">
      <c r="A9514" s="2" t="s">
        <v>352</v>
      </c>
      <c r="F9514" s="28" t="n">
        <f aca="false">Assumptions!$C$11</f>
        <v>463.996</v>
      </c>
      <c r="G9514" s="16" t="n">
        <f aca="false">G9510-G9513</f>
        <v>424.48257544</v>
      </c>
      <c r="H9514" s="16" t="n">
        <f aca="false">H9510-H9513</f>
        <v>342.5226781282</v>
      </c>
      <c r="I9514" s="16" t="n">
        <f aca="false">I9510-I9513</f>
        <v>0</v>
      </c>
      <c r="J9514" s="16" t="n">
        <f aca="false">J9510-J9513</f>
        <v>-96.489680574622</v>
      </c>
      <c r="K9514" s="16" t="n">
        <f aca="false">K9510-K9513</f>
        <v>-198.384271567818</v>
      </c>
    </row>
    <row r="9515" customFormat="false" ht="15" hidden="false" customHeight="false" outlineLevel="0" collapsed="false">
      <c r="A9515" s="3" t="s">
        <v>353</v>
      </c>
      <c r="G9515" s="25" t="n">
        <f aca="false">G9455+G9468+G9481</f>
        <v>0</v>
      </c>
      <c r="H9515" s="25" t="n">
        <f aca="false">H9455+H9468+H9481</f>
        <v>0</v>
      </c>
      <c r="I9515" s="25" t="n">
        <f aca="false">I9455+I9468+I9481</f>
        <v>177.41034904448</v>
      </c>
      <c r="J9515" s="25" t="n">
        <f aca="false">J9455+J9468+J9481</f>
        <v>0</v>
      </c>
      <c r="K9515" s="25" t="n">
        <f aca="false">K9455+K9468+K9481</f>
        <v>0</v>
      </c>
    </row>
    <row r="9516" customFormat="false" ht="15" hidden="false" customHeight="false" outlineLevel="0" collapsed="false">
      <c r="A9516" s="3" t="s">
        <v>354</v>
      </c>
      <c r="G9516" s="20" t="n">
        <f aca="false">IF(OR(G9511&gt;0.001,G9515&gt;0.001),1,0)</f>
        <v>0</v>
      </c>
      <c r="H9516" s="20" t="n">
        <f aca="false">IF(OR(H9511&gt;0.001,H9515&gt;0.001),1,0)</f>
        <v>0</v>
      </c>
      <c r="I9516" s="20" t="n">
        <f aca="false">IF(OR(I9511&gt;0.001,I9515&gt;0.001),1,0)</f>
        <v>1</v>
      </c>
      <c r="J9516" s="20" t="n">
        <f aca="false">IF(OR(J9511&gt;0.001,J9515&gt;0.001),1,0)</f>
        <v>1</v>
      </c>
      <c r="K9516" s="20" t="n">
        <f aca="false">IF(OR(K9511&gt;0.001,K9515&gt;0.001),1,0)</f>
        <v>1</v>
      </c>
    </row>
    <row r="9517" customFormat="false" ht="15" hidden="false" customHeight="false" outlineLevel="0" collapsed="false">
      <c r="A9517" s="3" t="s">
        <v>355</v>
      </c>
      <c r="G9517" s="20" t="n">
        <f aca="false">IF(G9516=1,1,0)</f>
        <v>0</v>
      </c>
      <c r="H9517" s="20" t="n">
        <f aca="false">IF(AND(H9516=1,SUM($G$9516:G9516)=0),1,0)</f>
        <v>0</v>
      </c>
      <c r="I9517" s="20" t="n">
        <f aca="false">IF(AND(I9516=1,SUM($G$9516:H9516)=0),1,0)</f>
        <v>1</v>
      </c>
      <c r="J9517" s="20" t="n">
        <f aca="false">IF(AND(J9516=1,SUM($G$9516:I9516)=0),1,0)</f>
        <v>0</v>
      </c>
      <c r="K9517" s="20" t="n">
        <f aca="false">IF(AND(K9516=1,SUM($G$9516:J9516)=0),1,0)</f>
        <v>0</v>
      </c>
    </row>
    <row r="9518" customFormat="false" ht="15" hidden="false" customHeight="false" outlineLevel="0" collapsed="false">
      <c r="A9518" s="3" t="s">
        <v>356</v>
      </c>
      <c r="G9518" s="25" t="n">
        <f aca="false">(G9484-F9484)-(G9507+G9424-G9505-G9509-G9513)</f>
        <v>0</v>
      </c>
      <c r="H9518" s="25" t="n">
        <f aca="false">(H9484-G9484)-(H9507+H9424-H9505-H9509-H9513)</f>
        <v>0</v>
      </c>
      <c r="I9518" s="25" t="n">
        <f aca="false">(I9484-H9484)-(I9507+I9424-I9505-I9509-I9513)</f>
        <v>0</v>
      </c>
      <c r="J9518" s="25" t="n">
        <f aca="false">(J9484-I9484)-(J9507+J9424-J9505-J9509-J9513)</f>
        <v>0</v>
      </c>
      <c r="K9518" s="25" t="n">
        <f aca="false">(K9484-J9484)-(K9507+K9424-K9505-K9509-K9513)</f>
        <v>0</v>
      </c>
    </row>
    <row r="9520" customFormat="false" ht="15" hidden="false" customHeight="false" outlineLevel="0" collapsed="false">
      <c r="A9520" s="23" t="s">
        <v>358</v>
      </c>
      <c r="B9520" s="24"/>
      <c r="C9520" s="24"/>
      <c r="D9520" s="24"/>
      <c r="E9520" s="24"/>
      <c r="F9520" s="24"/>
      <c r="G9520" s="24"/>
      <c r="H9520" s="24"/>
      <c r="I9520" s="24"/>
      <c r="J9520" s="24"/>
      <c r="K9520" s="24"/>
    </row>
    <row r="9521" customFormat="false" ht="15" hidden="false" customHeight="false" outlineLevel="0" collapsed="false">
      <c r="A9521" s="3" t="s">
        <v>359</v>
      </c>
      <c r="G9521" s="25" t="n">
        <f aca="false">G9484</f>
        <v>1735.554</v>
      </c>
      <c r="H9521" s="25" t="n">
        <f aca="false">H9484</f>
        <v>1735.554</v>
      </c>
      <c r="I9521" s="25" t="n">
        <f aca="false">I9484</f>
        <v>1492.50834904448</v>
      </c>
      <c r="J9521" s="25" t="n">
        <f aca="false">J9484</f>
        <v>1492.50834904448</v>
      </c>
      <c r="K9521" s="25" t="n">
        <f aca="false">K9484</f>
        <v>1492.50834904448</v>
      </c>
    </row>
    <row r="9522" customFormat="false" ht="15" hidden="false" customHeight="false" outlineLevel="0" collapsed="false">
      <c r="A9522" s="3" t="s">
        <v>360</v>
      </c>
      <c r="G9522" s="25" t="n">
        <f aca="false">Assumptions!$O$56*G9456+Assumptions!$O$57*G9469+Assumptions!$O$58*G9482</f>
        <v>1315.098</v>
      </c>
      <c r="H9522" s="25" t="n">
        <f aca="false">Assumptions!$O$56*H9456+Assumptions!$O$57*H9469+Assumptions!$O$58*H9482</f>
        <v>1315.098</v>
      </c>
      <c r="I9522" s="25" t="n">
        <f aca="false">Assumptions!$O$56*I9456+Assumptions!$O$57*I9469+Assumptions!$O$58*I9482</f>
        <v>1315.098</v>
      </c>
      <c r="J9522" s="25" t="n">
        <f aca="false">Assumptions!$O$56*J9456+Assumptions!$O$57*J9469+Assumptions!$O$58*J9482</f>
        <v>1315.098</v>
      </c>
      <c r="K9522" s="25" t="n">
        <f aca="false">Assumptions!$O$56*K9456+Assumptions!$O$57*K9469+Assumptions!$O$58*K9482</f>
        <v>1315.098</v>
      </c>
    </row>
    <row r="9523" customFormat="false" ht="15" hidden="false" customHeight="false" outlineLevel="0" collapsed="false">
      <c r="A9523" s="3" t="s">
        <v>361</v>
      </c>
      <c r="G9523" s="25" t="n">
        <f aca="false">G9521-G9514</f>
        <v>1311.07142456</v>
      </c>
      <c r="H9523" s="25" t="n">
        <f aca="false">H9521-H9514</f>
        <v>1393.0313218718</v>
      </c>
      <c r="I9523" s="25" t="n">
        <f aca="false">I9521-I9514</f>
        <v>1492.50834904448</v>
      </c>
      <c r="J9523" s="25" t="n">
        <f aca="false">J9521-J9514</f>
        <v>1588.9980296191</v>
      </c>
      <c r="K9523" s="25" t="n">
        <f aca="false">K9521-K9514</f>
        <v>1690.8926206123</v>
      </c>
    </row>
    <row r="9524" customFormat="false" ht="15" hidden="false" customHeight="false" outlineLevel="0" collapsed="false">
      <c r="A9524" s="3" t="s">
        <v>362</v>
      </c>
      <c r="G9524" s="32" t="n">
        <f aca="false">IF(G9419&gt;0,G9521/G9419,0)</f>
        <v>10.5990942356356</v>
      </c>
      <c r="H9524" s="32" t="n">
        <f aca="false">IF(H9419&gt;0,H9521/H9419,0)</f>
        <v>15.3239916659792</v>
      </c>
      <c r="I9524" s="32" t="n">
        <f aca="false">IF(I9419&gt;0,I9521/I9419,0)</f>
        <v>16.6109642355658</v>
      </c>
      <c r="J9524" s="32" t="n">
        <f aca="false">IF(J9419&gt;0,J9521/J9419,0)</f>
        <v>19.0930623397308</v>
      </c>
      <c r="K9524" s="32" t="n">
        <f aca="false">IF(K9419&gt;0,K9521/K9419,0)</f>
        <v>21.4528790334054</v>
      </c>
    </row>
    <row r="9525" customFormat="false" ht="15" hidden="false" customHeight="false" outlineLevel="0" collapsed="false">
      <c r="A9525" s="3" t="s">
        <v>363</v>
      </c>
      <c r="G9525" s="32" t="n">
        <f aca="false">IF(G9419&gt;0,G9523/G9419,0)</f>
        <v>8.00676301547543</v>
      </c>
      <c r="H9525" s="32" t="n">
        <f aca="false">IF(H9419&gt;0,H9523/H9419,0)</f>
        <v>12.299703937078</v>
      </c>
      <c r="I9525" s="32" t="n">
        <f aca="false">IF(I9419&gt;0,I9523/I9419,0)</f>
        <v>16.6109642355658</v>
      </c>
      <c r="J9525" s="32" t="n">
        <f aca="false">IF(J9419&gt;0,J9523/J9419,0)</f>
        <v>20.3274162296313</v>
      </c>
      <c r="K9525" s="32" t="n">
        <f aca="false">IF(K9419&gt;0,K9523/K9419,0)</f>
        <v>24.3043966030052</v>
      </c>
    </row>
    <row r="9526" customFormat="false" ht="15" hidden="false" customHeight="false" outlineLevel="0" collapsed="false">
      <c r="A9526" s="3" t="s">
        <v>364</v>
      </c>
      <c r="G9526" s="32" t="n">
        <f aca="false">IF(G9423&gt;0,G9419/G9423,0)</f>
        <v>1.04995574290914</v>
      </c>
      <c r="H9526" s="32" t="n">
        <f aca="false">IF(H9423&gt;0,H9419/H9423,0)</f>
        <v>0.72621938884549</v>
      </c>
      <c r="I9526" s="32" t="n">
        <f aca="false">IF(I9423&gt;0,I9419/I9423,0)</f>
        <v>0.576134048484089</v>
      </c>
      <c r="J9526" s="32" t="n">
        <f aca="false">IF(J9423&gt;0,J9419/J9423,0)</f>
        <v>0.536790170858955</v>
      </c>
      <c r="K9526" s="32" t="n">
        <f aca="false">IF(K9423&gt;0,K9419/K9423,0)</f>
        <v>0.47774325206447</v>
      </c>
    </row>
    <row r="9527" customFormat="false" ht="15" hidden="false" customHeight="false" outlineLevel="0" collapsed="false">
      <c r="A9527" s="3" t="s">
        <v>365</v>
      </c>
      <c r="G9527" s="32" t="n">
        <f aca="false">IF(G9423&gt;0,G9422/G9423,0)</f>
        <v>0.480443332668396</v>
      </c>
      <c r="H9527" s="32" t="n">
        <f aca="false">IF(H9423&gt;0,H9422/H9423,0)</f>
        <v>0.253524088345671</v>
      </c>
      <c r="I9527" s="32" t="n">
        <f aca="false">IF(I9423&gt;0,I9422/I9423,0)</f>
        <v>0.174343043059243</v>
      </c>
      <c r="J9527" s="32" t="n">
        <f aca="false">IF(J9423&gt;0,J9422/J9423,0)</f>
        <v>0.162437252438181</v>
      </c>
      <c r="K9527" s="32" t="n">
        <f aca="false">IF(K9423&gt;0,K9422/K9423,0)</f>
        <v>0.144569154669981</v>
      </c>
    </row>
    <row r="9528" customFormat="false" ht="15" hidden="false" customHeight="false" outlineLevel="0" collapsed="false">
      <c r="A9528" s="3" t="s">
        <v>198</v>
      </c>
      <c r="G9528" s="21" t="n">
        <f aca="false">IF(G9521&gt;0,G9432/G9521,0)</f>
        <v>-0.0227670383981138</v>
      </c>
      <c r="H9528" s="21" t="n">
        <f aca="false">IF(H9521&gt;0,H9432/H9521,0)</f>
        <v>-0.0472240548619058</v>
      </c>
      <c r="I9528" s="21" t="n">
        <f aca="false">IF(I9521&gt;0,I9432/I9521,0)</f>
        <v>-0.0666509016424372</v>
      </c>
      <c r="J9528" s="21" t="n">
        <f aca="false">IF(J9521&gt;0,J9432/J9521,0)</f>
        <v>-0.0646493405791637</v>
      </c>
      <c r="K9528" s="21" t="n">
        <f aca="false">IF(K9521&gt;0,K9432/K9521,0)</f>
        <v>-0.0682707008362335</v>
      </c>
    </row>
    <row r="9529" customFormat="false" ht="15" hidden="false" customHeight="false" outlineLevel="0" collapsed="false">
      <c r="A9529" s="3" t="s">
        <v>366</v>
      </c>
      <c r="G9529" s="32" t="n">
        <f aca="false">IF(G9423+G9505&gt;0,(G9419-G9430-G9427)/(G9423+G9505),0)</f>
        <v>0.921627818775802</v>
      </c>
      <c r="H9529" s="32" t="n">
        <f aca="false">IF(H9423+H9505&gt;0,(H9419-H9430-H9427)/(H9423+H9505),0)</f>
        <v>0.619707211814818</v>
      </c>
      <c r="I9529" s="32" t="n">
        <f aca="false">IF(I9423+I9505&gt;0,(I9419-I9430-I9427)/(I9423+I9505),0)</f>
        <v>0.485598698008018</v>
      </c>
      <c r="J9529" s="32" t="n">
        <f aca="false">IF(J9423+J9505&gt;0,(J9419-J9430-J9427)/(J9423+J9505),0)</f>
        <v>0.452437429723976</v>
      </c>
      <c r="K9529" s="32" t="n">
        <f aca="false">IF(K9423+K9505&gt;0,(K9419-K9430-K9427)/(K9423+K9505),0)</f>
        <v>0.402669312454339</v>
      </c>
    </row>
    <row r="9530" customFormat="false" ht="15" hidden="false" customHeight="false" outlineLevel="0" collapsed="false">
      <c r="A9530" s="3" t="s">
        <v>367</v>
      </c>
      <c r="G9530" s="25" t="n">
        <f aca="false">MAX(0,G9514)+Assumptions!$P$56*MAX(0,Assumptions!$D$56-G9456)+Assumptions!$P$57*MAX(0,Assumptions!$D$57-G9469)+Assumptions!$P$58*MAX(0,Assumptions!$D$58-G9482)</f>
        <v>424.48257544</v>
      </c>
      <c r="H9530" s="25" t="n">
        <f aca="false">MAX(0,H9514)+Assumptions!$P$56*MAX(0,Assumptions!$D$56-H9456)+Assumptions!$P$57*MAX(0,Assumptions!$D$57-H9469)+Assumptions!$P$58*MAX(0,Assumptions!$D$58-H9482)</f>
        <v>342.5226781282</v>
      </c>
      <c r="I9530" s="25" t="n">
        <f aca="false">MAX(0,I9514)+Assumptions!$P$56*MAX(0,Assumptions!$D$56-I9456)+Assumptions!$P$57*MAX(0,Assumptions!$D$57-I9469)+Assumptions!$P$58*MAX(0,Assumptions!$D$58-I9482)</f>
        <v>0</v>
      </c>
      <c r="J9530" s="25" t="n">
        <f aca="false">MAX(0,J9514)+Assumptions!$P$56*MAX(0,Assumptions!$D$56-J9456)+Assumptions!$P$57*MAX(0,Assumptions!$D$57-J9469)+Assumptions!$P$58*MAX(0,Assumptions!$D$58-J9482)</f>
        <v>0</v>
      </c>
      <c r="K9530" s="25" t="n">
        <f aca="false">MAX(0,K9514)+Assumptions!$P$56*MAX(0,Assumptions!$D$56-K9456)+Assumptions!$P$57*MAX(0,Assumptions!$D$57-K9469)+Assumptions!$P$58*MAX(0,Assumptions!$D$58-K9482)</f>
        <v>0</v>
      </c>
    </row>
    <row r="9531" customFormat="false" ht="15" hidden="false" customHeight="false" outlineLevel="0" collapsed="false">
      <c r="A9531" s="3" t="s">
        <v>368</v>
      </c>
      <c r="G9531" s="21" t="n">
        <f aca="false">IF(G9521&gt;0,G9521/(G9521+MAX(0,G9419*CHOOSE($C$9402,Assumptions!$C$82,Assumptions!$C$101,Assumptions!$C$120)-G9523)),0)</f>
        <v>1</v>
      </c>
      <c r="H9531" s="21" t="n">
        <f aca="false">IF(H9521&gt;0,H9521/(H9521+MAX(0,H9419*CHOOSE($C$9402,Assumptions!$C$82,Assumptions!$C$101,Assumptions!$C$120)-H9523)),0)</f>
        <v>1</v>
      </c>
      <c r="I9531" s="21" t="n">
        <f aca="false">IF(I9521&gt;0,I9521/(I9521+MAX(0,I9419*CHOOSE($C$9402,Assumptions!$C$82,Assumptions!$C$101,Assumptions!$C$120)-I9523)),0)</f>
        <v>1</v>
      </c>
      <c r="J9531" s="21" t="n">
        <f aca="false">IF(J9521&gt;0,J9521/(J9521+MAX(0,J9419*CHOOSE($C$9402,Assumptions!$C$82,Assumptions!$C$101,Assumptions!$C$120)-J9523)),0)</f>
        <v>1</v>
      </c>
      <c r="K9531" s="21" t="n">
        <f aca="false">IF(K9521&gt;0,K9521/(K9521+MAX(0,K9419*CHOOSE($C$9402,Assumptions!$C$82,Assumptions!$C$101,Assumptions!$C$120)-K9523)),0)</f>
        <v>1</v>
      </c>
    </row>
    <row r="9532" customFormat="false" ht="15" hidden="false" customHeight="false" outlineLevel="0" collapsed="false">
      <c r="A9532" s="3" t="s">
        <v>369</v>
      </c>
      <c r="G9532" s="21" t="n">
        <f aca="false">IF(G9521&gt;0,MAX(0,G9514)/G9521,0)</f>
        <v>0.244580448340991</v>
      </c>
      <c r="H9532" s="21" t="n">
        <f aca="false">IF(H9521&gt;0,MAX(0,H9514)/H9521,0)</f>
        <v>0.197356393479085</v>
      </c>
      <c r="I9532" s="21" t="n">
        <f aca="false">IF(I9521&gt;0,MAX(0,I9514)/I9521,0)</f>
        <v>0</v>
      </c>
      <c r="J9532" s="21" t="n">
        <f aca="false">IF(J9521&gt;0,MAX(0,J9514)/J9521,0)</f>
        <v>0</v>
      </c>
      <c r="K9532" s="21" t="n">
        <f aca="false">IF(K9521&gt;0,MAX(0,K9514)/K9521,0)</f>
        <v>0</v>
      </c>
    </row>
    <row r="9533" customFormat="false" ht="15" hidden="false" customHeight="false" outlineLevel="0" collapsed="false">
      <c r="A9533" s="3" t="s">
        <v>370</v>
      </c>
      <c r="G9533" s="25" t="n">
        <f aca="false">Assumptions!$C$30*(1-CHOOSE($C$9402,Assumptions!$C$85,Assumptions!$C$104,Assumptions!$C$123))</f>
        <v>1595.73115</v>
      </c>
      <c r="H9533" s="25" t="n">
        <f aca="false">Assumptions!$C$30*(1-CHOOSE($C$9402,Assumptions!$C$85,Assumptions!$C$104,Assumptions!$C$123))</f>
        <v>1595.73115</v>
      </c>
      <c r="I9533" s="25" t="n">
        <f aca="false">Assumptions!$C$30*(1-CHOOSE($C$9402,Assumptions!$C$85,Assumptions!$C$104,Assumptions!$C$123))</f>
        <v>1595.73115</v>
      </c>
      <c r="J9533" s="25" t="n">
        <f aca="false">Assumptions!$C$30*(1-CHOOSE($C$9402,Assumptions!$C$85,Assumptions!$C$104,Assumptions!$C$123))</f>
        <v>1595.73115</v>
      </c>
      <c r="K9533" s="25" t="n">
        <f aca="false">Assumptions!$C$30*(1-CHOOSE($C$9402,Assumptions!$C$85,Assumptions!$C$104,Assumptions!$C$123))</f>
        <v>1595.73115</v>
      </c>
    </row>
    <row r="9534" customFormat="false" ht="15" hidden="false" customHeight="false" outlineLevel="0" collapsed="false">
      <c r="A9534" s="23" t="s">
        <v>371</v>
      </c>
      <c r="B9534" s="24"/>
      <c r="C9534" s="24"/>
      <c r="D9534" s="24"/>
      <c r="E9534" s="24"/>
      <c r="F9534" s="24"/>
      <c r="G9534" s="24"/>
      <c r="H9534" s="24"/>
      <c r="I9534" s="24"/>
      <c r="J9534" s="24"/>
      <c r="K9534" s="24"/>
    </row>
    <row r="9535" customFormat="false" ht="15" hidden="false" customHeight="false" outlineLevel="0" collapsed="false">
      <c r="A9535" s="23" t="s">
        <v>372</v>
      </c>
      <c r="B9535" s="24"/>
      <c r="C9535" s="24"/>
      <c r="D9535" s="24"/>
      <c r="E9535" s="24"/>
      <c r="F9535" s="24"/>
      <c r="G9535" s="24"/>
      <c r="H9535" s="24"/>
      <c r="I9535" s="24"/>
      <c r="J9535" s="24"/>
      <c r="K9535" s="24"/>
    </row>
    <row r="9536" customFormat="false" ht="15" hidden="false" customHeight="false" outlineLevel="0" collapsed="false">
      <c r="A9536" s="3" t="s">
        <v>373</v>
      </c>
      <c r="G9536" s="32" t="n">
        <f aca="false">IF(G9419&gt;0,G9523/G9419,99)</f>
        <v>8.00676301547543</v>
      </c>
      <c r="H9536" s="32" t="n">
        <f aca="false">IF(H9419&gt;0,H9523/H9419,99)</f>
        <v>12.299703937078</v>
      </c>
      <c r="I9536" s="32" t="n">
        <f aca="false">IF(I9419&gt;0,I9523/I9419,99)</f>
        <v>16.6109642355658</v>
      </c>
      <c r="J9536" s="32" t="n">
        <f aca="false">IF(J9419&gt;0,J9523/J9419,99)</f>
        <v>20.3274162296313</v>
      </c>
      <c r="K9536" s="32" t="n">
        <f aca="false">IF(K9419&gt;0,K9523/K9419,99)</f>
        <v>24.3043966030052</v>
      </c>
    </row>
    <row r="9537" customFormat="false" ht="15" hidden="false" customHeight="false" outlineLevel="0" collapsed="false">
      <c r="A9537" s="3" t="s">
        <v>374</v>
      </c>
      <c r="G9537" s="33" t="n">
        <f aca="false">Assumptions!$G$65</f>
        <v>5.25</v>
      </c>
      <c r="H9537" s="33" t="n">
        <f aca="false">Assumptions!$H$65</f>
        <v>5.25</v>
      </c>
      <c r="I9537" s="33" t="n">
        <f aca="false">Assumptions!$I$65</f>
        <v>5</v>
      </c>
      <c r="J9537" s="33" t="n">
        <f aca="false">Assumptions!$J$65</f>
        <v>5</v>
      </c>
      <c r="K9537" s="33" t="n">
        <f aca="false">Assumptions!$K$65</f>
        <v>5</v>
      </c>
    </row>
    <row r="9538" customFormat="false" ht="15" hidden="false" customHeight="false" outlineLevel="0" collapsed="false">
      <c r="A9538" s="3" t="s">
        <v>375</v>
      </c>
      <c r="G9538" s="32" t="n">
        <f aca="false">G9537-G9536</f>
        <v>-2.75676301547543</v>
      </c>
      <c r="H9538" s="32" t="n">
        <f aca="false">H9537-H9536</f>
        <v>-7.04970393707797</v>
      </c>
      <c r="I9538" s="32" t="n">
        <f aca="false">I9537-I9536</f>
        <v>-11.6109642355658</v>
      </c>
      <c r="J9538" s="32" t="n">
        <f aca="false">J9537-J9536</f>
        <v>-15.3274162296313</v>
      </c>
      <c r="K9538" s="32" t="n">
        <f aca="false">K9537-K9536</f>
        <v>-19.3043966030052</v>
      </c>
    </row>
    <row r="9539" customFormat="false" ht="15" hidden="false" customHeight="false" outlineLevel="0" collapsed="false">
      <c r="A9539" s="3" t="s">
        <v>376</v>
      </c>
      <c r="G9539" s="21" t="n">
        <f aca="false">IF(G9537=0,0,G9538/ABS(G9537))</f>
        <v>-0.525097717233415</v>
      </c>
      <c r="H9539" s="21" t="n">
        <f aca="false">IF(H9537=0,0,H9538/ABS(H9537))</f>
        <v>-1.34280074991961</v>
      </c>
      <c r="I9539" s="21" t="n">
        <f aca="false">IF(I9537=0,0,I9538/ABS(I9537))</f>
        <v>-2.32219284711316</v>
      </c>
      <c r="J9539" s="21" t="n">
        <f aca="false">IF(J9537=0,0,J9538/ABS(J9537))</f>
        <v>-3.06548324592626</v>
      </c>
      <c r="K9539" s="21" t="n">
        <f aca="false">IF(K9537=0,0,K9538/ABS(K9537))</f>
        <v>-3.86087932060104</v>
      </c>
    </row>
    <row r="9540" customFormat="false" ht="15" hidden="false" customHeight="false" outlineLevel="0" collapsed="false">
      <c r="A9540" s="3" t="s">
        <v>377</v>
      </c>
      <c r="G9540" s="20" t="n">
        <f aca="false">IF(G9538&lt;0,1,0)</f>
        <v>1</v>
      </c>
      <c r="H9540" s="20" t="n">
        <f aca="false">IF(H9538&lt;0,1,0)</f>
        <v>1</v>
      </c>
      <c r="I9540" s="20" t="n">
        <f aca="false">IF(I9538&lt;0,1,0)</f>
        <v>1</v>
      </c>
      <c r="J9540" s="20" t="n">
        <f aca="false">IF(J9538&lt;0,1,0)</f>
        <v>1</v>
      </c>
      <c r="K9540" s="20" t="n">
        <f aca="false">IF(K9538&lt;0,1,0)</f>
        <v>1</v>
      </c>
    </row>
    <row r="9541" customFormat="false" ht="15" hidden="false" customHeight="false" outlineLevel="0" collapsed="false">
      <c r="A9541" s="3" t="s">
        <v>378</v>
      </c>
      <c r="C9541" s="20" t="n">
        <f aca="false">IFERROR(INDEX($G$9409:$K$9409,MATCH(1,$G$9540:$K$9540,0)),0)</f>
        <v>2027</v>
      </c>
    </row>
    <row r="9542" customFormat="false" ht="15" hidden="false" customHeight="false" outlineLevel="0" collapsed="false">
      <c r="A9542" s="3" t="s">
        <v>379</v>
      </c>
      <c r="C9542" s="21" t="n">
        <f aca="false">MIN($G$9539:$K$9539)</f>
        <v>-3.86087932060104</v>
      </c>
    </row>
    <row r="9543" customFormat="false" ht="15" hidden="false" customHeight="false" outlineLevel="0" collapsed="false">
      <c r="A9543" s="23" t="s">
        <v>380</v>
      </c>
      <c r="B9543" s="24"/>
      <c r="C9543" s="24"/>
      <c r="D9543" s="24"/>
      <c r="E9543" s="24"/>
      <c r="F9543" s="24"/>
      <c r="G9543" s="24"/>
      <c r="H9543" s="24"/>
      <c r="I9543" s="24"/>
      <c r="J9543" s="24"/>
      <c r="K9543" s="24"/>
    </row>
    <row r="9544" customFormat="false" ht="15" hidden="false" customHeight="false" outlineLevel="0" collapsed="false">
      <c r="A9544" s="3" t="s">
        <v>373</v>
      </c>
      <c r="G9544" s="32" t="n">
        <f aca="false">IF(G9423&gt;0,G9419/G9423,99)</f>
        <v>1.04995574290914</v>
      </c>
      <c r="H9544" s="32" t="n">
        <f aca="false">IF(H9423&gt;0,H9419/H9423,99)</f>
        <v>0.72621938884549</v>
      </c>
      <c r="I9544" s="32" t="n">
        <f aca="false">IF(I9423&gt;0,I9419/I9423,99)</f>
        <v>0.576134048484089</v>
      </c>
      <c r="J9544" s="32" t="n">
        <f aca="false">IF(J9423&gt;0,J9419/J9423,99)</f>
        <v>0.536790170858955</v>
      </c>
      <c r="K9544" s="32" t="n">
        <f aca="false">IF(K9423&gt;0,K9419/K9423,99)</f>
        <v>0.47774325206447</v>
      </c>
    </row>
    <row r="9545" customFormat="false" ht="15" hidden="false" customHeight="false" outlineLevel="0" collapsed="false">
      <c r="A9545" s="3" t="s">
        <v>374</v>
      </c>
      <c r="G9545" s="33" t="n">
        <f aca="false">Assumptions!$G$66</f>
        <v>1.4</v>
      </c>
      <c r="H9545" s="33" t="n">
        <f aca="false">Assumptions!$H$66</f>
        <v>1.4</v>
      </c>
      <c r="I9545" s="33" t="n">
        <f aca="false">Assumptions!$I$66</f>
        <v>1.4</v>
      </c>
      <c r="J9545" s="33" t="n">
        <f aca="false">Assumptions!$J$66</f>
        <v>1.5</v>
      </c>
      <c r="K9545" s="33" t="n">
        <f aca="false">Assumptions!$K$66</f>
        <v>1.5</v>
      </c>
    </row>
    <row r="9546" customFormat="false" ht="15" hidden="false" customHeight="false" outlineLevel="0" collapsed="false">
      <c r="A9546" s="3" t="s">
        <v>375</v>
      </c>
      <c r="G9546" s="32" t="n">
        <f aca="false">G9544-G9545</f>
        <v>-0.350044257090858</v>
      </c>
      <c r="H9546" s="32" t="n">
        <f aca="false">H9544-H9545</f>
        <v>-0.67378061115451</v>
      </c>
      <c r="I9546" s="32" t="n">
        <f aca="false">I9544-I9545</f>
        <v>-0.823865951515911</v>
      </c>
      <c r="J9546" s="32" t="n">
        <f aca="false">J9544-J9545</f>
        <v>-0.963209829141045</v>
      </c>
      <c r="K9546" s="32" t="n">
        <f aca="false">K9544-K9545</f>
        <v>-1.02225674793553</v>
      </c>
    </row>
    <row r="9547" customFormat="false" ht="15" hidden="false" customHeight="false" outlineLevel="0" collapsed="false">
      <c r="A9547" s="3" t="s">
        <v>376</v>
      </c>
      <c r="G9547" s="21" t="n">
        <f aca="false">IF(G9545=0,0,G9546/ABS(G9545))</f>
        <v>-0.250031612207756</v>
      </c>
      <c r="H9547" s="21" t="n">
        <f aca="false">IF(H9545=0,0,H9546/ABS(H9545))</f>
        <v>-0.481271865110365</v>
      </c>
      <c r="I9547" s="21" t="n">
        <f aca="false">IF(I9545=0,0,I9546/ABS(I9545))</f>
        <v>-0.588475679654222</v>
      </c>
      <c r="J9547" s="21" t="n">
        <f aca="false">IF(J9545=0,0,J9546/ABS(J9545))</f>
        <v>-0.64213988609403</v>
      </c>
      <c r="K9547" s="21" t="n">
        <f aca="false">IF(K9545=0,0,K9546/ABS(K9545))</f>
        <v>-0.681504498623687</v>
      </c>
    </row>
    <row r="9548" customFormat="false" ht="15" hidden="false" customHeight="false" outlineLevel="0" collapsed="false">
      <c r="A9548" s="3" t="s">
        <v>377</v>
      </c>
      <c r="G9548" s="20" t="n">
        <f aca="false">IF(G9546&lt;0,1,0)</f>
        <v>1</v>
      </c>
      <c r="H9548" s="20" t="n">
        <f aca="false">IF(H9546&lt;0,1,0)</f>
        <v>1</v>
      </c>
      <c r="I9548" s="20" t="n">
        <f aca="false">IF(I9546&lt;0,1,0)</f>
        <v>1</v>
      </c>
      <c r="J9548" s="20" t="n">
        <f aca="false">IF(J9546&lt;0,1,0)</f>
        <v>1</v>
      </c>
      <c r="K9548" s="20" t="n">
        <f aca="false">IF(K9546&lt;0,1,0)</f>
        <v>1</v>
      </c>
    </row>
    <row r="9549" customFormat="false" ht="15" hidden="false" customHeight="false" outlineLevel="0" collapsed="false">
      <c r="A9549" s="3" t="s">
        <v>378</v>
      </c>
      <c r="C9549" s="20" t="n">
        <f aca="false">IFERROR(INDEX($G$9409:$K$9409,MATCH(1,$G$9548:$K$9548,0)),0)</f>
        <v>2027</v>
      </c>
    </row>
    <row r="9550" customFormat="false" ht="15" hidden="false" customHeight="false" outlineLevel="0" collapsed="false">
      <c r="A9550" s="3" t="s">
        <v>379</v>
      </c>
      <c r="C9550" s="21" t="n">
        <f aca="false">MIN($G$9547:$K$9547)</f>
        <v>-0.681504498623687</v>
      </c>
    </row>
    <row r="9551" customFormat="false" ht="15" hidden="false" customHeight="false" outlineLevel="0" collapsed="false">
      <c r="A9551" s="23" t="s">
        <v>381</v>
      </c>
      <c r="B9551" s="24"/>
      <c r="C9551" s="24"/>
      <c r="D9551" s="24"/>
      <c r="E9551" s="24"/>
      <c r="F9551" s="24"/>
      <c r="G9551" s="24"/>
      <c r="H9551" s="24"/>
      <c r="I9551" s="24"/>
      <c r="J9551" s="24"/>
      <c r="K9551" s="24"/>
    </row>
    <row r="9552" customFormat="false" ht="15" hidden="false" customHeight="false" outlineLevel="0" collapsed="false">
      <c r="A9552" s="3" t="s">
        <v>373</v>
      </c>
      <c r="G9552" s="25" t="n">
        <f aca="false">G9530</f>
        <v>424.48257544</v>
      </c>
      <c r="H9552" s="25" t="n">
        <f aca="false">H9530</f>
        <v>342.5226781282</v>
      </c>
      <c r="I9552" s="25" t="n">
        <f aca="false">I9530</f>
        <v>0</v>
      </c>
      <c r="J9552" s="25" t="n">
        <f aca="false">J9530</f>
        <v>0</v>
      </c>
      <c r="K9552" s="25" t="n">
        <f aca="false">K9530</f>
        <v>0</v>
      </c>
    </row>
    <row r="9553" customFormat="false" ht="15" hidden="false" customHeight="false" outlineLevel="0" collapsed="false">
      <c r="A9553" s="3" t="s">
        <v>374</v>
      </c>
      <c r="G9553" s="29" t="n">
        <f aca="false">Assumptions!$G$67</f>
        <v>200</v>
      </c>
      <c r="H9553" s="29" t="n">
        <f aca="false">Assumptions!$H$67</f>
        <v>200</v>
      </c>
      <c r="I9553" s="29" t="n">
        <f aca="false">Assumptions!$I$67</f>
        <v>200</v>
      </c>
      <c r="J9553" s="29" t="n">
        <f aca="false">Assumptions!$J$67</f>
        <v>200</v>
      </c>
      <c r="K9553" s="29" t="n">
        <f aca="false">Assumptions!$K$67</f>
        <v>200</v>
      </c>
    </row>
    <row r="9554" customFormat="false" ht="15" hidden="false" customHeight="false" outlineLevel="0" collapsed="false">
      <c r="A9554" s="3" t="s">
        <v>375</v>
      </c>
      <c r="G9554" s="25" t="n">
        <f aca="false">G9552-G9553</f>
        <v>224.48257544</v>
      </c>
      <c r="H9554" s="25" t="n">
        <f aca="false">H9552-H9553</f>
        <v>142.5226781282</v>
      </c>
      <c r="I9554" s="25" t="n">
        <f aca="false">I9552-I9553</f>
        <v>-200</v>
      </c>
      <c r="J9554" s="25" t="n">
        <f aca="false">J9552-J9553</f>
        <v>-200</v>
      </c>
      <c r="K9554" s="25" t="n">
        <f aca="false">K9552-K9553</f>
        <v>-200</v>
      </c>
    </row>
    <row r="9555" customFormat="false" ht="15" hidden="false" customHeight="false" outlineLevel="0" collapsed="false">
      <c r="A9555" s="3" t="s">
        <v>376</v>
      </c>
      <c r="G9555" s="21" t="n">
        <f aca="false">IF(G9553=0,0,G9554/ABS(G9553))</f>
        <v>1.1224128772</v>
      </c>
      <c r="H9555" s="21" t="n">
        <f aca="false">IF(H9553=0,0,H9554/ABS(H9553))</f>
        <v>0.712613390641</v>
      </c>
      <c r="I9555" s="21" t="n">
        <f aca="false">IF(I9553=0,0,I9554/ABS(I9553))</f>
        <v>-1</v>
      </c>
      <c r="J9555" s="21" t="n">
        <f aca="false">IF(J9553=0,0,J9554/ABS(J9553))</f>
        <v>-1</v>
      </c>
      <c r="K9555" s="21" t="n">
        <f aca="false">IF(K9553=0,0,K9554/ABS(K9553))</f>
        <v>-1</v>
      </c>
    </row>
    <row r="9556" customFormat="false" ht="15" hidden="false" customHeight="false" outlineLevel="0" collapsed="false">
      <c r="A9556" s="3" t="s">
        <v>377</v>
      </c>
      <c r="G9556" s="20" t="n">
        <f aca="false">IF(G9554&lt;0,1,0)</f>
        <v>0</v>
      </c>
      <c r="H9556" s="20" t="n">
        <f aca="false">IF(H9554&lt;0,1,0)</f>
        <v>0</v>
      </c>
      <c r="I9556" s="20" t="n">
        <f aca="false">IF(I9554&lt;0,1,0)</f>
        <v>1</v>
      </c>
      <c r="J9556" s="20" t="n">
        <f aca="false">IF(J9554&lt;0,1,0)</f>
        <v>1</v>
      </c>
      <c r="K9556" s="20" t="n">
        <f aca="false">IF(K9554&lt;0,1,0)</f>
        <v>1</v>
      </c>
    </row>
    <row r="9557" customFormat="false" ht="15" hidden="false" customHeight="false" outlineLevel="0" collapsed="false">
      <c r="A9557" s="3" t="s">
        <v>378</v>
      </c>
      <c r="C9557" s="20" t="n">
        <f aca="false">IFERROR(INDEX($G$9409:$K$9409,MATCH(1,$G$9556:$K$9556,0)),0)</f>
        <v>2029</v>
      </c>
    </row>
    <row r="9558" customFormat="false" ht="15" hidden="false" customHeight="false" outlineLevel="0" collapsed="false">
      <c r="A9558" s="3" t="s">
        <v>379</v>
      </c>
      <c r="C9558" s="21" t="n">
        <f aca="false">MIN($G$9555:$K$9555)</f>
        <v>-1</v>
      </c>
    </row>
    <row r="9559" customFormat="false" ht="15" hidden="false" customHeight="false" outlineLevel="0" collapsed="false">
      <c r="A9559" s="3" t="s">
        <v>382</v>
      </c>
      <c r="G9559" s="20" t="n">
        <f aca="false">G9540+G9548+G9556</f>
        <v>2</v>
      </c>
      <c r="H9559" s="20" t="n">
        <f aca="false">H9540+H9548+H9556</f>
        <v>2</v>
      </c>
      <c r="I9559" s="20" t="n">
        <f aca="false">I9540+I9548+I9556</f>
        <v>3</v>
      </c>
      <c r="J9559" s="20" t="n">
        <f aca="false">J9540+J9548+J9556</f>
        <v>3</v>
      </c>
      <c r="K9559" s="20" t="n">
        <f aca="false">K9540+K9548+K9556</f>
        <v>3</v>
      </c>
    </row>
    <row r="9560" customFormat="false" ht="15" hidden="false" customHeight="false" outlineLevel="0" collapsed="false">
      <c r="A9560" s="3" t="s">
        <v>383</v>
      </c>
      <c r="C9560" s="20" t="n">
        <f aca="false">SUM($G$9559:$K$9559)</f>
        <v>13</v>
      </c>
    </row>
    <row r="9561" customFormat="false" ht="15" hidden="false" customHeight="false" outlineLevel="0" collapsed="false">
      <c r="A9561" s="3" t="s">
        <v>384</v>
      </c>
      <c r="C9561" s="21" t="n">
        <f aca="false">MIN(C9542,C9550,C9558)</f>
        <v>-3.86087932060104</v>
      </c>
    </row>
    <row r="9563" customFormat="false" ht="15" hidden="false" customHeight="false" outlineLevel="0" collapsed="false">
      <c r="A9563" s="23" t="s">
        <v>486</v>
      </c>
      <c r="B9563" s="24"/>
      <c r="C9563" s="24"/>
      <c r="D9563" s="24"/>
      <c r="E9563" s="24"/>
      <c r="F9563" s="24"/>
      <c r="G9563" s="24"/>
      <c r="H9563" s="24"/>
      <c r="I9563" s="24"/>
      <c r="J9563" s="24"/>
      <c r="K9563" s="24"/>
    </row>
    <row r="9564" customFormat="false" ht="15" hidden="false" customHeight="false" outlineLevel="0" collapsed="false">
      <c r="A9564" s="3" t="s">
        <v>487</v>
      </c>
      <c r="G9564" s="20" t="n">
        <f aca="false">IF($C$9565=1,G9517,IF(G9419=MIN($G$9419:$K$9419),1,0))</f>
        <v>0</v>
      </c>
      <c r="H9564" s="20" t="n">
        <f aca="false">IF($C$9565=1,H9517,IF(AND(H9419=MIN($G$9419:$K$9419),SUM($G$9564:G9564)=0),1,0))</f>
        <v>0</v>
      </c>
      <c r="I9564" s="20" t="n">
        <f aca="false">IF($C$9565=1,I9517,IF(AND(I9419=MIN($G$9419:$K$9419),SUM($G$9564:H9564)=0),1,0))</f>
        <v>1</v>
      </c>
      <c r="J9564" s="20" t="n">
        <f aca="false">IF($C$9565=1,J9517,IF(AND(J9419=MIN($G$9419:$K$9419),SUM($G$9564:I9564)=0),1,0))</f>
        <v>0</v>
      </c>
      <c r="K9564" s="20" t="n">
        <f aca="false">IF($C$9565=1,K9517,IF(AND(K9419=MIN($G$9419:$K$9419),SUM($G$9564:J9564)=0),1,0))</f>
        <v>0</v>
      </c>
    </row>
    <row r="9565" customFormat="false" ht="15" hidden="false" customHeight="false" outlineLevel="0" collapsed="false">
      <c r="A9565" s="3" t="s">
        <v>488</v>
      </c>
      <c r="C9565" s="20" t="n">
        <f aca="false">IF(SUM($G$9517:$K$9517)&gt;0,1,0)</f>
        <v>1</v>
      </c>
    </row>
    <row r="9566" customFormat="false" ht="15" hidden="false" customHeight="false" outlineLevel="0" collapsed="false">
      <c r="A9566" s="3" t="s">
        <v>489</v>
      </c>
      <c r="C9566" s="20" t="n">
        <f aca="false">SUMPRODUCT($G$9564:$K$9564,$G$9409:$K$9409)</f>
        <v>2029</v>
      </c>
    </row>
    <row r="9567" customFormat="false" ht="15" hidden="false" customHeight="false" outlineLevel="0" collapsed="false">
      <c r="A9567" s="3" t="s">
        <v>490</v>
      </c>
      <c r="C9567" s="25" t="n">
        <f aca="false">SUMPRODUCT($G$9564:$K$9564,$G$9419:$K$9419)</f>
        <v>89.8507954071</v>
      </c>
    </row>
    <row r="9568" customFormat="false" ht="15" hidden="false" customHeight="false" outlineLevel="0" collapsed="false">
      <c r="A9568" s="3" t="s">
        <v>491</v>
      </c>
      <c r="C9568" s="25" t="n">
        <f aca="false">MAX(0,SUMPRODUCT($G$9564:$K$9564,$G$9514:$K$9514))</f>
        <v>0</v>
      </c>
    </row>
    <row r="9569" customFormat="false" ht="15" hidden="false" customHeight="false" outlineLevel="0" collapsed="false">
      <c r="A9569" s="3" t="s">
        <v>492</v>
      </c>
      <c r="C9569" s="25" t="n">
        <f aca="false">(CHOOSE($C$9402,Assumptions!$C$84,Assumptions!$C$103,Assumptions!$C$122)+$C$9406)*C9567</f>
        <v>359.4031816284</v>
      </c>
    </row>
    <row r="9570" customFormat="false" ht="15" hidden="false" customHeight="false" outlineLevel="0" collapsed="false">
      <c r="A9570" s="3" t="s">
        <v>493</v>
      </c>
      <c r="C9570" s="25" t="n">
        <f aca="false">Assumptions!$C$30*(1-CHOOSE($C$9402,Assumptions!$C$85,Assumptions!$C$104,Assumptions!$C$123))*CHOOSE($C$9402,Assumptions!$C$86,Assumptions!$C$105,Assumptions!$C$124)</f>
        <v>478.719345</v>
      </c>
    </row>
    <row r="9571" customFormat="false" ht="15" hidden="false" customHeight="false" outlineLevel="0" collapsed="false">
      <c r="A9571" s="3" t="s">
        <v>494</v>
      </c>
      <c r="C9571" s="25" t="n">
        <f aca="false">MAX(C9569,C9570)+C9568</f>
        <v>478.719345</v>
      </c>
    </row>
    <row r="9572" customFormat="false" ht="15" hidden="false" customHeight="false" outlineLevel="0" collapsed="false">
      <c r="A9572" s="2" t="s">
        <v>495</v>
      </c>
      <c r="C9572" s="16" t="n">
        <f aca="false">IF(ISNUMBER(Assumptions!$C$14),Assumptions!$C$14,C9571)</f>
        <v>478.719345</v>
      </c>
    </row>
    <row r="9573" customFormat="false" ht="15" hidden="false" customHeight="false" outlineLevel="0" collapsed="false">
      <c r="A9573" s="3" t="s">
        <v>496</v>
      </c>
      <c r="C9573" s="25" t="n">
        <f aca="false">C9572*Assumptions!$C$15</f>
        <v>19.1487738</v>
      </c>
    </row>
    <row r="9574" customFormat="false" ht="15" hidden="false" customHeight="false" outlineLevel="0" collapsed="false">
      <c r="A9574" s="2" t="s">
        <v>497</v>
      </c>
      <c r="C9574" s="16" t="n">
        <f aca="false">C9572-C9573</f>
        <v>459.5705712</v>
      </c>
    </row>
    <row r="9575" customFormat="false" ht="15" hidden="false" customHeight="false" outlineLevel="0" collapsed="false">
      <c r="A9575" s="23" t="s">
        <v>498</v>
      </c>
      <c r="B9575" s="24"/>
      <c r="C9575" s="24"/>
      <c r="D9575" s="24"/>
      <c r="E9575" s="24"/>
      <c r="F9575" s="24"/>
      <c r="G9575" s="24"/>
      <c r="H9575" s="24"/>
      <c r="I9575" s="24"/>
      <c r="J9575" s="24"/>
      <c r="K9575" s="24"/>
    </row>
    <row r="9576" customFormat="false" ht="15" hidden="false" customHeight="false" outlineLevel="0" collapsed="false">
      <c r="A9576" s="3" t="s">
        <v>499</v>
      </c>
      <c r="C9576" s="25" t="n">
        <f aca="false">SUMPRODUCT($G$9564:$K$9564,$G$9456:$K$9456)*(1+SUMPRODUCT($G$9564:$K$9564,$G$9448:$K$9448)*Assumptions!$C$16/12)</f>
        <v>1349.6193225</v>
      </c>
    </row>
    <row r="9577" customFormat="false" ht="15" hidden="false" customHeight="false" outlineLevel="0" collapsed="false">
      <c r="A9577" s="3" t="s">
        <v>500</v>
      </c>
      <c r="C9577" s="25" t="n">
        <f aca="false">SUMPRODUCT($G$9564:$K$9564,$G$9469:$K$9469)*(1+SUMPRODUCT($G$9564:$K$9564,$G$9461:$K$9461)*Assumptions!$C$16/12)</f>
        <v>34.0179902530776</v>
      </c>
    </row>
    <row r="9578" customFormat="false" ht="15" hidden="false" customHeight="false" outlineLevel="0" collapsed="false">
      <c r="A9578" s="3" t="s">
        <v>501</v>
      </c>
      <c r="C9578" s="25" t="n">
        <f aca="false">SUMPRODUCT($G$9564:$K$9564,$G$9482:$K$9482)*(1+SUMPRODUCT($G$9564:$K$9564,$G$9474:$K$9474)*Assumptions!$C$16/12)</f>
        <v>145.27734375</v>
      </c>
    </row>
    <row r="9579" customFormat="false" ht="15" hidden="false" customHeight="false" outlineLevel="0" collapsed="false">
      <c r="A9579" s="23" t="s">
        <v>502</v>
      </c>
      <c r="B9579" s="24"/>
      <c r="C9579" s="24"/>
      <c r="D9579" s="24"/>
      <c r="E9579" s="24"/>
      <c r="F9579" s="24"/>
      <c r="G9579" s="24"/>
      <c r="H9579" s="24"/>
      <c r="I9579" s="24"/>
      <c r="J9579" s="24"/>
      <c r="K9579" s="24"/>
    </row>
    <row r="9580" customFormat="false" ht="15" hidden="false" customHeight="false" outlineLevel="0" collapsed="false">
      <c r="A9580" s="3" t="s">
        <v>499</v>
      </c>
      <c r="C9580" s="27" t="n">
        <f aca="false">Assumptions!$M$56</f>
        <v>1</v>
      </c>
    </row>
    <row r="9581" customFormat="false" ht="15" hidden="false" customHeight="false" outlineLevel="0" collapsed="false">
      <c r="A9581" s="3" t="s">
        <v>500</v>
      </c>
      <c r="C9581" s="27" t="n">
        <f aca="false">Assumptions!$M$57</f>
        <v>2</v>
      </c>
    </row>
    <row r="9582" customFormat="false" ht="15" hidden="false" customHeight="false" outlineLevel="0" collapsed="false">
      <c r="A9582" s="3" t="s">
        <v>501</v>
      </c>
      <c r="C9582" s="27" t="n">
        <f aca="false">Assumptions!$M$58</f>
        <v>2</v>
      </c>
    </row>
    <row r="9583" customFormat="false" ht="15" hidden="false" customHeight="false" outlineLevel="0" collapsed="false">
      <c r="A9583" s="23" t="s">
        <v>503</v>
      </c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</row>
    <row r="9584" customFormat="false" ht="15" hidden="false" customHeight="false" outlineLevel="0" collapsed="false">
      <c r="A9584" s="3" t="s">
        <v>499</v>
      </c>
      <c r="C9584" s="35" t="n">
        <f aca="false">Assumptions!$Q$56</f>
        <v>0</v>
      </c>
    </row>
    <row r="9585" customFormat="false" ht="15" hidden="false" customHeight="false" outlineLevel="0" collapsed="false">
      <c r="A9585" s="3" t="s">
        <v>500</v>
      </c>
      <c r="C9585" s="35" t="n">
        <f aca="false">Assumptions!$Q$57</f>
        <v>0</v>
      </c>
    </row>
    <row r="9586" customFormat="false" ht="15" hidden="false" customHeight="false" outlineLevel="0" collapsed="false">
      <c r="A9586" s="3" t="s">
        <v>501</v>
      </c>
      <c r="C9586" s="35" t="n">
        <f aca="false">Assumptions!$Q$58</f>
        <v>0</v>
      </c>
    </row>
    <row r="9587" customFormat="false" ht="15" hidden="false" customHeight="false" outlineLevel="0" collapsed="false">
      <c r="A9587" s="23" t="s">
        <v>504</v>
      </c>
      <c r="B9587" s="24"/>
      <c r="C9587" s="24"/>
      <c r="D9587" s="24"/>
      <c r="E9587" s="24"/>
      <c r="F9587" s="24"/>
      <c r="G9587" s="24"/>
      <c r="H9587" s="24"/>
      <c r="I9587" s="24"/>
      <c r="J9587" s="24"/>
      <c r="K9587" s="24"/>
    </row>
    <row r="9588" customFormat="false" ht="15" hidden="false" customHeight="false" outlineLevel="0" collapsed="false">
      <c r="A9588" s="3" t="s">
        <v>499</v>
      </c>
      <c r="C9588" s="25" t="n">
        <f aca="false">IF(C9584&gt;0,MIN(C9576,C9584*$C$9574),0)</f>
        <v>0</v>
      </c>
    </row>
    <row r="9589" customFormat="false" ht="15" hidden="false" customHeight="false" outlineLevel="0" collapsed="false">
      <c r="A9589" s="3" t="s">
        <v>500</v>
      </c>
      <c r="C9589" s="25" t="n">
        <f aca="false">IF(C9585&gt;0,MIN(C9577,C9585*$C$9574),0)</f>
        <v>0</v>
      </c>
    </row>
    <row r="9590" customFormat="false" ht="15" hidden="false" customHeight="false" outlineLevel="0" collapsed="false">
      <c r="A9590" s="3" t="s">
        <v>501</v>
      </c>
      <c r="C9590" s="25" t="n">
        <f aca="false">IF(C9586&gt;0,MIN(C9578,C9586*$C$9574),0)</f>
        <v>0</v>
      </c>
    </row>
    <row r="9591" customFormat="false" ht="15" hidden="false" customHeight="false" outlineLevel="0" collapsed="false">
      <c r="A9591" s="23" t="s">
        <v>505</v>
      </c>
      <c r="B9591" s="24"/>
      <c r="C9591" s="24"/>
      <c r="D9591" s="24"/>
      <c r="E9591" s="24"/>
      <c r="F9591" s="24"/>
      <c r="G9591" s="24"/>
      <c r="H9591" s="24"/>
      <c r="I9591" s="24"/>
      <c r="J9591" s="24"/>
      <c r="K9591" s="24"/>
    </row>
    <row r="9592" customFormat="false" ht="15" hidden="false" customHeight="false" outlineLevel="0" collapsed="false">
      <c r="A9592" s="3" t="s">
        <v>499</v>
      </c>
      <c r="C9592" s="25" t="n">
        <f aca="false">IF(C9584&gt;0,C9576-C9588,0)</f>
        <v>0</v>
      </c>
      <c r="G9592" s="20" t="n">
        <f aca="false">IF(AND(G9446=1,G9443=1),1,0)</f>
        <v>0</v>
      </c>
      <c r="H9592" s="20" t="n">
        <f aca="false">IF(G9592=1,1,IF(AND(H9446=1,H9443=1),1,0))</f>
        <v>0</v>
      </c>
      <c r="I9592" s="20" t="n">
        <f aca="false">IF(H9592=1,1,IF(AND(I9446=1,I9443=1),1,0))</f>
        <v>0</v>
      </c>
      <c r="J9592" s="20" t="n">
        <f aca="false">IF(I9592=1,1,IF(AND(J9446=1,J9443=1),1,0))</f>
        <v>0</v>
      </c>
      <c r="K9592" s="20" t="n">
        <f aca="false">IF(J9592=1,1,IF(AND(K9446=1,K9443=1),1,0))</f>
        <v>0</v>
      </c>
    </row>
    <row r="9593" customFormat="false" ht="15" hidden="false" customHeight="false" outlineLevel="0" collapsed="false">
      <c r="A9593" s="3" t="s">
        <v>500</v>
      </c>
      <c r="C9593" s="25" t="n">
        <f aca="false">IF(C9585&gt;0,C9577-C9589,0)</f>
        <v>0</v>
      </c>
      <c r="G9593" s="20" t="n">
        <f aca="false">IF(AND(G9459=1,G9443=1),1,0)</f>
        <v>0</v>
      </c>
      <c r="H9593" s="20" t="n">
        <f aca="false">IF(G9593=1,1,IF(AND(H9459=1,H9443=1),1,0))</f>
        <v>0</v>
      </c>
      <c r="I9593" s="20" t="n">
        <f aca="false">IF(H9593=1,1,IF(AND(I9459=1,I9443=1),1,0))</f>
        <v>0</v>
      </c>
      <c r="J9593" s="20" t="n">
        <f aca="false">IF(I9593=1,1,IF(AND(J9459=1,J9443=1),1,0))</f>
        <v>0</v>
      </c>
      <c r="K9593" s="20" t="n">
        <f aca="false">IF(J9593=1,1,IF(AND(K9459=1,K9443=1),1,0))</f>
        <v>0</v>
      </c>
    </row>
    <row r="9594" customFormat="false" ht="15" hidden="false" customHeight="false" outlineLevel="0" collapsed="false">
      <c r="A9594" s="3" t="s">
        <v>501</v>
      </c>
      <c r="C9594" s="25" t="n">
        <f aca="false">IF(C9586&gt;0,C9578-C9590,0)</f>
        <v>0</v>
      </c>
      <c r="G9594" s="20" t="n">
        <f aca="false">IF(AND(G9472=1,G9443=1),1,0)</f>
        <v>0</v>
      </c>
      <c r="H9594" s="20" t="n">
        <f aca="false">IF(G9594=1,1,IF(AND(H9472=1,H9443=1),1,0))</f>
        <v>0</v>
      </c>
      <c r="I9594" s="20" t="n">
        <f aca="false">IF(H9594=1,1,IF(AND(I9472=1,I9443=1),1,0))</f>
        <v>0</v>
      </c>
      <c r="J9594" s="20" t="n">
        <f aca="false">IF(I9594=1,1,IF(AND(J9472=1,J9443=1),1,0))</f>
        <v>0</v>
      </c>
      <c r="K9594" s="20" t="n">
        <f aca="false">IF(J9594=1,1,IF(AND(K9472=1,K9443=1),1,0))</f>
        <v>0</v>
      </c>
    </row>
    <row r="9595" customFormat="false" ht="15" hidden="false" customHeight="false" outlineLevel="0" collapsed="false">
      <c r="A9595" s="23" t="s">
        <v>506</v>
      </c>
      <c r="B9595" s="24"/>
      <c r="C9595" s="24"/>
      <c r="D9595" s="24"/>
      <c r="E9595" s="24"/>
      <c r="F9595" s="24"/>
      <c r="G9595" s="24"/>
      <c r="H9595" s="24"/>
      <c r="I9595" s="24"/>
      <c r="J9595" s="24"/>
      <c r="K9595" s="24"/>
    </row>
    <row r="9596" customFormat="false" ht="15" hidden="false" customHeight="false" outlineLevel="0" collapsed="false">
      <c r="A9596" s="3" t="s">
        <v>499</v>
      </c>
      <c r="C9596" s="25" t="n">
        <f aca="false">IF(C9584&gt;0,C9592,C9576)</f>
        <v>1349.6193225</v>
      </c>
    </row>
    <row r="9597" customFormat="false" ht="15" hidden="false" customHeight="false" outlineLevel="0" collapsed="false">
      <c r="A9597" s="3" t="s">
        <v>500</v>
      </c>
      <c r="C9597" s="25" t="n">
        <f aca="false">IF(C9585&gt;0,C9593,C9577)</f>
        <v>34.0179902530776</v>
      </c>
    </row>
    <row r="9598" customFormat="false" ht="15" hidden="false" customHeight="false" outlineLevel="0" collapsed="false">
      <c r="A9598" s="3" t="s">
        <v>501</v>
      </c>
      <c r="C9598" s="25" t="n">
        <f aca="false">IF(C9586&gt;0,C9594,C9578)</f>
        <v>145.27734375</v>
      </c>
    </row>
    <row r="9599" customFormat="false" ht="15" hidden="false" customHeight="false" outlineLevel="0" collapsed="false">
      <c r="A9599" s="23" t="s">
        <v>507</v>
      </c>
      <c r="B9599" s="24"/>
      <c r="C9599" s="24"/>
      <c r="D9599" s="24"/>
      <c r="E9599" s="24"/>
      <c r="F9599" s="24"/>
      <c r="G9599" s="24"/>
      <c r="H9599" s="24"/>
      <c r="I9599" s="24"/>
      <c r="J9599" s="24"/>
      <c r="K9599" s="24"/>
    </row>
    <row r="9600" customFormat="false" ht="15" hidden="false" customHeight="false" outlineLevel="0" collapsed="false">
      <c r="A9600" s="3" t="s">
        <v>499</v>
      </c>
      <c r="C9600" s="20" t="n">
        <f aca="false">IF(C9584&gt;0,Assumptions!$C$17,C9580)</f>
        <v>1</v>
      </c>
    </row>
    <row r="9601" customFormat="false" ht="15" hidden="false" customHeight="false" outlineLevel="0" collapsed="false">
      <c r="A9601" s="3" t="s">
        <v>500</v>
      </c>
      <c r="C9601" s="20" t="n">
        <f aca="false">IF(C9585&gt;0,Assumptions!$C$17,C9581)</f>
        <v>2</v>
      </c>
    </row>
    <row r="9602" customFormat="false" ht="15" hidden="false" customHeight="false" outlineLevel="0" collapsed="false">
      <c r="A9602" s="3" t="s">
        <v>501</v>
      </c>
      <c r="C9602" s="20" t="n">
        <f aca="false">IF(C9586&gt;0,Assumptions!$C$17,C9582)</f>
        <v>2</v>
      </c>
    </row>
    <row r="9603" customFormat="false" ht="15" hidden="false" customHeight="false" outlineLevel="0" collapsed="false">
      <c r="A9603" s="23" t="s">
        <v>508</v>
      </c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</row>
    <row r="9604" customFormat="false" ht="15" hidden="false" customHeight="false" outlineLevel="0" collapsed="false">
      <c r="A9604" s="3" t="s">
        <v>499</v>
      </c>
      <c r="C9604" s="25" t="n">
        <f aca="false">SUMPRODUCT(($C$9600:$C$9602&lt;C9600)*$C$9596:$C$9598)</f>
        <v>0</v>
      </c>
    </row>
    <row r="9605" customFormat="false" ht="15" hidden="false" customHeight="false" outlineLevel="0" collapsed="false">
      <c r="A9605" s="3" t="s">
        <v>500</v>
      </c>
      <c r="C9605" s="25" t="n">
        <f aca="false">SUMPRODUCT(($C$9600:$C$9602&lt;C9601)*$C$9596:$C$9598)</f>
        <v>1349.6193225</v>
      </c>
    </row>
    <row r="9606" customFormat="false" ht="15" hidden="false" customHeight="false" outlineLevel="0" collapsed="false">
      <c r="A9606" s="3" t="s">
        <v>501</v>
      </c>
      <c r="C9606" s="25" t="n">
        <f aca="false">SUMPRODUCT(($C$9600:$C$9602&lt;C9602)*$C$9596:$C$9598)</f>
        <v>1349.6193225</v>
      </c>
    </row>
    <row r="9607" customFormat="false" ht="15" hidden="false" customHeight="false" outlineLevel="0" collapsed="false">
      <c r="A9607" s="23" t="s">
        <v>509</v>
      </c>
      <c r="B9607" s="24"/>
      <c r="C9607" s="24"/>
      <c r="D9607" s="24"/>
      <c r="E9607" s="24"/>
      <c r="F9607" s="24"/>
      <c r="G9607" s="24"/>
      <c r="H9607" s="24"/>
      <c r="I9607" s="24"/>
      <c r="J9607" s="24"/>
      <c r="K9607" s="24"/>
    </row>
    <row r="9608" customFormat="false" ht="15" hidden="false" customHeight="false" outlineLevel="0" collapsed="false">
      <c r="A9608" s="3" t="s">
        <v>499</v>
      </c>
      <c r="C9608" s="25" t="n">
        <f aca="false">SUMPRODUCT(($C$9600:$C$9602=C9600)*$C$9596:$C$9598)</f>
        <v>1349.6193225</v>
      </c>
    </row>
    <row r="9609" customFormat="false" ht="15" hidden="false" customHeight="false" outlineLevel="0" collapsed="false">
      <c r="A9609" s="3" t="s">
        <v>500</v>
      </c>
      <c r="C9609" s="25" t="n">
        <f aca="false">SUMPRODUCT(($C$9600:$C$9602=C9601)*$C$9596:$C$9598)</f>
        <v>179.295334003078</v>
      </c>
    </row>
    <row r="9610" customFormat="false" ht="15" hidden="false" customHeight="false" outlineLevel="0" collapsed="false">
      <c r="A9610" s="3" t="s">
        <v>501</v>
      </c>
      <c r="C9610" s="25" t="n">
        <f aca="false">SUMPRODUCT(($C$9600:$C$9602=C9602)*$C$9596:$C$9598)</f>
        <v>179.295334003078</v>
      </c>
    </row>
    <row r="9611" customFormat="false" ht="15" hidden="false" customHeight="false" outlineLevel="0" collapsed="false">
      <c r="A9611" s="23" t="s">
        <v>510</v>
      </c>
      <c r="B9611" s="24"/>
      <c r="C9611" s="24"/>
      <c r="D9611" s="24"/>
      <c r="E9611" s="24"/>
      <c r="F9611" s="24"/>
      <c r="G9611" s="24"/>
      <c r="H9611" s="24"/>
      <c r="I9611" s="24"/>
      <c r="J9611" s="24"/>
      <c r="K9611" s="24"/>
    </row>
    <row r="9612" customFormat="false" ht="15" hidden="false" customHeight="false" outlineLevel="0" collapsed="false">
      <c r="A9612" s="3" t="s">
        <v>499</v>
      </c>
      <c r="C9612" s="25" t="n">
        <f aca="false">IF(C9608=0,0,C9596/C9608*MAX(0,MIN(C9608,$C$9574-SUM($C$9588:$C$9590)-C9604)))</f>
        <v>459.5705712</v>
      </c>
    </row>
    <row r="9613" customFormat="false" ht="15" hidden="false" customHeight="false" outlineLevel="0" collapsed="false">
      <c r="A9613" s="3" t="s">
        <v>500</v>
      </c>
      <c r="C9613" s="25" t="n">
        <f aca="false">IF(C9609=0,0,C9597/C9609*MAX(0,MIN(C9609,$C$9574-SUM($C$9588:$C$9590)-C9605)))</f>
        <v>0</v>
      </c>
    </row>
    <row r="9614" customFormat="false" ht="15" hidden="false" customHeight="false" outlineLevel="0" collapsed="false">
      <c r="A9614" s="3" t="s">
        <v>501</v>
      </c>
      <c r="C9614" s="25" t="n">
        <f aca="false">IF(C9610=0,0,C9598/C9610*MAX(0,MIN(C9610,$C$9574-SUM($C$9588:$C$9590)-C9606)))</f>
        <v>0</v>
      </c>
    </row>
    <row r="9615" customFormat="false" ht="15" hidden="false" customHeight="false" outlineLevel="0" collapsed="false">
      <c r="A9615" s="23" t="s">
        <v>511</v>
      </c>
      <c r="B9615" s="24"/>
      <c r="C9615" s="24"/>
      <c r="D9615" s="24"/>
      <c r="E9615" s="24"/>
      <c r="F9615" s="24"/>
      <c r="G9615" s="24"/>
      <c r="H9615" s="24"/>
      <c r="I9615" s="24"/>
      <c r="J9615" s="24"/>
      <c r="K9615" s="24"/>
    </row>
    <row r="9616" customFormat="false" ht="15" hidden="false" customHeight="false" outlineLevel="0" collapsed="false">
      <c r="A9616" s="2" t="s">
        <v>499</v>
      </c>
      <c r="C9616" s="16" t="n">
        <f aca="false">C9588+C9612</f>
        <v>459.5705712</v>
      </c>
    </row>
    <row r="9617" customFormat="false" ht="15" hidden="false" customHeight="false" outlineLevel="0" collapsed="false">
      <c r="A9617" s="2" t="s">
        <v>500</v>
      </c>
      <c r="C9617" s="16" t="n">
        <f aca="false">C9589+C9613</f>
        <v>0</v>
      </c>
    </row>
    <row r="9618" customFormat="false" ht="15" hidden="false" customHeight="false" outlineLevel="0" collapsed="false">
      <c r="A9618" s="2" t="s">
        <v>501</v>
      </c>
      <c r="C9618" s="16" t="n">
        <f aca="false">C9590+C9614</f>
        <v>0</v>
      </c>
    </row>
    <row r="9619" customFormat="false" ht="15" hidden="false" customHeight="false" outlineLevel="0" collapsed="false">
      <c r="A9619" s="23" t="s">
        <v>512</v>
      </c>
      <c r="B9619" s="24"/>
      <c r="C9619" s="24"/>
      <c r="D9619" s="24"/>
      <c r="E9619" s="24"/>
      <c r="F9619" s="24"/>
      <c r="G9619" s="24"/>
      <c r="H9619" s="24"/>
      <c r="I9619" s="24"/>
      <c r="J9619" s="24"/>
      <c r="K9619" s="24"/>
    </row>
    <row r="9620" customFormat="false" ht="15" hidden="false" customHeight="false" outlineLevel="0" collapsed="false">
      <c r="A9620" s="3" t="s">
        <v>499</v>
      </c>
      <c r="C9620" s="21" t="n">
        <f aca="false">IF(C9576=0,1,C9616/C9576)</f>
        <v>0.340518665921812</v>
      </c>
    </row>
    <row r="9621" customFormat="false" ht="15" hidden="false" customHeight="false" outlineLevel="0" collapsed="false">
      <c r="A9621" s="3" t="s">
        <v>500</v>
      </c>
      <c r="C9621" s="21" t="n">
        <f aca="false">IF(C9577=0,1,C9617/C9577)</f>
        <v>0</v>
      </c>
    </row>
    <row r="9622" customFormat="false" ht="15" hidden="false" customHeight="false" outlineLevel="0" collapsed="false">
      <c r="A9622" s="3" t="s">
        <v>501</v>
      </c>
      <c r="C9622" s="21" t="n">
        <f aca="false">IF(C9578=0,1,C9618/C9578)</f>
        <v>0</v>
      </c>
    </row>
    <row r="9623" customFormat="false" ht="15" hidden="false" customHeight="false" outlineLevel="0" collapsed="false">
      <c r="A9623" s="23" t="s">
        <v>513</v>
      </c>
      <c r="B9623" s="24"/>
      <c r="C9623" s="24"/>
      <c r="D9623" s="24"/>
      <c r="E9623" s="24"/>
      <c r="F9623" s="24"/>
      <c r="G9623" s="24"/>
      <c r="H9623" s="24"/>
      <c r="I9623" s="24"/>
      <c r="J9623" s="24"/>
      <c r="K9623" s="24"/>
    </row>
    <row r="9624" customFormat="false" ht="15" hidden="false" customHeight="false" outlineLevel="0" collapsed="false">
      <c r="A9624" s="3" t="s">
        <v>499</v>
      </c>
      <c r="C9624" s="25" t="n">
        <f aca="false">C9576-C9616</f>
        <v>890.0487513</v>
      </c>
    </row>
    <row r="9625" customFormat="false" ht="15" hidden="false" customHeight="false" outlineLevel="0" collapsed="false">
      <c r="A9625" s="3" t="s">
        <v>500</v>
      </c>
      <c r="C9625" s="25" t="n">
        <f aca="false">C9577-C9617</f>
        <v>34.0179902530776</v>
      </c>
    </row>
    <row r="9626" customFormat="false" ht="15" hidden="false" customHeight="false" outlineLevel="0" collapsed="false">
      <c r="A9626" s="3" t="s">
        <v>501</v>
      </c>
      <c r="C9626" s="25" t="n">
        <f aca="false">C9578-C9618</f>
        <v>145.27734375</v>
      </c>
    </row>
    <row r="9627" customFormat="false" ht="15" hidden="false" customHeight="false" outlineLevel="0" collapsed="false">
      <c r="A9627" s="23" t="s">
        <v>514</v>
      </c>
      <c r="B9627" s="24"/>
      <c r="C9627" s="24"/>
      <c r="D9627" s="24"/>
      <c r="E9627" s="24"/>
      <c r="F9627" s="24"/>
      <c r="G9627" s="24"/>
      <c r="H9627" s="24"/>
      <c r="I9627" s="24"/>
      <c r="J9627" s="24"/>
      <c r="K9627" s="24"/>
    </row>
    <row r="9628" customFormat="false" ht="15" hidden="false" customHeight="false" outlineLevel="0" collapsed="false">
      <c r="A9628" s="3" t="s">
        <v>499</v>
      </c>
      <c r="C9628" s="21" t="n">
        <f aca="false">IF(C9576=0,0,C9624/C9576)</f>
        <v>0.659481334078188</v>
      </c>
    </row>
    <row r="9629" customFormat="false" ht="15" hidden="false" customHeight="false" outlineLevel="0" collapsed="false">
      <c r="A9629" s="3" t="s">
        <v>500</v>
      </c>
      <c r="C9629" s="21" t="n">
        <f aca="false">IF(C9577=0,0,C9625/C9577)</f>
        <v>1</v>
      </c>
    </row>
    <row r="9630" customFormat="false" ht="15" hidden="false" customHeight="false" outlineLevel="0" collapsed="false">
      <c r="A9630" s="3" t="s">
        <v>501</v>
      </c>
      <c r="C9630" s="21" t="n">
        <f aca="false">IF(C9578=0,0,C9626/C9578)</f>
        <v>1</v>
      </c>
    </row>
    <row r="9631" customFormat="false" ht="15" hidden="false" customHeight="false" outlineLevel="0" collapsed="false">
      <c r="A9631" s="2" t="s">
        <v>515</v>
      </c>
      <c r="C9631" s="16" t="n">
        <f aca="false">MAX(0,$C$9574-SUM($C$9588:$C$9590)-SUM($C$9596:$C$9598))</f>
        <v>0</v>
      </c>
    </row>
    <row r="9632" customFormat="false" ht="15" hidden="false" customHeight="false" outlineLevel="0" collapsed="false">
      <c r="A9632" s="3" t="s">
        <v>516</v>
      </c>
      <c r="C9632" s="25" t="n">
        <f aca="false">SUM($C$9616:$C$9618)+C9631+C9573-C9572</f>
        <v>0</v>
      </c>
    </row>
    <row r="9634" customFormat="false" ht="15" hidden="false" customHeight="false" outlineLevel="0" collapsed="false">
      <c r="A9634" s="23" t="s">
        <v>519</v>
      </c>
      <c r="B9634" s="24"/>
      <c r="C9634" s="24"/>
      <c r="D9634" s="24"/>
      <c r="E9634" s="24"/>
      <c r="F9634" s="24"/>
      <c r="G9634" s="24"/>
      <c r="H9634" s="24"/>
      <c r="I9634" s="24"/>
      <c r="J9634" s="24"/>
      <c r="K9634" s="24"/>
    </row>
    <row r="9635" customFormat="false" ht="15" hidden="false" customHeight="false" outlineLevel="0" collapsed="false">
      <c r="A9635" s="3" t="s">
        <v>520</v>
      </c>
      <c r="C9635" s="27" t="n">
        <f aca="false">Assumptions!$C$33</f>
        <v>1</v>
      </c>
    </row>
    <row r="9636" customFormat="false" ht="15" hidden="false" customHeight="false" outlineLevel="0" collapsed="false">
      <c r="A9636" s="3" t="s">
        <v>521</v>
      </c>
      <c r="C9636" s="29" t="n">
        <f aca="false">Assumptions!$C$34</f>
        <v>100</v>
      </c>
    </row>
    <row r="9637" customFormat="false" ht="15" hidden="false" customHeight="false" outlineLevel="0" collapsed="false">
      <c r="A9637" s="3" t="s">
        <v>522</v>
      </c>
      <c r="C9637" s="40" t="n">
        <f aca="false">Assumptions!$C$35</f>
        <v>95</v>
      </c>
    </row>
    <row r="9638" customFormat="false" ht="15" hidden="false" customHeight="false" outlineLevel="0" collapsed="false">
      <c r="A9638" s="3" t="s">
        <v>523</v>
      </c>
      <c r="C9638" s="25" t="n">
        <f aca="false">C9636*C9637/100*(1+Assumptions!$C$36)</f>
        <v>95</v>
      </c>
    </row>
    <row r="9639" customFormat="false" ht="15" hidden="false" customHeight="false" outlineLevel="0" collapsed="false">
      <c r="A9639" s="3" t="s">
        <v>524</v>
      </c>
      <c r="C9639" s="27" t="n">
        <f aca="false">Assumptions!$C$37</f>
        <v>3</v>
      </c>
    </row>
    <row r="9640" customFormat="false" ht="15" hidden="false" customHeight="false" outlineLevel="0" collapsed="false">
      <c r="A9640" s="3" t="s">
        <v>525</v>
      </c>
      <c r="C9640" s="20" t="n">
        <f aca="false">IF(C9565=1,SUMPRODUCT($G$9517:$K$9517,$G$9410:$K$9410),0)</f>
        <v>3</v>
      </c>
    </row>
    <row r="9641" customFormat="false" ht="15" hidden="false" customHeight="false" outlineLevel="0" collapsed="false">
      <c r="A9641" s="3" t="s">
        <v>526</v>
      </c>
      <c r="C9641" s="21" t="n">
        <f aca="false">IFERROR(C9636/CHOOSE(C9635,SUMPRODUCT($G$9564:$K$9564,$G$9456:$K$9456),SUMPRODUCT($G$9564:$K$9564,$G$9469:$K$9469),SUMPRODUCT($G$9564:$K$9564,$G$9482:$K$9482)),0)</f>
        <v>0.0760399605200525</v>
      </c>
    </row>
    <row r="9642" customFormat="false" ht="15" hidden="false" customHeight="false" outlineLevel="0" collapsed="false">
      <c r="A9642" s="3" t="s">
        <v>527</v>
      </c>
      <c r="C9642" s="25" t="n">
        <f aca="false">CHOOSE(C9635,C9616,C9617,C9618)*C9641</f>
        <v>34.945728090226</v>
      </c>
    </row>
    <row r="9643" customFormat="false" ht="15" hidden="false" customHeight="false" outlineLevel="0" collapsed="false">
      <c r="A9643" s="3" t="s">
        <v>528</v>
      </c>
      <c r="C9643" s="21" t="n">
        <f aca="false">CHOOSE(C9635,C9620,C9621,C9622)</f>
        <v>0.340518665921812</v>
      </c>
    </row>
    <row r="9644" customFormat="false" ht="15" hidden="false" customHeight="false" outlineLevel="0" collapsed="false">
      <c r="A9644" s="3" t="s">
        <v>529</v>
      </c>
      <c r="C9644" s="20" t="n">
        <f aca="false">IF(C9565=1,C9640,C9639)</f>
        <v>3</v>
      </c>
    </row>
    <row r="9645" customFormat="false" ht="15" hidden="false" customHeight="false" outlineLevel="0" collapsed="false">
      <c r="A9645" s="3" t="s">
        <v>530</v>
      </c>
      <c r="C9645" s="34" t="n">
        <f aca="false">CHOOSE($C$9402,Assumptions!$C$83,Assumptions!$C$102,Assumptions!$C$121)</f>
        <v>80</v>
      </c>
    </row>
    <row r="9646" customFormat="false" ht="15" hidden="false" customHeight="false" outlineLevel="0" collapsed="false">
      <c r="A9646" s="3" t="s">
        <v>531</v>
      </c>
      <c r="C9646" s="25" t="n">
        <f aca="false">INDEX($G$9419:$K$9419,C9639)*CHOOSE($C$9402,Assumptions!$C$82,Assumptions!$C$101,Assumptions!$C$120)+MAX(0,INDEX($G$9514:$K$9514,C9639))</f>
        <v>359.4031816284</v>
      </c>
    </row>
    <row r="9647" customFormat="false" ht="15" hidden="false" customHeight="false" outlineLevel="0" collapsed="false">
      <c r="A9647" s="23" t="s">
        <v>532</v>
      </c>
      <c r="B9647" s="24"/>
      <c r="C9647" s="24"/>
      <c r="D9647" s="24"/>
      <c r="E9647" s="24"/>
      <c r="F9647" s="24"/>
      <c r="G9647" s="24"/>
      <c r="H9647" s="24"/>
      <c r="I9647" s="24"/>
      <c r="J9647" s="24"/>
      <c r="K9647" s="24"/>
    </row>
    <row r="9648" customFormat="false" ht="15" hidden="false" customHeight="false" outlineLevel="0" collapsed="false">
      <c r="A9648" s="3" t="s">
        <v>499</v>
      </c>
      <c r="C9648" s="25" t="n">
        <f aca="false">INDEX($G$9456:$K$9456,C9639)</f>
        <v>1315.098</v>
      </c>
    </row>
    <row r="9649" customFormat="false" ht="15" hidden="false" customHeight="false" outlineLevel="0" collapsed="false">
      <c r="A9649" s="3" t="s">
        <v>500</v>
      </c>
      <c r="C9649" s="25" t="n">
        <f aca="false">INDEX($G$9469:$K$9469,C9639)</f>
        <v>33.66034904448</v>
      </c>
    </row>
    <row r="9650" customFormat="false" ht="15" hidden="false" customHeight="false" outlineLevel="0" collapsed="false">
      <c r="A9650" s="3" t="s">
        <v>501</v>
      </c>
      <c r="C9650" s="25" t="n">
        <f aca="false">INDEX($G$9482:$K$9482,C9639)</f>
        <v>143.75</v>
      </c>
    </row>
    <row r="9651" customFormat="false" ht="15" hidden="false" customHeight="false" outlineLevel="0" collapsed="false">
      <c r="A9651" s="23" t="s">
        <v>502</v>
      </c>
      <c r="B9651" s="24"/>
      <c r="C9651" s="24"/>
      <c r="D9651" s="24"/>
      <c r="E9651" s="24"/>
      <c r="F9651" s="24"/>
      <c r="G9651" s="24"/>
      <c r="H9651" s="24"/>
      <c r="I9651" s="24"/>
      <c r="J9651" s="24"/>
      <c r="K9651" s="24"/>
    </row>
    <row r="9652" customFormat="false" ht="15" hidden="false" customHeight="false" outlineLevel="0" collapsed="false">
      <c r="A9652" s="3" t="s">
        <v>499</v>
      </c>
      <c r="C9652" s="27" t="n">
        <f aca="false">Assumptions!$M$56</f>
        <v>1</v>
      </c>
    </row>
    <row r="9653" customFormat="false" ht="15" hidden="false" customHeight="false" outlineLevel="0" collapsed="false">
      <c r="A9653" s="3" t="s">
        <v>500</v>
      </c>
      <c r="C9653" s="27" t="n">
        <f aca="false">Assumptions!$M$57</f>
        <v>2</v>
      </c>
    </row>
    <row r="9654" customFormat="false" ht="15" hidden="false" customHeight="false" outlineLevel="0" collapsed="false">
      <c r="A9654" s="3" t="s">
        <v>501</v>
      </c>
      <c r="C9654" s="27" t="n">
        <f aca="false">Assumptions!$M$58</f>
        <v>2</v>
      </c>
    </row>
    <row r="9655" customFormat="false" ht="15" hidden="false" customHeight="false" outlineLevel="0" collapsed="false">
      <c r="A9655" s="23" t="s">
        <v>503</v>
      </c>
      <c r="B9655" s="24"/>
      <c r="C9655" s="24"/>
      <c r="D9655" s="24"/>
      <c r="E9655" s="24"/>
      <c r="F9655" s="24"/>
      <c r="G9655" s="24"/>
      <c r="H9655" s="24"/>
      <c r="I9655" s="24"/>
      <c r="J9655" s="24"/>
      <c r="K9655" s="24"/>
    </row>
    <row r="9656" customFormat="false" ht="15" hidden="false" customHeight="false" outlineLevel="0" collapsed="false">
      <c r="A9656" s="3" t="s">
        <v>499</v>
      </c>
      <c r="C9656" s="35" t="n">
        <f aca="false">Assumptions!$Q$56</f>
        <v>0</v>
      </c>
    </row>
    <row r="9657" customFormat="false" ht="15" hidden="false" customHeight="false" outlineLevel="0" collapsed="false">
      <c r="A9657" s="3" t="s">
        <v>500</v>
      </c>
      <c r="C9657" s="35" t="n">
        <f aca="false">Assumptions!$Q$57</f>
        <v>0</v>
      </c>
    </row>
    <row r="9658" customFormat="false" ht="15" hidden="false" customHeight="false" outlineLevel="0" collapsed="false">
      <c r="A9658" s="3" t="s">
        <v>501</v>
      </c>
      <c r="C9658" s="35" t="n">
        <f aca="false">Assumptions!$Q$58</f>
        <v>0</v>
      </c>
    </row>
    <row r="9659" customFormat="false" ht="15" hidden="false" customHeight="false" outlineLevel="0" collapsed="false">
      <c r="A9659" s="23" t="s">
        <v>504</v>
      </c>
      <c r="B9659" s="24"/>
      <c r="C9659" s="24"/>
      <c r="D9659" s="24"/>
      <c r="E9659" s="24"/>
      <c r="F9659" s="24"/>
      <c r="G9659" s="24"/>
      <c r="H9659" s="24"/>
      <c r="I9659" s="24"/>
      <c r="J9659" s="24"/>
      <c r="K9659" s="24"/>
    </row>
    <row r="9660" customFormat="false" ht="15" hidden="false" customHeight="false" outlineLevel="0" collapsed="false">
      <c r="A9660" s="3" t="s">
        <v>499</v>
      </c>
      <c r="C9660" s="25" t="n">
        <f aca="false">IF(C9656&gt;0,MIN(C9648,C9656*$C$9646),0)</f>
        <v>0</v>
      </c>
    </row>
    <row r="9661" customFormat="false" ht="15" hidden="false" customHeight="false" outlineLevel="0" collapsed="false">
      <c r="A9661" s="3" t="s">
        <v>500</v>
      </c>
      <c r="C9661" s="25" t="n">
        <f aca="false">IF(C9657&gt;0,MIN(C9649,C9657*$C$9646),0)</f>
        <v>0</v>
      </c>
    </row>
    <row r="9662" customFormat="false" ht="15" hidden="false" customHeight="false" outlineLevel="0" collapsed="false">
      <c r="A9662" s="3" t="s">
        <v>501</v>
      </c>
      <c r="C9662" s="25" t="n">
        <f aca="false">IF(C9658&gt;0,MIN(C9650,C9658*$C$9646),0)</f>
        <v>0</v>
      </c>
    </row>
    <row r="9663" customFormat="false" ht="15" hidden="false" customHeight="false" outlineLevel="0" collapsed="false">
      <c r="A9663" s="23" t="s">
        <v>505</v>
      </c>
      <c r="B9663" s="24"/>
      <c r="C9663" s="24"/>
      <c r="D9663" s="24"/>
      <c r="E9663" s="24"/>
      <c r="F9663" s="24"/>
      <c r="G9663" s="24"/>
      <c r="H9663" s="24"/>
      <c r="I9663" s="24"/>
      <c r="J9663" s="24"/>
      <c r="K9663" s="24"/>
    </row>
    <row r="9664" customFormat="false" ht="15" hidden="false" customHeight="false" outlineLevel="0" collapsed="false">
      <c r="A9664" s="3" t="s">
        <v>499</v>
      </c>
      <c r="C9664" s="25" t="n">
        <f aca="false">IF(C9656&gt;0,C9648-C9660,0)</f>
        <v>0</v>
      </c>
    </row>
    <row r="9665" customFormat="false" ht="15" hidden="false" customHeight="false" outlineLevel="0" collapsed="false">
      <c r="A9665" s="3" t="s">
        <v>500</v>
      </c>
      <c r="C9665" s="25" t="n">
        <f aca="false">IF(C9657&gt;0,C9649-C9661,0)</f>
        <v>0</v>
      </c>
    </row>
    <row r="9666" customFormat="false" ht="15" hidden="false" customHeight="false" outlineLevel="0" collapsed="false">
      <c r="A9666" s="3" t="s">
        <v>501</v>
      </c>
      <c r="C9666" s="25" t="n">
        <f aca="false">IF(C9658&gt;0,C9650-C9662,0)</f>
        <v>0</v>
      </c>
    </row>
    <row r="9667" customFormat="false" ht="15" hidden="false" customHeight="false" outlineLevel="0" collapsed="false">
      <c r="A9667" s="23" t="s">
        <v>506</v>
      </c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</row>
    <row r="9668" customFormat="false" ht="15" hidden="false" customHeight="false" outlineLevel="0" collapsed="false">
      <c r="A9668" s="3" t="s">
        <v>499</v>
      </c>
      <c r="C9668" s="25" t="n">
        <f aca="false">IF(C9656&gt;0,C9664,C9648)</f>
        <v>1315.098</v>
      </c>
    </row>
    <row r="9669" customFormat="false" ht="15" hidden="false" customHeight="false" outlineLevel="0" collapsed="false">
      <c r="A9669" s="3" t="s">
        <v>500</v>
      </c>
      <c r="C9669" s="25" t="n">
        <f aca="false">IF(C9657&gt;0,C9665,C9649)</f>
        <v>33.66034904448</v>
      </c>
    </row>
    <row r="9670" customFormat="false" ht="15" hidden="false" customHeight="false" outlineLevel="0" collapsed="false">
      <c r="A9670" s="3" t="s">
        <v>501</v>
      </c>
      <c r="C9670" s="25" t="n">
        <f aca="false">IF(C9658&gt;0,C9666,C9650)</f>
        <v>143.75</v>
      </c>
    </row>
    <row r="9671" customFormat="false" ht="15" hidden="false" customHeight="false" outlineLevel="0" collapsed="false">
      <c r="A9671" s="23" t="s">
        <v>507</v>
      </c>
      <c r="B9671" s="24"/>
      <c r="C9671" s="24"/>
      <c r="D9671" s="24"/>
      <c r="E9671" s="24"/>
      <c r="F9671" s="24"/>
      <c r="G9671" s="24"/>
      <c r="H9671" s="24"/>
      <c r="I9671" s="24"/>
      <c r="J9671" s="24"/>
      <c r="K9671" s="24"/>
    </row>
    <row r="9672" customFormat="false" ht="15" hidden="false" customHeight="false" outlineLevel="0" collapsed="false">
      <c r="A9672" s="3" t="s">
        <v>499</v>
      </c>
      <c r="C9672" s="20" t="n">
        <f aca="false">IF(C9656&gt;0,Assumptions!$C$17,C9652)</f>
        <v>1</v>
      </c>
    </row>
    <row r="9673" customFormat="false" ht="15" hidden="false" customHeight="false" outlineLevel="0" collapsed="false">
      <c r="A9673" s="3" t="s">
        <v>500</v>
      </c>
      <c r="C9673" s="20" t="n">
        <f aca="false">IF(C9657&gt;0,Assumptions!$C$17,C9653)</f>
        <v>2</v>
      </c>
    </row>
    <row r="9674" customFormat="false" ht="15" hidden="false" customHeight="false" outlineLevel="0" collapsed="false">
      <c r="A9674" s="3" t="s">
        <v>501</v>
      </c>
      <c r="C9674" s="20" t="n">
        <f aca="false">IF(C9658&gt;0,Assumptions!$C$17,C9654)</f>
        <v>2</v>
      </c>
    </row>
    <row r="9675" customFormat="false" ht="15" hidden="false" customHeight="false" outlineLevel="0" collapsed="false">
      <c r="A9675" s="23" t="s">
        <v>508</v>
      </c>
      <c r="B9675" s="24"/>
      <c r="C9675" s="24"/>
      <c r="D9675" s="24"/>
      <c r="E9675" s="24"/>
      <c r="F9675" s="24"/>
      <c r="G9675" s="24"/>
      <c r="H9675" s="24"/>
      <c r="I9675" s="24"/>
      <c r="J9675" s="24"/>
      <c r="K9675" s="24"/>
    </row>
    <row r="9676" customFormat="false" ht="15" hidden="false" customHeight="false" outlineLevel="0" collapsed="false">
      <c r="A9676" s="3" t="s">
        <v>499</v>
      </c>
      <c r="C9676" s="25" t="n">
        <f aca="false">SUMPRODUCT(($C$9672:$C$9674&lt;C9672)*$C$9668:$C$9670)</f>
        <v>0</v>
      </c>
    </row>
    <row r="9677" customFormat="false" ht="15" hidden="false" customHeight="false" outlineLevel="0" collapsed="false">
      <c r="A9677" s="3" t="s">
        <v>500</v>
      </c>
      <c r="C9677" s="25" t="n">
        <f aca="false">SUMPRODUCT(($C$9672:$C$9674&lt;C9673)*$C$9668:$C$9670)</f>
        <v>1315.098</v>
      </c>
    </row>
    <row r="9678" customFormat="false" ht="15" hidden="false" customHeight="false" outlineLevel="0" collapsed="false">
      <c r="A9678" s="3" t="s">
        <v>501</v>
      </c>
      <c r="C9678" s="25" t="n">
        <f aca="false">SUMPRODUCT(($C$9672:$C$9674&lt;C9674)*$C$9668:$C$9670)</f>
        <v>1315.098</v>
      </c>
    </row>
    <row r="9679" customFormat="false" ht="15" hidden="false" customHeight="false" outlineLevel="0" collapsed="false">
      <c r="A9679" s="23" t="s">
        <v>509</v>
      </c>
      <c r="B9679" s="24"/>
      <c r="C9679" s="24"/>
      <c r="D9679" s="24"/>
      <c r="E9679" s="24"/>
      <c r="F9679" s="24"/>
      <c r="G9679" s="24"/>
      <c r="H9679" s="24"/>
      <c r="I9679" s="24"/>
      <c r="J9679" s="24"/>
      <c r="K9679" s="24"/>
    </row>
    <row r="9680" customFormat="false" ht="15" hidden="false" customHeight="false" outlineLevel="0" collapsed="false">
      <c r="A9680" s="3" t="s">
        <v>499</v>
      </c>
      <c r="C9680" s="25" t="n">
        <f aca="false">SUMPRODUCT(($C$9672:$C$9674=C9672)*$C$9668:$C$9670)</f>
        <v>1315.098</v>
      </c>
    </row>
    <row r="9681" customFormat="false" ht="15" hidden="false" customHeight="false" outlineLevel="0" collapsed="false">
      <c r="A9681" s="3" t="s">
        <v>500</v>
      </c>
      <c r="C9681" s="25" t="n">
        <f aca="false">SUMPRODUCT(($C$9672:$C$9674=C9673)*$C$9668:$C$9670)</f>
        <v>177.41034904448</v>
      </c>
    </row>
    <row r="9682" customFormat="false" ht="15" hidden="false" customHeight="false" outlineLevel="0" collapsed="false">
      <c r="A9682" s="3" t="s">
        <v>501</v>
      </c>
      <c r="C9682" s="25" t="n">
        <f aca="false">SUMPRODUCT(($C$9672:$C$9674=C9674)*$C$9668:$C$9670)</f>
        <v>177.41034904448</v>
      </c>
    </row>
    <row r="9683" customFormat="false" ht="15" hidden="false" customHeight="false" outlineLevel="0" collapsed="false">
      <c r="A9683" s="23" t="s">
        <v>510</v>
      </c>
      <c r="B9683" s="24"/>
      <c r="C9683" s="24"/>
      <c r="D9683" s="24"/>
      <c r="E9683" s="24"/>
      <c r="F9683" s="24"/>
      <c r="G9683" s="24"/>
      <c r="H9683" s="24"/>
      <c r="I9683" s="24"/>
      <c r="J9683" s="24"/>
      <c r="K9683" s="24"/>
    </row>
    <row r="9684" customFormat="false" ht="15" hidden="false" customHeight="false" outlineLevel="0" collapsed="false">
      <c r="A9684" s="3" t="s">
        <v>499</v>
      </c>
      <c r="C9684" s="25" t="n">
        <f aca="false">IF(C9680=0,0,C9668/C9680*MAX(0,MIN(C9680,$C$9646-SUM($C$9660:$C$9662)-C9676)))</f>
        <v>359.4031816284</v>
      </c>
    </row>
    <row r="9685" customFormat="false" ht="15" hidden="false" customHeight="false" outlineLevel="0" collapsed="false">
      <c r="A9685" s="3" t="s">
        <v>500</v>
      </c>
      <c r="C9685" s="25" t="n">
        <f aca="false">IF(C9681=0,0,C9669/C9681*MAX(0,MIN(C9681,$C$9646-SUM($C$9660:$C$9662)-C9677)))</f>
        <v>0</v>
      </c>
    </row>
    <row r="9686" customFormat="false" ht="15" hidden="false" customHeight="false" outlineLevel="0" collapsed="false">
      <c r="A9686" s="3" t="s">
        <v>501</v>
      </c>
      <c r="C9686" s="25" t="n">
        <f aca="false">IF(C9682=0,0,C9670/C9682*MAX(0,MIN(C9682,$C$9646-SUM($C$9660:$C$9662)-C9678)))</f>
        <v>0</v>
      </c>
    </row>
    <row r="9687" customFormat="false" ht="15" hidden="false" customHeight="false" outlineLevel="0" collapsed="false">
      <c r="A9687" s="23" t="s">
        <v>511</v>
      </c>
      <c r="B9687" s="24"/>
      <c r="C9687" s="24"/>
      <c r="D9687" s="24"/>
      <c r="E9687" s="24"/>
      <c r="F9687" s="24"/>
      <c r="G9687" s="24"/>
      <c r="H9687" s="24"/>
      <c r="I9687" s="24"/>
      <c r="J9687" s="24"/>
      <c r="K9687" s="24"/>
    </row>
    <row r="9688" customFormat="false" ht="15" hidden="false" customHeight="false" outlineLevel="0" collapsed="false">
      <c r="A9688" s="2" t="s">
        <v>499</v>
      </c>
      <c r="C9688" s="16" t="n">
        <f aca="false">C9660+C9684</f>
        <v>359.4031816284</v>
      </c>
    </row>
    <row r="9689" customFormat="false" ht="15" hidden="false" customHeight="false" outlineLevel="0" collapsed="false">
      <c r="A9689" s="2" t="s">
        <v>500</v>
      </c>
      <c r="C9689" s="16" t="n">
        <f aca="false">C9661+C9685</f>
        <v>0</v>
      </c>
    </row>
    <row r="9690" customFormat="false" ht="15" hidden="false" customHeight="false" outlineLevel="0" collapsed="false">
      <c r="A9690" s="2" t="s">
        <v>501</v>
      </c>
      <c r="C9690" s="16" t="n">
        <f aca="false">C9662+C9686</f>
        <v>0</v>
      </c>
    </row>
    <row r="9691" customFormat="false" ht="15" hidden="false" customHeight="false" outlineLevel="0" collapsed="false">
      <c r="A9691" s="23" t="s">
        <v>512</v>
      </c>
      <c r="B9691" s="24"/>
      <c r="C9691" s="24"/>
      <c r="D9691" s="24"/>
      <c r="E9691" s="24"/>
      <c r="F9691" s="24"/>
      <c r="G9691" s="24"/>
      <c r="H9691" s="24"/>
      <c r="I9691" s="24"/>
      <c r="J9691" s="24"/>
      <c r="K9691" s="24"/>
    </row>
    <row r="9692" customFormat="false" ht="15" hidden="false" customHeight="false" outlineLevel="0" collapsed="false">
      <c r="A9692" s="3" t="s">
        <v>499</v>
      </c>
      <c r="C9692" s="21" t="n">
        <f aca="false">IF(C9648=0,1,C9688/C9648)</f>
        <v>0.273290037418048</v>
      </c>
    </row>
    <row r="9693" customFormat="false" ht="15" hidden="false" customHeight="false" outlineLevel="0" collapsed="false">
      <c r="A9693" s="3" t="s">
        <v>500</v>
      </c>
      <c r="C9693" s="21" t="n">
        <f aca="false">IF(C9649=0,1,C9689/C9649)</f>
        <v>0</v>
      </c>
    </row>
    <row r="9694" customFormat="false" ht="15" hidden="false" customHeight="false" outlineLevel="0" collapsed="false">
      <c r="A9694" s="3" t="s">
        <v>501</v>
      </c>
      <c r="C9694" s="21" t="n">
        <f aca="false">IF(C9650=0,1,C9690/C9650)</f>
        <v>0</v>
      </c>
    </row>
    <row r="9695" customFormat="false" ht="15" hidden="false" customHeight="false" outlineLevel="0" collapsed="false">
      <c r="A9695" s="23" t="s">
        <v>513</v>
      </c>
      <c r="B9695" s="24"/>
      <c r="C9695" s="24"/>
      <c r="D9695" s="24"/>
      <c r="E9695" s="24"/>
      <c r="F9695" s="24"/>
      <c r="G9695" s="24"/>
      <c r="H9695" s="24"/>
      <c r="I9695" s="24"/>
      <c r="J9695" s="24"/>
      <c r="K9695" s="24"/>
    </row>
    <row r="9696" customFormat="false" ht="15" hidden="false" customHeight="false" outlineLevel="0" collapsed="false">
      <c r="A9696" s="3" t="s">
        <v>499</v>
      </c>
      <c r="C9696" s="25" t="n">
        <f aca="false">C9648-C9688</f>
        <v>955.6948183716</v>
      </c>
    </row>
    <row r="9697" customFormat="false" ht="15" hidden="false" customHeight="false" outlineLevel="0" collapsed="false">
      <c r="A9697" s="3" t="s">
        <v>500</v>
      </c>
      <c r="C9697" s="25" t="n">
        <f aca="false">C9649-C9689</f>
        <v>33.66034904448</v>
      </c>
    </row>
    <row r="9698" customFormat="false" ht="15" hidden="false" customHeight="false" outlineLevel="0" collapsed="false">
      <c r="A9698" s="3" t="s">
        <v>501</v>
      </c>
      <c r="C9698" s="25" t="n">
        <f aca="false">C9650-C9690</f>
        <v>143.75</v>
      </c>
    </row>
    <row r="9699" customFormat="false" ht="15" hidden="false" customHeight="false" outlineLevel="0" collapsed="false">
      <c r="A9699" s="23" t="s">
        <v>514</v>
      </c>
      <c r="B9699" s="24"/>
      <c r="C9699" s="24"/>
      <c r="D9699" s="24"/>
      <c r="E9699" s="24"/>
      <c r="F9699" s="24"/>
      <c r="G9699" s="24"/>
      <c r="H9699" s="24"/>
      <c r="I9699" s="24"/>
      <c r="J9699" s="24"/>
      <c r="K9699" s="24"/>
    </row>
    <row r="9700" customFormat="false" ht="15" hidden="false" customHeight="false" outlineLevel="0" collapsed="false">
      <c r="A9700" s="3" t="s">
        <v>499</v>
      </c>
      <c r="C9700" s="21" t="n">
        <f aca="false">IF(C9648=0,0,C9696/C9648)</f>
        <v>0.726709962581952</v>
      </c>
    </row>
    <row r="9701" customFormat="false" ht="15" hidden="false" customHeight="false" outlineLevel="0" collapsed="false">
      <c r="A9701" s="3" t="s">
        <v>500</v>
      </c>
      <c r="C9701" s="21" t="n">
        <f aca="false">IF(C9649=0,0,C9697/C9649)</f>
        <v>1</v>
      </c>
    </row>
    <row r="9702" customFormat="false" ht="15" hidden="false" customHeight="false" outlineLevel="0" collapsed="false">
      <c r="A9702" s="3" t="s">
        <v>501</v>
      </c>
      <c r="C9702" s="21" t="n">
        <f aca="false">IF(C9650=0,0,C9698/C9650)</f>
        <v>1</v>
      </c>
    </row>
    <row r="9703" customFormat="false" ht="15" hidden="false" customHeight="false" outlineLevel="0" collapsed="false">
      <c r="A9703" s="2" t="s">
        <v>515</v>
      </c>
      <c r="C9703" s="16" t="n">
        <f aca="false">MAX(0,$C$9646-SUM($C$9660:$C$9662)-SUM($C$9668:$C$9670))</f>
        <v>0</v>
      </c>
    </row>
    <row r="9704" customFormat="false" ht="15" hidden="false" customHeight="false" outlineLevel="0" collapsed="false">
      <c r="A9704" s="3" t="s">
        <v>533</v>
      </c>
      <c r="C9704" s="34" t="n">
        <f aca="false">MIN(C9645,100*CHOOSE(C9635,C9692,C9693,C9694))</f>
        <v>27.3290037418048</v>
      </c>
    </row>
    <row r="9705" customFormat="false" ht="15" hidden="false" customHeight="false" outlineLevel="0" collapsed="false">
      <c r="A9705" s="3" t="s">
        <v>534</v>
      </c>
      <c r="C9705" s="20" t="n">
        <f aca="false">IF(C9565=1,C9640+Assumptions!$C$39,C9639)</f>
        <v>4</v>
      </c>
    </row>
    <row r="9706" customFormat="false" ht="15" hidden="false" customHeight="false" outlineLevel="0" collapsed="false">
      <c r="A9706" s="23" t="s">
        <v>535</v>
      </c>
      <c r="B9706" s="24"/>
      <c r="C9706" s="24"/>
      <c r="D9706" s="24"/>
      <c r="E9706" s="24"/>
      <c r="F9706" s="24"/>
      <c r="G9706" s="24"/>
      <c r="H9706" s="24"/>
      <c r="I9706" s="24"/>
      <c r="J9706" s="24"/>
      <c r="K9706" s="24"/>
    </row>
    <row r="9707" customFormat="false" ht="15" hidden="false" customHeight="false" outlineLevel="0" collapsed="false">
      <c r="A9707" s="3" t="s">
        <v>536</v>
      </c>
      <c r="C9707" s="20" t="n">
        <f aca="false">COLUMN()-COLUMN($C$1)</f>
        <v>0</v>
      </c>
      <c r="D9707" s="20" t="n">
        <f aca="false">COLUMN()-COLUMN($C$1)</f>
        <v>1</v>
      </c>
      <c r="E9707" s="20" t="n">
        <f aca="false">COLUMN()-COLUMN($C$1)</f>
        <v>2</v>
      </c>
      <c r="F9707" s="20" t="n">
        <f aca="false">COLUMN()-COLUMN($C$1)</f>
        <v>3</v>
      </c>
      <c r="G9707" s="20" t="n">
        <f aca="false">COLUMN()-COLUMN($C$1)</f>
        <v>4</v>
      </c>
      <c r="H9707" s="20" t="n">
        <f aca="false">COLUMN()-COLUMN($C$1)</f>
        <v>5</v>
      </c>
      <c r="I9707" s="20" t="n">
        <f aca="false">COLUMN()-COLUMN($C$1)</f>
        <v>6</v>
      </c>
    </row>
    <row r="9708" customFormat="false" ht="15" hidden="false" customHeight="false" outlineLevel="0" collapsed="false">
      <c r="A9708" s="3" t="s">
        <v>537</v>
      </c>
      <c r="D9708" s="31" t="n">
        <f aca="false">CHOOSE($C$9635,G9448,G9461,G9474)</f>
        <v>0.105</v>
      </c>
      <c r="E9708" s="31" t="n">
        <f aca="false">CHOOSE($C$9635,H9448,H9461,H9474)</f>
        <v>0.105</v>
      </c>
      <c r="F9708" s="31" t="n">
        <f aca="false">CHOOSE($C$9635,I9448,I9461,I9474)</f>
        <v>0.105</v>
      </c>
      <c r="G9708" s="31" t="n">
        <f aca="false">CHOOSE($C$9635,J9448,J9461,J9474)</f>
        <v>0.105</v>
      </c>
      <c r="H9708" s="31" t="n">
        <f aca="false">CHOOSE($C$9635,K9448,K9461,K9474)</f>
        <v>0.105</v>
      </c>
    </row>
    <row r="9709" customFormat="false" ht="15" hidden="false" customHeight="false" outlineLevel="0" collapsed="false">
      <c r="A9709" s="3" t="s">
        <v>538</v>
      </c>
      <c r="D9709" s="25" t="n">
        <f aca="false">IF(D9707&lt;=$C$9644,$C$9636*D9708,0)</f>
        <v>10.5</v>
      </c>
      <c r="E9709" s="25" t="n">
        <f aca="false">IF(E9707&lt;=$C$9644,$C$9636*E9708,0)</f>
        <v>10.5</v>
      </c>
      <c r="F9709" s="25" t="n">
        <f aca="false">IF(F9707&lt;=$C$9644,$C$9636*F9708,0)</f>
        <v>10.5</v>
      </c>
      <c r="G9709" s="25" t="n">
        <f aca="false">IF(G9707&lt;=$C$9644,$C$9636*G9708,0)</f>
        <v>0</v>
      </c>
      <c r="H9709" s="25" t="n">
        <f aca="false">IF(H9707&lt;=$C$9644,$C$9636*H9708,0)</f>
        <v>0</v>
      </c>
    </row>
    <row r="9710" customFormat="false" ht="15" hidden="false" customHeight="false" outlineLevel="0" collapsed="false">
      <c r="A9710" s="3" t="s">
        <v>539</v>
      </c>
      <c r="D9710" s="25" t="n">
        <f aca="false">IF(AND($C$9565=0,D9707=$C$9639),$C$9636*$C$9704/100,0)+IF(AND($C$9565=1,D9707=$C$9705),$C$9642,0)</f>
        <v>0</v>
      </c>
      <c r="E9710" s="25" t="n">
        <f aca="false">IF(AND($C$9565=0,E9707=$C$9639),$C$9636*$C$9704/100,0)+IF(AND($C$9565=1,E9707=$C$9705),$C$9642,0)</f>
        <v>0</v>
      </c>
      <c r="F9710" s="25" t="n">
        <f aca="false">IF(AND($C$9565=0,F9707=$C$9639),$C$9636*$C$9704/100,0)+IF(AND($C$9565=1,F9707=$C$9705),$C$9642,0)</f>
        <v>0</v>
      </c>
      <c r="G9710" s="25" t="n">
        <f aca="false">IF(AND($C$9565=0,G9707=$C$9639),$C$9636*$C$9704/100,0)+IF(AND($C$9565=1,G9707=$C$9705),$C$9642,0)</f>
        <v>34.945728090226</v>
      </c>
      <c r="H9710" s="25" t="n">
        <f aca="false">IF(AND($C$9565=0,H9707=$C$9639),$C$9636*$C$9704/100,0)+IF(AND($C$9565=1,H9707=$C$9705),$C$9642,0)</f>
        <v>0</v>
      </c>
      <c r="I9710" s="25" t="n">
        <f aca="false">IF(AND($C$9565=0,I9707=$C$9639),$C$9636*$C$9704/100,0)+IF(AND($C$9565=1,I9707=$C$9705),$C$9642,0)</f>
        <v>0</v>
      </c>
    </row>
    <row r="9711" customFormat="false" ht="15" hidden="false" customHeight="false" outlineLevel="0" collapsed="false">
      <c r="A9711" s="2" t="s">
        <v>540</v>
      </c>
      <c r="C9711" s="16" t="n">
        <f aca="false">-$C$9638</f>
        <v>-95</v>
      </c>
      <c r="D9711" s="16" t="n">
        <f aca="false">D9709+D9710</f>
        <v>10.5</v>
      </c>
      <c r="E9711" s="16" t="n">
        <f aca="false">E9709+E9710</f>
        <v>10.5</v>
      </c>
      <c r="F9711" s="16" t="n">
        <f aca="false">F9709+F9710</f>
        <v>10.5</v>
      </c>
      <c r="G9711" s="16" t="n">
        <f aca="false">G9709+G9710</f>
        <v>34.945728090226</v>
      </c>
      <c r="H9711" s="16" t="n">
        <f aca="false">H9709+H9710</f>
        <v>0</v>
      </c>
      <c r="I9711" s="16" t="n">
        <f aca="false">I9709+I9710</f>
        <v>0</v>
      </c>
    </row>
    <row r="9712" customFormat="false" ht="15" hidden="false" customHeight="false" outlineLevel="0" collapsed="false">
      <c r="A9712" s="3" t="s">
        <v>541</v>
      </c>
      <c r="C9712" s="25" t="n">
        <f aca="false">SUM($C$9709:$I$9709)</f>
        <v>31.5</v>
      </c>
    </row>
    <row r="9713" customFormat="false" ht="15" hidden="false" customHeight="false" outlineLevel="0" collapsed="false">
      <c r="A9713" s="3" t="s">
        <v>542</v>
      </c>
      <c r="C9713" s="25" t="n">
        <f aca="false">SUM($C$9710:$I$9710)</f>
        <v>34.945728090226</v>
      </c>
    </row>
    <row r="9714" customFormat="false" ht="15" hidden="false" customHeight="false" outlineLevel="0" collapsed="false">
      <c r="A9714" s="3" t="s">
        <v>543</v>
      </c>
      <c r="C9714" s="25" t="n">
        <f aca="false">C9712+C9713</f>
        <v>66.445728090226</v>
      </c>
    </row>
    <row r="9715" customFormat="false" ht="15" hidden="false" customHeight="false" outlineLevel="0" collapsed="false">
      <c r="A9715" s="3" t="s">
        <v>544</v>
      </c>
      <c r="C9715" s="25" t="n">
        <f aca="false">C9713-C9636*C9637/100</f>
        <v>-60.054271909774</v>
      </c>
    </row>
    <row r="9716" customFormat="false" ht="15" hidden="false" customHeight="false" outlineLevel="0" collapsed="false">
      <c r="A9716" s="3" t="s">
        <v>545</v>
      </c>
      <c r="C9716" s="25" t="n">
        <f aca="false">C9714-C9638</f>
        <v>-28.554271909774</v>
      </c>
    </row>
    <row r="9717" customFormat="false" ht="15" hidden="false" customHeight="false" outlineLevel="0" collapsed="false">
      <c r="A9717" s="2" t="s">
        <v>427</v>
      </c>
      <c r="C9717" s="44" t="n">
        <f aca="false">C9714/C9638</f>
        <v>0.699428716739221</v>
      </c>
    </row>
    <row r="9718" customFormat="false" ht="15" hidden="false" customHeight="false" outlineLevel="0" collapsed="false">
      <c r="A9718" s="2" t="s">
        <v>426</v>
      </c>
      <c r="C9718" s="42" t="n">
        <f aca="false">IF(C9714&lt;=0,-1,IFERROR(IRR($C$9711:$I$9711,MAX(-0.9,C9717^(1/C9705)-1)),IRR($C$9711:$I$9711,0.1)))</f>
        <v>-0.10811295237651</v>
      </c>
    </row>
    <row r="9719" customFormat="false" ht="15" hidden="false" customHeight="false" outlineLevel="0" collapsed="false">
      <c r="A9719" s="3" t="s">
        <v>546</v>
      </c>
      <c r="C9719" s="32" t="n">
        <f aca="false">MAX($G$9525:$K$9525)</f>
        <v>24.3043966030052</v>
      </c>
    </row>
    <row r="9720" customFormat="false" ht="15" hidden="false" customHeight="false" outlineLevel="0" collapsed="false">
      <c r="A9720" s="3" t="s">
        <v>547</v>
      </c>
      <c r="C9720" s="32" t="n">
        <f aca="false">MIN($G$9526:$K$9526)</f>
        <v>0.47774325206447</v>
      </c>
    </row>
    <row r="9721" customFormat="false" ht="15" hidden="false" customHeight="false" outlineLevel="0" collapsed="false">
      <c r="A9721" s="3" t="s">
        <v>548</v>
      </c>
      <c r="C9721" s="25" t="n">
        <f aca="false">SUM($G$9432:$K$9432)</f>
        <v>-419.334620612298</v>
      </c>
    </row>
    <row r="9725" customFormat="false" ht="15" hidden="false" customHeight="false" outlineLevel="0" collapsed="false">
      <c r="A9725" s="9" t="s">
        <v>1044</v>
      </c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</row>
    <row r="9726" customFormat="false" ht="15" hidden="false" customHeight="false" outlineLevel="0" collapsed="false">
      <c r="A9726" s="3" t="s">
        <v>1010</v>
      </c>
      <c r="C9726" s="11" t="n">
        <v>3</v>
      </c>
    </row>
    <row r="9727" customFormat="false" ht="15" hidden="false" customHeight="false" outlineLevel="0" collapsed="false">
      <c r="A9727" s="3" t="s">
        <v>1011</v>
      </c>
      <c r="C9727" s="30" t="n">
        <f aca="false">Sensitivities!$A$42</f>
        <v>0</v>
      </c>
    </row>
    <row r="9728" customFormat="false" ht="15" hidden="false" customHeight="false" outlineLevel="0" collapsed="false">
      <c r="A9728" s="3" t="s">
        <v>1012</v>
      </c>
      <c r="C9728" s="18" t="n">
        <v>0</v>
      </c>
    </row>
    <row r="9729" customFormat="false" ht="15" hidden="false" customHeight="false" outlineLevel="0" collapsed="false">
      <c r="A9729" s="3" t="s">
        <v>1013</v>
      </c>
      <c r="C9729" s="18" t="n">
        <v>0</v>
      </c>
    </row>
    <row r="9730" customFormat="false" ht="15" hidden="false" customHeight="false" outlineLevel="0" collapsed="false">
      <c r="A9730" s="3" t="s">
        <v>1014</v>
      </c>
      <c r="C9730" s="15" t="n">
        <v>0</v>
      </c>
    </row>
    <row r="9732" customFormat="false" ht="15" hidden="false" customHeight="false" outlineLevel="0" collapsed="false">
      <c r="A9732" s="23" t="s">
        <v>281</v>
      </c>
      <c r="B9732" s="24"/>
      <c r="C9732" s="24"/>
      <c r="D9732" s="24"/>
      <c r="E9732" s="24"/>
      <c r="F9732" s="24"/>
      <c r="G9732" s="24"/>
      <c r="H9732" s="24"/>
      <c r="I9732" s="24"/>
      <c r="J9732" s="24"/>
      <c r="K9732" s="24"/>
    </row>
    <row r="9733" customFormat="false" ht="15" hidden="false" customHeight="false" outlineLevel="0" collapsed="false">
      <c r="A9733" s="3" t="s">
        <v>282</v>
      </c>
      <c r="F9733" s="27" t="n">
        <f aca="false">Assumptions!$C$6</f>
        <v>2026</v>
      </c>
      <c r="G9733" s="20" t="n">
        <f aca="false">F9733+1</f>
        <v>2027</v>
      </c>
      <c r="H9733" s="20" t="n">
        <f aca="false">G9733+1</f>
        <v>2028</v>
      </c>
      <c r="I9733" s="20" t="n">
        <f aca="false">H9733+1</f>
        <v>2029</v>
      </c>
      <c r="J9733" s="20" t="n">
        <f aca="false">I9733+1</f>
        <v>2030</v>
      </c>
      <c r="K9733" s="20" t="n">
        <f aca="false">J9733+1</f>
        <v>2031</v>
      </c>
    </row>
    <row r="9734" customFormat="false" ht="15" hidden="false" customHeight="false" outlineLevel="0" collapsed="false">
      <c r="A9734" s="3" t="s">
        <v>283</v>
      </c>
      <c r="G9734" s="20" t="n">
        <f aca="false">G9733-Assumptions!$C$6</f>
        <v>1</v>
      </c>
      <c r="H9734" s="20" t="n">
        <f aca="false">H9733-Assumptions!$C$6</f>
        <v>2</v>
      </c>
      <c r="I9734" s="20" t="n">
        <f aca="false">I9733-Assumptions!$C$6</f>
        <v>3</v>
      </c>
      <c r="J9734" s="20" t="n">
        <f aca="false">J9733-Assumptions!$C$6</f>
        <v>4</v>
      </c>
      <c r="K9734" s="20" t="n">
        <f aca="false">K9733-Assumptions!$C$6</f>
        <v>5</v>
      </c>
    </row>
    <row r="9735" customFormat="false" ht="15" hidden="false" customHeight="false" outlineLevel="0" collapsed="false">
      <c r="A9735" s="3" t="s">
        <v>165</v>
      </c>
      <c r="G9735" s="21" t="n">
        <f aca="false">CHOOSE($C$9726,Assumptions!$G$71,Assumptions!$G$90,Assumptions!$G$109)+$C$9727</f>
        <v>-0.14</v>
      </c>
      <c r="H9735" s="21" t="n">
        <f aca="false">CHOOSE($C$9726,Assumptions!$H$71,Assumptions!$H$90,Assumptions!$H$109)+$C$9727</f>
        <v>-0.12</v>
      </c>
      <c r="I9735" s="21" t="n">
        <f aca="false">CHOOSE($C$9726,Assumptions!$I$71,Assumptions!$I$90,Assumptions!$I$109)+$C$9727</f>
        <v>-0.1</v>
      </c>
      <c r="J9735" s="21" t="n">
        <f aca="false">CHOOSE($C$9726,Assumptions!$J$71,Assumptions!$J$90,Assumptions!$J$109)+$C$9727</f>
        <v>-0.08</v>
      </c>
      <c r="K9735" s="21" t="n">
        <f aca="false">CHOOSE($C$9726,Assumptions!$K$71,Assumptions!$K$90,Assumptions!$K$109)+$C$9727</f>
        <v>-0.06</v>
      </c>
    </row>
    <row r="9736" customFormat="false" ht="15" hidden="false" customHeight="false" outlineLevel="0" collapsed="false">
      <c r="A9736" s="3" t="s">
        <v>166</v>
      </c>
      <c r="G9736" s="21" t="n">
        <f aca="false">CHOOSE($C$9726,Assumptions!$G$72,Assumptions!$G$91,Assumptions!$G$110)</f>
        <v>0.433246670103635</v>
      </c>
      <c r="H9736" s="21" t="n">
        <f aca="false">CHOOSE($C$9726,Assumptions!$H$72,Assumptions!$H$91,Assumptions!$H$110)</f>
        <v>0.418246670103635</v>
      </c>
      <c r="I9736" s="21" t="n">
        <f aca="false">CHOOSE($C$9726,Assumptions!$I$72,Assumptions!$I$91,Assumptions!$I$110)</f>
        <v>0.413246670103635</v>
      </c>
      <c r="J9736" s="21" t="n">
        <f aca="false">CHOOSE($C$9726,Assumptions!$J$72,Assumptions!$J$91,Assumptions!$J$110)</f>
        <v>0.413246670103635</v>
      </c>
      <c r="K9736" s="21" t="n">
        <f aca="false">CHOOSE($C$9726,Assumptions!$K$72,Assumptions!$K$91,Assumptions!$K$110)</f>
        <v>0.413246670103635</v>
      </c>
    </row>
    <row r="9737" customFormat="false" ht="15" hidden="false" customHeight="false" outlineLevel="0" collapsed="false">
      <c r="A9737" s="3" t="s">
        <v>167</v>
      </c>
      <c r="G9737" s="21" t="n">
        <f aca="false">CHOOSE($C$9726,Assumptions!$G$73,Assumptions!$G$92,Assumptions!$G$111)+$C$9728</f>
        <v>0.09</v>
      </c>
      <c r="H9737" s="21" t="n">
        <f aca="false">CHOOSE($C$9726,Assumptions!$H$73,Assumptions!$H$92,Assumptions!$H$111)+$C$9728</f>
        <v>0.075</v>
      </c>
      <c r="I9737" s="21" t="n">
        <f aca="false">CHOOSE($C$9726,Assumptions!$I$73,Assumptions!$I$92,Assumptions!$I$111)+$C$9728</f>
        <v>0.07</v>
      </c>
      <c r="J9737" s="21" t="n">
        <f aca="false">CHOOSE($C$9726,Assumptions!$J$73,Assumptions!$J$92,Assumptions!$J$111)+$C$9728</f>
        <v>0.07</v>
      </c>
      <c r="K9737" s="21" t="n">
        <f aca="false">CHOOSE($C$9726,Assumptions!$K$73,Assumptions!$K$92,Assumptions!$K$111)+$C$9728</f>
        <v>0.07</v>
      </c>
    </row>
    <row r="9738" customFormat="false" ht="15" hidden="false" customHeight="false" outlineLevel="0" collapsed="false">
      <c r="A9738" s="23" t="s">
        <v>284</v>
      </c>
      <c r="B9738" s="24"/>
      <c r="C9738" s="24"/>
      <c r="D9738" s="24"/>
      <c r="E9738" s="24"/>
      <c r="F9738" s="24"/>
      <c r="G9738" s="24"/>
      <c r="H9738" s="24"/>
      <c r="I9738" s="24"/>
      <c r="J9738" s="24"/>
      <c r="K9738" s="24"/>
    </row>
    <row r="9739" customFormat="false" ht="15" hidden="false" customHeight="false" outlineLevel="0" collapsed="false">
      <c r="A9739" s="2" t="s">
        <v>256</v>
      </c>
      <c r="F9739" s="28" t="n">
        <f aca="false">'Historical Financials'!G23</f>
        <v>2246.166</v>
      </c>
      <c r="G9739" s="16" t="n">
        <f aca="false">F9739*(1+G9735)</f>
        <v>1931.70276</v>
      </c>
      <c r="H9739" s="16" t="n">
        <f aca="false">G9739*(1+H9735)</f>
        <v>1699.8984288</v>
      </c>
      <c r="I9739" s="16" t="n">
        <f aca="false">H9739*(1+I9735)</f>
        <v>1529.90858592</v>
      </c>
      <c r="J9739" s="16" t="n">
        <f aca="false">I9739*(1+J9735)</f>
        <v>1407.5158990464</v>
      </c>
      <c r="K9739" s="16" t="n">
        <f aca="false">J9739*(1+K9735)</f>
        <v>1323.06494510362</v>
      </c>
    </row>
    <row r="9740" customFormat="false" ht="15" hidden="false" customHeight="false" outlineLevel="0" collapsed="false">
      <c r="A9740" s="3" t="s">
        <v>257</v>
      </c>
      <c r="G9740" s="25" t="n">
        <f aca="false">G9739*(1-G9736)</f>
        <v>1094.7989716</v>
      </c>
      <c r="H9740" s="25" t="n">
        <f aca="false">H9739*(1-H9736)</f>
        <v>988.92157144</v>
      </c>
      <c r="I9740" s="25" t="n">
        <f aca="false">I9739*(1-I9736)</f>
        <v>897.6789572256</v>
      </c>
      <c r="J9740" s="25" t="n">
        <f aca="false">J9739*(1-J9736)</f>
        <v>825.864640647552</v>
      </c>
      <c r="K9740" s="25" t="n">
        <f aca="false">K9739*(1-K9736)</f>
        <v>776.312762208699</v>
      </c>
    </row>
    <row r="9741" customFormat="false" ht="15" hidden="false" customHeight="false" outlineLevel="0" collapsed="false">
      <c r="A9741" s="2" t="s">
        <v>258</v>
      </c>
      <c r="G9741" s="16" t="n">
        <f aca="false">G9739-G9740</f>
        <v>836.9037884</v>
      </c>
      <c r="H9741" s="16" t="n">
        <f aca="false">H9739-H9740</f>
        <v>710.97685736</v>
      </c>
      <c r="I9741" s="16" t="n">
        <f aca="false">I9739-I9740</f>
        <v>632.2296286944</v>
      </c>
      <c r="J9741" s="16" t="n">
        <f aca="false">J9739-J9740</f>
        <v>581.651258398848</v>
      </c>
      <c r="K9741" s="16" t="n">
        <f aca="false">K9739-K9740</f>
        <v>546.752182894917</v>
      </c>
    </row>
    <row r="9742" customFormat="false" ht="15" hidden="false" customHeight="false" outlineLevel="0" collapsed="false">
      <c r="A9742" s="3" t="s">
        <v>285</v>
      </c>
      <c r="G9742" s="25" t="n">
        <f aca="false">G9741-G9743</f>
        <v>663.05054</v>
      </c>
      <c r="H9742" s="25" t="n">
        <f aca="false">H9741-H9743</f>
        <v>583.4844752</v>
      </c>
      <c r="I9742" s="25" t="n">
        <f aca="false">I9741-I9743</f>
        <v>525.13602768</v>
      </c>
      <c r="J9742" s="25" t="n">
        <f aca="false">J9741-J9743</f>
        <v>483.1251454656</v>
      </c>
      <c r="K9742" s="25" t="n">
        <f aca="false">K9741-K9743</f>
        <v>454.137636737664</v>
      </c>
    </row>
    <row r="9743" customFormat="false" ht="15" hidden="false" customHeight="false" outlineLevel="0" collapsed="false">
      <c r="A9743" s="2" t="s">
        <v>286</v>
      </c>
      <c r="G9743" s="16" t="n">
        <f aca="false">G9739*G9737</f>
        <v>173.8532484</v>
      </c>
      <c r="H9743" s="16" t="n">
        <f aca="false">H9739*H9737</f>
        <v>127.49238216</v>
      </c>
      <c r="I9743" s="16" t="n">
        <f aca="false">I9739*I9737</f>
        <v>107.0936010144</v>
      </c>
      <c r="J9743" s="16" t="n">
        <f aca="false">J9739*J9737</f>
        <v>98.526112933248</v>
      </c>
      <c r="K9743" s="16" t="n">
        <f aca="false">K9739*K9737</f>
        <v>92.6145461572531</v>
      </c>
    </row>
    <row r="9744" customFormat="false" ht="15" hidden="false" customHeight="false" outlineLevel="0" collapsed="false">
      <c r="A9744" s="3" t="s">
        <v>287</v>
      </c>
      <c r="G9744" s="25" t="n">
        <f aca="false">G9739*'Historical Financials'!G28/'Historical Financials'!G23</f>
        <v>73.35456</v>
      </c>
      <c r="H9744" s="25" t="n">
        <f aca="false">H9739*'Historical Financials'!G28/'Historical Financials'!G23</f>
        <v>64.5520128</v>
      </c>
      <c r="I9744" s="25" t="n">
        <f aca="false">I9739*'Historical Financials'!G28/'Historical Financials'!G23</f>
        <v>58.09681152</v>
      </c>
      <c r="J9744" s="25" t="n">
        <f aca="false">J9739*'Historical Financials'!G28/'Historical Financials'!G23</f>
        <v>53.4490665984</v>
      </c>
      <c r="K9744" s="25" t="n">
        <f aca="false">K9739*'Historical Financials'!G28/'Historical Financials'!G23</f>
        <v>50.242122602496</v>
      </c>
    </row>
    <row r="9745" customFormat="false" ht="15" hidden="false" customHeight="false" outlineLevel="0" collapsed="false">
      <c r="A9745" s="3" t="s">
        <v>288</v>
      </c>
      <c r="G9745" s="25" t="n">
        <f aca="false">G9739*'Historical Financials'!G29/'Historical Financials'!G23</f>
        <v>20.94616</v>
      </c>
      <c r="H9745" s="25" t="n">
        <f aca="false">H9739*'Historical Financials'!G29/'Historical Financials'!G23</f>
        <v>18.4326208</v>
      </c>
      <c r="I9745" s="25" t="n">
        <f aca="false">I9739*'Historical Financials'!G29/'Historical Financials'!G23</f>
        <v>16.58935872</v>
      </c>
      <c r="J9745" s="25" t="n">
        <f aca="false">J9739*'Historical Financials'!G29/'Historical Financials'!G23</f>
        <v>15.2622100224</v>
      </c>
      <c r="K9745" s="25" t="n">
        <f aca="false">K9739*'Historical Financials'!G29/'Historical Financials'!G23</f>
        <v>14.346477421056</v>
      </c>
    </row>
    <row r="9746" customFormat="false" ht="15" hidden="false" customHeight="false" outlineLevel="0" collapsed="false">
      <c r="A9746" s="2" t="s">
        <v>289</v>
      </c>
      <c r="G9746" s="16" t="n">
        <f aca="false">G9743-G9744-G9745</f>
        <v>79.5525284</v>
      </c>
      <c r="H9746" s="16" t="n">
        <f aca="false">H9743-H9744-H9745</f>
        <v>44.50774856</v>
      </c>
      <c r="I9746" s="16" t="n">
        <f aca="false">I9743-I9744-I9745</f>
        <v>32.4074307744</v>
      </c>
      <c r="J9746" s="16" t="n">
        <f aca="false">J9743-J9744-J9745</f>
        <v>29.814836312448</v>
      </c>
      <c r="K9746" s="16" t="n">
        <f aca="false">K9743-K9744-K9745</f>
        <v>28.0259461337011</v>
      </c>
    </row>
    <row r="9747" customFormat="false" ht="15" hidden="false" customHeight="false" outlineLevel="0" collapsed="false">
      <c r="A9747" s="3" t="s">
        <v>290</v>
      </c>
      <c r="G9747" s="25" t="n">
        <f aca="false">G9773+G9786+G9799</f>
        <v>155.95467</v>
      </c>
      <c r="H9747" s="25" t="n">
        <f aca="false">H9773+H9786+H9799</f>
        <v>155.95467</v>
      </c>
      <c r="I9747" s="25" t="n">
        <f aca="false">I9773+I9786+I9799</f>
        <v>155.95467</v>
      </c>
      <c r="J9747" s="25" t="n">
        <f aca="false">J9773+J9786+J9799</f>
        <v>144.463861384154</v>
      </c>
      <c r="K9747" s="25" t="n">
        <f aca="false">K9773+K9786+K9799</f>
        <v>144.463861384154</v>
      </c>
    </row>
    <row r="9748" customFormat="false" ht="15" hidden="false" customHeight="false" outlineLevel="0" collapsed="false">
      <c r="A9748" s="3" t="s">
        <v>291</v>
      </c>
      <c r="G9748" s="25" t="n">
        <f aca="false">G9774+G9787+G9800</f>
        <v>0</v>
      </c>
      <c r="H9748" s="25" t="n">
        <f aca="false">H9774+H9787+H9800</f>
        <v>0</v>
      </c>
      <c r="I9748" s="25" t="n">
        <f aca="false">I9774+I9787+I9800</f>
        <v>0</v>
      </c>
      <c r="J9748" s="25" t="n">
        <f aca="false">J9774+J9787+J9800</f>
        <v>0</v>
      </c>
      <c r="K9748" s="25" t="n">
        <f aca="false">K9774+K9787+K9800</f>
        <v>0</v>
      </c>
    </row>
    <row r="9749" customFormat="false" ht="15" hidden="false" customHeight="false" outlineLevel="0" collapsed="false">
      <c r="A9749" s="3" t="s">
        <v>239</v>
      </c>
      <c r="G9749" s="25" t="n">
        <f aca="false">G9747+G9748</f>
        <v>155.95467</v>
      </c>
      <c r="H9749" s="25" t="n">
        <f aca="false">H9747+H9748</f>
        <v>155.95467</v>
      </c>
      <c r="I9749" s="25" t="n">
        <f aca="false">I9747+I9748</f>
        <v>155.95467</v>
      </c>
      <c r="J9749" s="25" t="n">
        <f aca="false">J9747+J9748</f>
        <v>144.463861384154</v>
      </c>
      <c r="K9749" s="25" t="n">
        <f aca="false">K9747+K9748</f>
        <v>144.463861384154</v>
      </c>
    </row>
    <row r="9750" customFormat="false" ht="15" hidden="false" customHeight="false" outlineLevel="0" collapsed="false">
      <c r="A9750" s="2" t="s">
        <v>264</v>
      </c>
      <c r="G9750" s="16" t="n">
        <f aca="false">G9746-G9749</f>
        <v>-76.4021416</v>
      </c>
      <c r="H9750" s="16" t="n">
        <f aca="false">H9746-H9749</f>
        <v>-111.44692144</v>
      </c>
      <c r="I9750" s="16" t="n">
        <f aca="false">I9746-I9749</f>
        <v>-123.5472392256</v>
      </c>
      <c r="J9750" s="16" t="n">
        <f aca="false">J9746-J9749</f>
        <v>-114.649025071706</v>
      </c>
      <c r="K9750" s="16" t="n">
        <f aca="false">K9746-K9749</f>
        <v>-116.437915250452</v>
      </c>
    </row>
    <row r="9751" customFormat="false" ht="15" hidden="false" customHeight="false" outlineLevel="0" collapsed="false">
      <c r="A9751" s="3" t="s">
        <v>292</v>
      </c>
      <c r="G9751" s="25" t="n">
        <f aca="false">MAX(0,G9750)*Assumptions!$C$9</f>
        <v>0</v>
      </c>
      <c r="H9751" s="25" t="n">
        <f aca="false">MAX(0,H9750)*Assumptions!$C$9</f>
        <v>0</v>
      </c>
      <c r="I9751" s="25" t="n">
        <f aca="false">MAX(0,I9750)*Assumptions!$C$9</f>
        <v>0</v>
      </c>
      <c r="J9751" s="25" t="n">
        <f aca="false">MAX(0,J9750)*Assumptions!$C$9</f>
        <v>0</v>
      </c>
      <c r="K9751" s="25" t="n">
        <f aca="false">MAX(0,K9750)*Assumptions!$C$9</f>
        <v>0</v>
      </c>
    </row>
    <row r="9752" customFormat="false" ht="15" hidden="false" customHeight="false" outlineLevel="0" collapsed="false">
      <c r="A9752" s="2" t="s">
        <v>293</v>
      </c>
      <c r="G9752" s="16" t="n">
        <f aca="false">G9750-G9751</f>
        <v>-76.4021416</v>
      </c>
      <c r="H9752" s="16" t="n">
        <f aca="false">H9750-H9751</f>
        <v>-111.44692144</v>
      </c>
      <c r="I9752" s="16" t="n">
        <f aca="false">I9750-I9751</f>
        <v>-123.5472392256</v>
      </c>
      <c r="J9752" s="16" t="n">
        <f aca="false">J9750-J9751</f>
        <v>-114.649025071706</v>
      </c>
      <c r="K9752" s="16" t="n">
        <f aca="false">K9750-K9751</f>
        <v>-116.437915250452</v>
      </c>
    </row>
    <row r="9753" customFormat="false" ht="15" hidden="false" customHeight="false" outlineLevel="0" collapsed="false">
      <c r="A9753" s="23" t="s">
        <v>294</v>
      </c>
      <c r="B9753" s="24"/>
      <c r="C9753" s="24"/>
      <c r="D9753" s="24"/>
      <c r="E9753" s="24"/>
      <c r="F9753" s="24"/>
      <c r="G9753" s="24"/>
      <c r="H9753" s="24"/>
      <c r="I9753" s="24"/>
      <c r="J9753" s="24"/>
      <c r="K9753" s="24"/>
    </row>
    <row r="9754" customFormat="false" ht="15" hidden="false" customHeight="false" outlineLevel="0" collapsed="false">
      <c r="A9754" s="3" t="s">
        <v>169</v>
      </c>
      <c r="G9754" s="25" t="n">
        <f aca="false">G9739*CHOOSE($C$9726,Assumptions!$C$75,Assumptions!$C$94,Assumptions!$C$113)</f>
        <v>21.24873036</v>
      </c>
      <c r="H9754" s="25" t="n">
        <f aca="false">H9739*CHOOSE($C$9726,Assumptions!$C$75,Assumptions!$C$94,Assumptions!$C$113)</f>
        <v>18.6988827168</v>
      </c>
      <c r="I9754" s="25" t="n">
        <f aca="false">I9739*CHOOSE($C$9726,Assumptions!$C$75,Assumptions!$C$94,Assumptions!$C$113)</f>
        <v>16.82899444512</v>
      </c>
      <c r="J9754" s="25" t="n">
        <f aca="false">J9739*CHOOSE($C$9726,Assumptions!$C$75,Assumptions!$C$94,Assumptions!$C$113)</f>
        <v>15.4826748895104</v>
      </c>
      <c r="K9754" s="25" t="n">
        <f aca="false">K9739*CHOOSE($C$9726,Assumptions!$C$75,Assumptions!$C$94,Assumptions!$C$113)</f>
        <v>14.5537143961398</v>
      </c>
    </row>
    <row r="9755" customFormat="false" ht="15" hidden="false" customHeight="false" outlineLevel="0" collapsed="false">
      <c r="A9755" s="3" t="s">
        <v>295</v>
      </c>
      <c r="G9755" s="25" t="n">
        <f aca="false">CHOOSE($C$9726,Assumptions!$C$76,Assumptions!$C$95,Assumptions!$C$114)*(G9739-F9739)+CHOOSE($C$9726,Assumptions!$C$77,Assumptions!$C$96,Assumptions!$C$115)*G9739</f>
        <v>28.9755414</v>
      </c>
      <c r="H9755" s="25" t="n">
        <f aca="false">CHOOSE($C$9726,Assumptions!$C$76,Assumptions!$C$95,Assumptions!$C$114)*(H9739-G9739)+CHOOSE($C$9726,Assumptions!$C$77,Assumptions!$C$96,Assumptions!$C$115)*H9739</f>
        <v>25.498476432</v>
      </c>
      <c r="I9755" s="25" t="n">
        <f aca="false">CHOOSE($C$9726,Assumptions!$C$76,Assumptions!$C$95,Assumptions!$C$114)*(I9739-H9739)+CHOOSE($C$9726,Assumptions!$C$77,Assumptions!$C$96,Assumptions!$C$115)*I9739</f>
        <v>22.9486287888</v>
      </c>
      <c r="J9755" s="25" t="n">
        <f aca="false">CHOOSE($C$9726,Assumptions!$C$76,Assumptions!$C$95,Assumptions!$C$114)*(J9739-I9739)+CHOOSE($C$9726,Assumptions!$C$77,Assumptions!$C$96,Assumptions!$C$115)*J9739</f>
        <v>21.112738485696</v>
      </c>
      <c r="K9755" s="25" t="n">
        <f aca="false">CHOOSE($C$9726,Assumptions!$C$76,Assumptions!$C$95,Assumptions!$C$114)*(K9739-J9739)+CHOOSE($C$9726,Assumptions!$C$77,Assumptions!$C$96,Assumptions!$C$115)*K9739</f>
        <v>19.8459741765542</v>
      </c>
    </row>
    <row r="9756" customFormat="false" ht="15" hidden="false" customHeight="false" outlineLevel="0" collapsed="false">
      <c r="A9756" s="2" t="s">
        <v>296</v>
      </c>
      <c r="G9756" s="16" t="n">
        <f aca="false">G9752+G9744+G9745+G9748-G9754-G9755</f>
        <v>-32.32569336</v>
      </c>
      <c r="H9756" s="16" t="n">
        <f aca="false">H9752+H9744+H9745+H9748-H9754-H9755</f>
        <v>-72.6596469888</v>
      </c>
      <c r="I9756" s="16" t="n">
        <f aca="false">I9752+I9744+I9745+I9748-I9754-I9755</f>
        <v>-88.63869221952</v>
      </c>
      <c r="J9756" s="16" t="n">
        <f aca="false">J9752+J9744+J9745+J9748-J9754-J9755</f>
        <v>-82.533161826112</v>
      </c>
      <c r="K9756" s="16" t="n">
        <f aca="false">K9752+K9744+K9745+K9748-K9754-K9755</f>
        <v>-86.2490037995945</v>
      </c>
    </row>
    <row r="9758" customFormat="false" ht="15" hidden="false" customHeight="false" outlineLevel="0" collapsed="false">
      <c r="A9758" s="23" t="s">
        <v>298</v>
      </c>
      <c r="B9758" s="24"/>
      <c r="C9758" s="24"/>
      <c r="D9758" s="24"/>
      <c r="E9758" s="24"/>
      <c r="F9758" s="24"/>
      <c r="G9758" s="24"/>
      <c r="H9758" s="24"/>
      <c r="I9758" s="24"/>
      <c r="J9758" s="24"/>
      <c r="K9758" s="24"/>
    </row>
    <row r="9759" customFormat="false" ht="15" hidden="false" customHeight="false" outlineLevel="0" collapsed="false">
      <c r="A9759" s="3" t="s">
        <v>299</v>
      </c>
      <c r="G9759" s="30" t="n">
        <f aca="false">Assumptions!$G$52</f>
        <v>0.039</v>
      </c>
      <c r="H9759" s="30" t="n">
        <f aca="false">Assumptions!$H$52</f>
        <v>0.0375</v>
      </c>
      <c r="I9759" s="30" t="n">
        <f aca="false">Assumptions!$I$52</f>
        <v>0.035</v>
      </c>
      <c r="J9759" s="30" t="n">
        <f aca="false">Assumptions!$J$52</f>
        <v>0.035</v>
      </c>
      <c r="K9759" s="30" t="n">
        <f aca="false">Assumptions!$K$52</f>
        <v>0.035</v>
      </c>
    </row>
    <row r="9760" customFormat="false" ht="15" hidden="false" customHeight="false" outlineLevel="0" collapsed="false">
      <c r="A9760" s="3" t="s">
        <v>300</v>
      </c>
      <c r="C9760" s="31" t="n">
        <f aca="false">CHOOSE($C$9726,Assumptions!$C$78,Assumptions!$C$97,Assumptions!$C$116)+$C$9729</f>
        <v>0.03</v>
      </c>
    </row>
    <row r="9761" customFormat="false" ht="15" hidden="false" customHeight="false" outlineLevel="0" collapsed="false">
      <c r="A9761" s="3" t="s">
        <v>301</v>
      </c>
      <c r="C9761" s="31" t="n">
        <f aca="false">CHOOSE($C$9726,Assumptions!$C$79,Assumptions!$C$98,Assumptions!$C$117)</f>
        <v>0.15</v>
      </c>
    </row>
    <row r="9762" customFormat="false" ht="15" hidden="false" customHeight="false" outlineLevel="0" collapsed="false">
      <c r="A9762" s="3" t="s">
        <v>302</v>
      </c>
      <c r="C9762" s="32" t="n">
        <f aca="false">CHOOSE($C$9726,Assumptions!$C$80,Assumptions!$C$99,Assumptions!$C$118)</f>
        <v>5</v>
      </c>
    </row>
    <row r="9763" customFormat="false" ht="15" hidden="false" customHeight="false" outlineLevel="0" collapsed="false">
      <c r="A9763" s="3" t="s">
        <v>303</v>
      </c>
      <c r="C9763" s="32" t="n">
        <f aca="false">CHOOSE($C$9726,Assumptions!$C$81,Assumptions!$C$100,Assumptions!$C$119)</f>
        <v>1.75</v>
      </c>
    </row>
    <row r="9764" customFormat="false" ht="15" hidden="false" customHeight="false" outlineLevel="0" collapsed="false">
      <c r="A9764" s="3" t="s">
        <v>304</v>
      </c>
      <c r="G9764" s="25" t="n">
        <f aca="false">G9769+G9782+G9795</f>
        <v>1735.554</v>
      </c>
      <c r="H9764" s="25" t="n">
        <f aca="false">H9769+H9782+H9795</f>
        <v>1735.554</v>
      </c>
      <c r="I9764" s="25" t="n">
        <f aca="false">I9769+I9782+I9795</f>
        <v>1735.554</v>
      </c>
      <c r="J9764" s="25" t="n">
        <f aca="false">J9769+J9782+J9795</f>
        <v>1465.18203256832</v>
      </c>
      <c r="K9764" s="25" t="n">
        <f aca="false">K9769+K9782+K9795</f>
        <v>1465.18203256832</v>
      </c>
    </row>
    <row r="9765" customFormat="false" ht="15" hidden="false" customHeight="false" outlineLevel="0" collapsed="false">
      <c r="A9765" s="3" t="s">
        <v>305</v>
      </c>
      <c r="G9765" s="25" t="n">
        <f aca="false">F9838</f>
        <v>463.996</v>
      </c>
      <c r="H9765" s="25" t="n">
        <f aca="false">G9838</f>
        <v>431.67030664</v>
      </c>
      <c r="I9765" s="25" t="n">
        <f aca="false">H9838</f>
        <v>359.0106596512</v>
      </c>
      <c r="J9765" s="25" t="n">
        <f aca="false">I9838</f>
        <v>0</v>
      </c>
      <c r="K9765" s="25" t="n">
        <f aca="false">J9838</f>
        <v>-82.533161826112</v>
      </c>
    </row>
    <row r="9766" customFormat="false" ht="15" hidden="false" customHeight="false" outlineLevel="0" collapsed="false">
      <c r="A9766" s="3" t="s">
        <v>306</v>
      </c>
      <c r="G9766" s="25" t="n">
        <f aca="false">G9769*IF(G9770=1,$C$9761,IF(Assumptions!$I$56=1,MAX(G9759,Assumptions!$G$56)+Assumptions!$F$56+$C$9760,Assumptions!$E$56))+G9782*IF(G9783=1,$C$9761,IF(Assumptions!$I$57=1,MAX(G9759,Assumptions!$G$57)+Assumptions!$F$57+$C$9760,Assumptions!$E$57))+G9795*IF(G9796=1,$C$9761,IF(Assumptions!$I$58=1,MAX(G9759,Assumptions!$G$58)+Assumptions!$F$58+$C$9760,Assumptions!$E$58))</f>
        <v>155.95467</v>
      </c>
      <c r="H9766" s="25" t="n">
        <f aca="false">H9769*IF(OR(H9770=1,G9916=1),$C$9761,IF(Assumptions!$I$56=1,MAX(H9759,Assumptions!$G$56)+Assumptions!$F$56+$C$9760,Assumptions!$E$56))+H9782*IF(OR(H9783=1,G9917=1),$C$9761,IF(Assumptions!$I$57=1,MAX(H9759,Assumptions!$G$57)+Assumptions!$F$57+$C$9760,Assumptions!$E$57))+H9795*IF(OR(H9796=1,G9918=1),$C$9761,IF(Assumptions!$I$58=1,MAX(H9759,Assumptions!$G$58)+Assumptions!$F$58+$C$9760,Assumptions!$E$58))</f>
        <v>155.95467</v>
      </c>
      <c r="I9766" s="25" t="n">
        <f aca="false">I9769*IF(OR(I9770=1,H9916=1),$C$9761,IF(Assumptions!$I$56=1,MAX(I9759,Assumptions!$G$56)+Assumptions!$F$56+$C$9760,Assumptions!$E$56))+I9782*IF(OR(I9783=1,H9917=1),$C$9761,IF(Assumptions!$I$57=1,MAX(I9759,Assumptions!$G$57)+Assumptions!$F$57+$C$9760,Assumptions!$E$57))+I9795*IF(OR(I9796=1,H9918=1),$C$9761,IF(Assumptions!$I$58=1,MAX(I9759,Assumptions!$G$58)+Assumptions!$F$58+$C$9760,Assumptions!$E$58))</f>
        <v>201.15369</v>
      </c>
      <c r="J9766" s="25" t="n">
        <f aca="false">J9769*IF(OR(J9770=1,I9916=1),$C$9761,IF(Assumptions!$I$56=1,MAX(J9759,Assumptions!$G$56)+Assumptions!$F$56+$C$9760,Assumptions!$E$56))+J9782*IF(OR(J9783=1,I9917=1),$C$9761,IF(Assumptions!$I$57=1,MAX(J9759,Assumptions!$G$57)+Assumptions!$F$57+$C$9760,Assumptions!$E$57))+J9795*IF(OR(J9796=1,I9918=1),$C$9761,IF(Assumptions!$I$58=1,MAX(J9759,Assumptions!$G$58)+Assumptions!$F$58+$C$9760,Assumptions!$E$58))</f>
        <v>144.463861384154</v>
      </c>
      <c r="K9766" s="25" t="n">
        <f aca="false">K9769*IF(OR(K9770=1,J9916=1),$C$9761,IF(Assumptions!$I$56=1,MAX(K9759,Assumptions!$G$56)+Assumptions!$F$56+$C$9760,Assumptions!$E$56))+K9782*IF(OR(K9783=1,J9917=1),$C$9761,IF(Assumptions!$I$57=1,MAX(K9759,Assumptions!$G$57)+Assumptions!$F$57+$C$9760,Assumptions!$E$57))+K9795*IF(OR(K9796=1,J9918=1),$C$9761,IF(Assumptions!$I$58=1,MAX(K9759,Assumptions!$G$58)+Assumptions!$F$58+$C$9760,Assumptions!$E$58))</f>
        <v>144.463861384154</v>
      </c>
    </row>
    <row r="9767" customFormat="false" ht="15" hidden="false" customHeight="false" outlineLevel="0" collapsed="false">
      <c r="A9767" s="3" t="s">
        <v>307</v>
      </c>
      <c r="G9767" s="20" t="n">
        <f aca="false">IF(G9743&lt;=0,0,IF(AND((G9764-G9765)/G9743&lt;=$C$9762,G9743/G9766&gt;=$C$9763),1,0))</f>
        <v>0</v>
      </c>
      <c r="H9767" s="20" t="n">
        <f aca="false">IF(H9743&lt;=0,0,IF(AND((H9764-H9765)/H9743&lt;=$C$9762,H9743/H9766&gt;=$C$9763),1,0))</f>
        <v>0</v>
      </c>
      <c r="I9767" s="20" t="n">
        <f aca="false">IF(I9743&lt;=0,0,IF(AND((I9764-I9765)/I9743&lt;=$C$9762,I9743/I9766&gt;=$C$9763),1,0))</f>
        <v>0</v>
      </c>
      <c r="J9767" s="20" t="n">
        <f aca="false">IF(J9743&lt;=0,0,IF(AND((J9764-J9765)/J9743&lt;=$C$9762,J9743/J9766&gt;=$C$9763),1,0))</f>
        <v>0</v>
      </c>
      <c r="K9767" s="20" t="n">
        <f aca="false">IF(K9743&lt;=0,0,IF(AND((K9764-K9765)/K9743&lt;=$C$9762,K9743/K9766&gt;=$C$9763),1,0))</f>
        <v>0</v>
      </c>
    </row>
    <row r="9768" customFormat="false" ht="15" hidden="false" customHeight="false" outlineLevel="0" collapsed="false">
      <c r="A9768" s="23" t="s">
        <v>308</v>
      </c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</row>
    <row r="9769" customFormat="false" ht="15" hidden="false" customHeight="false" outlineLevel="0" collapsed="false">
      <c r="A9769" s="3" t="s">
        <v>309</v>
      </c>
      <c r="G9769" s="25" t="n">
        <f aca="false">F9780</f>
        <v>1315.098</v>
      </c>
      <c r="H9769" s="25" t="n">
        <f aca="false">G9780</f>
        <v>1315.098</v>
      </c>
      <c r="I9769" s="25" t="n">
        <f aca="false">H9780</f>
        <v>1315.098</v>
      </c>
      <c r="J9769" s="25" t="n">
        <f aca="false">I9780</f>
        <v>1315.098</v>
      </c>
      <c r="K9769" s="25" t="n">
        <f aca="false">J9780</f>
        <v>1315.098</v>
      </c>
    </row>
    <row r="9770" customFormat="false" ht="15" hidden="false" customHeight="false" outlineLevel="0" collapsed="false">
      <c r="A9770" s="3" t="s">
        <v>310</v>
      </c>
      <c r="G9770" s="20" t="n">
        <f aca="false">IF(G9733=Assumptions!$K$56,1,0)</f>
        <v>0</v>
      </c>
      <c r="H9770" s="20" t="n">
        <f aca="false">IF(H9733=Assumptions!$K$56,1,0)</f>
        <v>0</v>
      </c>
      <c r="I9770" s="20" t="n">
        <f aca="false">IF(I9733=Assumptions!$K$56,1,0)</f>
        <v>0</v>
      </c>
      <c r="J9770" s="20" t="n">
        <f aca="false">IF(J9733=Assumptions!$K$56,1,0)</f>
        <v>0</v>
      </c>
      <c r="K9770" s="20" t="n">
        <f aca="false">IF(K9733=Assumptions!$K$56,1,0)</f>
        <v>0</v>
      </c>
    </row>
    <row r="9772" customFormat="false" ht="15" hidden="false" customHeight="false" outlineLevel="0" collapsed="false">
      <c r="A9772" s="3" t="s">
        <v>311</v>
      </c>
      <c r="G9772" s="31" t="n">
        <f aca="false">IF(Assumptions!$I$56=1,MAX(G9759,Assumptions!$G$56)+Assumptions!$F$56+$C$9760,Assumptions!$E$56)</f>
        <v>0.105</v>
      </c>
      <c r="H9772" s="31" t="n">
        <f aca="false">IF(G9916=1,$C$9761,IF(Assumptions!$I$56=1,MAX(H9759,Assumptions!$G$56)+Assumptions!$F$56+$C$9760,Assumptions!$E$56))</f>
        <v>0.105</v>
      </c>
      <c r="I9772" s="31" t="n">
        <f aca="false">IF(H9916=1,$C$9761,IF(Assumptions!$I$56=1,MAX(I9759,Assumptions!$G$56)+Assumptions!$F$56+$C$9760,Assumptions!$E$56))</f>
        <v>0.105</v>
      </c>
      <c r="J9772" s="31" t="n">
        <f aca="false">IF(I9916=1,$C$9761,IF(Assumptions!$I$56=1,MAX(J9759,Assumptions!$G$56)+Assumptions!$F$56+$C$9760,Assumptions!$E$56))</f>
        <v>0.105</v>
      </c>
      <c r="K9772" s="31" t="n">
        <f aca="false">IF(J9916=1,$C$9761,IF(Assumptions!$I$56=1,MAX(K9759,Assumptions!$G$56)+Assumptions!$F$56+$C$9760,Assumptions!$E$56))</f>
        <v>0.105</v>
      </c>
    </row>
    <row r="9773" customFormat="false" ht="15" hidden="false" customHeight="false" outlineLevel="0" collapsed="false">
      <c r="A9773" s="3" t="s">
        <v>312</v>
      </c>
      <c r="G9773" s="25" t="n">
        <f aca="false">G9769*G9772</f>
        <v>138.08529</v>
      </c>
      <c r="H9773" s="25" t="n">
        <f aca="false">H9769*H9772</f>
        <v>138.08529</v>
      </c>
      <c r="I9773" s="25" t="n">
        <f aca="false">I9769*I9772</f>
        <v>138.08529</v>
      </c>
      <c r="J9773" s="25" t="n">
        <f aca="false">J9769*J9772</f>
        <v>138.08529</v>
      </c>
      <c r="K9773" s="25" t="n">
        <f aca="false">K9769*K9772</f>
        <v>138.08529</v>
      </c>
    </row>
    <row r="9774" customFormat="false" ht="15" hidden="false" customHeight="false" outlineLevel="0" collapsed="false">
      <c r="A9774" s="3" t="s">
        <v>313</v>
      </c>
      <c r="G9774" s="25" t="n">
        <f aca="false">G9769*Assumptions!$H$56</f>
        <v>0</v>
      </c>
      <c r="H9774" s="25" t="n">
        <f aca="false">H9769*Assumptions!$H$56</f>
        <v>0</v>
      </c>
      <c r="I9774" s="25" t="n">
        <f aca="false">I9769*Assumptions!$H$56</f>
        <v>0</v>
      </c>
      <c r="J9774" s="25" t="n">
        <f aca="false">J9769*Assumptions!$H$56</f>
        <v>0</v>
      </c>
      <c r="K9774" s="25" t="n">
        <f aca="false">K9769*Assumptions!$H$56</f>
        <v>0</v>
      </c>
    </row>
    <row r="9775" customFormat="false" ht="15" hidden="false" customHeight="false" outlineLevel="0" collapsed="false">
      <c r="A9775" s="3" t="s">
        <v>314</v>
      </c>
      <c r="G9775" s="25" t="n">
        <f aca="false">MIN(G9769,Assumptions!$L$56*Assumptions!$C$56)</f>
        <v>0</v>
      </c>
      <c r="H9775" s="25" t="n">
        <f aca="false">MIN(H9769,Assumptions!$L$56*Assumptions!$C$56)</f>
        <v>0</v>
      </c>
      <c r="I9775" s="25" t="n">
        <f aca="false">MIN(I9769,Assumptions!$L$56*Assumptions!$C$56)</f>
        <v>0</v>
      </c>
      <c r="J9775" s="25" t="n">
        <f aca="false">MIN(J9769,Assumptions!$L$56*Assumptions!$C$56)</f>
        <v>0</v>
      </c>
      <c r="K9775" s="25" t="n">
        <f aca="false">MIN(K9769,Assumptions!$L$56*Assumptions!$C$56)</f>
        <v>0</v>
      </c>
    </row>
    <row r="9776" customFormat="false" ht="15" hidden="false" customHeight="false" outlineLevel="0" collapsed="false">
      <c r="A9776" s="3" t="s">
        <v>315</v>
      </c>
      <c r="G9776" s="25" t="n">
        <f aca="false">IF(AND(Assumptions!$P$56=1,G9733&lt;Assumptions!$K$56),MIN(MAX(0,-G9830),MAX(0,Assumptions!$D$56-G9769)),0)</f>
        <v>0</v>
      </c>
      <c r="H9776" s="25" t="n">
        <f aca="false">IF(AND(Assumptions!$P$56=1,OR(H9733&lt;Assumptions!$K$56,G9916=1)),MIN(MAX(0,-H9830),MAX(0,Assumptions!$D$56-H9769)),0)</f>
        <v>0</v>
      </c>
      <c r="I9776" s="25" t="n">
        <f aca="false">IF(AND(Assumptions!$P$56=1,OR(I9733&lt;Assumptions!$K$56,H9916=1)),MIN(MAX(0,-I9830),MAX(0,Assumptions!$D$56-I9769)),0)</f>
        <v>0</v>
      </c>
      <c r="J9776" s="25" t="n">
        <f aca="false">IF(AND(Assumptions!$P$56=1,OR(J9733&lt;Assumptions!$K$56,I9916=1)),MIN(MAX(0,-J9830),MAX(0,Assumptions!$D$56-J9769)),0)</f>
        <v>0</v>
      </c>
      <c r="K9776" s="25" t="n">
        <f aca="false">IF(AND(Assumptions!$P$56=1,OR(K9733&lt;Assumptions!$K$56,J9916=1)),MIN(MAX(0,-K9830),MAX(0,Assumptions!$D$56-K9769)),0)</f>
        <v>0</v>
      </c>
    </row>
    <row r="9777" customFormat="false" ht="15" hidden="false" customHeight="false" outlineLevel="0" collapsed="false">
      <c r="A9777" s="3" t="s">
        <v>316</v>
      </c>
      <c r="G9777" s="25" t="n">
        <f aca="false">G9770*MIN(G9769-G9775+G9774,MAX(0,G9832-Assumptions!$C$12*G9767))</f>
        <v>0</v>
      </c>
      <c r="H9777" s="25" t="n">
        <f aca="false">H9770*MIN(H9769-H9775+H9774,MAX(0,H9832-Assumptions!$C$12*H9767))</f>
        <v>0</v>
      </c>
      <c r="I9777" s="25" t="n">
        <f aca="false">I9770*MIN(I9769-I9775+I9774,MAX(0,I9832-Assumptions!$C$12*I9767))</f>
        <v>0</v>
      </c>
      <c r="J9777" s="25" t="n">
        <f aca="false">J9770*MIN(J9769-J9775+J9774,MAX(0,J9832-Assumptions!$C$12*J9767))</f>
        <v>0</v>
      </c>
      <c r="K9777" s="25" t="n">
        <f aca="false">K9770*MIN(K9769-K9775+K9774,MAX(0,K9832-Assumptions!$C$12*K9767))</f>
        <v>0</v>
      </c>
    </row>
    <row r="9778" customFormat="false" ht="15" hidden="false" customHeight="false" outlineLevel="0" collapsed="false">
      <c r="A9778" s="3" t="s">
        <v>317</v>
      </c>
      <c r="G9778" s="25" t="n">
        <f aca="false">Assumptions!$N$56*MIN(G9769+G9776+G9774-G9775-G9777,MAX(0,G9836))</f>
        <v>0</v>
      </c>
      <c r="H9778" s="25" t="n">
        <f aca="false">Assumptions!$N$56*MIN(H9769+H9776+H9774-H9775-H9777,MAX(0,H9836))</f>
        <v>0</v>
      </c>
      <c r="I9778" s="25" t="n">
        <f aca="false">Assumptions!$N$56*MIN(I9769+I9776+I9774-I9775-I9777,MAX(0,I9836))</f>
        <v>0</v>
      </c>
      <c r="J9778" s="25" t="n">
        <f aca="false">Assumptions!$N$56*MIN(J9769+J9776+J9774-J9775-J9777,MAX(0,J9836))</f>
        <v>0</v>
      </c>
      <c r="K9778" s="25" t="n">
        <f aca="false">Assumptions!$N$56*MIN(K9769+K9776+K9774-K9775-K9777,MAX(0,K9836))</f>
        <v>0</v>
      </c>
    </row>
    <row r="9779" customFormat="false" ht="15" hidden="false" customHeight="false" outlineLevel="0" collapsed="false">
      <c r="A9779" s="3" t="s">
        <v>318</v>
      </c>
      <c r="G9779" s="25" t="n">
        <f aca="false">G9770*(1-G9767)*(G9769-G9775+G9774-G9777)</f>
        <v>0</v>
      </c>
      <c r="H9779" s="25" t="n">
        <f aca="false">H9770*(1-H9767)*(H9769-H9775+H9774-H9777)</f>
        <v>0</v>
      </c>
      <c r="I9779" s="25" t="n">
        <f aca="false">I9770*(1-I9767)*(I9769-I9775+I9774-I9777)</f>
        <v>0</v>
      </c>
      <c r="J9779" s="25" t="n">
        <f aca="false">J9770*(1-J9767)*(J9769-J9775+J9774-J9777)</f>
        <v>0</v>
      </c>
      <c r="K9779" s="25" t="n">
        <f aca="false">K9770*(1-K9767)*(K9769-K9775+K9774-K9777)</f>
        <v>0</v>
      </c>
    </row>
    <row r="9780" customFormat="false" ht="15" hidden="false" customHeight="false" outlineLevel="0" collapsed="false">
      <c r="A9780" s="2" t="s">
        <v>319</v>
      </c>
      <c r="F9780" s="28" t="n">
        <f aca="false">Assumptions!$C$56</f>
        <v>1315.098</v>
      </c>
      <c r="G9780" s="16" t="n">
        <f aca="false">G9769+G9776+G9774-G9775-G9777-G9778</f>
        <v>1315.098</v>
      </c>
      <c r="H9780" s="16" t="n">
        <f aca="false">H9769+H9776+H9774-H9775-H9777-H9778</f>
        <v>1315.098</v>
      </c>
      <c r="I9780" s="16" t="n">
        <f aca="false">I9769+I9776+I9774-I9775-I9777-I9778</f>
        <v>1315.098</v>
      </c>
      <c r="J9780" s="16" t="n">
        <f aca="false">J9769+J9776+J9774-J9775-J9777-J9778</f>
        <v>1315.098</v>
      </c>
      <c r="K9780" s="16" t="n">
        <f aca="false">K9769+K9776+K9774-K9775-K9777-K9778</f>
        <v>1315.098</v>
      </c>
    </row>
    <row r="9781" customFormat="false" ht="15" hidden="false" customHeight="false" outlineLevel="0" collapsed="false">
      <c r="A9781" s="23" t="s">
        <v>320</v>
      </c>
      <c r="B9781" s="24"/>
      <c r="C9781" s="24"/>
      <c r="D9781" s="24"/>
      <c r="E9781" s="24"/>
      <c r="F9781" s="24"/>
      <c r="G9781" s="24"/>
      <c r="H9781" s="24"/>
      <c r="I9781" s="24"/>
      <c r="J9781" s="24"/>
      <c r="K9781" s="24"/>
    </row>
    <row r="9782" customFormat="false" ht="15" hidden="false" customHeight="false" outlineLevel="0" collapsed="false">
      <c r="A9782" s="3" t="s">
        <v>309</v>
      </c>
      <c r="G9782" s="25" t="n">
        <f aca="false">F9793</f>
        <v>276.706</v>
      </c>
      <c r="H9782" s="25" t="n">
        <f aca="false">G9793</f>
        <v>276.706</v>
      </c>
      <c r="I9782" s="25" t="n">
        <f aca="false">H9793</f>
        <v>276.706</v>
      </c>
      <c r="J9782" s="25" t="n">
        <f aca="false">I9793</f>
        <v>6.33403256832008</v>
      </c>
      <c r="K9782" s="25" t="n">
        <f aca="false">J9793</f>
        <v>6.33403256832008</v>
      </c>
    </row>
    <row r="9783" customFormat="false" ht="15" hidden="false" customHeight="false" outlineLevel="0" collapsed="false">
      <c r="A9783" s="3" t="s">
        <v>310</v>
      </c>
      <c r="G9783" s="20" t="n">
        <f aca="false">IF(G9733=Assumptions!$K$57,1,0)</f>
        <v>0</v>
      </c>
      <c r="H9783" s="20" t="n">
        <f aca="false">IF(H9733=Assumptions!$K$57,1,0)</f>
        <v>0</v>
      </c>
      <c r="I9783" s="20" t="n">
        <f aca="false">IF(I9733=Assumptions!$K$57,1,0)</f>
        <v>1</v>
      </c>
      <c r="J9783" s="20" t="n">
        <f aca="false">IF(J9733=Assumptions!$K$57,1,0)</f>
        <v>0</v>
      </c>
      <c r="K9783" s="20" t="n">
        <f aca="false">IF(K9733=Assumptions!$K$57,1,0)</f>
        <v>0</v>
      </c>
    </row>
    <row r="9785" customFormat="false" ht="15" hidden="false" customHeight="false" outlineLevel="0" collapsed="false">
      <c r="A9785" s="3" t="s">
        <v>311</v>
      </c>
      <c r="G9785" s="31" t="n">
        <f aca="false">IF(Assumptions!$I$57=1,MAX(G9759,Assumptions!$G$57)+Assumptions!$F$57+$C$9760,Assumptions!$E$57)</f>
        <v>0.0425</v>
      </c>
      <c r="H9785" s="31" t="n">
        <f aca="false">IF(G9917=1,$C$9761,IF(Assumptions!$I$57=1,MAX(H9759,Assumptions!$G$57)+Assumptions!$F$57+$C$9760,Assumptions!$E$57))</f>
        <v>0.0425</v>
      </c>
      <c r="I9785" s="31" t="n">
        <f aca="false">IF(H9917=1,$C$9761,IF(Assumptions!$I$57=1,MAX(I9759,Assumptions!$G$57)+Assumptions!$F$57+$C$9760,Assumptions!$E$57))</f>
        <v>0.0425</v>
      </c>
      <c r="J9785" s="31" t="n">
        <f aca="false">IF(I9917=1,$C$9761,IF(Assumptions!$I$57=1,MAX(J9759,Assumptions!$G$57)+Assumptions!$F$57+$C$9760,Assumptions!$E$57))</f>
        <v>0.0425</v>
      </c>
      <c r="K9785" s="31" t="n">
        <f aca="false">IF(J9917=1,$C$9761,IF(Assumptions!$I$57=1,MAX(K9759,Assumptions!$G$57)+Assumptions!$F$57+$C$9760,Assumptions!$E$57))</f>
        <v>0.0425</v>
      </c>
    </row>
    <row r="9786" customFormat="false" ht="15" hidden="false" customHeight="false" outlineLevel="0" collapsed="false">
      <c r="A9786" s="3" t="s">
        <v>312</v>
      </c>
      <c r="G9786" s="25" t="n">
        <f aca="false">G9782*G9785</f>
        <v>11.760005</v>
      </c>
      <c r="H9786" s="25" t="n">
        <f aca="false">H9782*H9785</f>
        <v>11.760005</v>
      </c>
      <c r="I9786" s="25" t="n">
        <f aca="false">I9782*I9785</f>
        <v>11.760005</v>
      </c>
      <c r="J9786" s="25" t="n">
        <f aca="false">J9782*J9785</f>
        <v>0.269196384153604</v>
      </c>
      <c r="K9786" s="25" t="n">
        <f aca="false">K9782*K9785</f>
        <v>0.269196384153604</v>
      </c>
    </row>
    <row r="9787" customFormat="false" ht="15" hidden="false" customHeight="false" outlineLevel="0" collapsed="false">
      <c r="A9787" s="3" t="s">
        <v>313</v>
      </c>
      <c r="G9787" s="25" t="n">
        <f aca="false">G9782*Assumptions!$H$57</f>
        <v>0</v>
      </c>
      <c r="H9787" s="25" t="n">
        <f aca="false">H9782*Assumptions!$H$57</f>
        <v>0</v>
      </c>
      <c r="I9787" s="25" t="n">
        <f aca="false">I9782*Assumptions!$H$57</f>
        <v>0</v>
      </c>
      <c r="J9787" s="25" t="n">
        <f aca="false">J9782*Assumptions!$H$57</f>
        <v>0</v>
      </c>
      <c r="K9787" s="25" t="n">
        <f aca="false">K9782*Assumptions!$H$57</f>
        <v>0</v>
      </c>
    </row>
    <row r="9788" customFormat="false" ht="15" hidden="false" customHeight="false" outlineLevel="0" collapsed="false">
      <c r="A9788" s="3" t="s">
        <v>314</v>
      </c>
      <c r="G9788" s="25" t="n">
        <f aca="false">MIN(G9782,Assumptions!$L$57*Assumptions!$C$57)</f>
        <v>0</v>
      </c>
      <c r="H9788" s="25" t="n">
        <f aca="false">MIN(H9782,Assumptions!$L$57*Assumptions!$C$57)</f>
        <v>0</v>
      </c>
      <c r="I9788" s="25" t="n">
        <f aca="false">MIN(I9782,Assumptions!$L$57*Assumptions!$C$57)</f>
        <v>0</v>
      </c>
      <c r="J9788" s="25" t="n">
        <f aca="false">MIN(J9782,Assumptions!$L$57*Assumptions!$C$57)</f>
        <v>0</v>
      </c>
      <c r="K9788" s="25" t="n">
        <f aca="false">MIN(K9782,Assumptions!$L$57*Assumptions!$C$57)</f>
        <v>0</v>
      </c>
    </row>
    <row r="9789" customFormat="false" ht="15" hidden="false" customHeight="false" outlineLevel="0" collapsed="false">
      <c r="A9789" s="3" t="s">
        <v>315</v>
      </c>
      <c r="G9789" s="25" t="n">
        <f aca="false">IF(AND(Assumptions!$P$57=1,G9733&lt;Assumptions!$K$57),MIN(MAX(0,-G9830),MAX(0,Assumptions!$D$57-G9782)),0)</f>
        <v>0</v>
      </c>
      <c r="H9789" s="25" t="n">
        <f aca="false">IF(AND(Assumptions!$P$57=1,OR(H9733&lt;Assumptions!$K$57,G9917=1)),MIN(MAX(0,-H9830),MAX(0,Assumptions!$D$57-H9782)),0)</f>
        <v>0</v>
      </c>
      <c r="I9789" s="25" t="n">
        <f aca="false">IF(AND(Assumptions!$P$57=1,OR(I9733&lt;Assumptions!$K$57,H9917=1)),MIN(MAX(0,-I9830),MAX(0,Assumptions!$D$57-I9782)),0)</f>
        <v>0</v>
      </c>
      <c r="J9789" s="25" t="n">
        <f aca="false">IF(AND(Assumptions!$P$57=1,OR(J9733&lt;Assumptions!$K$57,I9917=1)),MIN(MAX(0,-J9830),MAX(0,Assumptions!$D$57-J9782)),0)</f>
        <v>0</v>
      </c>
      <c r="K9789" s="25" t="n">
        <f aca="false">IF(AND(Assumptions!$P$57=1,OR(K9733&lt;Assumptions!$K$57,J9917=1)),MIN(MAX(0,-K9830),MAX(0,Assumptions!$D$57-K9782)),0)</f>
        <v>0</v>
      </c>
    </row>
    <row r="9790" customFormat="false" ht="15" hidden="false" customHeight="false" outlineLevel="0" collapsed="false">
      <c r="A9790" s="3" t="s">
        <v>316</v>
      </c>
      <c r="G9790" s="25" t="n">
        <f aca="false">G9783*MIN(G9782-G9788+G9787,MAX(0,G9832-Assumptions!$C$12*G9767-G9777))</f>
        <v>0</v>
      </c>
      <c r="H9790" s="25" t="n">
        <f aca="false">H9783*MIN(H9782-H9788+H9787,MAX(0,H9832-Assumptions!$C$12*H9767-H9777))</f>
        <v>0</v>
      </c>
      <c r="I9790" s="25" t="n">
        <f aca="false">I9783*MIN(I9782-I9788+I9787,MAX(0,I9832-Assumptions!$C$12*I9767-I9777))</f>
        <v>270.37196743168</v>
      </c>
      <c r="J9790" s="25" t="n">
        <f aca="false">J9783*MIN(J9782-J9788+J9787,MAX(0,J9832-Assumptions!$C$12*J9767-J9777))</f>
        <v>0</v>
      </c>
      <c r="K9790" s="25" t="n">
        <f aca="false">K9783*MIN(K9782-K9788+K9787,MAX(0,K9832-Assumptions!$C$12*K9767-K9777))</f>
        <v>0</v>
      </c>
    </row>
    <row r="9791" customFormat="false" ht="15" hidden="false" customHeight="false" outlineLevel="0" collapsed="false">
      <c r="A9791" s="3" t="s">
        <v>317</v>
      </c>
      <c r="G9791" s="25" t="n">
        <f aca="false">Assumptions!$N$57*MIN(G9782+G9789+G9787-G9788-G9790,MAX(0,G9836-G9778))</f>
        <v>0</v>
      </c>
      <c r="H9791" s="25" t="n">
        <f aca="false">Assumptions!$N$57*MIN(H9782+H9789+H9787-H9788-H9790,MAX(0,H9836-H9778))</f>
        <v>0</v>
      </c>
      <c r="I9791" s="25" t="n">
        <f aca="false">Assumptions!$N$57*MIN(I9782+I9789+I9787-I9788-I9790,MAX(0,I9836-I9778))</f>
        <v>0</v>
      </c>
      <c r="J9791" s="25" t="n">
        <f aca="false">Assumptions!$N$57*MIN(J9782+J9789+J9787-J9788-J9790,MAX(0,J9836-J9778))</f>
        <v>0</v>
      </c>
      <c r="K9791" s="25" t="n">
        <f aca="false">Assumptions!$N$57*MIN(K9782+K9789+K9787-K9788-K9790,MAX(0,K9836-K9778))</f>
        <v>0</v>
      </c>
    </row>
    <row r="9792" customFormat="false" ht="15" hidden="false" customHeight="false" outlineLevel="0" collapsed="false">
      <c r="A9792" s="3" t="s">
        <v>318</v>
      </c>
      <c r="G9792" s="25" t="n">
        <f aca="false">G9783*(1-G9767)*(G9782-G9788+G9787-G9790)</f>
        <v>0</v>
      </c>
      <c r="H9792" s="25" t="n">
        <f aca="false">H9783*(1-H9767)*(H9782-H9788+H9787-H9790)</f>
        <v>0</v>
      </c>
      <c r="I9792" s="25" t="n">
        <f aca="false">I9783*(1-I9767)*(I9782-I9788+I9787-I9790)</f>
        <v>6.33403256832008</v>
      </c>
      <c r="J9792" s="25" t="n">
        <f aca="false">J9783*(1-J9767)*(J9782-J9788+J9787-J9790)</f>
        <v>0</v>
      </c>
      <c r="K9792" s="25" t="n">
        <f aca="false">K9783*(1-K9767)*(K9782-K9788+K9787-K9790)</f>
        <v>0</v>
      </c>
    </row>
    <row r="9793" customFormat="false" ht="15" hidden="false" customHeight="false" outlineLevel="0" collapsed="false">
      <c r="A9793" s="2" t="s">
        <v>319</v>
      </c>
      <c r="F9793" s="28" t="n">
        <f aca="false">Assumptions!$C$57</f>
        <v>276.706</v>
      </c>
      <c r="G9793" s="16" t="n">
        <f aca="false">G9782+G9789+G9787-G9788-G9790-G9791</f>
        <v>276.706</v>
      </c>
      <c r="H9793" s="16" t="n">
        <f aca="false">H9782+H9789+H9787-H9788-H9790-H9791</f>
        <v>276.706</v>
      </c>
      <c r="I9793" s="16" t="n">
        <f aca="false">I9782+I9789+I9787-I9788-I9790-I9791</f>
        <v>6.33403256832008</v>
      </c>
      <c r="J9793" s="16" t="n">
        <f aca="false">J9782+J9789+J9787-J9788-J9790-J9791</f>
        <v>6.33403256832008</v>
      </c>
      <c r="K9793" s="16" t="n">
        <f aca="false">K9782+K9789+K9787-K9788-K9790-K9791</f>
        <v>6.33403256832008</v>
      </c>
    </row>
    <row r="9794" customFormat="false" ht="15" hidden="false" customHeight="false" outlineLevel="0" collapsed="false">
      <c r="A9794" s="23" t="s">
        <v>321</v>
      </c>
      <c r="B9794" s="24"/>
      <c r="C9794" s="24"/>
      <c r="D9794" s="24"/>
      <c r="E9794" s="24"/>
      <c r="F9794" s="24"/>
      <c r="G9794" s="24"/>
      <c r="H9794" s="24"/>
      <c r="I9794" s="24"/>
      <c r="J9794" s="24"/>
      <c r="K9794" s="24"/>
    </row>
    <row r="9795" customFormat="false" ht="15" hidden="false" customHeight="false" outlineLevel="0" collapsed="false">
      <c r="A9795" s="3" t="s">
        <v>309</v>
      </c>
      <c r="G9795" s="25" t="n">
        <f aca="false">F9806</f>
        <v>143.75</v>
      </c>
      <c r="H9795" s="25" t="n">
        <f aca="false">G9806</f>
        <v>143.75</v>
      </c>
      <c r="I9795" s="25" t="n">
        <f aca="false">H9806</f>
        <v>143.75</v>
      </c>
      <c r="J9795" s="25" t="n">
        <f aca="false">I9806</f>
        <v>143.75</v>
      </c>
      <c r="K9795" s="25" t="n">
        <f aca="false">J9806</f>
        <v>143.75</v>
      </c>
    </row>
    <row r="9796" customFormat="false" ht="15" hidden="false" customHeight="false" outlineLevel="0" collapsed="false">
      <c r="A9796" s="3" t="s">
        <v>310</v>
      </c>
      <c r="G9796" s="20" t="n">
        <f aca="false">IF(G9733=Assumptions!$K$58,1,0)</f>
        <v>0</v>
      </c>
      <c r="H9796" s="20" t="n">
        <f aca="false">IF(H9733=Assumptions!$K$58,1,0)</f>
        <v>0</v>
      </c>
      <c r="I9796" s="20" t="n">
        <f aca="false">IF(I9733=Assumptions!$K$58,1,0)</f>
        <v>1</v>
      </c>
      <c r="J9796" s="20" t="n">
        <f aca="false">IF(J9733=Assumptions!$K$58,1,0)</f>
        <v>0</v>
      </c>
      <c r="K9796" s="20" t="n">
        <f aca="false">IF(K9733=Assumptions!$K$58,1,0)</f>
        <v>0</v>
      </c>
    </row>
    <row r="9798" customFormat="false" ht="15" hidden="false" customHeight="false" outlineLevel="0" collapsed="false">
      <c r="A9798" s="3" t="s">
        <v>311</v>
      </c>
      <c r="G9798" s="31" t="n">
        <f aca="false">IF(Assumptions!$I$58=1,MAX(G9759,Assumptions!$G$58)+Assumptions!$F$58+$C$9760,Assumptions!$E$58)</f>
        <v>0.0425</v>
      </c>
      <c r="H9798" s="31" t="n">
        <f aca="false">IF(G9918=1,$C$9761,IF(Assumptions!$I$58=1,MAX(H9759,Assumptions!$G$58)+Assumptions!$F$58+$C$9760,Assumptions!$E$58))</f>
        <v>0.0425</v>
      </c>
      <c r="I9798" s="31" t="n">
        <f aca="false">IF(H9918=1,$C$9761,IF(Assumptions!$I$58=1,MAX(I9759,Assumptions!$G$58)+Assumptions!$F$58+$C$9760,Assumptions!$E$58))</f>
        <v>0.0425</v>
      </c>
      <c r="J9798" s="31" t="n">
        <f aca="false">IF(I9918=1,$C$9761,IF(Assumptions!$I$58=1,MAX(J9759,Assumptions!$G$58)+Assumptions!$F$58+$C$9760,Assumptions!$E$58))</f>
        <v>0.0425</v>
      </c>
      <c r="K9798" s="31" t="n">
        <f aca="false">IF(J9918=1,$C$9761,IF(Assumptions!$I$58=1,MAX(K9759,Assumptions!$G$58)+Assumptions!$F$58+$C$9760,Assumptions!$E$58))</f>
        <v>0.0425</v>
      </c>
    </row>
    <row r="9799" customFormat="false" ht="15" hidden="false" customHeight="false" outlineLevel="0" collapsed="false">
      <c r="A9799" s="3" t="s">
        <v>312</v>
      </c>
      <c r="G9799" s="25" t="n">
        <f aca="false">G9795*G9798</f>
        <v>6.109375</v>
      </c>
      <c r="H9799" s="25" t="n">
        <f aca="false">H9795*H9798</f>
        <v>6.109375</v>
      </c>
      <c r="I9799" s="25" t="n">
        <f aca="false">I9795*I9798</f>
        <v>6.109375</v>
      </c>
      <c r="J9799" s="25" t="n">
        <f aca="false">J9795*J9798</f>
        <v>6.109375</v>
      </c>
      <c r="K9799" s="25" t="n">
        <f aca="false">K9795*K9798</f>
        <v>6.109375</v>
      </c>
    </row>
    <row r="9800" customFormat="false" ht="15" hidden="false" customHeight="false" outlineLevel="0" collapsed="false">
      <c r="A9800" s="3" t="s">
        <v>313</v>
      </c>
      <c r="G9800" s="25" t="n">
        <f aca="false">G9795*Assumptions!$H$58</f>
        <v>0</v>
      </c>
      <c r="H9800" s="25" t="n">
        <f aca="false">H9795*Assumptions!$H$58</f>
        <v>0</v>
      </c>
      <c r="I9800" s="25" t="n">
        <f aca="false">I9795*Assumptions!$H$58</f>
        <v>0</v>
      </c>
      <c r="J9800" s="25" t="n">
        <f aca="false">J9795*Assumptions!$H$58</f>
        <v>0</v>
      </c>
      <c r="K9800" s="25" t="n">
        <f aca="false">K9795*Assumptions!$H$58</f>
        <v>0</v>
      </c>
    </row>
    <row r="9801" customFormat="false" ht="15" hidden="false" customHeight="false" outlineLevel="0" collapsed="false">
      <c r="A9801" s="3" t="s">
        <v>314</v>
      </c>
      <c r="G9801" s="25" t="n">
        <f aca="false">MIN(G9795,Assumptions!$L$58*Assumptions!$C$58)</f>
        <v>0</v>
      </c>
      <c r="H9801" s="25" t="n">
        <f aca="false">MIN(H9795,Assumptions!$L$58*Assumptions!$C$58)</f>
        <v>0</v>
      </c>
      <c r="I9801" s="25" t="n">
        <f aca="false">MIN(I9795,Assumptions!$L$58*Assumptions!$C$58)</f>
        <v>0</v>
      </c>
      <c r="J9801" s="25" t="n">
        <f aca="false">MIN(J9795,Assumptions!$L$58*Assumptions!$C$58)</f>
        <v>0</v>
      </c>
      <c r="K9801" s="25" t="n">
        <f aca="false">MIN(K9795,Assumptions!$L$58*Assumptions!$C$58)</f>
        <v>0</v>
      </c>
    </row>
    <row r="9802" customFormat="false" ht="15" hidden="false" customHeight="false" outlineLevel="0" collapsed="false">
      <c r="A9802" s="3" t="s">
        <v>315</v>
      </c>
      <c r="G9802" s="25" t="n">
        <f aca="false">IF(AND(Assumptions!$P$58=1,G9733&lt;Assumptions!$K$58),MIN(MAX(0,-G9830),MAX(0,Assumptions!$D$58-G9795)),0)</f>
        <v>0</v>
      </c>
      <c r="H9802" s="25" t="n">
        <f aca="false">IF(AND(Assumptions!$P$58=1,OR(H9733&lt;Assumptions!$K$58,G9918=1)),MIN(MAX(0,-H9830),MAX(0,Assumptions!$D$58-H9795)),0)</f>
        <v>0</v>
      </c>
      <c r="I9802" s="25" t="n">
        <f aca="false">IF(AND(Assumptions!$P$58=1,OR(I9733&lt;Assumptions!$K$58,H9918=1)),MIN(MAX(0,-I9830),MAX(0,Assumptions!$D$58-I9795)),0)</f>
        <v>0</v>
      </c>
      <c r="J9802" s="25" t="n">
        <f aca="false">IF(AND(Assumptions!$P$58=1,OR(J9733&lt;Assumptions!$K$58,I9918=1)),MIN(MAX(0,-J9830),MAX(0,Assumptions!$D$58-J9795)),0)</f>
        <v>0</v>
      </c>
      <c r="K9802" s="25" t="n">
        <f aca="false">IF(AND(Assumptions!$P$58=1,OR(K9733&lt;Assumptions!$K$58,J9918=1)),MIN(MAX(0,-K9830),MAX(0,Assumptions!$D$58-K9795)),0)</f>
        <v>0</v>
      </c>
    </row>
    <row r="9803" customFormat="false" ht="15" hidden="false" customHeight="false" outlineLevel="0" collapsed="false">
      <c r="A9803" s="3" t="s">
        <v>316</v>
      </c>
      <c r="G9803" s="25" t="n">
        <f aca="false">G9796*MIN(G9795-G9801+G9800,MAX(0,G9832-Assumptions!$C$12*G9767-G9777-G9790))</f>
        <v>0</v>
      </c>
      <c r="H9803" s="25" t="n">
        <f aca="false">H9796*MIN(H9795-H9801+H9800,MAX(0,H9832-Assumptions!$C$12*H9767-H9777-H9790))</f>
        <v>0</v>
      </c>
      <c r="I9803" s="25" t="n">
        <f aca="false">I9796*MIN(I9795-I9801+I9800,MAX(0,I9832-Assumptions!$C$12*I9767-I9777-I9790))</f>
        <v>0</v>
      </c>
      <c r="J9803" s="25" t="n">
        <f aca="false">J9796*MIN(J9795-J9801+J9800,MAX(0,J9832-Assumptions!$C$12*J9767-J9777-J9790))</f>
        <v>0</v>
      </c>
      <c r="K9803" s="25" t="n">
        <f aca="false">K9796*MIN(K9795-K9801+K9800,MAX(0,K9832-Assumptions!$C$12*K9767-K9777-K9790))</f>
        <v>0</v>
      </c>
    </row>
    <row r="9804" customFormat="false" ht="15" hidden="false" customHeight="false" outlineLevel="0" collapsed="false">
      <c r="A9804" s="3" t="s">
        <v>317</v>
      </c>
      <c r="G9804" s="25" t="n">
        <f aca="false">Assumptions!$N$58*MIN(G9795+G9802+G9800-G9801-G9803,MAX(0,G9836-G9778-G9791))</f>
        <v>0</v>
      </c>
      <c r="H9804" s="25" t="n">
        <f aca="false">Assumptions!$N$58*MIN(H9795+H9802+H9800-H9801-H9803,MAX(0,H9836-H9778-H9791))</f>
        <v>0</v>
      </c>
      <c r="I9804" s="25" t="n">
        <f aca="false">Assumptions!$N$58*MIN(I9795+I9802+I9800-I9801-I9803,MAX(0,I9836-I9778-I9791))</f>
        <v>0</v>
      </c>
      <c r="J9804" s="25" t="n">
        <f aca="false">Assumptions!$N$58*MIN(J9795+J9802+J9800-J9801-J9803,MAX(0,J9836-J9778-J9791))</f>
        <v>0</v>
      </c>
      <c r="K9804" s="25" t="n">
        <f aca="false">Assumptions!$N$58*MIN(K9795+K9802+K9800-K9801-K9803,MAX(0,K9836-K9778-K9791))</f>
        <v>0</v>
      </c>
    </row>
    <row r="9805" customFormat="false" ht="15" hidden="false" customHeight="false" outlineLevel="0" collapsed="false">
      <c r="A9805" s="3" t="s">
        <v>318</v>
      </c>
      <c r="G9805" s="25" t="n">
        <f aca="false">G9796*(1-G9767)*(G9795-G9801+G9800-G9803)</f>
        <v>0</v>
      </c>
      <c r="H9805" s="25" t="n">
        <f aca="false">H9796*(1-H9767)*(H9795-H9801+H9800-H9803)</f>
        <v>0</v>
      </c>
      <c r="I9805" s="25" t="n">
        <f aca="false">I9796*(1-I9767)*(I9795-I9801+I9800-I9803)</f>
        <v>143.75</v>
      </c>
      <c r="J9805" s="25" t="n">
        <f aca="false">J9796*(1-J9767)*(J9795-J9801+J9800-J9803)</f>
        <v>0</v>
      </c>
      <c r="K9805" s="25" t="n">
        <f aca="false">K9796*(1-K9767)*(K9795-K9801+K9800-K9803)</f>
        <v>0</v>
      </c>
    </row>
    <row r="9806" customFormat="false" ht="15" hidden="false" customHeight="false" outlineLevel="0" collapsed="false">
      <c r="A9806" s="2" t="s">
        <v>319</v>
      </c>
      <c r="F9806" s="28" t="n">
        <f aca="false">Assumptions!$C$58</f>
        <v>143.75</v>
      </c>
      <c r="G9806" s="16" t="n">
        <f aca="false">G9795+G9802+G9800-G9801-G9803-G9804</f>
        <v>143.75</v>
      </c>
      <c r="H9806" s="16" t="n">
        <f aca="false">H9795+H9802+H9800-H9801-H9803-H9804</f>
        <v>143.75</v>
      </c>
      <c r="I9806" s="16" t="n">
        <f aca="false">I9795+I9802+I9800-I9801-I9803-I9804</f>
        <v>143.75</v>
      </c>
      <c r="J9806" s="16" t="n">
        <f aca="false">J9795+J9802+J9800-J9801-J9803-J9804</f>
        <v>143.75</v>
      </c>
      <c r="K9806" s="16" t="n">
        <f aca="false">K9795+K9802+K9800-K9801-K9803-K9804</f>
        <v>143.75</v>
      </c>
    </row>
    <row r="9807" customFormat="false" ht="15" hidden="false" customHeight="false" outlineLevel="0" collapsed="false">
      <c r="A9807" s="23" t="s">
        <v>322</v>
      </c>
      <c r="B9807" s="24"/>
      <c r="C9807" s="24"/>
      <c r="D9807" s="24"/>
      <c r="E9807" s="24"/>
      <c r="F9807" s="24"/>
      <c r="G9807" s="24"/>
      <c r="H9807" s="24"/>
      <c r="I9807" s="24"/>
      <c r="J9807" s="24"/>
      <c r="K9807" s="24"/>
    </row>
    <row r="9808" customFormat="false" ht="15" hidden="false" customHeight="false" outlineLevel="0" collapsed="false">
      <c r="A9808" s="2" t="s">
        <v>323</v>
      </c>
      <c r="F9808" s="16" t="n">
        <f aca="false">F9780+F9793+F9806</f>
        <v>1735.554</v>
      </c>
      <c r="G9808" s="16" t="n">
        <f aca="false">G9780+G9793+G9806</f>
        <v>1735.554</v>
      </c>
      <c r="H9808" s="16" t="n">
        <f aca="false">H9780+H9793+H9806</f>
        <v>1735.554</v>
      </c>
      <c r="I9808" s="16" t="n">
        <f aca="false">I9780+I9793+I9806</f>
        <v>1465.18203256832</v>
      </c>
      <c r="J9808" s="16" t="n">
        <f aca="false">J9780+J9793+J9806</f>
        <v>1465.18203256832</v>
      </c>
      <c r="K9808" s="16" t="n">
        <f aca="false">K9780+K9793+K9806</f>
        <v>1465.18203256832</v>
      </c>
    </row>
    <row r="9809" customFormat="false" ht="15" hidden="false" customHeight="false" outlineLevel="0" collapsed="false">
      <c r="A9809" s="3" t="s">
        <v>324</v>
      </c>
      <c r="G9809" s="25" t="n">
        <f aca="false">G9770*Assumptions!$C$56+G9783*Assumptions!$C$57+G9796*Assumptions!$C$58</f>
        <v>0</v>
      </c>
      <c r="H9809" s="25" t="n">
        <f aca="false">H9770*Assumptions!$C$56+H9783*Assumptions!$C$57+H9796*Assumptions!$C$58</f>
        <v>0</v>
      </c>
      <c r="I9809" s="25" t="n">
        <f aca="false">I9770*Assumptions!$C$56+I9783*Assumptions!$C$57+I9796*Assumptions!$C$58</f>
        <v>420.456</v>
      </c>
      <c r="J9809" s="25" t="n">
        <f aca="false">J9770*Assumptions!$C$56+J9783*Assumptions!$C$57+J9796*Assumptions!$C$58</f>
        <v>0</v>
      </c>
      <c r="K9809" s="25" t="n">
        <f aca="false">K9770*Assumptions!$C$56+K9783*Assumptions!$C$57+K9796*Assumptions!$C$58</f>
        <v>0</v>
      </c>
    </row>
    <row r="9810" customFormat="false" ht="15" hidden="false" customHeight="false" outlineLevel="0" collapsed="false">
      <c r="A9810" s="23" t="s">
        <v>325</v>
      </c>
      <c r="B9810" s="24"/>
      <c r="C9810" s="24"/>
      <c r="D9810" s="24"/>
      <c r="E9810" s="24"/>
      <c r="F9810" s="24"/>
      <c r="G9810" s="24"/>
      <c r="H9810" s="24"/>
      <c r="I9810" s="24"/>
      <c r="J9810" s="24"/>
      <c r="K9810" s="24"/>
    </row>
    <row r="9811" customFormat="false" ht="15" hidden="false" customHeight="false" outlineLevel="0" collapsed="false">
      <c r="A9811" s="3" t="s">
        <v>326</v>
      </c>
      <c r="C9811" s="25" t="n">
        <f aca="false">SUMPRODUCT($G$9770:$K$9770,$G$9769:$K$9769-$G$9775:$K$9775+$G$9774:$K$9774)</f>
        <v>0</v>
      </c>
    </row>
    <row r="9812" customFormat="false" ht="15" hidden="false" customHeight="false" outlineLevel="0" collapsed="false">
      <c r="A9812" s="3" t="s">
        <v>327</v>
      </c>
      <c r="C9812" s="25" t="n">
        <f aca="false">SUMPRODUCT($G$9770:$K$9770,$G$9777:$K$9777)</f>
        <v>0</v>
      </c>
    </row>
    <row r="9813" customFormat="false" ht="15" hidden="false" customHeight="false" outlineLevel="0" collapsed="false">
      <c r="A9813" s="3" t="s">
        <v>328</v>
      </c>
      <c r="C9813" s="3" t="str">
        <f aca="false">IF(SUM($G$9770:$K$9770)=0,"n/a (beyond horizon)",IF(SUMPRODUCT($G$9770:$K$9770,$G$9767:$K$9767)&gt;0,"REFINANCING PASS","REFINANCING FAILURE"))</f>
        <v>n/a (beyond horizon)</v>
      </c>
    </row>
    <row r="9814" customFormat="false" ht="15" hidden="false" customHeight="false" outlineLevel="0" collapsed="false">
      <c r="A9814" s="3" t="s">
        <v>329</v>
      </c>
      <c r="C9814" s="3" t="str">
        <f aca="false">IF(SUM($G$9770:$K$9770)=0,"n/a",IF(C9812&gt;=C9811-0.001,"Repaid from cash",IF(SUMPRODUCT($G$9770:$K$9770,$G$9767:$K$9767)&gt;0,IF(C9812&gt;0,"Partly repaid; remainder refinanced","Refinanced"),IF(SUM($G$9779:$K$9779)&gt;0.001,IF(C9812&gt;0,"Partial repayment; PAYMENT DEFAULT","PAYMENT DEFAULT"),"Repaid from cash"))))</f>
        <v>n/a</v>
      </c>
    </row>
    <row r="9815" customFormat="false" ht="15" hidden="false" customHeight="false" outlineLevel="0" collapsed="false">
      <c r="A9815" s="3" t="s">
        <v>330</v>
      </c>
      <c r="C9815" s="25" t="n">
        <f aca="false">SUMPRODUCT($G$9783:$K$9783,$G$9782:$K$9782-$G$9788:$K$9788+$G$9787:$K$9787)</f>
        <v>276.706</v>
      </c>
    </row>
    <row r="9816" customFormat="false" ht="15" hidden="false" customHeight="false" outlineLevel="0" collapsed="false">
      <c r="A9816" s="3" t="s">
        <v>331</v>
      </c>
      <c r="C9816" s="25" t="n">
        <f aca="false">SUMPRODUCT($G$9783:$K$9783,$G$9790:$K$9790)</f>
        <v>270.37196743168</v>
      </c>
    </row>
    <row r="9817" customFormat="false" ht="15" hidden="false" customHeight="false" outlineLevel="0" collapsed="false">
      <c r="A9817" s="3" t="s">
        <v>332</v>
      </c>
      <c r="C9817" s="3" t="str">
        <f aca="false">IF(SUM($G$9783:$K$9783)=0,"n/a (beyond horizon)",IF(SUMPRODUCT($G$9783:$K$9783,$G$9767:$K$9767)&gt;0,"REFINANCING PASS","REFINANCING FAILURE"))</f>
        <v>REFINANCING FAILURE</v>
      </c>
    </row>
    <row r="9818" customFormat="false" ht="15" hidden="false" customHeight="false" outlineLevel="0" collapsed="false">
      <c r="A9818" s="3" t="s">
        <v>333</v>
      </c>
      <c r="C9818" s="3" t="str">
        <f aca="false">IF(SUM($G$9783:$K$9783)=0,"n/a",IF(C9816&gt;=C9815-0.001,"Repaid from cash",IF(SUMPRODUCT($G$9783:$K$9783,$G$9767:$K$9767)&gt;0,IF(C9816&gt;0,"Partly repaid; remainder refinanced","Refinanced"),IF(SUM($G$9792:$K$9792)&gt;0.001,IF(C9816&gt;0,"Partial repayment; PAYMENT DEFAULT","PAYMENT DEFAULT"),"Repaid from cash"))))</f>
        <v>Partial repayment; PAYMENT DEFAULT</v>
      </c>
    </row>
    <row r="9819" customFormat="false" ht="15" hidden="false" customHeight="false" outlineLevel="0" collapsed="false">
      <c r="A9819" s="3" t="s">
        <v>334</v>
      </c>
      <c r="C9819" s="25" t="n">
        <f aca="false">SUMPRODUCT($G$9796:$K$9796,$G$9795:$K$9795-$G$9801:$K$9801+$G$9800:$K$9800)</f>
        <v>143.75</v>
      </c>
    </row>
    <row r="9820" customFormat="false" ht="15" hidden="false" customHeight="false" outlineLevel="0" collapsed="false">
      <c r="A9820" s="3" t="s">
        <v>335</v>
      </c>
      <c r="C9820" s="25" t="n">
        <f aca="false">SUMPRODUCT($G$9796:$K$9796,$G$9803:$K$9803)</f>
        <v>0</v>
      </c>
    </row>
    <row r="9821" customFormat="false" ht="15" hidden="false" customHeight="false" outlineLevel="0" collapsed="false">
      <c r="A9821" s="3" t="s">
        <v>336</v>
      </c>
      <c r="C9821" s="3" t="str">
        <f aca="false">IF(SUM($G$9796:$K$9796)=0,"n/a (beyond horizon)",IF(SUMPRODUCT($G$9796:$K$9796,$G$9767:$K$9767)&gt;0,"REFINANCING PASS","REFINANCING FAILURE"))</f>
        <v>REFINANCING FAILURE</v>
      </c>
    </row>
    <row r="9822" customFormat="false" ht="15" hidden="false" customHeight="false" outlineLevel="0" collapsed="false">
      <c r="A9822" s="3" t="s">
        <v>337</v>
      </c>
      <c r="C9822" s="3" t="str">
        <f aca="false">IF(SUM($G$9796:$K$9796)=0,"n/a",IF(C9820&gt;=C9819-0.001,"Repaid from cash",IF(SUMPRODUCT($G$9796:$K$9796,$G$9767:$K$9767)&gt;0,IF(C9820&gt;0,"Partly repaid; remainder refinanced","Refinanced"),IF(SUM($G$9805:$K$9805)&gt;0.001,IF(C9820&gt;0,"Partial repayment; PAYMENT DEFAULT","PAYMENT DEFAULT"),"Repaid from cash"))))</f>
        <v>PAYMENT DEFAULT</v>
      </c>
    </row>
    <row r="9823" customFormat="false" ht="15" hidden="false" customHeight="false" outlineLevel="0" collapsed="false">
      <c r="A9823" s="3" t="s">
        <v>338</v>
      </c>
      <c r="C9823" s="20" t="n">
        <f aca="false">IF(C9813="REFINANCING FAILURE",1,0)+IF(C9817="REFINANCING FAILURE",1,0)+IF(C9821="REFINANCING FAILURE",1,0)</f>
        <v>2</v>
      </c>
    </row>
    <row r="9825" customFormat="false" ht="15" hidden="false" customHeight="false" outlineLevel="0" collapsed="false">
      <c r="A9825" s="23" t="s">
        <v>340</v>
      </c>
      <c r="B9825" s="24"/>
      <c r="C9825" s="24"/>
      <c r="D9825" s="24"/>
      <c r="E9825" s="24"/>
      <c r="F9825" s="24"/>
      <c r="G9825" s="24"/>
      <c r="H9825" s="24"/>
      <c r="I9825" s="24"/>
      <c r="J9825" s="24"/>
      <c r="K9825" s="24"/>
    </row>
    <row r="9826" customFormat="false" ht="15" hidden="false" customHeight="false" outlineLevel="0" collapsed="false">
      <c r="A9826" s="3" t="s">
        <v>305</v>
      </c>
      <c r="G9826" s="25" t="n">
        <f aca="false">F9838</f>
        <v>463.996</v>
      </c>
      <c r="H9826" s="25" t="n">
        <f aca="false">G9838</f>
        <v>431.67030664</v>
      </c>
      <c r="I9826" s="25" t="n">
        <f aca="false">H9838</f>
        <v>359.0106596512</v>
      </c>
      <c r="J9826" s="25" t="n">
        <f aca="false">I9838</f>
        <v>0</v>
      </c>
      <c r="K9826" s="25" t="n">
        <f aca="false">J9838</f>
        <v>-82.533161826112</v>
      </c>
    </row>
    <row r="9827" customFormat="false" ht="15" hidden="false" customHeight="false" outlineLevel="0" collapsed="false">
      <c r="A9827" s="3" t="s">
        <v>341</v>
      </c>
      <c r="G9827" s="25" t="n">
        <f aca="false">G9756</f>
        <v>-32.32569336</v>
      </c>
      <c r="H9827" s="25" t="n">
        <f aca="false">H9756</f>
        <v>-72.6596469888</v>
      </c>
      <c r="I9827" s="25" t="n">
        <f aca="false">I9756</f>
        <v>-88.63869221952</v>
      </c>
      <c r="J9827" s="25" t="n">
        <f aca="false">J9756</f>
        <v>-82.533161826112</v>
      </c>
      <c r="K9827" s="25" t="n">
        <f aca="false">K9756</f>
        <v>-86.2490037995945</v>
      </c>
    </row>
    <row r="9828" customFormat="false" ht="15" hidden="false" customHeight="false" outlineLevel="0" collapsed="false">
      <c r="A9828" s="3" t="s">
        <v>342</v>
      </c>
      <c r="G9828" s="25" t="n">
        <f aca="false">CHOOSE($C$9726,Assumptions!$G$74,Assumptions!$G$93,Assumptions!$G$112)</f>
        <v>0</v>
      </c>
      <c r="H9828" s="25" t="n">
        <f aca="false">CHOOSE($C$9726,Assumptions!$H$74,Assumptions!$H$93,Assumptions!$H$112)</f>
        <v>0</v>
      </c>
      <c r="I9828" s="25" t="n">
        <f aca="false">CHOOSE($C$9726,Assumptions!$I$74,Assumptions!$I$93,Assumptions!$I$112)</f>
        <v>0</v>
      </c>
      <c r="J9828" s="25" t="n">
        <f aca="false">CHOOSE($C$9726,Assumptions!$J$74,Assumptions!$J$93,Assumptions!$J$112)</f>
        <v>0</v>
      </c>
      <c r="K9828" s="25" t="n">
        <f aca="false">CHOOSE($C$9726,Assumptions!$K$74,Assumptions!$K$93,Assumptions!$K$112)</f>
        <v>0</v>
      </c>
    </row>
    <row r="9829" customFormat="false" ht="15" hidden="false" customHeight="false" outlineLevel="0" collapsed="false">
      <c r="A9829" s="3" t="s">
        <v>343</v>
      </c>
      <c r="G9829" s="25" t="n">
        <f aca="false">G9775+G9788+G9801</f>
        <v>0</v>
      </c>
      <c r="H9829" s="25" t="n">
        <f aca="false">H9775+H9788+H9801</f>
        <v>0</v>
      </c>
      <c r="I9829" s="25" t="n">
        <f aca="false">I9775+I9788+I9801</f>
        <v>0</v>
      </c>
      <c r="J9829" s="25" t="n">
        <f aca="false">J9775+J9788+J9801</f>
        <v>0</v>
      </c>
      <c r="K9829" s="25" t="n">
        <f aca="false">K9775+K9788+K9801</f>
        <v>0</v>
      </c>
    </row>
    <row r="9830" customFormat="false" ht="15" hidden="false" customHeight="false" outlineLevel="0" collapsed="false">
      <c r="A9830" s="2" t="s">
        <v>344</v>
      </c>
      <c r="G9830" s="16" t="n">
        <f aca="false">G9826+G9827+G9828-G9829</f>
        <v>431.67030664</v>
      </c>
      <c r="H9830" s="16" t="n">
        <f aca="false">H9826+H9827+H9828-H9829</f>
        <v>359.0106596512</v>
      </c>
      <c r="I9830" s="16" t="n">
        <f aca="false">I9826+I9827+I9828-I9829</f>
        <v>270.37196743168</v>
      </c>
      <c r="J9830" s="16" t="n">
        <f aca="false">J9826+J9827+J9828-J9829</f>
        <v>-82.533161826112</v>
      </c>
      <c r="K9830" s="16" t="n">
        <f aca="false">K9826+K9827+K9828-K9829</f>
        <v>-168.782165625707</v>
      </c>
    </row>
    <row r="9831" customFormat="false" ht="15" hidden="false" customHeight="false" outlineLevel="0" collapsed="false">
      <c r="A9831" s="3" t="s">
        <v>345</v>
      </c>
      <c r="G9831" s="25" t="n">
        <f aca="false">G9776+G9789+G9802</f>
        <v>0</v>
      </c>
      <c r="H9831" s="25" t="n">
        <f aca="false">H9776+H9789+H9802</f>
        <v>0</v>
      </c>
      <c r="I9831" s="25" t="n">
        <f aca="false">I9776+I9789+I9802</f>
        <v>0</v>
      </c>
      <c r="J9831" s="25" t="n">
        <f aca="false">J9776+J9789+J9802</f>
        <v>0</v>
      </c>
      <c r="K9831" s="25" t="n">
        <f aca="false">K9776+K9789+K9802</f>
        <v>0</v>
      </c>
    </row>
    <row r="9832" customFormat="false" ht="15" hidden="false" customHeight="false" outlineLevel="0" collapsed="false">
      <c r="A9832" s="2" t="s">
        <v>346</v>
      </c>
      <c r="G9832" s="16" t="n">
        <f aca="false">G9830+G9831</f>
        <v>431.67030664</v>
      </c>
      <c r="H9832" s="16" t="n">
        <f aca="false">H9830+H9831</f>
        <v>359.0106596512</v>
      </c>
      <c r="I9832" s="16" t="n">
        <f aca="false">I9830+I9831</f>
        <v>270.37196743168</v>
      </c>
      <c r="J9832" s="16" t="n">
        <f aca="false">J9830+J9831</f>
        <v>-82.533161826112</v>
      </c>
      <c r="K9832" s="16" t="n">
        <f aca="false">K9830+K9831</f>
        <v>-168.782165625707</v>
      </c>
    </row>
    <row r="9833" customFormat="false" ht="15" hidden="false" customHeight="false" outlineLevel="0" collapsed="false">
      <c r="A9833" s="3" t="s">
        <v>347</v>
      </c>
      <c r="G9833" s="25" t="n">
        <f aca="false">G9777+G9790+G9803</f>
        <v>0</v>
      </c>
      <c r="H9833" s="25" t="n">
        <f aca="false">H9777+H9790+H9803</f>
        <v>0</v>
      </c>
      <c r="I9833" s="25" t="n">
        <f aca="false">I9777+I9790+I9803</f>
        <v>270.37196743168</v>
      </c>
      <c r="J9833" s="25" t="n">
        <f aca="false">J9777+J9790+J9803</f>
        <v>0</v>
      </c>
      <c r="K9833" s="25" t="n">
        <f aca="false">K9777+K9790+K9803</f>
        <v>0</v>
      </c>
    </row>
    <row r="9834" customFormat="false" ht="15" hidden="false" customHeight="false" outlineLevel="0" collapsed="false">
      <c r="A9834" s="2" t="s">
        <v>348</v>
      </c>
      <c r="G9834" s="16" t="n">
        <f aca="false">G9832-G9833</f>
        <v>431.67030664</v>
      </c>
      <c r="H9834" s="16" t="n">
        <f aca="false">H9832-H9833</f>
        <v>359.0106596512</v>
      </c>
      <c r="I9834" s="16" t="n">
        <f aca="false">I9832-I9833</f>
        <v>0</v>
      </c>
      <c r="J9834" s="16" t="n">
        <f aca="false">J9832-J9833</f>
        <v>-82.533161826112</v>
      </c>
      <c r="K9834" s="16" t="n">
        <f aca="false">K9832-K9833</f>
        <v>-168.782165625707</v>
      </c>
    </row>
    <row r="9835" customFormat="false" ht="15" hidden="false" customHeight="false" outlineLevel="0" collapsed="false">
      <c r="A9835" s="3" t="s">
        <v>349</v>
      </c>
      <c r="G9835" s="25" t="n">
        <f aca="false">MAX(0,-G9834)</f>
        <v>0</v>
      </c>
      <c r="H9835" s="25" t="n">
        <f aca="false">MAX(0,-H9834)</f>
        <v>0</v>
      </c>
      <c r="I9835" s="25" t="n">
        <f aca="false">MAX(0,-I9834)</f>
        <v>-0</v>
      </c>
      <c r="J9835" s="25" t="n">
        <f aca="false">MAX(0,-J9834)</f>
        <v>82.533161826112</v>
      </c>
      <c r="K9835" s="25" t="n">
        <f aca="false">MAX(0,-K9834)</f>
        <v>168.782165625707</v>
      </c>
    </row>
    <row r="9836" customFormat="false" ht="15" hidden="false" customHeight="false" outlineLevel="0" collapsed="false">
      <c r="A9836" s="3" t="s">
        <v>350</v>
      </c>
      <c r="G9836" s="25" t="n">
        <f aca="false">MAX(0,G9834-Assumptions!$C$12)*Assumptions!$C$13</f>
        <v>0</v>
      </c>
      <c r="H9836" s="25" t="n">
        <f aca="false">MAX(0,H9834-Assumptions!$C$12)*Assumptions!$C$13</f>
        <v>0</v>
      </c>
      <c r="I9836" s="25" t="n">
        <f aca="false">MAX(0,I9834-Assumptions!$C$12)*Assumptions!$C$13</f>
        <v>0</v>
      </c>
      <c r="J9836" s="25" t="n">
        <f aca="false">MAX(0,J9834-Assumptions!$C$12)*Assumptions!$C$13</f>
        <v>0</v>
      </c>
      <c r="K9836" s="25" t="n">
        <f aca="false">MAX(0,K9834-Assumptions!$C$12)*Assumptions!$C$13</f>
        <v>0</v>
      </c>
    </row>
    <row r="9837" customFormat="false" ht="15" hidden="false" customHeight="false" outlineLevel="0" collapsed="false">
      <c r="A9837" s="3" t="s">
        <v>351</v>
      </c>
      <c r="G9837" s="25" t="n">
        <f aca="false">G9778+G9791+G9804</f>
        <v>0</v>
      </c>
      <c r="H9837" s="25" t="n">
        <f aca="false">H9778+H9791+H9804</f>
        <v>0</v>
      </c>
      <c r="I9837" s="25" t="n">
        <f aca="false">I9778+I9791+I9804</f>
        <v>0</v>
      </c>
      <c r="J9837" s="25" t="n">
        <f aca="false">J9778+J9791+J9804</f>
        <v>0</v>
      </c>
      <c r="K9837" s="25" t="n">
        <f aca="false">K9778+K9791+K9804</f>
        <v>0</v>
      </c>
    </row>
    <row r="9838" customFormat="false" ht="15" hidden="false" customHeight="false" outlineLevel="0" collapsed="false">
      <c r="A9838" s="2" t="s">
        <v>352</v>
      </c>
      <c r="F9838" s="28" t="n">
        <f aca="false">Assumptions!$C$11</f>
        <v>463.996</v>
      </c>
      <c r="G9838" s="16" t="n">
        <f aca="false">G9834-G9837</f>
        <v>431.67030664</v>
      </c>
      <c r="H9838" s="16" t="n">
        <f aca="false">H9834-H9837</f>
        <v>359.0106596512</v>
      </c>
      <c r="I9838" s="16" t="n">
        <f aca="false">I9834-I9837</f>
        <v>0</v>
      </c>
      <c r="J9838" s="16" t="n">
        <f aca="false">J9834-J9837</f>
        <v>-82.533161826112</v>
      </c>
      <c r="K9838" s="16" t="n">
        <f aca="false">K9834-K9837</f>
        <v>-168.782165625707</v>
      </c>
    </row>
    <row r="9839" customFormat="false" ht="15" hidden="false" customHeight="false" outlineLevel="0" collapsed="false">
      <c r="A9839" s="3" t="s">
        <v>353</v>
      </c>
      <c r="G9839" s="25" t="n">
        <f aca="false">G9779+G9792+G9805</f>
        <v>0</v>
      </c>
      <c r="H9839" s="25" t="n">
        <f aca="false">H9779+H9792+H9805</f>
        <v>0</v>
      </c>
      <c r="I9839" s="25" t="n">
        <f aca="false">I9779+I9792+I9805</f>
        <v>150.08403256832</v>
      </c>
      <c r="J9839" s="25" t="n">
        <f aca="false">J9779+J9792+J9805</f>
        <v>0</v>
      </c>
      <c r="K9839" s="25" t="n">
        <f aca="false">K9779+K9792+K9805</f>
        <v>0</v>
      </c>
    </row>
    <row r="9840" customFormat="false" ht="15" hidden="false" customHeight="false" outlineLevel="0" collapsed="false">
      <c r="A9840" s="3" t="s">
        <v>354</v>
      </c>
      <c r="G9840" s="20" t="n">
        <f aca="false">IF(OR(G9835&gt;0.001,G9839&gt;0.001),1,0)</f>
        <v>0</v>
      </c>
      <c r="H9840" s="20" t="n">
        <f aca="false">IF(OR(H9835&gt;0.001,H9839&gt;0.001),1,0)</f>
        <v>0</v>
      </c>
      <c r="I9840" s="20" t="n">
        <f aca="false">IF(OR(I9835&gt;0.001,I9839&gt;0.001),1,0)</f>
        <v>1</v>
      </c>
      <c r="J9840" s="20" t="n">
        <f aca="false">IF(OR(J9835&gt;0.001,J9839&gt;0.001),1,0)</f>
        <v>1</v>
      </c>
      <c r="K9840" s="20" t="n">
        <f aca="false">IF(OR(K9835&gt;0.001,K9839&gt;0.001),1,0)</f>
        <v>1</v>
      </c>
    </row>
    <row r="9841" customFormat="false" ht="15" hidden="false" customHeight="false" outlineLevel="0" collapsed="false">
      <c r="A9841" s="3" t="s">
        <v>355</v>
      </c>
      <c r="G9841" s="20" t="n">
        <f aca="false">IF(G9840=1,1,0)</f>
        <v>0</v>
      </c>
      <c r="H9841" s="20" t="n">
        <f aca="false">IF(AND(H9840=1,SUM($G$9840:G9840)=0),1,0)</f>
        <v>0</v>
      </c>
      <c r="I9841" s="20" t="n">
        <f aca="false">IF(AND(I9840=1,SUM($G$9840:H9840)=0),1,0)</f>
        <v>1</v>
      </c>
      <c r="J9841" s="20" t="n">
        <f aca="false">IF(AND(J9840=1,SUM($G$9840:I9840)=0),1,0)</f>
        <v>0</v>
      </c>
      <c r="K9841" s="20" t="n">
        <f aca="false">IF(AND(K9840=1,SUM($G$9840:J9840)=0),1,0)</f>
        <v>0</v>
      </c>
    </row>
    <row r="9842" customFormat="false" ht="15" hidden="false" customHeight="false" outlineLevel="0" collapsed="false">
      <c r="A9842" s="3" t="s">
        <v>356</v>
      </c>
      <c r="G9842" s="25" t="n">
        <f aca="false">(G9808-F9808)-(G9831+G9748-G9829-G9833-G9837)</f>
        <v>0</v>
      </c>
      <c r="H9842" s="25" t="n">
        <f aca="false">(H9808-G9808)-(H9831+H9748-H9829-H9833-H9837)</f>
        <v>0</v>
      </c>
      <c r="I9842" s="25" t="n">
        <f aca="false">(I9808-H9808)-(I9831+I9748-I9829-I9833-I9837)</f>
        <v>0</v>
      </c>
      <c r="J9842" s="25" t="n">
        <f aca="false">(J9808-I9808)-(J9831+J9748-J9829-J9833-J9837)</f>
        <v>0</v>
      </c>
      <c r="K9842" s="25" t="n">
        <f aca="false">(K9808-J9808)-(K9831+K9748-K9829-K9833-K9837)</f>
        <v>0</v>
      </c>
    </row>
    <row r="9844" customFormat="false" ht="15" hidden="false" customHeight="false" outlineLevel="0" collapsed="false">
      <c r="A9844" s="23" t="s">
        <v>358</v>
      </c>
      <c r="B9844" s="24"/>
      <c r="C9844" s="24"/>
      <c r="D9844" s="24"/>
      <c r="E9844" s="24"/>
      <c r="F9844" s="24"/>
      <c r="G9844" s="24"/>
      <c r="H9844" s="24"/>
      <c r="I9844" s="24"/>
      <c r="J9844" s="24"/>
      <c r="K9844" s="24"/>
    </row>
    <row r="9845" customFormat="false" ht="15" hidden="false" customHeight="false" outlineLevel="0" collapsed="false">
      <c r="A9845" s="3" t="s">
        <v>359</v>
      </c>
      <c r="G9845" s="25" t="n">
        <f aca="false">G9808</f>
        <v>1735.554</v>
      </c>
      <c r="H9845" s="25" t="n">
        <f aca="false">H9808</f>
        <v>1735.554</v>
      </c>
      <c r="I9845" s="25" t="n">
        <f aca="false">I9808</f>
        <v>1465.18203256832</v>
      </c>
      <c r="J9845" s="25" t="n">
        <f aca="false">J9808</f>
        <v>1465.18203256832</v>
      </c>
      <c r="K9845" s="25" t="n">
        <f aca="false">K9808</f>
        <v>1465.18203256832</v>
      </c>
    </row>
    <row r="9846" customFormat="false" ht="15" hidden="false" customHeight="false" outlineLevel="0" collapsed="false">
      <c r="A9846" s="3" t="s">
        <v>360</v>
      </c>
      <c r="G9846" s="25" t="n">
        <f aca="false">Assumptions!$O$56*G9780+Assumptions!$O$57*G9793+Assumptions!$O$58*G9806</f>
        <v>1315.098</v>
      </c>
      <c r="H9846" s="25" t="n">
        <f aca="false">Assumptions!$O$56*H9780+Assumptions!$O$57*H9793+Assumptions!$O$58*H9806</f>
        <v>1315.098</v>
      </c>
      <c r="I9846" s="25" t="n">
        <f aca="false">Assumptions!$O$56*I9780+Assumptions!$O$57*I9793+Assumptions!$O$58*I9806</f>
        <v>1315.098</v>
      </c>
      <c r="J9846" s="25" t="n">
        <f aca="false">Assumptions!$O$56*J9780+Assumptions!$O$57*J9793+Assumptions!$O$58*J9806</f>
        <v>1315.098</v>
      </c>
      <c r="K9846" s="25" t="n">
        <f aca="false">Assumptions!$O$56*K9780+Assumptions!$O$57*K9793+Assumptions!$O$58*K9806</f>
        <v>1315.098</v>
      </c>
    </row>
    <row r="9847" customFormat="false" ht="15" hidden="false" customHeight="false" outlineLevel="0" collapsed="false">
      <c r="A9847" s="3" t="s">
        <v>361</v>
      </c>
      <c r="G9847" s="25" t="n">
        <f aca="false">G9845-G9838</f>
        <v>1303.88369336</v>
      </c>
      <c r="H9847" s="25" t="n">
        <f aca="false">H9845-H9838</f>
        <v>1376.5433403488</v>
      </c>
      <c r="I9847" s="25" t="n">
        <f aca="false">I9845-I9838</f>
        <v>1465.18203256832</v>
      </c>
      <c r="J9847" s="25" t="n">
        <f aca="false">J9845-J9838</f>
        <v>1547.71519439443</v>
      </c>
      <c r="K9847" s="25" t="n">
        <f aca="false">K9845-K9838</f>
        <v>1633.96419819403</v>
      </c>
    </row>
    <row r="9848" customFormat="false" ht="15" hidden="false" customHeight="false" outlineLevel="0" collapsed="false">
      <c r="A9848" s="3" t="s">
        <v>362</v>
      </c>
      <c r="G9848" s="32" t="n">
        <f aca="false">IF(G9743&gt;0,G9845/G9743,0)</f>
        <v>9.98286782658702</v>
      </c>
      <c r="H9848" s="32" t="n">
        <f aca="false">IF(H9743&gt;0,H9845/H9743,0)</f>
        <v>13.6130015817096</v>
      </c>
      <c r="I9848" s="32" t="n">
        <f aca="false">IF(I9743&gt;0,I9845/I9743,0)</f>
        <v>13.6813219341771</v>
      </c>
      <c r="J9848" s="32" t="n">
        <f aca="false">IF(J9743&gt;0,J9845/J9743,0)</f>
        <v>14.8710021023664</v>
      </c>
      <c r="K9848" s="32" t="n">
        <f aca="false">IF(K9743&gt;0,K9845/K9743,0)</f>
        <v>15.8202150025174</v>
      </c>
    </row>
    <row r="9849" customFormat="false" ht="15" hidden="false" customHeight="false" outlineLevel="0" collapsed="false">
      <c r="A9849" s="3" t="s">
        <v>363</v>
      </c>
      <c r="G9849" s="32" t="n">
        <f aca="false">IF(G9743&gt;0,G9847/G9743,0)</f>
        <v>7.49990986858087</v>
      </c>
      <c r="H9849" s="32" t="n">
        <f aca="false">IF(H9743&gt;0,H9847/H9743,0)</f>
        <v>10.7970634560838</v>
      </c>
      <c r="I9849" s="32" t="n">
        <f aca="false">IF(I9743&gt;0,I9847/I9743,0)</f>
        <v>13.6813219341771</v>
      </c>
      <c r="J9849" s="32" t="n">
        <f aca="false">IF(J9743&gt;0,J9847/J9743,0)</f>
        <v>15.7086801490181</v>
      </c>
      <c r="K9849" s="32" t="n">
        <f aca="false">IF(K9743&gt;0,K9847/K9743,0)</f>
        <v>17.6426302993449</v>
      </c>
    </row>
    <row r="9850" customFormat="false" ht="15" hidden="false" customHeight="false" outlineLevel="0" collapsed="false">
      <c r="A9850" s="3" t="s">
        <v>364</v>
      </c>
      <c r="G9850" s="32" t="n">
        <f aca="false">IF(G9747&gt;0,G9743/G9747,0)</f>
        <v>1.11476782580477</v>
      </c>
      <c r="H9850" s="32" t="n">
        <f aca="false">IF(H9747&gt;0,H9743/H9747,0)</f>
        <v>0.817496405590163</v>
      </c>
      <c r="I9850" s="32" t="n">
        <f aca="false">IF(I9747&gt;0,I9743/I9747,0)</f>
        <v>0.686696980695737</v>
      </c>
      <c r="J9850" s="32" t="n">
        <f aca="false">IF(J9747&gt;0,J9743/J9747,0)</f>
        <v>0.682012179303795</v>
      </c>
      <c r="K9850" s="32" t="n">
        <f aca="false">IF(K9747&gt;0,K9743/K9747,0)</f>
        <v>0.641091448545568</v>
      </c>
    </row>
    <row r="9851" customFormat="false" ht="15" hidden="false" customHeight="false" outlineLevel="0" collapsed="false">
      <c r="A9851" s="3" t="s">
        <v>365</v>
      </c>
      <c r="G9851" s="32" t="n">
        <f aca="false">IF(G9747&gt;0,G9746/G9747,0)</f>
        <v>0.510100328512125</v>
      </c>
      <c r="H9851" s="32" t="n">
        <f aca="false">IF(H9747&gt;0,H9746/H9747,0)</f>
        <v>0.285389007972637</v>
      </c>
      <c r="I9851" s="32" t="n">
        <f aca="false">IF(I9747&gt;0,I9746/I9747,0)</f>
        <v>0.207800322839964</v>
      </c>
      <c r="J9851" s="32" t="n">
        <f aca="false">IF(J9747&gt;0,J9746/J9747,0)</f>
        <v>0.206382662257416</v>
      </c>
      <c r="K9851" s="32" t="n">
        <f aca="false">IF(K9747&gt;0,K9746/K9747,0)</f>
        <v>0.193999702521971</v>
      </c>
    </row>
    <row r="9852" customFormat="false" ht="15" hidden="false" customHeight="false" outlineLevel="0" collapsed="false">
      <c r="A9852" s="3" t="s">
        <v>198</v>
      </c>
      <c r="G9852" s="21" t="n">
        <f aca="false">IF(G9845&gt;0,G9756/G9845,0)</f>
        <v>-0.0186255762482758</v>
      </c>
      <c r="H9852" s="21" t="n">
        <f aca="false">IF(H9845&gt;0,H9756/H9845,0)</f>
        <v>-0.0418653911020919</v>
      </c>
      <c r="I9852" s="21" t="n">
        <f aca="false">IF(I9845&gt;0,I9756/I9845,0)</f>
        <v>-0.0604967097938985</v>
      </c>
      <c r="J9852" s="21" t="n">
        <f aca="false">IF(J9845&gt;0,J9756/J9845,0)</f>
        <v>-0.0563296300333683</v>
      </c>
      <c r="K9852" s="21" t="n">
        <f aca="false">IF(K9845&gt;0,K9756/K9845,0)</f>
        <v>-0.0588657258159305</v>
      </c>
    </row>
    <row r="9853" customFormat="false" ht="15" hidden="false" customHeight="false" outlineLevel="0" collapsed="false">
      <c r="A9853" s="3" t="s">
        <v>366</v>
      </c>
      <c r="G9853" s="32" t="n">
        <f aca="false">IF(G9747+G9829&gt;0,(G9743-G9754-G9751)/(G9747+G9829),0)</f>
        <v>0.978518424873074</v>
      </c>
      <c r="H9853" s="32" t="n">
        <f aca="false">IF(H9747+H9829&gt;0,(H9743-H9754-H9751)/(H9747+H9829),0)</f>
        <v>0.697596932770272</v>
      </c>
      <c r="I9853" s="32" t="n">
        <f aca="false">IF(I9747+I9829&gt;0,(I9743-I9754-I9751)/(I9747+I9829),0)</f>
        <v>0.578787455157835</v>
      </c>
      <c r="J9853" s="32" t="n">
        <f aca="false">IF(J9747+J9829&gt;0,(J9743-J9754-J9751)/(J9747+J9829),0)</f>
        <v>0.57483883684177</v>
      </c>
      <c r="K9853" s="32" t="n">
        <f aca="false">IF(K9747+K9829&gt;0,(K9743-K9754-K9751)/(K9747+K9829),0)</f>
        <v>0.540348506631264</v>
      </c>
    </row>
    <row r="9854" customFormat="false" ht="15" hidden="false" customHeight="false" outlineLevel="0" collapsed="false">
      <c r="A9854" s="3" t="s">
        <v>367</v>
      </c>
      <c r="G9854" s="25" t="n">
        <f aca="false">MAX(0,G9838)+Assumptions!$P$56*MAX(0,Assumptions!$D$56-G9780)+Assumptions!$P$57*MAX(0,Assumptions!$D$57-G9793)+Assumptions!$P$58*MAX(0,Assumptions!$D$58-G9806)</f>
        <v>431.67030664</v>
      </c>
      <c r="H9854" s="25" t="n">
        <f aca="false">MAX(0,H9838)+Assumptions!$P$56*MAX(0,Assumptions!$D$56-H9780)+Assumptions!$P$57*MAX(0,Assumptions!$D$57-H9793)+Assumptions!$P$58*MAX(0,Assumptions!$D$58-H9806)</f>
        <v>359.0106596512</v>
      </c>
      <c r="I9854" s="25" t="n">
        <f aca="false">MAX(0,I9838)+Assumptions!$P$56*MAX(0,Assumptions!$D$56-I9780)+Assumptions!$P$57*MAX(0,Assumptions!$D$57-I9793)+Assumptions!$P$58*MAX(0,Assumptions!$D$58-I9806)</f>
        <v>0</v>
      </c>
      <c r="J9854" s="25" t="n">
        <f aca="false">MAX(0,J9838)+Assumptions!$P$56*MAX(0,Assumptions!$D$56-J9780)+Assumptions!$P$57*MAX(0,Assumptions!$D$57-J9793)+Assumptions!$P$58*MAX(0,Assumptions!$D$58-J9806)</f>
        <v>0</v>
      </c>
      <c r="K9854" s="25" t="n">
        <f aca="false">MAX(0,K9838)+Assumptions!$P$56*MAX(0,Assumptions!$D$56-K9780)+Assumptions!$P$57*MAX(0,Assumptions!$D$57-K9793)+Assumptions!$P$58*MAX(0,Assumptions!$D$58-K9806)</f>
        <v>0</v>
      </c>
    </row>
    <row r="9855" customFormat="false" ht="15" hidden="false" customHeight="false" outlineLevel="0" collapsed="false">
      <c r="A9855" s="3" t="s">
        <v>368</v>
      </c>
      <c r="G9855" s="21" t="n">
        <f aca="false">IF(G9845&gt;0,G9845/(G9845+MAX(0,G9743*CHOOSE($C$9726,Assumptions!$C$82,Assumptions!$C$101,Assumptions!$C$120)-G9847)),0)</f>
        <v>1</v>
      </c>
      <c r="H9855" s="21" t="n">
        <f aca="false">IF(H9845&gt;0,H9845/(H9845+MAX(0,H9743*CHOOSE($C$9726,Assumptions!$C$82,Assumptions!$C$101,Assumptions!$C$120)-H9847)),0)</f>
        <v>1</v>
      </c>
      <c r="I9855" s="21" t="n">
        <f aca="false">IF(I9845&gt;0,I9845/(I9845+MAX(0,I9743*CHOOSE($C$9726,Assumptions!$C$82,Assumptions!$C$101,Assumptions!$C$120)-I9847)),0)</f>
        <v>1</v>
      </c>
      <c r="J9855" s="21" t="n">
        <f aca="false">IF(J9845&gt;0,J9845/(J9845+MAX(0,J9743*CHOOSE($C$9726,Assumptions!$C$82,Assumptions!$C$101,Assumptions!$C$120)-J9847)),0)</f>
        <v>1</v>
      </c>
      <c r="K9855" s="21" t="n">
        <f aca="false">IF(K9845&gt;0,K9845/(K9845+MAX(0,K9743*CHOOSE($C$9726,Assumptions!$C$82,Assumptions!$C$101,Assumptions!$C$120)-K9847)),0)</f>
        <v>1</v>
      </c>
    </row>
    <row r="9856" customFormat="false" ht="15" hidden="false" customHeight="false" outlineLevel="0" collapsed="false">
      <c r="A9856" s="3" t="s">
        <v>369</v>
      </c>
      <c r="G9856" s="21" t="n">
        <f aca="false">IF(G9845&gt;0,MAX(0,G9838)/G9845,0)</f>
        <v>0.248721910490829</v>
      </c>
      <c r="H9856" s="21" t="n">
        <f aca="false">IF(H9845&gt;0,MAX(0,H9838)/H9845,0)</f>
        <v>0.206856519388737</v>
      </c>
      <c r="I9856" s="21" t="n">
        <f aca="false">IF(I9845&gt;0,MAX(0,I9838)/I9845,0)</f>
        <v>0</v>
      </c>
      <c r="J9856" s="21" t="n">
        <f aca="false">IF(J9845&gt;0,MAX(0,J9838)/J9845,0)</f>
        <v>0</v>
      </c>
      <c r="K9856" s="21" t="n">
        <f aca="false">IF(K9845&gt;0,MAX(0,K9838)/K9845,0)</f>
        <v>0</v>
      </c>
    </row>
    <row r="9857" customFormat="false" ht="15" hidden="false" customHeight="false" outlineLevel="0" collapsed="false">
      <c r="A9857" s="3" t="s">
        <v>370</v>
      </c>
      <c r="G9857" s="25" t="n">
        <f aca="false">Assumptions!$C$30*(1-CHOOSE($C$9726,Assumptions!$C$85,Assumptions!$C$104,Assumptions!$C$123))</f>
        <v>1595.73115</v>
      </c>
      <c r="H9857" s="25" t="n">
        <f aca="false">Assumptions!$C$30*(1-CHOOSE($C$9726,Assumptions!$C$85,Assumptions!$C$104,Assumptions!$C$123))</f>
        <v>1595.73115</v>
      </c>
      <c r="I9857" s="25" t="n">
        <f aca="false">Assumptions!$C$30*(1-CHOOSE($C$9726,Assumptions!$C$85,Assumptions!$C$104,Assumptions!$C$123))</f>
        <v>1595.73115</v>
      </c>
      <c r="J9857" s="25" t="n">
        <f aca="false">Assumptions!$C$30*(1-CHOOSE($C$9726,Assumptions!$C$85,Assumptions!$C$104,Assumptions!$C$123))</f>
        <v>1595.73115</v>
      </c>
      <c r="K9857" s="25" t="n">
        <f aca="false">Assumptions!$C$30*(1-CHOOSE($C$9726,Assumptions!$C$85,Assumptions!$C$104,Assumptions!$C$123))</f>
        <v>1595.73115</v>
      </c>
    </row>
    <row r="9858" customFormat="false" ht="15" hidden="false" customHeight="false" outlineLevel="0" collapsed="false">
      <c r="A9858" s="23" t="s">
        <v>371</v>
      </c>
      <c r="B9858" s="24"/>
      <c r="C9858" s="24"/>
      <c r="D9858" s="24"/>
      <c r="E9858" s="24"/>
      <c r="F9858" s="24"/>
      <c r="G9858" s="24"/>
      <c r="H9858" s="24"/>
      <c r="I9858" s="24"/>
      <c r="J9858" s="24"/>
      <c r="K9858" s="24"/>
    </row>
    <row r="9859" customFormat="false" ht="15" hidden="false" customHeight="false" outlineLevel="0" collapsed="false">
      <c r="A9859" s="23" t="s">
        <v>372</v>
      </c>
      <c r="B9859" s="24"/>
      <c r="C9859" s="24"/>
      <c r="D9859" s="24"/>
      <c r="E9859" s="24"/>
      <c r="F9859" s="24"/>
      <c r="G9859" s="24"/>
      <c r="H9859" s="24"/>
      <c r="I9859" s="24"/>
      <c r="J9859" s="24"/>
      <c r="K9859" s="24"/>
    </row>
    <row r="9860" customFormat="false" ht="15" hidden="false" customHeight="false" outlineLevel="0" collapsed="false">
      <c r="A9860" s="3" t="s">
        <v>373</v>
      </c>
      <c r="G9860" s="32" t="n">
        <f aca="false">IF(G9743&gt;0,G9847/G9743,99)</f>
        <v>7.49990986858087</v>
      </c>
      <c r="H9860" s="32" t="n">
        <f aca="false">IF(H9743&gt;0,H9847/H9743,99)</f>
        <v>10.7970634560838</v>
      </c>
      <c r="I9860" s="32" t="n">
        <f aca="false">IF(I9743&gt;0,I9847/I9743,99)</f>
        <v>13.6813219341771</v>
      </c>
      <c r="J9860" s="32" t="n">
        <f aca="false">IF(J9743&gt;0,J9847/J9743,99)</f>
        <v>15.7086801490181</v>
      </c>
      <c r="K9860" s="32" t="n">
        <f aca="false">IF(K9743&gt;0,K9847/K9743,99)</f>
        <v>17.6426302993449</v>
      </c>
    </row>
    <row r="9861" customFormat="false" ht="15" hidden="false" customHeight="false" outlineLevel="0" collapsed="false">
      <c r="A9861" s="3" t="s">
        <v>374</v>
      </c>
      <c r="G9861" s="33" t="n">
        <f aca="false">Assumptions!$G$65</f>
        <v>5.25</v>
      </c>
      <c r="H9861" s="33" t="n">
        <f aca="false">Assumptions!$H$65</f>
        <v>5.25</v>
      </c>
      <c r="I9861" s="33" t="n">
        <f aca="false">Assumptions!$I$65</f>
        <v>5</v>
      </c>
      <c r="J9861" s="33" t="n">
        <f aca="false">Assumptions!$J$65</f>
        <v>5</v>
      </c>
      <c r="K9861" s="33" t="n">
        <f aca="false">Assumptions!$K$65</f>
        <v>5</v>
      </c>
    </row>
    <row r="9862" customFormat="false" ht="15" hidden="false" customHeight="false" outlineLevel="0" collapsed="false">
      <c r="A9862" s="3" t="s">
        <v>375</v>
      </c>
      <c r="G9862" s="32" t="n">
        <f aca="false">G9861-G9860</f>
        <v>-2.24990986858086</v>
      </c>
      <c r="H9862" s="32" t="n">
        <f aca="false">H9861-H9860</f>
        <v>-5.54706345608375</v>
      </c>
      <c r="I9862" s="32" t="n">
        <f aca="false">I9861-I9860</f>
        <v>-8.68132193417709</v>
      </c>
      <c r="J9862" s="32" t="n">
        <f aca="false">J9861-J9860</f>
        <v>-10.7086801490181</v>
      </c>
      <c r="K9862" s="32" t="n">
        <f aca="false">K9861-K9860</f>
        <v>-12.6426302993449</v>
      </c>
    </row>
    <row r="9863" customFormat="false" ht="15" hidden="false" customHeight="false" outlineLevel="0" collapsed="false">
      <c r="A9863" s="3" t="s">
        <v>376</v>
      </c>
      <c r="G9863" s="21" t="n">
        <f aca="false">IF(G9861=0,0,G9862/ABS(G9861))</f>
        <v>-0.42855426068207</v>
      </c>
      <c r="H9863" s="21" t="n">
        <f aca="false">IF(H9861=0,0,H9862/ABS(H9861))</f>
        <v>-1.05658351544452</v>
      </c>
      <c r="I9863" s="21" t="n">
        <f aca="false">IF(I9861=0,0,I9862/ABS(I9861))</f>
        <v>-1.73626438683542</v>
      </c>
      <c r="J9863" s="21" t="n">
        <f aca="false">IF(J9861=0,0,J9862/ABS(J9861))</f>
        <v>-2.14173602980363</v>
      </c>
      <c r="K9863" s="21" t="n">
        <f aca="false">IF(K9861=0,0,K9862/ABS(K9861))</f>
        <v>-2.52852605986897</v>
      </c>
    </row>
    <row r="9864" customFormat="false" ht="15" hidden="false" customHeight="false" outlineLevel="0" collapsed="false">
      <c r="A9864" s="3" t="s">
        <v>377</v>
      </c>
      <c r="G9864" s="20" t="n">
        <f aca="false">IF(G9862&lt;0,1,0)</f>
        <v>1</v>
      </c>
      <c r="H9864" s="20" t="n">
        <f aca="false">IF(H9862&lt;0,1,0)</f>
        <v>1</v>
      </c>
      <c r="I9864" s="20" t="n">
        <f aca="false">IF(I9862&lt;0,1,0)</f>
        <v>1</v>
      </c>
      <c r="J9864" s="20" t="n">
        <f aca="false">IF(J9862&lt;0,1,0)</f>
        <v>1</v>
      </c>
      <c r="K9864" s="20" t="n">
        <f aca="false">IF(K9862&lt;0,1,0)</f>
        <v>1</v>
      </c>
    </row>
    <row r="9865" customFormat="false" ht="15" hidden="false" customHeight="false" outlineLevel="0" collapsed="false">
      <c r="A9865" s="3" t="s">
        <v>378</v>
      </c>
      <c r="C9865" s="20" t="n">
        <f aca="false">IFERROR(INDEX($G$9733:$K$9733,MATCH(1,$G$9864:$K$9864,0)),0)</f>
        <v>2027</v>
      </c>
    </row>
    <row r="9866" customFormat="false" ht="15" hidden="false" customHeight="false" outlineLevel="0" collapsed="false">
      <c r="A9866" s="3" t="s">
        <v>379</v>
      </c>
      <c r="C9866" s="21" t="n">
        <f aca="false">MIN($G$9863:$K$9863)</f>
        <v>-2.52852605986897</v>
      </c>
    </row>
    <row r="9867" customFormat="false" ht="15" hidden="false" customHeight="false" outlineLevel="0" collapsed="false">
      <c r="A9867" s="23" t="s">
        <v>380</v>
      </c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</row>
    <row r="9868" customFormat="false" ht="15" hidden="false" customHeight="false" outlineLevel="0" collapsed="false">
      <c r="A9868" s="3" t="s">
        <v>373</v>
      </c>
      <c r="G9868" s="32" t="n">
        <f aca="false">IF(G9747&gt;0,G9743/G9747,99)</f>
        <v>1.11476782580477</v>
      </c>
      <c r="H9868" s="32" t="n">
        <f aca="false">IF(H9747&gt;0,H9743/H9747,99)</f>
        <v>0.817496405590163</v>
      </c>
      <c r="I9868" s="32" t="n">
        <f aca="false">IF(I9747&gt;0,I9743/I9747,99)</f>
        <v>0.686696980695737</v>
      </c>
      <c r="J9868" s="32" t="n">
        <f aca="false">IF(J9747&gt;0,J9743/J9747,99)</f>
        <v>0.682012179303795</v>
      </c>
      <c r="K9868" s="32" t="n">
        <f aca="false">IF(K9747&gt;0,K9743/K9747,99)</f>
        <v>0.641091448545568</v>
      </c>
    </row>
    <row r="9869" customFormat="false" ht="15" hidden="false" customHeight="false" outlineLevel="0" collapsed="false">
      <c r="A9869" s="3" t="s">
        <v>374</v>
      </c>
      <c r="G9869" s="33" t="n">
        <f aca="false">Assumptions!$G$66</f>
        <v>1.4</v>
      </c>
      <c r="H9869" s="33" t="n">
        <f aca="false">Assumptions!$H$66</f>
        <v>1.4</v>
      </c>
      <c r="I9869" s="33" t="n">
        <f aca="false">Assumptions!$I$66</f>
        <v>1.4</v>
      </c>
      <c r="J9869" s="33" t="n">
        <f aca="false">Assumptions!$J$66</f>
        <v>1.5</v>
      </c>
      <c r="K9869" s="33" t="n">
        <f aca="false">Assumptions!$K$66</f>
        <v>1.5</v>
      </c>
    </row>
    <row r="9870" customFormat="false" ht="15" hidden="false" customHeight="false" outlineLevel="0" collapsed="false">
      <c r="A9870" s="3" t="s">
        <v>375</v>
      </c>
      <c r="G9870" s="32" t="n">
        <f aca="false">G9868-G9869</f>
        <v>-0.285232174195233</v>
      </c>
      <c r="H9870" s="32" t="n">
        <f aca="false">H9868-H9869</f>
        <v>-0.582503594409837</v>
      </c>
      <c r="I9870" s="32" t="n">
        <f aca="false">I9868-I9869</f>
        <v>-0.713303019304263</v>
      </c>
      <c r="J9870" s="32" t="n">
        <f aca="false">J9868-J9869</f>
        <v>-0.817987820696205</v>
      </c>
      <c r="K9870" s="32" t="n">
        <f aca="false">K9868-K9869</f>
        <v>-0.858908551454433</v>
      </c>
    </row>
    <row r="9871" customFormat="false" ht="15" hidden="false" customHeight="false" outlineLevel="0" collapsed="false">
      <c r="A9871" s="3" t="s">
        <v>376</v>
      </c>
      <c r="G9871" s="21" t="n">
        <f aca="false">IF(G9869=0,0,G9870/ABS(G9869))</f>
        <v>-0.203737267282309</v>
      </c>
      <c r="H9871" s="21" t="n">
        <f aca="false">IF(H9869=0,0,H9870/ABS(H9869))</f>
        <v>-0.416073996007027</v>
      </c>
      <c r="I9871" s="21" t="n">
        <f aca="false">IF(I9869=0,0,I9870/ABS(I9869))</f>
        <v>-0.509502156645902</v>
      </c>
      <c r="J9871" s="21" t="n">
        <f aca="false">IF(J9869=0,0,J9870/ABS(J9869))</f>
        <v>-0.54532521379747</v>
      </c>
      <c r="K9871" s="21" t="n">
        <f aca="false">IF(K9869=0,0,K9870/ABS(K9869))</f>
        <v>-0.572605700969622</v>
      </c>
    </row>
    <row r="9872" customFormat="false" ht="15" hidden="false" customHeight="false" outlineLevel="0" collapsed="false">
      <c r="A9872" s="3" t="s">
        <v>377</v>
      </c>
      <c r="G9872" s="20" t="n">
        <f aca="false">IF(G9870&lt;0,1,0)</f>
        <v>1</v>
      </c>
      <c r="H9872" s="20" t="n">
        <f aca="false">IF(H9870&lt;0,1,0)</f>
        <v>1</v>
      </c>
      <c r="I9872" s="20" t="n">
        <f aca="false">IF(I9870&lt;0,1,0)</f>
        <v>1</v>
      </c>
      <c r="J9872" s="20" t="n">
        <f aca="false">IF(J9870&lt;0,1,0)</f>
        <v>1</v>
      </c>
      <c r="K9872" s="20" t="n">
        <f aca="false">IF(K9870&lt;0,1,0)</f>
        <v>1</v>
      </c>
    </row>
    <row r="9873" customFormat="false" ht="15" hidden="false" customHeight="false" outlineLevel="0" collapsed="false">
      <c r="A9873" s="3" t="s">
        <v>378</v>
      </c>
      <c r="C9873" s="20" t="n">
        <f aca="false">IFERROR(INDEX($G$9733:$K$9733,MATCH(1,$G$9872:$K$9872,0)),0)</f>
        <v>2027</v>
      </c>
    </row>
    <row r="9874" customFormat="false" ht="15" hidden="false" customHeight="false" outlineLevel="0" collapsed="false">
      <c r="A9874" s="3" t="s">
        <v>379</v>
      </c>
      <c r="C9874" s="21" t="n">
        <f aca="false">MIN($G$9871:$K$9871)</f>
        <v>-0.572605700969622</v>
      </c>
    </row>
    <row r="9875" customFormat="false" ht="15" hidden="false" customHeight="false" outlineLevel="0" collapsed="false">
      <c r="A9875" s="23" t="s">
        <v>381</v>
      </c>
      <c r="B9875" s="24"/>
      <c r="C9875" s="24"/>
      <c r="D9875" s="24"/>
      <c r="E9875" s="24"/>
      <c r="F9875" s="24"/>
      <c r="G9875" s="24"/>
      <c r="H9875" s="24"/>
      <c r="I9875" s="24"/>
      <c r="J9875" s="24"/>
      <c r="K9875" s="24"/>
    </row>
    <row r="9876" customFormat="false" ht="15" hidden="false" customHeight="false" outlineLevel="0" collapsed="false">
      <c r="A9876" s="3" t="s">
        <v>373</v>
      </c>
      <c r="G9876" s="25" t="n">
        <f aca="false">G9854</f>
        <v>431.67030664</v>
      </c>
      <c r="H9876" s="25" t="n">
        <f aca="false">H9854</f>
        <v>359.0106596512</v>
      </c>
      <c r="I9876" s="25" t="n">
        <f aca="false">I9854</f>
        <v>0</v>
      </c>
      <c r="J9876" s="25" t="n">
        <f aca="false">J9854</f>
        <v>0</v>
      </c>
      <c r="K9876" s="25" t="n">
        <f aca="false">K9854</f>
        <v>0</v>
      </c>
    </row>
    <row r="9877" customFormat="false" ht="15" hidden="false" customHeight="false" outlineLevel="0" collapsed="false">
      <c r="A9877" s="3" t="s">
        <v>374</v>
      </c>
      <c r="G9877" s="29" t="n">
        <f aca="false">Assumptions!$G$67</f>
        <v>200</v>
      </c>
      <c r="H9877" s="29" t="n">
        <f aca="false">Assumptions!$H$67</f>
        <v>200</v>
      </c>
      <c r="I9877" s="29" t="n">
        <f aca="false">Assumptions!$I$67</f>
        <v>200</v>
      </c>
      <c r="J9877" s="29" t="n">
        <f aca="false">Assumptions!$J$67</f>
        <v>200</v>
      </c>
      <c r="K9877" s="29" t="n">
        <f aca="false">Assumptions!$K$67</f>
        <v>200</v>
      </c>
    </row>
    <row r="9878" customFormat="false" ht="15" hidden="false" customHeight="false" outlineLevel="0" collapsed="false">
      <c r="A9878" s="3" t="s">
        <v>375</v>
      </c>
      <c r="G9878" s="25" t="n">
        <f aca="false">G9876-G9877</f>
        <v>231.67030664</v>
      </c>
      <c r="H9878" s="25" t="n">
        <f aca="false">H9876-H9877</f>
        <v>159.0106596512</v>
      </c>
      <c r="I9878" s="25" t="n">
        <f aca="false">I9876-I9877</f>
        <v>-200</v>
      </c>
      <c r="J9878" s="25" t="n">
        <f aca="false">J9876-J9877</f>
        <v>-200</v>
      </c>
      <c r="K9878" s="25" t="n">
        <f aca="false">K9876-K9877</f>
        <v>-200</v>
      </c>
    </row>
    <row r="9879" customFormat="false" ht="15" hidden="false" customHeight="false" outlineLevel="0" collapsed="false">
      <c r="A9879" s="3" t="s">
        <v>376</v>
      </c>
      <c r="G9879" s="21" t="n">
        <f aca="false">IF(G9877=0,0,G9878/ABS(G9877))</f>
        <v>1.1583515332</v>
      </c>
      <c r="H9879" s="21" t="n">
        <f aca="false">IF(H9877=0,0,H9878/ABS(H9877))</f>
        <v>0.795053298256</v>
      </c>
      <c r="I9879" s="21" t="n">
        <f aca="false">IF(I9877=0,0,I9878/ABS(I9877))</f>
        <v>-1</v>
      </c>
      <c r="J9879" s="21" t="n">
        <f aca="false">IF(J9877=0,0,J9878/ABS(J9877))</f>
        <v>-1</v>
      </c>
      <c r="K9879" s="21" t="n">
        <f aca="false">IF(K9877=0,0,K9878/ABS(K9877))</f>
        <v>-1</v>
      </c>
    </row>
    <row r="9880" customFormat="false" ht="15" hidden="false" customHeight="false" outlineLevel="0" collapsed="false">
      <c r="A9880" s="3" t="s">
        <v>377</v>
      </c>
      <c r="G9880" s="20" t="n">
        <f aca="false">IF(G9878&lt;0,1,0)</f>
        <v>0</v>
      </c>
      <c r="H9880" s="20" t="n">
        <f aca="false">IF(H9878&lt;0,1,0)</f>
        <v>0</v>
      </c>
      <c r="I9880" s="20" t="n">
        <f aca="false">IF(I9878&lt;0,1,0)</f>
        <v>1</v>
      </c>
      <c r="J9880" s="20" t="n">
        <f aca="false">IF(J9878&lt;0,1,0)</f>
        <v>1</v>
      </c>
      <c r="K9880" s="20" t="n">
        <f aca="false">IF(K9878&lt;0,1,0)</f>
        <v>1</v>
      </c>
    </row>
    <row r="9881" customFormat="false" ht="15" hidden="false" customHeight="false" outlineLevel="0" collapsed="false">
      <c r="A9881" s="3" t="s">
        <v>378</v>
      </c>
      <c r="C9881" s="20" t="n">
        <f aca="false">IFERROR(INDEX($G$9733:$K$9733,MATCH(1,$G$9880:$K$9880,0)),0)</f>
        <v>2029</v>
      </c>
    </row>
    <row r="9882" customFormat="false" ht="15" hidden="false" customHeight="false" outlineLevel="0" collapsed="false">
      <c r="A9882" s="3" t="s">
        <v>379</v>
      </c>
      <c r="C9882" s="21" t="n">
        <f aca="false">MIN($G$9879:$K$9879)</f>
        <v>-1</v>
      </c>
    </row>
    <row r="9883" customFormat="false" ht="15" hidden="false" customHeight="false" outlineLevel="0" collapsed="false">
      <c r="A9883" s="3" t="s">
        <v>382</v>
      </c>
      <c r="G9883" s="20" t="n">
        <f aca="false">G9864+G9872+G9880</f>
        <v>2</v>
      </c>
      <c r="H9883" s="20" t="n">
        <f aca="false">H9864+H9872+H9880</f>
        <v>2</v>
      </c>
      <c r="I9883" s="20" t="n">
        <f aca="false">I9864+I9872+I9880</f>
        <v>3</v>
      </c>
      <c r="J9883" s="20" t="n">
        <f aca="false">J9864+J9872+J9880</f>
        <v>3</v>
      </c>
      <c r="K9883" s="20" t="n">
        <f aca="false">K9864+K9872+K9880</f>
        <v>3</v>
      </c>
    </row>
    <row r="9884" customFormat="false" ht="15" hidden="false" customHeight="false" outlineLevel="0" collapsed="false">
      <c r="A9884" s="3" t="s">
        <v>383</v>
      </c>
      <c r="C9884" s="20" t="n">
        <f aca="false">SUM($G$9883:$K$9883)</f>
        <v>13</v>
      </c>
    </row>
    <row r="9885" customFormat="false" ht="15" hidden="false" customHeight="false" outlineLevel="0" collapsed="false">
      <c r="A9885" s="3" t="s">
        <v>384</v>
      </c>
      <c r="C9885" s="21" t="n">
        <f aca="false">MIN(C9866,C9874,C9882)</f>
        <v>-2.52852605986897</v>
      </c>
    </row>
    <row r="9887" customFormat="false" ht="15" hidden="false" customHeight="false" outlineLevel="0" collapsed="false">
      <c r="A9887" s="23" t="s">
        <v>486</v>
      </c>
      <c r="B9887" s="24"/>
      <c r="C9887" s="24"/>
      <c r="D9887" s="24"/>
      <c r="E9887" s="24"/>
      <c r="F9887" s="24"/>
      <c r="G9887" s="24"/>
      <c r="H9887" s="24"/>
      <c r="I9887" s="24"/>
      <c r="J9887" s="24"/>
      <c r="K9887" s="24"/>
    </row>
    <row r="9888" customFormat="false" ht="15" hidden="false" customHeight="false" outlineLevel="0" collapsed="false">
      <c r="A9888" s="3" t="s">
        <v>487</v>
      </c>
      <c r="G9888" s="20" t="n">
        <f aca="false">IF($C$9889=1,G9841,IF(G9743=MIN($G$9743:$K$9743),1,0))</f>
        <v>0</v>
      </c>
      <c r="H9888" s="20" t="n">
        <f aca="false">IF($C$9889=1,H9841,IF(AND(H9743=MIN($G$9743:$K$9743),SUM($G$9888:G9888)=0),1,0))</f>
        <v>0</v>
      </c>
      <c r="I9888" s="20" t="n">
        <f aca="false">IF($C$9889=1,I9841,IF(AND(I9743=MIN($G$9743:$K$9743),SUM($G$9888:H9888)=0),1,0))</f>
        <v>1</v>
      </c>
      <c r="J9888" s="20" t="n">
        <f aca="false">IF($C$9889=1,J9841,IF(AND(J9743=MIN($G$9743:$K$9743),SUM($G$9888:I9888)=0),1,0))</f>
        <v>0</v>
      </c>
      <c r="K9888" s="20" t="n">
        <f aca="false">IF($C$9889=1,K9841,IF(AND(K9743=MIN($G$9743:$K$9743),SUM($G$9888:J9888)=0),1,0))</f>
        <v>0</v>
      </c>
    </row>
    <row r="9889" customFormat="false" ht="15" hidden="false" customHeight="false" outlineLevel="0" collapsed="false">
      <c r="A9889" s="3" t="s">
        <v>488</v>
      </c>
      <c r="C9889" s="20" t="n">
        <f aca="false">IF(SUM($G$9841:$K$9841)&gt;0,1,0)</f>
        <v>1</v>
      </c>
    </row>
    <row r="9890" customFormat="false" ht="15" hidden="false" customHeight="false" outlineLevel="0" collapsed="false">
      <c r="A9890" s="3" t="s">
        <v>489</v>
      </c>
      <c r="C9890" s="20" t="n">
        <f aca="false">SUMPRODUCT($G$9888:$K$9888,$G$9733:$K$9733)</f>
        <v>2029</v>
      </c>
    </row>
    <row r="9891" customFormat="false" ht="15" hidden="false" customHeight="false" outlineLevel="0" collapsed="false">
      <c r="A9891" s="3" t="s">
        <v>490</v>
      </c>
      <c r="C9891" s="25" t="n">
        <f aca="false">SUMPRODUCT($G$9888:$K$9888,$G$9743:$K$9743)</f>
        <v>107.0936010144</v>
      </c>
    </row>
    <row r="9892" customFormat="false" ht="15" hidden="false" customHeight="false" outlineLevel="0" collapsed="false">
      <c r="A9892" s="3" t="s">
        <v>491</v>
      </c>
      <c r="C9892" s="25" t="n">
        <f aca="false">MAX(0,SUMPRODUCT($G$9888:$K$9888,$G$9838:$K$9838))</f>
        <v>0</v>
      </c>
    </row>
    <row r="9893" customFormat="false" ht="15" hidden="false" customHeight="false" outlineLevel="0" collapsed="false">
      <c r="A9893" s="3" t="s">
        <v>492</v>
      </c>
      <c r="C9893" s="25" t="n">
        <f aca="false">(CHOOSE($C$9726,Assumptions!$C$84,Assumptions!$C$103,Assumptions!$C$122)+$C$9730)*C9891</f>
        <v>428.3744040576</v>
      </c>
    </row>
    <row r="9894" customFormat="false" ht="15" hidden="false" customHeight="false" outlineLevel="0" collapsed="false">
      <c r="A9894" s="3" t="s">
        <v>493</v>
      </c>
      <c r="C9894" s="25" t="n">
        <f aca="false">Assumptions!$C$30*(1-CHOOSE($C$9726,Assumptions!$C$85,Assumptions!$C$104,Assumptions!$C$123))*CHOOSE($C$9726,Assumptions!$C$86,Assumptions!$C$105,Assumptions!$C$124)</f>
        <v>478.719345</v>
      </c>
    </row>
    <row r="9895" customFormat="false" ht="15" hidden="false" customHeight="false" outlineLevel="0" collapsed="false">
      <c r="A9895" s="3" t="s">
        <v>494</v>
      </c>
      <c r="C9895" s="25" t="n">
        <f aca="false">MAX(C9893,C9894)+C9892</f>
        <v>478.719345</v>
      </c>
    </row>
    <row r="9896" customFormat="false" ht="15" hidden="false" customHeight="false" outlineLevel="0" collapsed="false">
      <c r="A9896" s="2" t="s">
        <v>495</v>
      </c>
      <c r="C9896" s="16" t="n">
        <f aca="false">IF(ISNUMBER(Assumptions!$C$14),Assumptions!$C$14,C9895)</f>
        <v>478.719345</v>
      </c>
    </row>
    <row r="9897" customFormat="false" ht="15" hidden="false" customHeight="false" outlineLevel="0" collapsed="false">
      <c r="A9897" s="3" t="s">
        <v>496</v>
      </c>
      <c r="C9897" s="25" t="n">
        <f aca="false">C9896*Assumptions!$C$15</f>
        <v>19.1487738</v>
      </c>
    </row>
    <row r="9898" customFormat="false" ht="15" hidden="false" customHeight="false" outlineLevel="0" collapsed="false">
      <c r="A9898" s="2" t="s">
        <v>497</v>
      </c>
      <c r="C9898" s="16" t="n">
        <f aca="false">C9896-C9897</f>
        <v>459.5705712</v>
      </c>
    </row>
    <row r="9899" customFormat="false" ht="15" hidden="false" customHeight="false" outlineLevel="0" collapsed="false">
      <c r="A9899" s="23" t="s">
        <v>498</v>
      </c>
      <c r="B9899" s="24"/>
      <c r="C9899" s="24"/>
      <c r="D9899" s="24"/>
      <c r="E9899" s="24"/>
      <c r="F9899" s="24"/>
      <c r="G9899" s="24"/>
      <c r="H9899" s="24"/>
      <c r="I9899" s="24"/>
      <c r="J9899" s="24"/>
      <c r="K9899" s="24"/>
    </row>
    <row r="9900" customFormat="false" ht="15" hidden="false" customHeight="false" outlineLevel="0" collapsed="false">
      <c r="A9900" s="3" t="s">
        <v>499</v>
      </c>
      <c r="C9900" s="25" t="n">
        <f aca="false">SUMPRODUCT($G$9888:$K$9888,$G$9780:$K$9780)*(1+SUMPRODUCT($G$9888:$K$9888,$G$9772:$K$9772)*Assumptions!$C$16/12)</f>
        <v>1349.6193225</v>
      </c>
    </row>
    <row r="9901" customFormat="false" ht="15" hidden="false" customHeight="false" outlineLevel="0" collapsed="false">
      <c r="A9901" s="3" t="s">
        <v>500</v>
      </c>
      <c r="C9901" s="25" t="n">
        <f aca="false">SUMPRODUCT($G$9888:$K$9888,$G$9793:$K$9793)*(1+SUMPRODUCT($G$9888:$K$9888,$G$9785:$K$9785)*Assumptions!$C$16/12)</f>
        <v>6.40133166435848</v>
      </c>
    </row>
    <row r="9902" customFormat="false" ht="15" hidden="false" customHeight="false" outlineLevel="0" collapsed="false">
      <c r="A9902" s="3" t="s">
        <v>501</v>
      </c>
      <c r="C9902" s="25" t="n">
        <f aca="false">SUMPRODUCT($G$9888:$K$9888,$G$9806:$K$9806)*(1+SUMPRODUCT($G$9888:$K$9888,$G$9798:$K$9798)*Assumptions!$C$16/12)</f>
        <v>145.27734375</v>
      </c>
    </row>
    <row r="9903" customFormat="false" ht="15" hidden="false" customHeight="false" outlineLevel="0" collapsed="false">
      <c r="A9903" s="23" t="s">
        <v>502</v>
      </c>
      <c r="B9903" s="24"/>
      <c r="C9903" s="24"/>
      <c r="D9903" s="24"/>
      <c r="E9903" s="24"/>
      <c r="F9903" s="24"/>
      <c r="G9903" s="24"/>
      <c r="H9903" s="24"/>
      <c r="I9903" s="24"/>
      <c r="J9903" s="24"/>
      <c r="K9903" s="24"/>
    </row>
    <row r="9904" customFormat="false" ht="15" hidden="false" customHeight="false" outlineLevel="0" collapsed="false">
      <c r="A9904" s="3" t="s">
        <v>499</v>
      </c>
      <c r="C9904" s="27" t="n">
        <f aca="false">Assumptions!$M$56</f>
        <v>1</v>
      </c>
    </row>
    <row r="9905" customFormat="false" ht="15" hidden="false" customHeight="false" outlineLevel="0" collapsed="false">
      <c r="A9905" s="3" t="s">
        <v>500</v>
      </c>
      <c r="C9905" s="27" t="n">
        <f aca="false">Assumptions!$M$57</f>
        <v>2</v>
      </c>
    </row>
    <row r="9906" customFormat="false" ht="15" hidden="false" customHeight="false" outlineLevel="0" collapsed="false">
      <c r="A9906" s="3" t="s">
        <v>501</v>
      </c>
      <c r="C9906" s="27" t="n">
        <f aca="false">Assumptions!$M$58</f>
        <v>2</v>
      </c>
    </row>
    <row r="9907" customFormat="false" ht="15" hidden="false" customHeight="false" outlineLevel="0" collapsed="false">
      <c r="A9907" s="23" t="s">
        <v>503</v>
      </c>
      <c r="B9907" s="24"/>
      <c r="C9907" s="24"/>
      <c r="D9907" s="24"/>
      <c r="E9907" s="24"/>
      <c r="F9907" s="24"/>
      <c r="G9907" s="24"/>
      <c r="H9907" s="24"/>
      <c r="I9907" s="24"/>
      <c r="J9907" s="24"/>
      <c r="K9907" s="24"/>
    </row>
    <row r="9908" customFormat="false" ht="15" hidden="false" customHeight="false" outlineLevel="0" collapsed="false">
      <c r="A9908" s="3" t="s">
        <v>499</v>
      </c>
      <c r="C9908" s="35" t="n">
        <f aca="false">Assumptions!$Q$56</f>
        <v>0</v>
      </c>
    </row>
    <row r="9909" customFormat="false" ht="15" hidden="false" customHeight="false" outlineLevel="0" collapsed="false">
      <c r="A9909" s="3" t="s">
        <v>500</v>
      </c>
      <c r="C9909" s="35" t="n">
        <f aca="false">Assumptions!$Q$57</f>
        <v>0</v>
      </c>
    </row>
    <row r="9910" customFormat="false" ht="15" hidden="false" customHeight="false" outlineLevel="0" collapsed="false">
      <c r="A9910" s="3" t="s">
        <v>501</v>
      </c>
      <c r="C9910" s="35" t="n">
        <f aca="false">Assumptions!$Q$58</f>
        <v>0</v>
      </c>
    </row>
    <row r="9911" customFormat="false" ht="15" hidden="false" customHeight="false" outlineLevel="0" collapsed="false">
      <c r="A9911" s="23" t="s">
        <v>504</v>
      </c>
      <c r="B9911" s="24"/>
      <c r="C9911" s="24"/>
      <c r="D9911" s="24"/>
      <c r="E9911" s="24"/>
      <c r="F9911" s="24"/>
      <c r="G9911" s="24"/>
      <c r="H9911" s="24"/>
      <c r="I9911" s="24"/>
      <c r="J9911" s="24"/>
      <c r="K9911" s="24"/>
    </row>
    <row r="9912" customFormat="false" ht="15" hidden="false" customHeight="false" outlineLevel="0" collapsed="false">
      <c r="A9912" s="3" t="s">
        <v>499</v>
      </c>
      <c r="C9912" s="25" t="n">
        <f aca="false">IF(C9908&gt;0,MIN(C9900,C9908*$C$9898),0)</f>
        <v>0</v>
      </c>
    </row>
    <row r="9913" customFormat="false" ht="15" hidden="false" customHeight="false" outlineLevel="0" collapsed="false">
      <c r="A9913" s="3" t="s">
        <v>500</v>
      </c>
      <c r="C9913" s="25" t="n">
        <f aca="false">IF(C9909&gt;0,MIN(C9901,C9909*$C$9898),0)</f>
        <v>0</v>
      </c>
    </row>
    <row r="9914" customFormat="false" ht="15" hidden="false" customHeight="false" outlineLevel="0" collapsed="false">
      <c r="A9914" s="3" t="s">
        <v>501</v>
      </c>
      <c r="C9914" s="25" t="n">
        <f aca="false">IF(C9910&gt;0,MIN(C9902,C9910*$C$9898),0)</f>
        <v>0</v>
      </c>
    </row>
    <row r="9915" customFormat="false" ht="15" hidden="false" customHeight="false" outlineLevel="0" collapsed="false">
      <c r="A9915" s="23" t="s">
        <v>505</v>
      </c>
      <c r="B9915" s="24"/>
      <c r="C9915" s="24"/>
      <c r="D9915" s="24"/>
      <c r="E9915" s="24"/>
      <c r="F9915" s="24"/>
      <c r="G9915" s="24"/>
      <c r="H9915" s="24"/>
      <c r="I9915" s="24"/>
      <c r="J9915" s="24"/>
      <c r="K9915" s="24"/>
    </row>
    <row r="9916" customFormat="false" ht="15" hidden="false" customHeight="false" outlineLevel="0" collapsed="false">
      <c r="A9916" s="3" t="s">
        <v>499</v>
      </c>
      <c r="C9916" s="25" t="n">
        <f aca="false">IF(C9908&gt;0,C9900-C9912,0)</f>
        <v>0</v>
      </c>
      <c r="G9916" s="20" t="n">
        <f aca="false">IF(AND(G9770=1,G9767=1),1,0)</f>
        <v>0</v>
      </c>
      <c r="H9916" s="20" t="n">
        <f aca="false">IF(G9916=1,1,IF(AND(H9770=1,H9767=1),1,0))</f>
        <v>0</v>
      </c>
      <c r="I9916" s="20" t="n">
        <f aca="false">IF(H9916=1,1,IF(AND(I9770=1,I9767=1),1,0))</f>
        <v>0</v>
      </c>
      <c r="J9916" s="20" t="n">
        <f aca="false">IF(I9916=1,1,IF(AND(J9770=1,J9767=1),1,0))</f>
        <v>0</v>
      </c>
      <c r="K9916" s="20" t="n">
        <f aca="false">IF(J9916=1,1,IF(AND(K9770=1,K9767=1),1,0))</f>
        <v>0</v>
      </c>
    </row>
    <row r="9917" customFormat="false" ht="15" hidden="false" customHeight="false" outlineLevel="0" collapsed="false">
      <c r="A9917" s="3" t="s">
        <v>500</v>
      </c>
      <c r="C9917" s="25" t="n">
        <f aca="false">IF(C9909&gt;0,C9901-C9913,0)</f>
        <v>0</v>
      </c>
      <c r="G9917" s="20" t="n">
        <f aca="false">IF(AND(G9783=1,G9767=1),1,0)</f>
        <v>0</v>
      </c>
      <c r="H9917" s="20" t="n">
        <f aca="false">IF(G9917=1,1,IF(AND(H9783=1,H9767=1),1,0))</f>
        <v>0</v>
      </c>
      <c r="I9917" s="20" t="n">
        <f aca="false">IF(H9917=1,1,IF(AND(I9783=1,I9767=1),1,0))</f>
        <v>0</v>
      </c>
      <c r="J9917" s="20" t="n">
        <f aca="false">IF(I9917=1,1,IF(AND(J9783=1,J9767=1),1,0))</f>
        <v>0</v>
      </c>
      <c r="K9917" s="20" t="n">
        <f aca="false">IF(J9917=1,1,IF(AND(K9783=1,K9767=1),1,0))</f>
        <v>0</v>
      </c>
    </row>
    <row r="9918" customFormat="false" ht="15" hidden="false" customHeight="false" outlineLevel="0" collapsed="false">
      <c r="A9918" s="3" t="s">
        <v>501</v>
      </c>
      <c r="C9918" s="25" t="n">
        <f aca="false">IF(C9910&gt;0,C9902-C9914,0)</f>
        <v>0</v>
      </c>
      <c r="G9918" s="20" t="n">
        <f aca="false">IF(AND(G9796=1,G9767=1),1,0)</f>
        <v>0</v>
      </c>
      <c r="H9918" s="20" t="n">
        <f aca="false">IF(G9918=1,1,IF(AND(H9796=1,H9767=1),1,0))</f>
        <v>0</v>
      </c>
      <c r="I9918" s="20" t="n">
        <f aca="false">IF(H9918=1,1,IF(AND(I9796=1,I9767=1),1,0))</f>
        <v>0</v>
      </c>
      <c r="J9918" s="20" t="n">
        <f aca="false">IF(I9918=1,1,IF(AND(J9796=1,J9767=1),1,0))</f>
        <v>0</v>
      </c>
      <c r="K9918" s="20" t="n">
        <f aca="false">IF(J9918=1,1,IF(AND(K9796=1,K9767=1),1,0))</f>
        <v>0</v>
      </c>
    </row>
    <row r="9919" customFormat="false" ht="15" hidden="false" customHeight="false" outlineLevel="0" collapsed="false">
      <c r="A9919" s="23" t="s">
        <v>506</v>
      </c>
      <c r="B9919" s="24"/>
      <c r="C9919" s="24"/>
      <c r="D9919" s="24"/>
      <c r="E9919" s="24"/>
      <c r="F9919" s="24"/>
      <c r="G9919" s="24"/>
      <c r="H9919" s="24"/>
      <c r="I9919" s="24"/>
      <c r="J9919" s="24"/>
      <c r="K9919" s="24"/>
    </row>
    <row r="9920" customFormat="false" ht="15" hidden="false" customHeight="false" outlineLevel="0" collapsed="false">
      <c r="A9920" s="3" t="s">
        <v>499</v>
      </c>
      <c r="C9920" s="25" t="n">
        <f aca="false">IF(C9908&gt;0,C9916,C9900)</f>
        <v>1349.6193225</v>
      </c>
    </row>
    <row r="9921" customFormat="false" ht="15" hidden="false" customHeight="false" outlineLevel="0" collapsed="false">
      <c r="A9921" s="3" t="s">
        <v>500</v>
      </c>
      <c r="C9921" s="25" t="n">
        <f aca="false">IF(C9909&gt;0,C9917,C9901)</f>
        <v>6.40133166435848</v>
      </c>
    </row>
    <row r="9922" customFormat="false" ht="15" hidden="false" customHeight="false" outlineLevel="0" collapsed="false">
      <c r="A9922" s="3" t="s">
        <v>501</v>
      </c>
      <c r="C9922" s="25" t="n">
        <f aca="false">IF(C9910&gt;0,C9918,C9902)</f>
        <v>145.27734375</v>
      </c>
    </row>
    <row r="9923" customFormat="false" ht="15" hidden="false" customHeight="false" outlineLevel="0" collapsed="false">
      <c r="A9923" s="23" t="s">
        <v>507</v>
      </c>
      <c r="B9923" s="24"/>
      <c r="C9923" s="24"/>
      <c r="D9923" s="24"/>
      <c r="E9923" s="24"/>
      <c r="F9923" s="24"/>
      <c r="G9923" s="24"/>
      <c r="H9923" s="24"/>
      <c r="I9923" s="24"/>
      <c r="J9923" s="24"/>
      <c r="K9923" s="24"/>
    </row>
    <row r="9924" customFormat="false" ht="15" hidden="false" customHeight="false" outlineLevel="0" collapsed="false">
      <c r="A9924" s="3" t="s">
        <v>499</v>
      </c>
      <c r="C9924" s="20" t="n">
        <f aca="false">IF(C9908&gt;0,Assumptions!$C$17,C9904)</f>
        <v>1</v>
      </c>
    </row>
    <row r="9925" customFormat="false" ht="15" hidden="false" customHeight="false" outlineLevel="0" collapsed="false">
      <c r="A9925" s="3" t="s">
        <v>500</v>
      </c>
      <c r="C9925" s="20" t="n">
        <f aca="false">IF(C9909&gt;0,Assumptions!$C$17,C9905)</f>
        <v>2</v>
      </c>
    </row>
    <row r="9926" customFormat="false" ht="15" hidden="false" customHeight="false" outlineLevel="0" collapsed="false">
      <c r="A9926" s="3" t="s">
        <v>501</v>
      </c>
      <c r="C9926" s="20" t="n">
        <f aca="false">IF(C9910&gt;0,Assumptions!$C$17,C9906)</f>
        <v>2</v>
      </c>
    </row>
    <row r="9927" customFormat="false" ht="15" hidden="false" customHeight="false" outlineLevel="0" collapsed="false">
      <c r="A9927" s="23" t="s">
        <v>508</v>
      </c>
      <c r="B9927" s="24"/>
      <c r="C9927" s="24"/>
      <c r="D9927" s="24"/>
      <c r="E9927" s="24"/>
      <c r="F9927" s="24"/>
      <c r="G9927" s="24"/>
      <c r="H9927" s="24"/>
      <c r="I9927" s="24"/>
      <c r="J9927" s="24"/>
      <c r="K9927" s="24"/>
    </row>
    <row r="9928" customFormat="false" ht="15" hidden="false" customHeight="false" outlineLevel="0" collapsed="false">
      <c r="A9928" s="3" t="s">
        <v>499</v>
      </c>
      <c r="C9928" s="25" t="n">
        <f aca="false">SUMPRODUCT(($C$9924:$C$9926&lt;C9924)*$C$9920:$C$9922)</f>
        <v>0</v>
      </c>
    </row>
    <row r="9929" customFormat="false" ht="15" hidden="false" customHeight="false" outlineLevel="0" collapsed="false">
      <c r="A9929" s="3" t="s">
        <v>500</v>
      </c>
      <c r="C9929" s="25" t="n">
        <f aca="false">SUMPRODUCT(($C$9924:$C$9926&lt;C9925)*$C$9920:$C$9922)</f>
        <v>1349.6193225</v>
      </c>
    </row>
    <row r="9930" customFormat="false" ht="15" hidden="false" customHeight="false" outlineLevel="0" collapsed="false">
      <c r="A9930" s="3" t="s">
        <v>501</v>
      </c>
      <c r="C9930" s="25" t="n">
        <f aca="false">SUMPRODUCT(($C$9924:$C$9926&lt;C9926)*$C$9920:$C$9922)</f>
        <v>1349.6193225</v>
      </c>
    </row>
    <row r="9931" customFormat="false" ht="15" hidden="false" customHeight="false" outlineLevel="0" collapsed="false">
      <c r="A9931" s="23" t="s">
        <v>509</v>
      </c>
      <c r="B9931" s="24"/>
      <c r="C9931" s="24"/>
      <c r="D9931" s="24"/>
      <c r="E9931" s="24"/>
      <c r="F9931" s="24"/>
      <c r="G9931" s="24"/>
      <c r="H9931" s="24"/>
      <c r="I9931" s="24"/>
      <c r="J9931" s="24"/>
      <c r="K9931" s="24"/>
    </row>
    <row r="9932" customFormat="false" ht="15" hidden="false" customHeight="false" outlineLevel="0" collapsed="false">
      <c r="A9932" s="3" t="s">
        <v>499</v>
      </c>
      <c r="C9932" s="25" t="n">
        <f aca="false">SUMPRODUCT(($C$9924:$C$9926=C9924)*$C$9920:$C$9922)</f>
        <v>1349.6193225</v>
      </c>
    </row>
    <row r="9933" customFormat="false" ht="15" hidden="false" customHeight="false" outlineLevel="0" collapsed="false">
      <c r="A9933" s="3" t="s">
        <v>500</v>
      </c>
      <c r="C9933" s="25" t="n">
        <f aca="false">SUMPRODUCT(($C$9924:$C$9926=C9925)*$C$9920:$C$9922)</f>
        <v>151.678675414359</v>
      </c>
    </row>
    <row r="9934" customFormat="false" ht="15" hidden="false" customHeight="false" outlineLevel="0" collapsed="false">
      <c r="A9934" s="3" t="s">
        <v>501</v>
      </c>
      <c r="C9934" s="25" t="n">
        <f aca="false">SUMPRODUCT(($C$9924:$C$9926=C9926)*$C$9920:$C$9922)</f>
        <v>151.678675414359</v>
      </c>
    </row>
    <row r="9935" customFormat="false" ht="15" hidden="false" customHeight="false" outlineLevel="0" collapsed="false">
      <c r="A9935" s="23" t="s">
        <v>510</v>
      </c>
      <c r="B9935" s="24"/>
      <c r="C9935" s="24"/>
      <c r="D9935" s="24"/>
      <c r="E9935" s="24"/>
      <c r="F9935" s="24"/>
      <c r="G9935" s="24"/>
      <c r="H9935" s="24"/>
      <c r="I9935" s="24"/>
      <c r="J9935" s="24"/>
      <c r="K9935" s="24"/>
    </row>
    <row r="9936" customFormat="false" ht="15" hidden="false" customHeight="false" outlineLevel="0" collapsed="false">
      <c r="A9936" s="3" t="s">
        <v>499</v>
      </c>
      <c r="C9936" s="25" t="n">
        <f aca="false">IF(C9932=0,0,C9920/C9932*MAX(0,MIN(C9932,$C$9898-SUM($C$9912:$C$9914)-C9928)))</f>
        <v>459.5705712</v>
      </c>
    </row>
    <row r="9937" customFormat="false" ht="15" hidden="false" customHeight="false" outlineLevel="0" collapsed="false">
      <c r="A9937" s="3" t="s">
        <v>500</v>
      </c>
      <c r="C9937" s="25" t="n">
        <f aca="false">IF(C9933=0,0,C9921/C9933*MAX(0,MIN(C9933,$C$9898-SUM($C$9912:$C$9914)-C9929)))</f>
        <v>0</v>
      </c>
    </row>
    <row r="9938" customFormat="false" ht="15" hidden="false" customHeight="false" outlineLevel="0" collapsed="false">
      <c r="A9938" s="3" t="s">
        <v>501</v>
      </c>
      <c r="C9938" s="25" t="n">
        <f aca="false">IF(C9934=0,0,C9922/C9934*MAX(0,MIN(C9934,$C$9898-SUM($C$9912:$C$9914)-C9930)))</f>
        <v>0</v>
      </c>
    </row>
    <row r="9939" customFormat="false" ht="15" hidden="false" customHeight="false" outlineLevel="0" collapsed="false">
      <c r="A9939" s="23" t="s">
        <v>511</v>
      </c>
      <c r="B9939" s="24"/>
      <c r="C9939" s="24"/>
      <c r="D9939" s="24"/>
      <c r="E9939" s="24"/>
      <c r="F9939" s="24"/>
      <c r="G9939" s="24"/>
      <c r="H9939" s="24"/>
      <c r="I9939" s="24"/>
      <c r="J9939" s="24"/>
      <c r="K9939" s="24"/>
    </row>
    <row r="9940" customFormat="false" ht="15" hidden="false" customHeight="false" outlineLevel="0" collapsed="false">
      <c r="A9940" s="2" t="s">
        <v>499</v>
      </c>
      <c r="C9940" s="16" t="n">
        <f aca="false">C9912+C9936</f>
        <v>459.5705712</v>
      </c>
    </row>
    <row r="9941" customFormat="false" ht="15" hidden="false" customHeight="false" outlineLevel="0" collapsed="false">
      <c r="A9941" s="2" t="s">
        <v>500</v>
      </c>
      <c r="C9941" s="16" t="n">
        <f aca="false">C9913+C9937</f>
        <v>0</v>
      </c>
    </row>
    <row r="9942" customFormat="false" ht="15" hidden="false" customHeight="false" outlineLevel="0" collapsed="false">
      <c r="A9942" s="2" t="s">
        <v>501</v>
      </c>
      <c r="C9942" s="16" t="n">
        <f aca="false">C9914+C9938</f>
        <v>0</v>
      </c>
    </row>
    <row r="9943" customFormat="false" ht="15" hidden="false" customHeight="false" outlineLevel="0" collapsed="false">
      <c r="A9943" s="23" t="s">
        <v>512</v>
      </c>
      <c r="B9943" s="24"/>
      <c r="C9943" s="24"/>
      <c r="D9943" s="24"/>
      <c r="E9943" s="24"/>
      <c r="F9943" s="24"/>
      <c r="G9943" s="24"/>
      <c r="H9943" s="24"/>
      <c r="I9943" s="24"/>
      <c r="J9943" s="24"/>
      <c r="K9943" s="24"/>
    </row>
    <row r="9944" customFormat="false" ht="15" hidden="false" customHeight="false" outlineLevel="0" collapsed="false">
      <c r="A9944" s="3" t="s">
        <v>499</v>
      </c>
      <c r="C9944" s="21" t="n">
        <f aca="false">IF(C9900=0,1,C9940/C9900)</f>
        <v>0.340518665921812</v>
      </c>
    </row>
    <row r="9945" customFormat="false" ht="15" hidden="false" customHeight="false" outlineLevel="0" collapsed="false">
      <c r="A9945" s="3" t="s">
        <v>500</v>
      </c>
      <c r="C9945" s="21" t="n">
        <f aca="false">IF(C9901=0,1,C9941/C9901)</f>
        <v>0</v>
      </c>
    </row>
    <row r="9946" customFormat="false" ht="15" hidden="false" customHeight="false" outlineLevel="0" collapsed="false">
      <c r="A9946" s="3" t="s">
        <v>501</v>
      </c>
      <c r="C9946" s="21" t="n">
        <f aca="false">IF(C9902=0,1,C9942/C9902)</f>
        <v>0</v>
      </c>
    </row>
    <row r="9947" customFormat="false" ht="15" hidden="false" customHeight="false" outlineLevel="0" collapsed="false">
      <c r="A9947" s="23" t="s">
        <v>513</v>
      </c>
      <c r="B9947" s="24"/>
      <c r="C9947" s="24"/>
      <c r="D9947" s="24"/>
      <c r="E9947" s="24"/>
      <c r="F9947" s="24"/>
      <c r="G9947" s="24"/>
      <c r="H9947" s="24"/>
      <c r="I9947" s="24"/>
      <c r="J9947" s="24"/>
      <c r="K9947" s="24"/>
    </row>
    <row r="9948" customFormat="false" ht="15" hidden="false" customHeight="false" outlineLevel="0" collapsed="false">
      <c r="A9948" s="3" t="s">
        <v>499</v>
      </c>
      <c r="C9948" s="25" t="n">
        <f aca="false">C9900-C9940</f>
        <v>890.0487513</v>
      </c>
    </row>
    <row r="9949" customFormat="false" ht="15" hidden="false" customHeight="false" outlineLevel="0" collapsed="false">
      <c r="A9949" s="3" t="s">
        <v>500</v>
      </c>
      <c r="C9949" s="25" t="n">
        <f aca="false">C9901-C9941</f>
        <v>6.40133166435848</v>
      </c>
    </row>
    <row r="9950" customFormat="false" ht="15" hidden="false" customHeight="false" outlineLevel="0" collapsed="false">
      <c r="A9950" s="3" t="s">
        <v>501</v>
      </c>
      <c r="C9950" s="25" t="n">
        <f aca="false">C9902-C9942</f>
        <v>145.27734375</v>
      </c>
    </row>
    <row r="9951" customFormat="false" ht="15" hidden="false" customHeight="false" outlineLevel="0" collapsed="false">
      <c r="A9951" s="23" t="s">
        <v>514</v>
      </c>
      <c r="B9951" s="24"/>
      <c r="C9951" s="24"/>
      <c r="D9951" s="24"/>
      <c r="E9951" s="24"/>
      <c r="F9951" s="24"/>
      <c r="G9951" s="24"/>
      <c r="H9951" s="24"/>
      <c r="I9951" s="24"/>
      <c r="J9951" s="24"/>
      <c r="K9951" s="24"/>
    </row>
    <row r="9952" customFormat="false" ht="15" hidden="false" customHeight="false" outlineLevel="0" collapsed="false">
      <c r="A9952" s="3" t="s">
        <v>499</v>
      </c>
      <c r="C9952" s="21" t="n">
        <f aca="false">IF(C9900=0,0,C9948/C9900)</f>
        <v>0.659481334078188</v>
      </c>
    </row>
    <row r="9953" customFormat="false" ht="15" hidden="false" customHeight="false" outlineLevel="0" collapsed="false">
      <c r="A9953" s="3" t="s">
        <v>500</v>
      </c>
      <c r="C9953" s="21" t="n">
        <f aca="false">IF(C9901=0,0,C9949/C9901)</f>
        <v>1</v>
      </c>
    </row>
    <row r="9954" customFormat="false" ht="15" hidden="false" customHeight="false" outlineLevel="0" collapsed="false">
      <c r="A9954" s="3" t="s">
        <v>501</v>
      </c>
      <c r="C9954" s="21" t="n">
        <f aca="false">IF(C9902=0,0,C9950/C9902)</f>
        <v>1</v>
      </c>
    </row>
    <row r="9955" customFormat="false" ht="15" hidden="false" customHeight="false" outlineLevel="0" collapsed="false">
      <c r="A9955" s="2" t="s">
        <v>515</v>
      </c>
      <c r="C9955" s="16" t="n">
        <f aca="false">MAX(0,$C$9898-SUM($C$9912:$C$9914)-SUM($C$9920:$C$9922))</f>
        <v>0</v>
      </c>
    </row>
    <row r="9956" customFormat="false" ht="15" hidden="false" customHeight="false" outlineLevel="0" collapsed="false">
      <c r="A9956" s="3" t="s">
        <v>516</v>
      </c>
      <c r="C9956" s="25" t="n">
        <f aca="false">SUM($C$9940:$C$9942)+C9955+C9897-C9896</f>
        <v>0</v>
      </c>
    </row>
    <row r="9958" customFormat="false" ht="15" hidden="false" customHeight="false" outlineLevel="0" collapsed="false">
      <c r="A9958" s="23" t="s">
        <v>519</v>
      </c>
      <c r="B9958" s="24"/>
      <c r="C9958" s="24"/>
      <c r="D9958" s="24"/>
      <c r="E9958" s="24"/>
      <c r="F9958" s="24"/>
      <c r="G9958" s="24"/>
      <c r="H9958" s="24"/>
      <c r="I9958" s="24"/>
      <c r="J9958" s="24"/>
      <c r="K9958" s="24"/>
    </row>
    <row r="9959" customFormat="false" ht="15" hidden="false" customHeight="false" outlineLevel="0" collapsed="false">
      <c r="A9959" s="3" t="s">
        <v>520</v>
      </c>
      <c r="C9959" s="27" t="n">
        <f aca="false">Assumptions!$C$33</f>
        <v>1</v>
      </c>
    </row>
    <row r="9960" customFormat="false" ht="15" hidden="false" customHeight="false" outlineLevel="0" collapsed="false">
      <c r="A9960" s="3" t="s">
        <v>521</v>
      </c>
      <c r="C9960" s="29" t="n">
        <f aca="false">Assumptions!$C$34</f>
        <v>100</v>
      </c>
    </row>
    <row r="9961" customFormat="false" ht="15" hidden="false" customHeight="false" outlineLevel="0" collapsed="false">
      <c r="A9961" s="3" t="s">
        <v>522</v>
      </c>
      <c r="C9961" s="40" t="n">
        <f aca="false">Assumptions!$C$35</f>
        <v>95</v>
      </c>
    </row>
    <row r="9962" customFormat="false" ht="15" hidden="false" customHeight="false" outlineLevel="0" collapsed="false">
      <c r="A9962" s="3" t="s">
        <v>523</v>
      </c>
      <c r="C9962" s="25" t="n">
        <f aca="false">C9960*C9961/100*(1+Assumptions!$C$36)</f>
        <v>95</v>
      </c>
    </row>
    <row r="9963" customFormat="false" ht="15" hidden="false" customHeight="false" outlineLevel="0" collapsed="false">
      <c r="A9963" s="3" t="s">
        <v>524</v>
      </c>
      <c r="C9963" s="27" t="n">
        <f aca="false">Assumptions!$C$37</f>
        <v>3</v>
      </c>
    </row>
    <row r="9964" customFormat="false" ht="15" hidden="false" customHeight="false" outlineLevel="0" collapsed="false">
      <c r="A9964" s="3" t="s">
        <v>525</v>
      </c>
      <c r="C9964" s="20" t="n">
        <f aca="false">IF(C9889=1,SUMPRODUCT($G$9841:$K$9841,$G$9734:$K$9734),0)</f>
        <v>3</v>
      </c>
    </row>
    <row r="9965" customFormat="false" ht="15" hidden="false" customHeight="false" outlineLevel="0" collapsed="false">
      <c r="A9965" s="3" t="s">
        <v>526</v>
      </c>
      <c r="C9965" s="21" t="n">
        <f aca="false">IFERROR(C9960/CHOOSE(C9959,SUMPRODUCT($G$9888:$K$9888,$G$9780:$K$9780),SUMPRODUCT($G$9888:$K$9888,$G$9793:$K$9793),SUMPRODUCT($G$9888:$K$9888,$G$9806:$K$9806)),0)</f>
        <v>0.0760399605200525</v>
      </c>
    </row>
    <row r="9966" customFormat="false" ht="15" hidden="false" customHeight="false" outlineLevel="0" collapsed="false">
      <c r="A9966" s="3" t="s">
        <v>527</v>
      </c>
      <c r="C9966" s="25" t="n">
        <f aca="false">CHOOSE(C9959,C9940,C9941,C9942)*C9965</f>
        <v>34.945728090226</v>
      </c>
    </row>
    <row r="9967" customFormat="false" ht="15" hidden="false" customHeight="false" outlineLevel="0" collapsed="false">
      <c r="A9967" s="3" t="s">
        <v>528</v>
      </c>
      <c r="C9967" s="21" t="n">
        <f aca="false">CHOOSE(C9959,C9944,C9945,C9946)</f>
        <v>0.340518665921812</v>
      </c>
    </row>
    <row r="9968" customFormat="false" ht="15" hidden="false" customHeight="false" outlineLevel="0" collapsed="false">
      <c r="A9968" s="3" t="s">
        <v>529</v>
      </c>
      <c r="C9968" s="20" t="n">
        <f aca="false">IF(C9889=1,C9964,C9963)</f>
        <v>3</v>
      </c>
    </row>
    <row r="9969" customFormat="false" ht="15" hidden="false" customHeight="false" outlineLevel="0" collapsed="false">
      <c r="A9969" s="3" t="s">
        <v>530</v>
      </c>
      <c r="C9969" s="34" t="n">
        <f aca="false">CHOOSE($C$9726,Assumptions!$C$83,Assumptions!$C$102,Assumptions!$C$121)</f>
        <v>80</v>
      </c>
    </row>
    <row r="9970" customFormat="false" ht="15" hidden="false" customHeight="false" outlineLevel="0" collapsed="false">
      <c r="A9970" s="3" t="s">
        <v>531</v>
      </c>
      <c r="C9970" s="25" t="n">
        <f aca="false">INDEX($G$9743:$K$9743,C9963)*CHOOSE($C$9726,Assumptions!$C$82,Assumptions!$C$101,Assumptions!$C$120)+MAX(0,INDEX($G$9838:$K$9838,C9963))</f>
        <v>428.3744040576</v>
      </c>
    </row>
    <row r="9971" customFormat="false" ht="15" hidden="false" customHeight="false" outlineLevel="0" collapsed="false">
      <c r="A9971" s="23" t="s">
        <v>532</v>
      </c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</row>
    <row r="9972" customFormat="false" ht="15" hidden="false" customHeight="false" outlineLevel="0" collapsed="false">
      <c r="A9972" s="3" t="s">
        <v>499</v>
      </c>
      <c r="C9972" s="25" t="n">
        <f aca="false">INDEX($G$9780:$K$9780,C9963)</f>
        <v>1315.098</v>
      </c>
    </row>
    <row r="9973" customFormat="false" ht="15" hidden="false" customHeight="false" outlineLevel="0" collapsed="false">
      <c r="A9973" s="3" t="s">
        <v>500</v>
      </c>
      <c r="C9973" s="25" t="n">
        <f aca="false">INDEX($G$9793:$K$9793,C9963)</f>
        <v>6.33403256832008</v>
      </c>
    </row>
    <row r="9974" customFormat="false" ht="15" hidden="false" customHeight="false" outlineLevel="0" collapsed="false">
      <c r="A9974" s="3" t="s">
        <v>501</v>
      </c>
      <c r="C9974" s="25" t="n">
        <f aca="false">INDEX($G$9806:$K$9806,C9963)</f>
        <v>143.75</v>
      </c>
    </row>
    <row r="9975" customFormat="false" ht="15" hidden="false" customHeight="false" outlineLevel="0" collapsed="false">
      <c r="A9975" s="23" t="s">
        <v>502</v>
      </c>
      <c r="B9975" s="24"/>
      <c r="C9975" s="24"/>
      <c r="D9975" s="24"/>
      <c r="E9975" s="24"/>
      <c r="F9975" s="24"/>
      <c r="G9975" s="24"/>
      <c r="H9975" s="24"/>
      <c r="I9975" s="24"/>
      <c r="J9975" s="24"/>
      <c r="K9975" s="24"/>
    </row>
    <row r="9976" customFormat="false" ht="15" hidden="false" customHeight="false" outlineLevel="0" collapsed="false">
      <c r="A9976" s="3" t="s">
        <v>499</v>
      </c>
      <c r="C9976" s="27" t="n">
        <f aca="false">Assumptions!$M$56</f>
        <v>1</v>
      </c>
    </row>
    <row r="9977" customFormat="false" ht="15" hidden="false" customHeight="false" outlineLevel="0" collapsed="false">
      <c r="A9977" s="3" t="s">
        <v>500</v>
      </c>
      <c r="C9977" s="27" t="n">
        <f aca="false">Assumptions!$M$57</f>
        <v>2</v>
      </c>
    </row>
    <row r="9978" customFormat="false" ht="15" hidden="false" customHeight="false" outlineLevel="0" collapsed="false">
      <c r="A9978" s="3" t="s">
        <v>501</v>
      </c>
      <c r="C9978" s="27" t="n">
        <f aca="false">Assumptions!$M$58</f>
        <v>2</v>
      </c>
    </row>
    <row r="9979" customFormat="false" ht="15" hidden="false" customHeight="false" outlineLevel="0" collapsed="false">
      <c r="A9979" s="23" t="s">
        <v>503</v>
      </c>
      <c r="B9979" s="24"/>
      <c r="C9979" s="24"/>
      <c r="D9979" s="24"/>
      <c r="E9979" s="24"/>
      <c r="F9979" s="24"/>
      <c r="G9979" s="24"/>
      <c r="H9979" s="24"/>
      <c r="I9979" s="24"/>
      <c r="J9979" s="24"/>
      <c r="K9979" s="24"/>
    </row>
    <row r="9980" customFormat="false" ht="15" hidden="false" customHeight="false" outlineLevel="0" collapsed="false">
      <c r="A9980" s="3" t="s">
        <v>499</v>
      </c>
      <c r="C9980" s="35" t="n">
        <f aca="false">Assumptions!$Q$56</f>
        <v>0</v>
      </c>
    </row>
    <row r="9981" customFormat="false" ht="15" hidden="false" customHeight="false" outlineLevel="0" collapsed="false">
      <c r="A9981" s="3" t="s">
        <v>500</v>
      </c>
      <c r="C9981" s="35" t="n">
        <f aca="false">Assumptions!$Q$57</f>
        <v>0</v>
      </c>
    </row>
    <row r="9982" customFormat="false" ht="15" hidden="false" customHeight="false" outlineLevel="0" collapsed="false">
      <c r="A9982" s="3" t="s">
        <v>501</v>
      </c>
      <c r="C9982" s="35" t="n">
        <f aca="false">Assumptions!$Q$58</f>
        <v>0</v>
      </c>
    </row>
    <row r="9983" customFormat="false" ht="15" hidden="false" customHeight="false" outlineLevel="0" collapsed="false">
      <c r="A9983" s="23" t="s">
        <v>504</v>
      </c>
      <c r="B9983" s="24"/>
      <c r="C9983" s="24"/>
      <c r="D9983" s="24"/>
      <c r="E9983" s="24"/>
      <c r="F9983" s="24"/>
      <c r="G9983" s="24"/>
      <c r="H9983" s="24"/>
      <c r="I9983" s="24"/>
      <c r="J9983" s="24"/>
      <c r="K9983" s="24"/>
    </row>
    <row r="9984" customFormat="false" ht="15" hidden="false" customHeight="false" outlineLevel="0" collapsed="false">
      <c r="A9984" s="3" t="s">
        <v>499</v>
      </c>
      <c r="C9984" s="25" t="n">
        <f aca="false">IF(C9980&gt;0,MIN(C9972,C9980*$C$9970),0)</f>
        <v>0</v>
      </c>
    </row>
    <row r="9985" customFormat="false" ht="15" hidden="false" customHeight="false" outlineLevel="0" collapsed="false">
      <c r="A9985" s="3" t="s">
        <v>500</v>
      </c>
      <c r="C9985" s="25" t="n">
        <f aca="false">IF(C9981&gt;0,MIN(C9973,C9981*$C$9970),0)</f>
        <v>0</v>
      </c>
    </row>
    <row r="9986" customFormat="false" ht="15" hidden="false" customHeight="false" outlineLevel="0" collapsed="false">
      <c r="A9986" s="3" t="s">
        <v>501</v>
      </c>
      <c r="C9986" s="25" t="n">
        <f aca="false">IF(C9982&gt;0,MIN(C9974,C9982*$C$9970),0)</f>
        <v>0</v>
      </c>
    </row>
    <row r="9987" customFormat="false" ht="15" hidden="false" customHeight="false" outlineLevel="0" collapsed="false">
      <c r="A9987" s="23" t="s">
        <v>505</v>
      </c>
      <c r="B9987" s="24"/>
      <c r="C9987" s="24"/>
      <c r="D9987" s="24"/>
      <c r="E9987" s="24"/>
      <c r="F9987" s="24"/>
      <c r="G9987" s="24"/>
      <c r="H9987" s="24"/>
      <c r="I9987" s="24"/>
      <c r="J9987" s="24"/>
      <c r="K9987" s="24"/>
    </row>
    <row r="9988" customFormat="false" ht="15" hidden="false" customHeight="false" outlineLevel="0" collapsed="false">
      <c r="A9988" s="3" t="s">
        <v>499</v>
      </c>
      <c r="C9988" s="25" t="n">
        <f aca="false">IF(C9980&gt;0,C9972-C9984,0)</f>
        <v>0</v>
      </c>
    </row>
    <row r="9989" customFormat="false" ht="15" hidden="false" customHeight="false" outlineLevel="0" collapsed="false">
      <c r="A9989" s="3" t="s">
        <v>500</v>
      </c>
      <c r="C9989" s="25" t="n">
        <f aca="false">IF(C9981&gt;0,C9973-C9985,0)</f>
        <v>0</v>
      </c>
    </row>
    <row r="9990" customFormat="false" ht="15" hidden="false" customHeight="false" outlineLevel="0" collapsed="false">
      <c r="A9990" s="3" t="s">
        <v>501</v>
      </c>
      <c r="C9990" s="25" t="n">
        <f aca="false">IF(C9982&gt;0,C9974-C9986,0)</f>
        <v>0</v>
      </c>
    </row>
    <row r="9991" customFormat="false" ht="15" hidden="false" customHeight="false" outlineLevel="0" collapsed="false">
      <c r="A9991" s="23" t="s">
        <v>506</v>
      </c>
      <c r="B9991" s="24"/>
      <c r="C9991" s="24"/>
      <c r="D9991" s="24"/>
      <c r="E9991" s="24"/>
      <c r="F9991" s="24"/>
      <c r="G9991" s="24"/>
      <c r="H9991" s="24"/>
      <c r="I9991" s="24"/>
      <c r="J9991" s="24"/>
      <c r="K9991" s="24"/>
    </row>
    <row r="9992" customFormat="false" ht="15" hidden="false" customHeight="false" outlineLevel="0" collapsed="false">
      <c r="A9992" s="3" t="s">
        <v>499</v>
      </c>
      <c r="C9992" s="25" t="n">
        <f aca="false">IF(C9980&gt;0,C9988,C9972)</f>
        <v>1315.098</v>
      </c>
    </row>
    <row r="9993" customFormat="false" ht="15" hidden="false" customHeight="false" outlineLevel="0" collapsed="false">
      <c r="A9993" s="3" t="s">
        <v>500</v>
      </c>
      <c r="C9993" s="25" t="n">
        <f aca="false">IF(C9981&gt;0,C9989,C9973)</f>
        <v>6.33403256832008</v>
      </c>
    </row>
    <row r="9994" customFormat="false" ht="15" hidden="false" customHeight="false" outlineLevel="0" collapsed="false">
      <c r="A9994" s="3" t="s">
        <v>501</v>
      </c>
      <c r="C9994" s="25" t="n">
        <f aca="false">IF(C9982&gt;0,C9990,C9974)</f>
        <v>143.75</v>
      </c>
    </row>
    <row r="9995" customFormat="false" ht="15" hidden="false" customHeight="false" outlineLevel="0" collapsed="false">
      <c r="A9995" s="23" t="s">
        <v>507</v>
      </c>
      <c r="B9995" s="24"/>
      <c r="C9995" s="24"/>
      <c r="D9995" s="24"/>
      <c r="E9995" s="24"/>
      <c r="F9995" s="24"/>
      <c r="G9995" s="24"/>
      <c r="H9995" s="24"/>
      <c r="I9995" s="24"/>
      <c r="J9995" s="24"/>
      <c r="K9995" s="24"/>
    </row>
    <row r="9996" customFormat="false" ht="15" hidden="false" customHeight="false" outlineLevel="0" collapsed="false">
      <c r="A9996" s="3" t="s">
        <v>499</v>
      </c>
      <c r="C9996" s="20" t="n">
        <f aca="false">IF(C9980&gt;0,Assumptions!$C$17,C9976)</f>
        <v>1</v>
      </c>
    </row>
    <row r="9997" customFormat="false" ht="15" hidden="false" customHeight="false" outlineLevel="0" collapsed="false">
      <c r="A9997" s="3" t="s">
        <v>500</v>
      </c>
      <c r="C9997" s="20" t="n">
        <f aca="false">IF(C9981&gt;0,Assumptions!$C$17,C9977)</f>
        <v>2</v>
      </c>
    </row>
    <row r="9998" customFormat="false" ht="15" hidden="false" customHeight="false" outlineLevel="0" collapsed="false">
      <c r="A9998" s="3" t="s">
        <v>501</v>
      </c>
      <c r="C9998" s="20" t="n">
        <f aca="false">IF(C9982&gt;0,Assumptions!$C$17,C9978)</f>
        <v>2</v>
      </c>
    </row>
    <row r="9999" customFormat="false" ht="15" hidden="false" customHeight="false" outlineLevel="0" collapsed="false">
      <c r="A9999" s="23" t="s">
        <v>508</v>
      </c>
      <c r="B9999" s="24"/>
      <c r="C9999" s="24"/>
      <c r="D9999" s="24"/>
      <c r="E9999" s="24"/>
      <c r="F9999" s="24"/>
      <c r="G9999" s="24"/>
      <c r="H9999" s="24"/>
      <c r="I9999" s="24"/>
      <c r="J9999" s="24"/>
      <c r="K9999" s="24"/>
    </row>
    <row r="10000" customFormat="false" ht="15" hidden="false" customHeight="false" outlineLevel="0" collapsed="false">
      <c r="A10000" s="3" t="s">
        <v>499</v>
      </c>
      <c r="C10000" s="25" t="n">
        <f aca="false">SUMPRODUCT(($C$9996:$C$9998&lt;C9996)*$C$9992:$C$9994)</f>
        <v>0</v>
      </c>
    </row>
    <row r="10001" customFormat="false" ht="15" hidden="false" customHeight="false" outlineLevel="0" collapsed="false">
      <c r="A10001" s="3" t="s">
        <v>500</v>
      </c>
      <c r="C10001" s="25" t="n">
        <f aca="false">SUMPRODUCT(($C$9996:$C$9998&lt;C9997)*$C$9992:$C$9994)</f>
        <v>1315.098</v>
      </c>
    </row>
    <row r="10002" customFormat="false" ht="15" hidden="false" customHeight="false" outlineLevel="0" collapsed="false">
      <c r="A10002" s="3" t="s">
        <v>501</v>
      </c>
      <c r="C10002" s="25" t="n">
        <f aca="false">SUMPRODUCT(($C$9996:$C$9998&lt;C9998)*$C$9992:$C$9994)</f>
        <v>1315.098</v>
      </c>
    </row>
    <row r="10003" customFormat="false" ht="15" hidden="false" customHeight="false" outlineLevel="0" collapsed="false">
      <c r="A10003" s="23" t="s">
        <v>509</v>
      </c>
      <c r="B10003" s="24"/>
      <c r="C10003" s="24"/>
      <c r="D10003" s="24"/>
      <c r="E10003" s="24"/>
      <c r="F10003" s="24"/>
      <c r="G10003" s="24"/>
      <c r="H10003" s="24"/>
      <c r="I10003" s="24"/>
      <c r="J10003" s="24"/>
      <c r="K10003" s="24"/>
    </row>
    <row r="10004" customFormat="false" ht="15" hidden="false" customHeight="false" outlineLevel="0" collapsed="false">
      <c r="A10004" s="3" t="s">
        <v>499</v>
      </c>
      <c r="C10004" s="25" t="n">
        <f aca="false">SUMPRODUCT(($C$9996:$C$9998=C9996)*$C$9992:$C$9994)</f>
        <v>1315.098</v>
      </c>
    </row>
    <row r="10005" customFormat="false" ht="15" hidden="false" customHeight="false" outlineLevel="0" collapsed="false">
      <c r="A10005" s="3" t="s">
        <v>500</v>
      </c>
      <c r="C10005" s="25" t="n">
        <f aca="false">SUMPRODUCT(($C$9996:$C$9998=C9997)*$C$9992:$C$9994)</f>
        <v>150.08403256832</v>
      </c>
    </row>
    <row r="10006" customFormat="false" ht="15" hidden="false" customHeight="false" outlineLevel="0" collapsed="false">
      <c r="A10006" s="3" t="s">
        <v>501</v>
      </c>
      <c r="C10006" s="25" t="n">
        <f aca="false">SUMPRODUCT(($C$9996:$C$9998=C9998)*$C$9992:$C$9994)</f>
        <v>150.08403256832</v>
      </c>
    </row>
    <row r="10007" customFormat="false" ht="15" hidden="false" customHeight="false" outlineLevel="0" collapsed="false">
      <c r="A10007" s="23" t="s">
        <v>510</v>
      </c>
      <c r="B10007" s="24"/>
      <c r="C10007" s="24"/>
      <c r="D10007" s="24"/>
      <c r="E10007" s="24"/>
      <c r="F10007" s="24"/>
      <c r="G10007" s="24"/>
      <c r="H10007" s="24"/>
      <c r="I10007" s="24"/>
      <c r="J10007" s="24"/>
      <c r="K10007" s="24"/>
    </row>
    <row r="10008" customFormat="false" ht="15" hidden="false" customHeight="false" outlineLevel="0" collapsed="false">
      <c r="A10008" s="3" t="s">
        <v>499</v>
      </c>
      <c r="C10008" s="25" t="n">
        <f aca="false">IF(C10004=0,0,C9992/C10004*MAX(0,MIN(C10004,$C$9970-SUM($C$9984:$C$9986)-C10000)))</f>
        <v>428.3744040576</v>
      </c>
    </row>
    <row r="10009" customFormat="false" ht="15" hidden="false" customHeight="false" outlineLevel="0" collapsed="false">
      <c r="A10009" s="3" t="s">
        <v>500</v>
      </c>
      <c r="C10009" s="25" t="n">
        <f aca="false">IF(C10005=0,0,C9993/C10005*MAX(0,MIN(C10005,$C$9970-SUM($C$9984:$C$9986)-C10001)))</f>
        <v>0</v>
      </c>
    </row>
    <row r="10010" customFormat="false" ht="15" hidden="false" customHeight="false" outlineLevel="0" collapsed="false">
      <c r="A10010" s="3" t="s">
        <v>501</v>
      </c>
      <c r="C10010" s="25" t="n">
        <f aca="false">IF(C10006=0,0,C9994/C10006*MAX(0,MIN(C10006,$C$9970-SUM($C$9984:$C$9986)-C10002)))</f>
        <v>0</v>
      </c>
    </row>
    <row r="10011" customFormat="false" ht="15" hidden="false" customHeight="false" outlineLevel="0" collapsed="false">
      <c r="A10011" s="23" t="s">
        <v>511</v>
      </c>
      <c r="B10011" s="24"/>
      <c r="C10011" s="24"/>
      <c r="D10011" s="24"/>
      <c r="E10011" s="24"/>
      <c r="F10011" s="24"/>
      <c r="G10011" s="24"/>
      <c r="H10011" s="24"/>
      <c r="I10011" s="24"/>
      <c r="J10011" s="24"/>
      <c r="K10011" s="24"/>
    </row>
    <row r="10012" customFormat="false" ht="15" hidden="false" customHeight="false" outlineLevel="0" collapsed="false">
      <c r="A10012" s="2" t="s">
        <v>499</v>
      </c>
      <c r="C10012" s="16" t="n">
        <f aca="false">C9984+C10008</f>
        <v>428.3744040576</v>
      </c>
    </row>
    <row r="10013" customFormat="false" ht="15" hidden="false" customHeight="false" outlineLevel="0" collapsed="false">
      <c r="A10013" s="2" t="s">
        <v>500</v>
      </c>
      <c r="C10013" s="16" t="n">
        <f aca="false">C9985+C10009</f>
        <v>0</v>
      </c>
    </row>
    <row r="10014" customFormat="false" ht="15" hidden="false" customHeight="false" outlineLevel="0" collapsed="false">
      <c r="A10014" s="2" t="s">
        <v>501</v>
      </c>
      <c r="C10014" s="16" t="n">
        <f aca="false">C9986+C10010</f>
        <v>0</v>
      </c>
    </row>
    <row r="10015" customFormat="false" ht="15" hidden="false" customHeight="false" outlineLevel="0" collapsed="false">
      <c r="A10015" s="23" t="s">
        <v>512</v>
      </c>
      <c r="B10015" s="24"/>
      <c r="C10015" s="24"/>
      <c r="D10015" s="24"/>
      <c r="E10015" s="24"/>
      <c r="F10015" s="24"/>
      <c r="G10015" s="24"/>
      <c r="H10015" s="24"/>
      <c r="I10015" s="24"/>
      <c r="J10015" s="24"/>
      <c r="K10015" s="24"/>
    </row>
    <row r="10016" customFormat="false" ht="15" hidden="false" customHeight="false" outlineLevel="0" collapsed="false">
      <c r="A10016" s="3" t="s">
        <v>499</v>
      </c>
      <c r="C10016" s="21" t="n">
        <f aca="false">IF(C9972=0,1,C10012/C9972)</f>
        <v>0.325735727723409</v>
      </c>
    </row>
    <row r="10017" customFormat="false" ht="15" hidden="false" customHeight="false" outlineLevel="0" collapsed="false">
      <c r="A10017" s="3" t="s">
        <v>500</v>
      </c>
      <c r="C10017" s="21" t="n">
        <f aca="false">IF(C9973=0,1,C10013/C9973)</f>
        <v>0</v>
      </c>
    </row>
    <row r="10018" customFormat="false" ht="15" hidden="false" customHeight="false" outlineLevel="0" collapsed="false">
      <c r="A10018" s="3" t="s">
        <v>501</v>
      </c>
      <c r="C10018" s="21" t="n">
        <f aca="false">IF(C9974=0,1,C10014/C9974)</f>
        <v>0</v>
      </c>
    </row>
    <row r="10019" customFormat="false" ht="15" hidden="false" customHeight="false" outlineLevel="0" collapsed="false">
      <c r="A10019" s="23" t="s">
        <v>513</v>
      </c>
      <c r="B10019" s="24"/>
      <c r="C10019" s="24"/>
      <c r="D10019" s="24"/>
      <c r="E10019" s="24"/>
      <c r="F10019" s="24"/>
      <c r="G10019" s="24"/>
      <c r="H10019" s="24"/>
      <c r="I10019" s="24"/>
      <c r="J10019" s="24"/>
      <c r="K10019" s="24"/>
    </row>
    <row r="10020" customFormat="false" ht="15" hidden="false" customHeight="false" outlineLevel="0" collapsed="false">
      <c r="A10020" s="3" t="s">
        <v>499</v>
      </c>
      <c r="C10020" s="25" t="n">
        <f aca="false">C9972-C10012</f>
        <v>886.7235959424</v>
      </c>
    </row>
    <row r="10021" customFormat="false" ht="15" hidden="false" customHeight="false" outlineLevel="0" collapsed="false">
      <c r="A10021" s="3" t="s">
        <v>500</v>
      </c>
      <c r="C10021" s="25" t="n">
        <f aca="false">C9973-C10013</f>
        <v>6.33403256832008</v>
      </c>
    </row>
    <row r="10022" customFormat="false" ht="15" hidden="false" customHeight="false" outlineLevel="0" collapsed="false">
      <c r="A10022" s="3" t="s">
        <v>501</v>
      </c>
      <c r="C10022" s="25" t="n">
        <f aca="false">C9974-C10014</f>
        <v>143.75</v>
      </c>
    </row>
    <row r="10023" customFormat="false" ht="15" hidden="false" customHeight="false" outlineLevel="0" collapsed="false">
      <c r="A10023" s="23" t="s">
        <v>514</v>
      </c>
      <c r="B10023" s="24"/>
      <c r="C10023" s="24"/>
      <c r="D10023" s="24"/>
      <c r="E10023" s="24"/>
      <c r="F10023" s="24"/>
      <c r="G10023" s="24"/>
      <c r="H10023" s="24"/>
      <c r="I10023" s="24"/>
      <c r="J10023" s="24"/>
      <c r="K10023" s="24"/>
    </row>
    <row r="10024" customFormat="false" ht="15" hidden="false" customHeight="false" outlineLevel="0" collapsed="false">
      <c r="A10024" s="3" t="s">
        <v>499</v>
      </c>
      <c r="C10024" s="21" t="n">
        <f aca="false">IF(C9972=0,0,C10020/C9972)</f>
        <v>0.674264272276591</v>
      </c>
    </row>
    <row r="10025" customFormat="false" ht="15" hidden="false" customHeight="false" outlineLevel="0" collapsed="false">
      <c r="A10025" s="3" t="s">
        <v>500</v>
      </c>
      <c r="C10025" s="21" t="n">
        <f aca="false">IF(C9973=0,0,C10021/C9973)</f>
        <v>1</v>
      </c>
    </row>
    <row r="10026" customFormat="false" ht="15" hidden="false" customHeight="false" outlineLevel="0" collapsed="false">
      <c r="A10026" s="3" t="s">
        <v>501</v>
      </c>
      <c r="C10026" s="21" t="n">
        <f aca="false">IF(C9974=0,0,C10022/C9974)</f>
        <v>1</v>
      </c>
    </row>
    <row r="10027" customFormat="false" ht="15" hidden="false" customHeight="false" outlineLevel="0" collapsed="false">
      <c r="A10027" s="2" t="s">
        <v>515</v>
      </c>
      <c r="C10027" s="16" t="n">
        <f aca="false">MAX(0,$C$9970-SUM($C$9984:$C$9986)-SUM($C$9992:$C$9994))</f>
        <v>0</v>
      </c>
    </row>
    <row r="10028" customFormat="false" ht="15" hidden="false" customHeight="false" outlineLevel="0" collapsed="false">
      <c r="A10028" s="3" t="s">
        <v>533</v>
      </c>
      <c r="C10028" s="34" t="n">
        <f aca="false">MIN(C9969,100*CHOOSE(C9959,C10016,C10017,C10018))</f>
        <v>32.5735727723409</v>
      </c>
    </row>
    <row r="10029" customFormat="false" ht="15" hidden="false" customHeight="false" outlineLevel="0" collapsed="false">
      <c r="A10029" s="3" t="s">
        <v>534</v>
      </c>
      <c r="C10029" s="20" t="n">
        <f aca="false">IF(C9889=1,C9964+Assumptions!$C$39,C9963)</f>
        <v>4</v>
      </c>
    </row>
    <row r="10030" customFormat="false" ht="15" hidden="false" customHeight="false" outlineLevel="0" collapsed="false">
      <c r="A10030" s="23" t="s">
        <v>535</v>
      </c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</row>
    <row r="10031" customFormat="false" ht="15" hidden="false" customHeight="false" outlineLevel="0" collapsed="false">
      <c r="A10031" s="3" t="s">
        <v>536</v>
      </c>
      <c r="C10031" s="20" t="n">
        <f aca="false">COLUMN()-COLUMN($C$1)</f>
        <v>0</v>
      </c>
      <c r="D10031" s="20" t="n">
        <f aca="false">COLUMN()-COLUMN($C$1)</f>
        <v>1</v>
      </c>
      <c r="E10031" s="20" t="n">
        <f aca="false">COLUMN()-COLUMN($C$1)</f>
        <v>2</v>
      </c>
      <c r="F10031" s="20" t="n">
        <f aca="false">COLUMN()-COLUMN($C$1)</f>
        <v>3</v>
      </c>
      <c r="G10031" s="20" t="n">
        <f aca="false">COLUMN()-COLUMN($C$1)</f>
        <v>4</v>
      </c>
      <c r="H10031" s="20" t="n">
        <f aca="false">COLUMN()-COLUMN($C$1)</f>
        <v>5</v>
      </c>
      <c r="I10031" s="20" t="n">
        <f aca="false">COLUMN()-COLUMN($C$1)</f>
        <v>6</v>
      </c>
    </row>
    <row r="10032" customFormat="false" ht="15" hidden="false" customHeight="false" outlineLevel="0" collapsed="false">
      <c r="A10032" s="3" t="s">
        <v>537</v>
      </c>
      <c r="D10032" s="31" t="n">
        <f aca="false">CHOOSE($C$9959,G9772,G9785,G9798)</f>
        <v>0.105</v>
      </c>
      <c r="E10032" s="31" t="n">
        <f aca="false">CHOOSE($C$9959,H9772,H9785,H9798)</f>
        <v>0.105</v>
      </c>
      <c r="F10032" s="31" t="n">
        <f aca="false">CHOOSE($C$9959,I9772,I9785,I9798)</f>
        <v>0.105</v>
      </c>
      <c r="G10032" s="31" t="n">
        <f aca="false">CHOOSE($C$9959,J9772,J9785,J9798)</f>
        <v>0.105</v>
      </c>
      <c r="H10032" s="31" t="n">
        <f aca="false">CHOOSE($C$9959,K9772,K9785,K9798)</f>
        <v>0.105</v>
      </c>
    </row>
    <row r="10033" customFormat="false" ht="15" hidden="false" customHeight="false" outlineLevel="0" collapsed="false">
      <c r="A10033" s="3" t="s">
        <v>538</v>
      </c>
      <c r="D10033" s="25" t="n">
        <f aca="false">IF(D10031&lt;=$C$9968,$C$9960*D10032,0)</f>
        <v>10.5</v>
      </c>
      <c r="E10033" s="25" t="n">
        <f aca="false">IF(E10031&lt;=$C$9968,$C$9960*E10032,0)</f>
        <v>10.5</v>
      </c>
      <c r="F10033" s="25" t="n">
        <f aca="false">IF(F10031&lt;=$C$9968,$C$9960*F10032,0)</f>
        <v>10.5</v>
      </c>
      <c r="G10033" s="25" t="n">
        <f aca="false">IF(G10031&lt;=$C$9968,$C$9960*G10032,0)</f>
        <v>0</v>
      </c>
      <c r="H10033" s="25" t="n">
        <f aca="false">IF(H10031&lt;=$C$9968,$C$9960*H10032,0)</f>
        <v>0</v>
      </c>
    </row>
    <row r="10034" customFormat="false" ht="15" hidden="false" customHeight="false" outlineLevel="0" collapsed="false">
      <c r="A10034" s="3" t="s">
        <v>539</v>
      </c>
      <c r="D10034" s="25" t="n">
        <f aca="false">IF(AND($C$9889=0,D10031=$C$9963),$C$9960*$C$10028/100,0)+IF(AND($C$9889=1,D10031=$C$10029),$C$9966,0)</f>
        <v>0</v>
      </c>
      <c r="E10034" s="25" t="n">
        <f aca="false">IF(AND($C$9889=0,E10031=$C$9963),$C$9960*$C$10028/100,0)+IF(AND($C$9889=1,E10031=$C$10029),$C$9966,0)</f>
        <v>0</v>
      </c>
      <c r="F10034" s="25" t="n">
        <f aca="false">IF(AND($C$9889=0,F10031=$C$9963),$C$9960*$C$10028/100,0)+IF(AND($C$9889=1,F10031=$C$10029),$C$9966,0)</f>
        <v>0</v>
      </c>
      <c r="G10034" s="25" t="n">
        <f aca="false">IF(AND($C$9889=0,G10031=$C$9963),$C$9960*$C$10028/100,0)+IF(AND($C$9889=1,G10031=$C$10029),$C$9966,0)</f>
        <v>34.945728090226</v>
      </c>
      <c r="H10034" s="25" t="n">
        <f aca="false">IF(AND($C$9889=0,H10031=$C$9963),$C$9960*$C$10028/100,0)+IF(AND($C$9889=1,H10031=$C$10029),$C$9966,0)</f>
        <v>0</v>
      </c>
      <c r="I10034" s="25" t="n">
        <f aca="false">IF(AND($C$9889=0,I10031=$C$9963),$C$9960*$C$10028/100,0)+IF(AND($C$9889=1,I10031=$C$10029),$C$9966,0)</f>
        <v>0</v>
      </c>
    </row>
    <row r="10035" customFormat="false" ht="15" hidden="false" customHeight="false" outlineLevel="0" collapsed="false">
      <c r="A10035" s="2" t="s">
        <v>540</v>
      </c>
      <c r="C10035" s="16" t="n">
        <f aca="false">-$C$9962</f>
        <v>-95</v>
      </c>
      <c r="D10035" s="16" t="n">
        <f aca="false">D10033+D10034</f>
        <v>10.5</v>
      </c>
      <c r="E10035" s="16" t="n">
        <f aca="false">E10033+E10034</f>
        <v>10.5</v>
      </c>
      <c r="F10035" s="16" t="n">
        <f aca="false">F10033+F10034</f>
        <v>10.5</v>
      </c>
      <c r="G10035" s="16" t="n">
        <f aca="false">G10033+G10034</f>
        <v>34.945728090226</v>
      </c>
      <c r="H10035" s="16" t="n">
        <f aca="false">H10033+H10034</f>
        <v>0</v>
      </c>
      <c r="I10035" s="16" t="n">
        <f aca="false">I10033+I10034</f>
        <v>0</v>
      </c>
    </row>
    <row r="10036" customFormat="false" ht="15" hidden="false" customHeight="false" outlineLevel="0" collapsed="false">
      <c r="A10036" s="3" t="s">
        <v>541</v>
      </c>
      <c r="C10036" s="25" t="n">
        <f aca="false">SUM($C$10033:$I$10033)</f>
        <v>31.5</v>
      </c>
    </row>
    <row r="10037" customFormat="false" ht="15" hidden="false" customHeight="false" outlineLevel="0" collapsed="false">
      <c r="A10037" s="3" t="s">
        <v>542</v>
      </c>
      <c r="C10037" s="25" t="n">
        <f aca="false">SUM($C$10034:$I$10034)</f>
        <v>34.945728090226</v>
      </c>
    </row>
    <row r="10038" customFormat="false" ht="15" hidden="false" customHeight="false" outlineLevel="0" collapsed="false">
      <c r="A10038" s="3" t="s">
        <v>543</v>
      </c>
      <c r="C10038" s="25" t="n">
        <f aca="false">C10036+C10037</f>
        <v>66.445728090226</v>
      </c>
    </row>
    <row r="10039" customFormat="false" ht="15" hidden="false" customHeight="false" outlineLevel="0" collapsed="false">
      <c r="A10039" s="3" t="s">
        <v>544</v>
      </c>
      <c r="C10039" s="25" t="n">
        <f aca="false">C10037-C9960*C9961/100</f>
        <v>-60.054271909774</v>
      </c>
    </row>
    <row r="10040" customFormat="false" ht="15" hidden="false" customHeight="false" outlineLevel="0" collapsed="false">
      <c r="A10040" s="3" t="s">
        <v>545</v>
      </c>
      <c r="C10040" s="25" t="n">
        <f aca="false">C10038-C9962</f>
        <v>-28.554271909774</v>
      </c>
    </row>
    <row r="10041" customFormat="false" ht="15" hidden="false" customHeight="false" outlineLevel="0" collapsed="false">
      <c r="A10041" s="2" t="s">
        <v>427</v>
      </c>
      <c r="C10041" s="44" t="n">
        <f aca="false">C10038/C9962</f>
        <v>0.699428716739221</v>
      </c>
    </row>
    <row r="10042" customFormat="false" ht="15" hidden="false" customHeight="false" outlineLevel="0" collapsed="false">
      <c r="A10042" s="2" t="s">
        <v>426</v>
      </c>
      <c r="C10042" s="42" t="n">
        <f aca="false">IF(C10038&lt;=0,-1,IFERROR(IRR($C$10035:$I$10035,MAX(-0.9,C10041^(1/C10029)-1)),IRR($C$10035:$I$10035,0.1)))</f>
        <v>-0.10811295237651</v>
      </c>
    </row>
    <row r="10043" customFormat="false" ht="15" hidden="false" customHeight="false" outlineLevel="0" collapsed="false">
      <c r="A10043" s="3" t="s">
        <v>546</v>
      </c>
      <c r="C10043" s="32" t="n">
        <f aca="false">MAX($G$9849:$K$9849)</f>
        <v>17.6426302993449</v>
      </c>
    </row>
    <row r="10044" customFormat="false" ht="15" hidden="false" customHeight="false" outlineLevel="0" collapsed="false">
      <c r="A10044" s="3" t="s">
        <v>547</v>
      </c>
      <c r="C10044" s="32" t="n">
        <f aca="false">MIN($G$9850:$K$9850)</f>
        <v>0.641091448545568</v>
      </c>
    </row>
    <row r="10045" customFormat="false" ht="15" hidden="false" customHeight="false" outlineLevel="0" collapsed="false">
      <c r="A10045" s="3" t="s">
        <v>548</v>
      </c>
      <c r="C10045" s="25" t="n">
        <f aca="false">SUM($G$9756:$K$9756)</f>
        <v>-362.406198194027</v>
      </c>
    </row>
    <row r="10049" customFormat="false" ht="15" hidden="false" customHeight="false" outlineLevel="0" collapsed="false">
      <c r="A10049" s="9" t="s">
        <v>1045</v>
      </c>
      <c r="B10049" s="10"/>
      <c r="C10049" s="10"/>
      <c r="D10049" s="10"/>
      <c r="E10049" s="10"/>
      <c r="F10049" s="10"/>
      <c r="G10049" s="10"/>
      <c r="H10049" s="10"/>
      <c r="I10049" s="10"/>
      <c r="J10049" s="10"/>
      <c r="K10049" s="10"/>
    </row>
    <row r="10050" customFormat="false" ht="15" hidden="false" customHeight="false" outlineLevel="0" collapsed="false">
      <c r="A10050" s="3" t="s">
        <v>1010</v>
      </c>
      <c r="C10050" s="11" t="n">
        <v>3</v>
      </c>
    </row>
    <row r="10051" customFormat="false" ht="15" hidden="false" customHeight="false" outlineLevel="0" collapsed="false">
      <c r="A10051" s="3" t="s">
        <v>1011</v>
      </c>
      <c r="C10051" s="30" t="n">
        <f aca="false">Sensitivities!$A$43</f>
        <v>0.05</v>
      </c>
    </row>
    <row r="10052" customFormat="false" ht="15" hidden="false" customHeight="false" outlineLevel="0" collapsed="false">
      <c r="A10052" s="3" t="s">
        <v>1012</v>
      </c>
      <c r="C10052" s="18" t="n">
        <v>0</v>
      </c>
    </row>
    <row r="10053" customFormat="false" ht="15" hidden="false" customHeight="false" outlineLevel="0" collapsed="false">
      <c r="A10053" s="3" t="s">
        <v>1013</v>
      </c>
      <c r="C10053" s="18" t="n">
        <v>0</v>
      </c>
    </row>
    <row r="10054" customFormat="false" ht="15" hidden="false" customHeight="false" outlineLevel="0" collapsed="false">
      <c r="A10054" s="3" t="s">
        <v>1014</v>
      </c>
      <c r="C10054" s="15" t="n">
        <v>0</v>
      </c>
    </row>
    <row r="10056" customFormat="false" ht="15" hidden="false" customHeight="false" outlineLevel="0" collapsed="false">
      <c r="A10056" s="23" t="s">
        <v>281</v>
      </c>
      <c r="B10056" s="24"/>
      <c r="C10056" s="24"/>
      <c r="D10056" s="24"/>
      <c r="E10056" s="24"/>
      <c r="F10056" s="24"/>
      <c r="G10056" s="24"/>
      <c r="H10056" s="24"/>
      <c r="I10056" s="24"/>
      <c r="J10056" s="24"/>
      <c r="K10056" s="24"/>
    </row>
    <row r="10057" customFormat="false" ht="15" hidden="false" customHeight="false" outlineLevel="0" collapsed="false">
      <c r="A10057" s="3" t="s">
        <v>282</v>
      </c>
      <c r="F10057" s="27" t="n">
        <f aca="false">Assumptions!$C$6</f>
        <v>2026</v>
      </c>
      <c r="G10057" s="20" t="n">
        <f aca="false">F10057+1</f>
        <v>2027</v>
      </c>
      <c r="H10057" s="20" t="n">
        <f aca="false">G10057+1</f>
        <v>2028</v>
      </c>
      <c r="I10057" s="20" t="n">
        <f aca="false">H10057+1</f>
        <v>2029</v>
      </c>
      <c r="J10057" s="20" t="n">
        <f aca="false">I10057+1</f>
        <v>2030</v>
      </c>
      <c r="K10057" s="20" t="n">
        <f aca="false">J10057+1</f>
        <v>2031</v>
      </c>
    </row>
    <row r="10058" customFormat="false" ht="15" hidden="false" customHeight="false" outlineLevel="0" collapsed="false">
      <c r="A10058" s="3" t="s">
        <v>283</v>
      </c>
      <c r="G10058" s="20" t="n">
        <f aca="false">G10057-Assumptions!$C$6</f>
        <v>1</v>
      </c>
      <c r="H10058" s="20" t="n">
        <f aca="false">H10057-Assumptions!$C$6</f>
        <v>2</v>
      </c>
      <c r="I10058" s="20" t="n">
        <f aca="false">I10057-Assumptions!$C$6</f>
        <v>3</v>
      </c>
      <c r="J10058" s="20" t="n">
        <f aca="false">J10057-Assumptions!$C$6</f>
        <v>4</v>
      </c>
      <c r="K10058" s="20" t="n">
        <f aca="false">K10057-Assumptions!$C$6</f>
        <v>5</v>
      </c>
    </row>
    <row r="10059" customFormat="false" ht="15" hidden="false" customHeight="false" outlineLevel="0" collapsed="false">
      <c r="A10059" s="3" t="s">
        <v>165</v>
      </c>
      <c r="G10059" s="21" t="n">
        <f aca="false">CHOOSE($C$10050,Assumptions!$G$71,Assumptions!$G$90,Assumptions!$G$109)+$C$10051</f>
        <v>-0.09</v>
      </c>
      <c r="H10059" s="21" t="n">
        <f aca="false">CHOOSE($C$10050,Assumptions!$H$71,Assumptions!$H$90,Assumptions!$H$109)+$C$10051</f>
        <v>-0.07</v>
      </c>
      <c r="I10059" s="21" t="n">
        <f aca="false">CHOOSE($C$10050,Assumptions!$I$71,Assumptions!$I$90,Assumptions!$I$109)+$C$10051</f>
        <v>-0.05</v>
      </c>
      <c r="J10059" s="21" t="n">
        <f aca="false">CHOOSE($C$10050,Assumptions!$J$71,Assumptions!$J$90,Assumptions!$J$109)+$C$10051</f>
        <v>-0.03</v>
      </c>
      <c r="K10059" s="21" t="n">
        <f aca="false">CHOOSE($C$10050,Assumptions!$K$71,Assumptions!$K$90,Assumptions!$K$109)+$C$10051</f>
        <v>-0.01</v>
      </c>
    </row>
    <row r="10060" customFormat="false" ht="15" hidden="false" customHeight="false" outlineLevel="0" collapsed="false">
      <c r="A10060" s="3" t="s">
        <v>166</v>
      </c>
      <c r="G10060" s="21" t="n">
        <f aca="false">CHOOSE($C$10050,Assumptions!$G$72,Assumptions!$G$91,Assumptions!$G$110)</f>
        <v>0.433246670103635</v>
      </c>
      <c r="H10060" s="21" t="n">
        <f aca="false">CHOOSE($C$10050,Assumptions!$H$72,Assumptions!$H$91,Assumptions!$H$110)</f>
        <v>0.418246670103635</v>
      </c>
      <c r="I10060" s="21" t="n">
        <f aca="false">CHOOSE($C$10050,Assumptions!$I$72,Assumptions!$I$91,Assumptions!$I$110)</f>
        <v>0.413246670103635</v>
      </c>
      <c r="J10060" s="21" t="n">
        <f aca="false">CHOOSE($C$10050,Assumptions!$J$72,Assumptions!$J$91,Assumptions!$J$110)</f>
        <v>0.413246670103635</v>
      </c>
      <c r="K10060" s="21" t="n">
        <f aca="false">CHOOSE($C$10050,Assumptions!$K$72,Assumptions!$K$91,Assumptions!$K$110)</f>
        <v>0.413246670103635</v>
      </c>
    </row>
    <row r="10061" customFormat="false" ht="15" hidden="false" customHeight="false" outlineLevel="0" collapsed="false">
      <c r="A10061" s="3" t="s">
        <v>167</v>
      </c>
      <c r="G10061" s="21" t="n">
        <f aca="false">CHOOSE($C$10050,Assumptions!$G$73,Assumptions!$G$92,Assumptions!$G$111)+$C$10052</f>
        <v>0.09</v>
      </c>
      <c r="H10061" s="21" t="n">
        <f aca="false">CHOOSE($C$10050,Assumptions!$H$73,Assumptions!$H$92,Assumptions!$H$111)+$C$10052</f>
        <v>0.075</v>
      </c>
      <c r="I10061" s="21" t="n">
        <f aca="false">CHOOSE($C$10050,Assumptions!$I$73,Assumptions!$I$92,Assumptions!$I$111)+$C$10052</f>
        <v>0.07</v>
      </c>
      <c r="J10061" s="21" t="n">
        <f aca="false">CHOOSE($C$10050,Assumptions!$J$73,Assumptions!$J$92,Assumptions!$J$111)+$C$10052</f>
        <v>0.07</v>
      </c>
      <c r="K10061" s="21" t="n">
        <f aca="false">CHOOSE($C$10050,Assumptions!$K$73,Assumptions!$K$92,Assumptions!$K$111)+$C$10052</f>
        <v>0.07</v>
      </c>
    </row>
    <row r="10062" customFormat="false" ht="15" hidden="false" customHeight="false" outlineLevel="0" collapsed="false">
      <c r="A10062" s="23" t="s">
        <v>284</v>
      </c>
      <c r="B10062" s="24"/>
      <c r="C10062" s="24"/>
      <c r="D10062" s="24"/>
      <c r="E10062" s="24"/>
      <c r="F10062" s="24"/>
      <c r="G10062" s="24"/>
      <c r="H10062" s="24"/>
      <c r="I10062" s="24"/>
      <c r="J10062" s="24"/>
      <c r="K10062" s="24"/>
    </row>
    <row r="10063" customFormat="false" ht="15" hidden="false" customHeight="false" outlineLevel="0" collapsed="false">
      <c r="A10063" s="2" t="s">
        <v>256</v>
      </c>
      <c r="F10063" s="28" t="n">
        <f aca="false">'Historical Financials'!G23</f>
        <v>2246.166</v>
      </c>
      <c r="G10063" s="16" t="n">
        <f aca="false">F10063*(1+G10059)</f>
        <v>2044.01106</v>
      </c>
      <c r="H10063" s="16" t="n">
        <f aca="false">G10063*(1+H10059)</f>
        <v>1900.9302858</v>
      </c>
      <c r="I10063" s="16" t="n">
        <f aca="false">H10063*(1+I10059)</f>
        <v>1805.88377151</v>
      </c>
      <c r="J10063" s="16" t="n">
        <f aca="false">I10063*(1+J10059)</f>
        <v>1751.7072583647</v>
      </c>
      <c r="K10063" s="16" t="n">
        <f aca="false">J10063*(1+K10059)</f>
        <v>1734.19018578105</v>
      </c>
    </row>
    <row r="10064" customFormat="false" ht="15" hidden="false" customHeight="false" outlineLevel="0" collapsed="false">
      <c r="A10064" s="3" t="s">
        <v>257</v>
      </c>
      <c r="G10064" s="25" t="n">
        <f aca="false">G10063*(1-G10060)</f>
        <v>1158.4500746</v>
      </c>
      <c r="H10064" s="25" t="n">
        <f aca="false">H10063*(1-H10060)</f>
        <v>1105.872523665</v>
      </c>
      <c r="I10064" s="25" t="n">
        <f aca="false">I10063*(1-I10060)</f>
        <v>1059.6083163393</v>
      </c>
      <c r="J10064" s="25" t="n">
        <f aca="false">J10063*(1-J10060)</f>
        <v>1027.82006684912</v>
      </c>
      <c r="K10064" s="25" t="n">
        <f aca="false">K10063*(1-K10060)</f>
        <v>1017.54186618063</v>
      </c>
    </row>
    <row r="10065" customFormat="false" ht="15" hidden="false" customHeight="false" outlineLevel="0" collapsed="false">
      <c r="A10065" s="2" t="s">
        <v>258</v>
      </c>
      <c r="G10065" s="16" t="n">
        <f aca="false">G10063-G10064</f>
        <v>885.5609854</v>
      </c>
      <c r="H10065" s="16" t="n">
        <f aca="false">H10063-H10064</f>
        <v>795.057762135</v>
      </c>
      <c r="I10065" s="16" t="n">
        <f aca="false">I10063-I10064</f>
        <v>746.2754551707</v>
      </c>
      <c r="J10065" s="16" t="n">
        <f aca="false">J10063-J10064</f>
        <v>723.887191515579</v>
      </c>
      <c r="K10065" s="16" t="n">
        <f aca="false">K10063-K10064</f>
        <v>716.648319600423</v>
      </c>
    </row>
    <row r="10066" customFormat="false" ht="15" hidden="false" customHeight="false" outlineLevel="0" collapsed="false">
      <c r="A10066" s="3" t="s">
        <v>285</v>
      </c>
      <c r="G10066" s="25" t="n">
        <f aca="false">G10065-G10067</f>
        <v>701.59999</v>
      </c>
      <c r="H10066" s="25" t="n">
        <f aca="false">H10065-H10067</f>
        <v>652.4879907</v>
      </c>
      <c r="I10066" s="25" t="n">
        <f aca="false">I10065-I10067</f>
        <v>619.863591165</v>
      </c>
      <c r="J10066" s="25" t="n">
        <f aca="false">J10065-J10067</f>
        <v>601.26768343005</v>
      </c>
      <c r="K10066" s="25" t="n">
        <f aca="false">K10065-K10067</f>
        <v>595.25500659575</v>
      </c>
    </row>
    <row r="10067" customFormat="false" ht="15" hidden="false" customHeight="false" outlineLevel="0" collapsed="false">
      <c r="A10067" s="2" t="s">
        <v>286</v>
      </c>
      <c r="G10067" s="16" t="n">
        <f aca="false">G10063*G10061</f>
        <v>183.9609954</v>
      </c>
      <c r="H10067" s="16" t="n">
        <f aca="false">H10063*H10061</f>
        <v>142.569771435</v>
      </c>
      <c r="I10067" s="16" t="n">
        <f aca="false">I10063*I10061</f>
        <v>126.4118640057</v>
      </c>
      <c r="J10067" s="16" t="n">
        <f aca="false">J10063*J10061</f>
        <v>122.619508085529</v>
      </c>
      <c r="K10067" s="16" t="n">
        <f aca="false">K10063*K10061</f>
        <v>121.393313004674</v>
      </c>
    </row>
    <row r="10068" customFormat="false" ht="15" hidden="false" customHeight="false" outlineLevel="0" collapsed="false">
      <c r="A10068" s="3" t="s">
        <v>287</v>
      </c>
      <c r="G10068" s="25" t="n">
        <f aca="false">G10063*'Historical Financials'!G28/'Historical Financials'!G23</f>
        <v>77.61936</v>
      </c>
      <c r="H10068" s="25" t="n">
        <f aca="false">H10063*'Historical Financials'!G28/'Historical Financials'!G23</f>
        <v>72.1860048</v>
      </c>
      <c r="I10068" s="25" t="n">
        <f aca="false">I10063*'Historical Financials'!G28/'Historical Financials'!G23</f>
        <v>68.57670456</v>
      </c>
      <c r="J10068" s="25" t="n">
        <f aca="false">J10063*'Historical Financials'!G28/'Historical Financials'!G23</f>
        <v>66.5194034232</v>
      </c>
      <c r="K10068" s="25" t="n">
        <f aca="false">K10063*'Historical Financials'!G28/'Historical Financials'!G23</f>
        <v>65.854209388968</v>
      </c>
    </row>
    <row r="10069" customFormat="false" ht="15" hidden="false" customHeight="false" outlineLevel="0" collapsed="false">
      <c r="A10069" s="3" t="s">
        <v>288</v>
      </c>
      <c r="G10069" s="25" t="n">
        <f aca="false">G10063*'Historical Financials'!G29/'Historical Financials'!G23</f>
        <v>22.16396</v>
      </c>
      <c r="H10069" s="25" t="n">
        <f aca="false">H10063*'Historical Financials'!G29/'Historical Financials'!G23</f>
        <v>20.6124828</v>
      </c>
      <c r="I10069" s="25" t="n">
        <f aca="false">I10063*'Historical Financials'!G29/'Historical Financials'!G23</f>
        <v>19.58185866</v>
      </c>
      <c r="J10069" s="25" t="n">
        <f aca="false">J10063*'Historical Financials'!G29/'Historical Financials'!G23</f>
        <v>18.9944029002</v>
      </c>
      <c r="K10069" s="25" t="n">
        <f aca="false">K10063*'Historical Financials'!G29/'Historical Financials'!G23</f>
        <v>18.804458871198</v>
      </c>
    </row>
    <row r="10070" customFormat="false" ht="15" hidden="false" customHeight="false" outlineLevel="0" collapsed="false">
      <c r="A10070" s="2" t="s">
        <v>289</v>
      </c>
      <c r="G10070" s="16" t="n">
        <f aca="false">G10067-G10068-G10069</f>
        <v>84.1776754</v>
      </c>
      <c r="H10070" s="16" t="n">
        <f aca="false">H10067-H10068-H10069</f>
        <v>49.771283835</v>
      </c>
      <c r="I10070" s="16" t="n">
        <f aca="false">I10067-I10068-I10069</f>
        <v>38.2533007857</v>
      </c>
      <c r="J10070" s="16" t="n">
        <f aca="false">J10067-J10068-J10069</f>
        <v>37.105701762129</v>
      </c>
      <c r="K10070" s="16" t="n">
        <f aca="false">K10067-K10068-K10069</f>
        <v>36.7346447445077</v>
      </c>
    </row>
    <row r="10071" customFormat="false" ht="15" hidden="false" customHeight="false" outlineLevel="0" collapsed="false">
      <c r="A10071" s="3" t="s">
        <v>290</v>
      </c>
      <c r="G10071" s="25" t="n">
        <f aca="false">G10097+G10110+G10123</f>
        <v>155.95467</v>
      </c>
      <c r="H10071" s="25" t="n">
        <f aca="false">H10097+H10110+H10123</f>
        <v>155.95467</v>
      </c>
      <c r="I10071" s="25" t="n">
        <f aca="false">I10097+I10110+I10123</f>
        <v>155.95467</v>
      </c>
      <c r="J10071" s="25" t="n">
        <f aca="false">J10097+J10110+J10123</f>
        <v>143.223660368898</v>
      </c>
      <c r="K10071" s="25" t="n">
        <f aca="false">K10097+K10110+K10123</f>
        <v>143.223660368898</v>
      </c>
    </row>
    <row r="10072" customFormat="false" ht="15" hidden="false" customHeight="false" outlineLevel="0" collapsed="false">
      <c r="A10072" s="3" t="s">
        <v>291</v>
      </c>
      <c r="G10072" s="25" t="n">
        <f aca="false">G10098+G10111+G10124</f>
        <v>0</v>
      </c>
      <c r="H10072" s="25" t="n">
        <f aca="false">H10098+H10111+H10124</f>
        <v>0</v>
      </c>
      <c r="I10072" s="25" t="n">
        <f aca="false">I10098+I10111+I10124</f>
        <v>0</v>
      </c>
      <c r="J10072" s="25" t="n">
        <f aca="false">J10098+J10111+J10124</f>
        <v>0</v>
      </c>
      <c r="K10072" s="25" t="n">
        <f aca="false">K10098+K10111+K10124</f>
        <v>0</v>
      </c>
    </row>
    <row r="10073" customFormat="false" ht="15" hidden="false" customHeight="false" outlineLevel="0" collapsed="false">
      <c r="A10073" s="3" t="s">
        <v>239</v>
      </c>
      <c r="G10073" s="25" t="n">
        <f aca="false">G10071+G10072</f>
        <v>155.95467</v>
      </c>
      <c r="H10073" s="25" t="n">
        <f aca="false">H10071+H10072</f>
        <v>155.95467</v>
      </c>
      <c r="I10073" s="25" t="n">
        <f aca="false">I10071+I10072</f>
        <v>155.95467</v>
      </c>
      <c r="J10073" s="25" t="n">
        <f aca="false">J10071+J10072</f>
        <v>143.223660368898</v>
      </c>
      <c r="K10073" s="25" t="n">
        <f aca="false">K10071+K10072</f>
        <v>143.223660368898</v>
      </c>
    </row>
    <row r="10074" customFormat="false" ht="15" hidden="false" customHeight="false" outlineLevel="0" collapsed="false">
      <c r="A10074" s="2" t="s">
        <v>264</v>
      </c>
      <c r="G10074" s="16" t="n">
        <f aca="false">G10070-G10073</f>
        <v>-71.7769946</v>
      </c>
      <c r="H10074" s="16" t="n">
        <f aca="false">H10070-H10073</f>
        <v>-106.183386165</v>
      </c>
      <c r="I10074" s="16" t="n">
        <f aca="false">I10070-I10073</f>
        <v>-117.7013692143</v>
      </c>
      <c r="J10074" s="16" t="n">
        <f aca="false">J10070-J10073</f>
        <v>-106.117958606769</v>
      </c>
      <c r="K10074" s="16" t="n">
        <f aca="false">K10070-K10073</f>
        <v>-106.48901562439</v>
      </c>
    </row>
    <row r="10075" customFormat="false" ht="15" hidden="false" customHeight="false" outlineLevel="0" collapsed="false">
      <c r="A10075" s="3" t="s">
        <v>292</v>
      </c>
      <c r="G10075" s="25" t="n">
        <f aca="false">MAX(0,G10074)*Assumptions!$C$9</f>
        <v>0</v>
      </c>
      <c r="H10075" s="25" t="n">
        <f aca="false">MAX(0,H10074)*Assumptions!$C$9</f>
        <v>0</v>
      </c>
      <c r="I10075" s="25" t="n">
        <f aca="false">MAX(0,I10074)*Assumptions!$C$9</f>
        <v>0</v>
      </c>
      <c r="J10075" s="25" t="n">
        <f aca="false">MAX(0,J10074)*Assumptions!$C$9</f>
        <v>0</v>
      </c>
      <c r="K10075" s="25" t="n">
        <f aca="false">MAX(0,K10074)*Assumptions!$C$9</f>
        <v>0</v>
      </c>
    </row>
    <row r="10076" customFormat="false" ht="15" hidden="false" customHeight="false" outlineLevel="0" collapsed="false">
      <c r="A10076" s="2" t="s">
        <v>293</v>
      </c>
      <c r="G10076" s="16" t="n">
        <f aca="false">G10074-G10075</f>
        <v>-71.7769946</v>
      </c>
      <c r="H10076" s="16" t="n">
        <f aca="false">H10074-H10075</f>
        <v>-106.183386165</v>
      </c>
      <c r="I10076" s="16" t="n">
        <f aca="false">I10074-I10075</f>
        <v>-117.7013692143</v>
      </c>
      <c r="J10076" s="16" t="n">
        <f aca="false">J10074-J10075</f>
        <v>-106.117958606769</v>
      </c>
      <c r="K10076" s="16" t="n">
        <f aca="false">K10074-K10075</f>
        <v>-106.48901562439</v>
      </c>
    </row>
    <row r="10077" customFormat="false" ht="15" hidden="false" customHeight="false" outlineLevel="0" collapsed="false">
      <c r="A10077" s="23" t="s">
        <v>294</v>
      </c>
      <c r="B10077" s="24"/>
      <c r="C10077" s="24"/>
      <c r="D10077" s="24"/>
      <c r="E10077" s="24"/>
      <c r="F10077" s="24"/>
      <c r="G10077" s="24"/>
      <c r="H10077" s="24"/>
      <c r="I10077" s="24"/>
      <c r="J10077" s="24"/>
      <c r="K10077" s="24"/>
    </row>
    <row r="10078" customFormat="false" ht="15" hidden="false" customHeight="false" outlineLevel="0" collapsed="false">
      <c r="A10078" s="3" t="s">
        <v>169</v>
      </c>
      <c r="G10078" s="25" t="n">
        <f aca="false">G10063*CHOOSE($C$10050,Assumptions!$C$75,Assumptions!$C$94,Assumptions!$C$113)</f>
        <v>22.48412166</v>
      </c>
      <c r="H10078" s="25" t="n">
        <f aca="false">H10063*CHOOSE($C$10050,Assumptions!$C$75,Assumptions!$C$94,Assumptions!$C$113)</f>
        <v>20.9102331438</v>
      </c>
      <c r="I10078" s="25" t="n">
        <f aca="false">I10063*CHOOSE($C$10050,Assumptions!$C$75,Assumptions!$C$94,Assumptions!$C$113)</f>
        <v>19.86472148661</v>
      </c>
      <c r="J10078" s="25" t="n">
        <f aca="false">J10063*CHOOSE($C$10050,Assumptions!$C$75,Assumptions!$C$94,Assumptions!$C$113)</f>
        <v>19.2687798420117</v>
      </c>
      <c r="K10078" s="25" t="n">
        <f aca="false">K10063*CHOOSE($C$10050,Assumptions!$C$75,Assumptions!$C$94,Assumptions!$C$113)</f>
        <v>19.0760920435916</v>
      </c>
    </row>
    <row r="10079" customFormat="false" ht="15" hidden="false" customHeight="false" outlineLevel="0" collapsed="false">
      <c r="A10079" s="3" t="s">
        <v>295</v>
      </c>
      <c r="G10079" s="25" t="n">
        <f aca="false">CHOOSE($C$10050,Assumptions!$C$76,Assumptions!$C$95,Assumptions!$C$114)*(G10063-F10063)+CHOOSE($C$10050,Assumptions!$C$77,Assumptions!$C$96,Assumptions!$C$115)*G10063</f>
        <v>30.6601659</v>
      </c>
      <c r="H10079" s="25" t="n">
        <f aca="false">CHOOSE($C$10050,Assumptions!$C$76,Assumptions!$C$95,Assumptions!$C$114)*(H10063-G10063)+CHOOSE($C$10050,Assumptions!$C$77,Assumptions!$C$96,Assumptions!$C$115)*H10063</f>
        <v>28.513954287</v>
      </c>
      <c r="I10079" s="25" t="n">
        <f aca="false">CHOOSE($C$10050,Assumptions!$C$76,Assumptions!$C$95,Assumptions!$C$114)*(I10063-H10063)+CHOOSE($C$10050,Assumptions!$C$77,Assumptions!$C$96,Assumptions!$C$115)*I10063</f>
        <v>27.08825657265</v>
      </c>
      <c r="J10079" s="25" t="n">
        <f aca="false">CHOOSE($C$10050,Assumptions!$C$76,Assumptions!$C$95,Assumptions!$C$114)*(J10063-I10063)+CHOOSE($C$10050,Assumptions!$C$77,Assumptions!$C$96,Assumptions!$C$115)*J10063</f>
        <v>26.2756088754705</v>
      </c>
      <c r="K10079" s="25" t="n">
        <f aca="false">CHOOSE($C$10050,Assumptions!$C$76,Assumptions!$C$95,Assumptions!$C$114)*(K10063-J10063)+CHOOSE($C$10050,Assumptions!$C$77,Assumptions!$C$96,Assumptions!$C$115)*K10063</f>
        <v>26.0128527867158</v>
      </c>
    </row>
    <row r="10080" customFormat="false" ht="15" hidden="false" customHeight="false" outlineLevel="0" collapsed="false">
      <c r="A10080" s="2" t="s">
        <v>296</v>
      </c>
      <c r="G10080" s="16" t="n">
        <f aca="false">G10076+G10068+G10069+G10072-G10078-G10079</f>
        <v>-25.13796216</v>
      </c>
      <c r="H10080" s="16" t="n">
        <f aca="false">H10076+H10068+H10069+H10072-H10078-H10079</f>
        <v>-62.8090859958</v>
      </c>
      <c r="I10080" s="16" t="n">
        <f aca="false">I10076+I10068+I10069+I10072-I10078-I10079</f>
        <v>-76.49578405356</v>
      </c>
      <c r="J10080" s="16" t="n">
        <f aca="false">J10076+J10068+J10069+J10072-J10078-J10079</f>
        <v>-66.148541000851</v>
      </c>
      <c r="K10080" s="16" t="n">
        <f aca="false">K10076+K10068+K10069+K10072-K10078-K10079</f>
        <v>-66.9192921945314</v>
      </c>
    </row>
    <row r="10082" customFormat="false" ht="15" hidden="false" customHeight="false" outlineLevel="0" collapsed="false">
      <c r="A10082" s="23" t="s">
        <v>298</v>
      </c>
      <c r="B10082" s="24"/>
      <c r="C10082" s="24"/>
      <c r="D10082" s="24"/>
      <c r="E10082" s="24"/>
      <c r="F10082" s="24"/>
      <c r="G10082" s="24"/>
      <c r="H10082" s="24"/>
      <c r="I10082" s="24"/>
      <c r="J10082" s="24"/>
      <c r="K10082" s="24"/>
    </row>
    <row r="10083" customFormat="false" ht="15" hidden="false" customHeight="false" outlineLevel="0" collapsed="false">
      <c r="A10083" s="3" t="s">
        <v>299</v>
      </c>
      <c r="G10083" s="30" t="n">
        <f aca="false">Assumptions!$G$52</f>
        <v>0.039</v>
      </c>
      <c r="H10083" s="30" t="n">
        <f aca="false">Assumptions!$H$52</f>
        <v>0.0375</v>
      </c>
      <c r="I10083" s="30" t="n">
        <f aca="false">Assumptions!$I$52</f>
        <v>0.035</v>
      </c>
      <c r="J10083" s="30" t="n">
        <f aca="false">Assumptions!$J$52</f>
        <v>0.035</v>
      </c>
      <c r="K10083" s="30" t="n">
        <f aca="false">Assumptions!$K$52</f>
        <v>0.035</v>
      </c>
    </row>
    <row r="10084" customFormat="false" ht="15" hidden="false" customHeight="false" outlineLevel="0" collapsed="false">
      <c r="A10084" s="3" t="s">
        <v>300</v>
      </c>
      <c r="C10084" s="31" t="n">
        <f aca="false">CHOOSE($C$10050,Assumptions!$C$78,Assumptions!$C$97,Assumptions!$C$116)+$C$10053</f>
        <v>0.03</v>
      </c>
    </row>
    <row r="10085" customFormat="false" ht="15" hidden="false" customHeight="false" outlineLevel="0" collapsed="false">
      <c r="A10085" s="3" t="s">
        <v>301</v>
      </c>
      <c r="C10085" s="31" t="n">
        <f aca="false">CHOOSE($C$10050,Assumptions!$C$79,Assumptions!$C$98,Assumptions!$C$117)</f>
        <v>0.15</v>
      </c>
    </row>
    <row r="10086" customFormat="false" ht="15" hidden="false" customHeight="false" outlineLevel="0" collapsed="false">
      <c r="A10086" s="3" t="s">
        <v>302</v>
      </c>
      <c r="C10086" s="32" t="n">
        <f aca="false">CHOOSE($C$10050,Assumptions!$C$80,Assumptions!$C$99,Assumptions!$C$118)</f>
        <v>5</v>
      </c>
    </row>
    <row r="10087" customFormat="false" ht="15" hidden="false" customHeight="false" outlineLevel="0" collapsed="false">
      <c r="A10087" s="3" t="s">
        <v>303</v>
      </c>
      <c r="C10087" s="32" t="n">
        <f aca="false">CHOOSE($C$10050,Assumptions!$C$81,Assumptions!$C$100,Assumptions!$C$119)</f>
        <v>1.75</v>
      </c>
    </row>
    <row r="10088" customFormat="false" ht="15" hidden="false" customHeight="false" outlineLevel="0" collapsed="false">
      <c r="A10088" s="3" t="s">
        <v>304</v>
      </c>
      <c r="G10088" s="25" t="n">
        <f aca="false">G10093+G10106+G10119</f>
        <v>1735.554</v>
      </c>
      <c r="H10088" s="25" t="n">
        <f aca="false">H10093+H10106+H10119</f>
        <v>1735.554</v>
      </c>
      <c r="I10088" s="25" t="n">
        <f aca="false">I10093+I10106+I10119</f>
        <v>1735.554</v>
      </c>
      <c r="J10088" s="25" t="n">
        <f aca="false">J10093+J10106+J10119</f>
        <v>1436.00083220936</v>
      </c>
      <c r="K10088" s="25" t="n">
        <f aca="false">K10093+K10106+K10119</f>
        <v>1436.00083220936</v>
      </c>
    </row>
    <row r="10089" customFormat="false" ht="15" hidden="false" customHeight="false" outlineLevel="0" collapsed="false">
      <c r="A10089" s="3" t="s">
        <v>305</v>
      </c>
      <c r="G10089" s="25" t="n">
        <f aca="false">F10162</f>
        <v>463.996</v>
      </c>
      <c r="H10089" s="25" t="n">
        <f aca="false">G10162</f>
        <v>438.85803784</v>
      </c>
      <c r="I10089" s="25" t="n">
        <f aca="false">H10162</f>
        <v>376.0489518442</v>
      </c>
      <c r="J10089" s="25" t="n">
        <f aca="false">I10162</f>
        <v>0</v>
      </c>
      <c r="K10089" s="25" t="n">
        <f aca="false">J10162</f>
        <v>-66.148541000851</v>
      </c>
    </row>
    <row r="10090" customFormat="false" ht="15" hidden="false" customHeight="false" outlineLevel="0" collapsed="false">
      <c r="A10090" s="3" t="s">
        <v>306</v>
      </c>
      <c r="G10090" s="25" t="n">
        <f aca="false">G10093*IF(G10094=1,$C$10085,IF(Assumptions!$I$56=1,MAX(G10083,Assumptions!$G$56)+Assumptions!$F$56+$C$10084,Assumptions!$E$56))+G10106*IF(G10107=1,$C$10085,IF(Assumptions!$I$57=1,MAX(G10083,Assumptions!$G$57)+Assumptions!$F$57+$C$10084,Assumptions!$E$57))+G10119*IF(G10120=1,$C$10085,IF(Assumptions!$I$58=1,MAX(G10083,Assumptions!$G$58)+Assumptions!$F$58+$C$10084,Assumptions!$E$58))</f>
        <v>155.95467</v>
      </c>
      <c r="H10090" s="25" t="n">
        <f aca="false">H10093*IF(OR(H10094=1,G10240=1),$C$10085,IF(Assumptions!$I$56=1,MAX(H10083,Assumptions!$G$56)+Assumptions!$F$56+$C$10084,Assumptions!$E$56))+H10106*IF(OR(H10107=1,G10241=1),$C$10085,IF(Assumptions!$I$57=1,MAX(H10083,Assumptions!$G$57)+Assumptions!$F$57+$C$10084,Assumptions!$E$57))+H10119*IF(OR(H10120=1,G10242=1),$C$10085,IF(Assumptions!$I$58=1,MAX(H10083,Assumptions!$G$58)+Assumptions!$F$58+$C$10084,Assumptions!$E$58))</f>
        <v>155.95467</v>
      </c>
      <c r="I10090" s="25" t="n">
        <f aca="false">I10093*IF(OR(I10094=1,H10240=1),$C$10085,IF(Assumptions!$I$56=1,MAX(I10083,Assumptions!$G$56)+Assumptions!$F$56+$C$10084,Assumptions!$E$56))+I10106*IF(OR(I10107=1,H10241=1),$C$10085,IF(Assumptions!$I$57=1,MAX(I10083,Assumptions!$G$57)+Assumptions!$F$57+$C$10084,Assumptions!$E$57))+I10119*IF(OR(I10120=1,H10242=1),$C$10085,IF(Assumptions!$I$58=1,MAX(I10083,Assumptions!$G$58)+Assumptions!$F$58+$C$10084,Assumptions!$E$58))</f>
        <v>201.15369</v>
      </c>
      <c r="J10090" s="25" t="n">
        <f aca="false">J10093*IF(OR(J10094=1,I10240=1),$C$10085,IF(Assumptions!$I$56=1,MAX(J10083,Assumptions!$G$56)+Assumptions!$F$56+$C$10084,Assumptions!$E$56))+J10106*IF(OR(J10107=1,I10241=1),$C$10085,IF(Assumptions!$I$57=1,MAX(J10083,Assumptions!$G$57)+Assumptions!$F$57+$C$10084,Assumptions!$E$57))+J10119*IF(OR(J10120=1,I10242=1),$C$10085,IF(Assumptions!$I$58=1,MAX(J10083,Assumptions!$G$58)+Assumptions!$F$58+$C$10084,Assumptions!$E$58))</f>
        <v>143.223660368898</v>
      </c>
      <c r="K10090" s="25" t="n">
        <f aca="false">K10093*IF(OR(K10094=1,J10240=1),$C$10085,IF(Assumptions!$I$56=1,MAX(K10083,Assumptions!$G$56)+Assumptions!$F$56+$C$10084,Assumptions!$E$56))+K10106*IF(OR(K10107=1,J10241=1),$C$10085,IF(Assumptions!$I$57=1,MAX(K10083,Assumptions!$G$57)+Assumptions!$F$57+$C$10084,Assumptions!$E$57))+K10119*IF(OR(K10120=1,J10242=1),$C$10085,IF(Assumptions!$I$58=1,MAX(K10083,Assumptions!$G$58)+Assumptions!$F$58+$C$10084,Assumptions!$E$58))</f>
        <v>143.223660368898</v>
      </c>
    </row>
    <row r="10091" customFormat="false" ht="15" hidden="false" customHeight="false" outlineLevel="0" collapsed="false">
      <c r="A10091" s="3" t="s">
        <v>307</v>
      </c>
      <c r="G10091" s="20" t="n">
        <f aca="false">IF(G10067&lt;=0,0,IF(AND((G10088-G10089)/G10067&lt;=$C$10086,G10067/G10090&gt;=$C$10087),1,0))</f>
        <v>0</v>
      </c>
      <c r="H10091" s="20" t="n">
        <f aca="false">IF(H10067&lt;=0,0,IF(AND((H10088-H10089)/H10067&lt;=$C$10086,H10067/H10090&gt;=$C$10087),1,0))</f>
        <v>0</v>
      </c>
      <c r="I10091" s="20" t="n">
        <f aca="false">IF(I10067&lt;=0,0,IF(AND((I10088-I10089)/I10067&lt;=$C$10086,I10067/I10090&gt;=$C$10087),1,0))</f>
        <v>0</v>
      </c>
      <c r="J10091" s="20" t="n">
        <f aca="false">IF(J10067&lt;=0,0,IF(AND((J10088-J10089)/J10067&lt;=$C$10086,J10067/J10090&gt;=$C$10087),1,0))</f>
        <v>0</v>
      </c>
      <c r="K10091" s="20" t="n">
        <f aca="false">IF(K10067&lt;=0,0,IF(AND((K10088-K10089)/K10067&lt;=$C$10086,K10067/K10090&gt;=$C$10087),1,0))</f>
        <v>0</v>
      </c>
    </row>
    <row r="10092" customFormat="false" ht="15" hidden="false" customHeight="false" outlineLevel="0" collapsed="false">
      <c r="A10092" s="23" t="s">
        <v>308</v>
      </c>
      <c r="B10092" s="24"/>
      <c r="C10092" s="24"/>
      <c r="D10092" s="24"/>
      <c r="E10092" s="24"/>
      <c r="F10092" s="24"/>
      <c r="G10092" s="24"/>
      <c r="H10092" s="24"/>
      <c r="I10092" s="24"/>
      <c r="J10092" s="24"/>
      <c r="K10092" s="24"/>
    </row>
    <row r="10093" customFormat="false" ht="15" hidden="false" customHeight="false" outlineLevel="0" collapsed="false">
      <c r="A10093" s="3" t="s">
        <v>309</v>
      </c>
      <c r="G10093" s="25" t="n">
        <f aca="false">F10104</f>
        <v>1315.098</v>
      </c>
      <c r="H10093" s="25" t="n">
        <f aca="false">G10104</f>
        <v>1315.098</v>
      </c>
      <c r="I10093" s="25" t="n">
        <f aca="false">H10104</f>
        <v>1315.098</v>
      </c>
      <c r="J10093" s="25" t="n">
        <f aca="false">I10104</f>
        <v>1315.098</v>
      </c>
      <c r="K10093" s="25" t="n">
        <f aca="false">J10104</f>
        <v>1315.098</v>
      </c>
    </row>
    <row r="10094" customFormat="false" ht="15" hidden="false" customHeight="false" outlineLevel="0" collapsed="false">
      <c r="A10094" s="3" t="s">
        <v>310</v>
      </c>
      <c r="G10094" s="20" t="n">
        <f aca="false">IF(G10057=Assumptions!$K$56,1,0)</f>
        <v>0</v>
      </c>
      <c r="H10094" s="20" t="n">
        <f aca="false">IF(H10057=Assumptions!$K$56,1,0)</f>
        <v>0</v>
      </c>
      <c r="I10094" s="20" t="n">
        <f aca="false">IF(I10057=Assumptions!$K$56,1,0)</f>
        <v>0</v>
      </c>
      <c r="J10094" s="20" t="n">
        <f aca="false">IF(J10057=Assumptions!$K$56,1,0)</f>
        <v>0</v>
      </c>
      <c r="K10094" s="20" t="n">
        <f aca="false">IF(K10057=Assumptions!$K$56,1,0)</f>
        <v>0</v>
      </c>
    </row>
    <row r="10096" customFormat="false" ht="15" hidden="false" customHeight="false" outlineLevel="0" collapsed="false">
      <c r="A10096" s="3" t="s">
        <v>311</v>
      </c>
      <c r="G10096" s="31" t="n">
        <f aca="false">IF(Assumptions!$I$56=1,MAX(G10083,Assumptions!$G$56)+Assumptions!$F$56+$C$10084,Assumptions!$E$56)</f>
        <v>0.105</v>
      </c>
      <c r="H10096" s="31" t="n">
        <f aca="false">IF(G10240=1,$C$10085,IF(Assumptions!$I$56=1,MAX(H10083,Assumptions!$G$56)+Assumptions!$F$56+$C$10084,Assumptions!$E$56))</f>
        <v>0.105</v>
      </c>
      <c r="I10096" s="31" t="n">
        <f aca="false">IF(H10240=1,$C$10085,IF(Assumptions!$I$56=1,MAX(I10083,Assumptions!$G$56)+Assumptions!$F$56+$C$10084,Assumptions!$E$56))</f>
        <v>0.105</v>
      </c>
      <c r="J10096" s="31" t="n">
        <f aca="false">IF(I10240=1,$C$10085,IF(Assumptions!$I$56=1,MAX(J10083,Assumptions!$G$56)+Assumptions!$F$56+$C$10084,Assumptions!$E$56))</f>
        <v>0.105</v>
      </c>
      <c r="K10096" s="31" t="n">
        <f aca="false">IF(J10240=1,$C$10085,IF(Assumptions!$I$56=1,MAX(K10083,Assumptions!$G$56)+Assumptions!$F$56+$C$10084,Assumptions!$E$56))</f>
        <v>0.105</v>
      </c>
    </row>
    <row r="10097" customFormat="false" ht="15" hidden="false" customHeight="false" outlineLevel="0" collapsed="false">
      <c r="A10097" s="3" t="s">
        <v>312</v>
      </c>
      <c r="G10097" s="25" t="n">
        <f aca="false">G10093*G10096</f>
        <v>138.08529</v>
      </c>
      <c r="H10097" s="25" t="n">
        <f aca="false">H10093*H10096</f>
        <v>138.08529</v>
      </c>
      <c r="I10097" s="25" t="n">
        <f aca="false">I10093*I10096</f>
        <v>138.08529</v>
      </c>
      <c r="J10097" s="25" t="n">
        <f aca="false">J10093*J10096</f>
        <v>138.08529</v>
      </c>
      <c r="K10097" s="25" t="n">
        <f aca="false">K10093*K10096</f>
        <v>138.08529</v>
      </c>
    </row>
    <row r="10098" customFormat="false" ht="15" hidden="false" customHeight="false" outlineLevel="0" collapsed="false">
      <c r="A10098" s="3" t="s">
        <v>313</v>
      </c>
      <c r="G10098" s="25" t="n">
        <f aca="false">G10093*Assumptions!$H$56</f>
        <v>0</v>
      </c>
      <c r="H10098" s="25" t="n">
        <f aca="false">H10093*Assumptions!$H$56</f>
        <v>0</v>
      </c>
      <c r="I10098" s="25" t="n">
        <f aca="false">I10093*Assumptions!$H$56</f>
        <v>0</v>
      </c>
      <c r="J10098" s="25" t="n">
        <f aca="false">J10093*Assumptions!$H$56</f>
        <v>0</v>
      </c>
      <c r="K10098" s="25" t="n">
        <f aca="false">K10093*Assumptions!$H$56</f>
        <v>0</v>
      </c>
    </row>
    <row r="10099" customFormat="false" ht="15" hidden="false" customHeight="false" outlineLevel="0" collapsed="false">
      <c r="A10099" s="3" t="s">
        <v>314</v>
      </c>
      <c r="G10099" s="25" t="n">
        <f aca="false">MIN(G10093,Assumptions!$L$56*Assumptions!$C$56)</f>
        <v>0</v>
      </c>
      <c r="H10099" s="25" t="n">
        <f aca="false">MIN(H10093,Assumptions!$L$56*Assumptions!$C$56)</f>
        <v>0</v>
      </c>
      <c r="I10099" s="25" t="n">
        <f aca="false">MIN(I10093,Assumptions!$L$56*Assumptions!$C$56)</f>
        <v>0</v>
      </c>
      <c r="J10099" s="25" t="n">
        <f aca="false">MIN(J10093,Assumptions!$L$56*Assumptions!$C$56)</f>
        <v>0</v>
      </c>
      <c r="K10099" s="25" t="n">
        <f aca="false">MIN(K10093,Assumptions!$L$56*Assumptions!$C$56)</f>
        <v>0</v>
      </c>
    </row>
    <row r="10100" customFormat="false" ht="15" hidden="false" customHeight="false" outlineLevel="0" collapsed="false">
      <c r="A10100" s="3" t="s">
        <v>315</v>
      </c>
      <c r="G10100" s="25" t="n">
        <f aca="false">IF(AND(Assumptions!$P$56=1,G10057&lt;Assumptions!$K$56),MIN(MAX(0,-G10154),MAX(0,Assumptions!$D$56-G10093)),0)</f>
        <v>0</v>
      </c>
      <c r="H10100" s="25" t="n">
        <f aca="false">IF(AND(Assumptions!$P$56=1,OR(H10057&lt;Assumptions!$K$56,G10240=1)),MIN(MAX(0,-H10154),MAX(0,Assumptions!$D$56-H10093)),0)</f>
        <v>0</v>
      </c>
      <c r="I10100" s="25" t="n">
        <f aca="false">IF(AND(Assumptions!$P$56=1,OR(I10057&lt;Assumptions!$K$56,H10240=1)),MIN(MAX(0,-I10154),MAX(0,Assumptions!$D$56-I10093)),0)</f>
        <v>0</v>
      </c>
      <c r="J10100" s="25" t="n">
        <f aca="false">IF(AND(Assumptions!$P$56=1,OR(J10057&lt;Assumptions!$K$56,I10240=1)),MIN(MAX(0,-J10154),MAX(0,Assumptions!$D$56-J10093)),0)</f>
        <v>0</v>
      </c>
      <c r="K10100" s="25" t="n">
        <f aca="false">IF(AND(Assumptions!$P$56=1,OR(K10057&lt;Assumptions!$K$56,J10240=1)),MIN(MAX(0,-K10154),MAX(0,Assumptions!$D$56-K10093)),0)</f>
        <v>0</v>
      </c>
    </row>
    <row r="10101" customFormat="false" ht="15" hidden="false" customHeight="false" outlineLevel="0" collapsed="false">
      <c r="A10101" s="3" t="s">
        <v>316</v>
      </c>
      <c r="G10101" s="25" t="n">
        <f aca="false">G10094*MIN(G10093-G10099+G10098,MAX(0,G10156-Assumptions!$C$12*G10091))</f>
        <v>0</v>
      </c>
      <c r="H10101" s="25" t="n">
        <f aca="false">H10094*MIN(H10093-H10099+H10098,MAX(0,H10156-Assumptions!$C$12*H10091))</f>
        <v>0</v>
      </c>
      <c r="I10101" s="25" t="n">
        <f aca="false">I10094*MIN(I10093-I10099+I10098,MAX(0,I10156-Assumptions!$C$12*I10091))</f>
        <v>0</v>
      </c>
      <c r="J10101" s="25" t="n">
        <f aca="false">J10094*MIN(J10093-J10099+J10098,MAX(0,J10156-Assumptions!$C$12*J10091))</f>
        <v>0</v>
      </c>
      <c r="K10101" s="25" t="n">
        <f aca="false">K10094*MIN(K10093-K10099+K10098,MAX(0,K10156-Assumptions!$C$12*K10091))</f>
        <v>0</v>
      </c>
    </row>
    <row r="10102" customFormat="false" ht="15" hidden="false" customHeight="false" outlineLevel="0" collapsed="false">
      <c r="A10102" s="3" t="s">
        <v>317</v>
      </c>
      <c r="G10102" s="25" t="n">
        <f aca="false">Assumptions!$N$56*MIN(G10093+G10100+G10098-G10099-G10101,MAX(0,G10160))</f>
        <v>0</v>
      </c>
      <c r="H10102" s="25" t="n">
        <f aca="false">Assumptions!$N$56*MIN(H10093+H10100+H10098-H10099-H10101,MAX(0,H10160))</f>
        <v>0</v>
      </c>
      <c r="I10102" s="25" t="n">
        <f aca="false">Assumptions!$N$56*MIN(I10093+I10100+I10098-I10099-I10101,MAX(0,I10160))</f>
        <v>0</v>
      </c>
      <c r="J10102" s="25" t="n">
        <f aca="false">Assumptions!$N$56*MIN(J10093+J10100+J10098-J10099-J10101,MAX(0,J10160))</f>
        <v>0</v>
      </c>
      <c r="K10102" s="25" t="n">
        <f aca="false">Assumptions!$N$56*MIN(K10093+K10100+K10098-K10099-K10101,MAX(0,K10160))</f>
        <v>0</v>
      </c>
    </row>
    <row r="10103" customFormat="false" ht="15" hidden="false" customHeight="false" outlineLevel="0" collapsed="false">
      <c r="A10103" s="3" t="s">
        <v>318</v>
      </c>
      <c r="G10103" s="25" t="n">
        <f aca="false">G10094*(1-G10091)*(G10093-G10099+G10098-G10101)</f>
        <v>0</v>
      </c>
      <c r="H10103" s="25" t="n">
        <f aca="false">H10094*(1-H10091)*(H10093-H10099+H10098-H10101)</f>
        <v>0</v>
      </c>
      <c r="I10103" s="25" t="n">
        <f aca="false">I10094*(1-I10091)*(I10093-I10099+I10098-I10101)</f>
        <v>0</v>
      </c>
      <c r="J10103" s="25" t="n">
        <f aca="false">J10094*(1-J10091)*(J10093-J10099+J10098-J10101)</f>
        <v>0</v>
      </c>
      <c r="K10103" s="25" t="n">
        <f aca="false">K10094*(1-K10091)*(K10093-K10099+K10098-K10101)</f>
        <v>0</v>
      </c>
    </row>
    <row r="10104" customFormat="false" ht="15" hidden="false" customHeight="false" outlineLevel="0" collapsed="false">
      <c r="A10104" s="2" t="s">
        <v>319</v>
      </c>
      <c r="F10104" s="28" t="n">
        <f aca="false">Assumptions!$C$56</f>
        <v>1315.098</v>
      </c>
      <c r="G10104" s="16" t="n">
        <f aca="false">G10093+G10100+G10098-G10099-G10101-G10102</f>
        <v>1315.098</v>
      </c>
      <c r="H10104" s="16" t="n">
        <f aca="false">H10093+H10100+H10098-H10099-H10101-H10102</f>
        <v>1315.098</v>
      </c>
      <c r="I10104" s="16" t="n">
        <f aca="false">I10093+I10100+I10098-I10099-I10101-I10102</f>
        <v>1315.098</v>
      </c>
      <c r="J10104" s="16" t="n">
        <f aca="false">J10093+J10100+J10098-J10099-J10101-J10102</f>
        <v>1315.098</v>
      </c>
      <c r="K10104" s="16" t="n">
        <f aca="false">K10093+K10100+K10098-K10099-K10101-K10102</f>
        <v>1315.098</v>
      </c>
    </row>
    <row r="10105" customFormat="false" ht="15" hidden="false" customHeight="false" outlineLevel="0" collapsed="false">
      <c r="A10105" s="23" t="s">
        <v>320</v>
      </c>
      <c r="B10105" s="24"/>
      <c r="C10105" s="24"/>
      <c r="D10105" s="24"/>
      <c r="E10105" s="24"/>
      <c r="F10105" s="24"/>
      <c r="G10105" s="24"/>
      <c r="H10105" s="24"/>
      <c r="I10105" s="24"/>
      <c r="J10105" s="24"/>
      <c r="K10105" s="24"/>
    </row>
    <row r="10106" customFormat="false" ht="15" hidden="false" customHeight="false" outlineLevel="0" collapsed="false">
      <c r="A10106" s="3" t="s">
        <v>309</v>
      </c>
      <c r="G10106" s="25" t="n">
        <f aca="false">F10117</f>
        <v>276.706</v>
      </c>
      <c r="H10106" s="25" t="n">
        <f aca="false">G10117</f>
        <v>276.706</v>
      </c>
      <c r="I10106" s="25" t="n">
        <f aca="false">H10117</f>
        <v>276.706</v>
      </c>
      <c r="J10106" s="25" t="n">
        <f aca="false">I10117</f>
        <v>0</v>
      </c>
      <c r="K10106" s="25" t="n">
        <f aca="false">J10117</f>
        <v>0</v>
      </c>
    </row>
    <row r="10107" customFormat="false" ht="15" hidden="false" customHeight="false" outlineLevel="0" collapsed="false">
      <c r="A10107" s="3" t="s">
        <v>310</v>
      </c>
      <c r="G10107" s="20" t="n">
        <f aca="false">IF(G10057=Assumptions!$K$57,1,0)</f>
        <v>0</v>
      </c>
      <c r="H10107" s="20" t="n">
        <f aca="false">IF(H10057=Assumptions!$K$57,1,0)</f>
        <v>0</v>
      </c>
      <c r="I10107" s="20" t="n">
        <f aca="false">IF(I10057=Assumptions!$K$57,1,0)</f>
        <v>1</v>
      </c>
      <c r="J10107" s="20" t="n">
        <f aca="false">IF(J10057=Assumptions!$K$57,1,0)</f>
        <v>0</v>
      </c>
      <c r="K10107" s="20" t="n">
        <f aca="false">IF(K10057=Assumptions!$K$57,1,0)</f>
        <v>0</v>
      </c>
    </row>
    <row r="10109" customFormat="false" ht="15" hidden="false" customHeight="false" outlineLevel="0" collapsed="false">
      <c r="A10109" s="3" t="s">
        <v>311</v>
      </c>
      <c r="G10109" s="31" t="n">
        <f aca="false">IF(Assumptions!$I$57=1,MAX(G10083,Assumptions!$G$57)+Assumptions!$F$57+$C$10084,Assumptions!$E$57)</f>
        <v>0.0425</v>
      </c>
      <c r="H10109" s="31" t="n">
        <f aca="false">IF(G10241=1,$C$10085,IF(Assumptions!$I$57=1,MAX(H10083,Assumptions!$G$57)+Assumptions!$F$57+$C$10084,Assumptions!$E$57))</f>
        <v>0.0425</v>
      </c>
      <c r="I10109" s="31" t="n">
        <f aca="false">IF(H10241=1,$C$10085,IF(Assumptions!$I$57=1,MAX(I10083,Assumptions!$G$57)+Assumptions!$F$57+$C$10084,Assumptions!$E$57))</f>
        <v>0.0425</v>
      </c>
      <c r="J10109" s="31" t="n">
        <f aca="false">IF(I10241=1,$C$10085,IF(Assumptions!$I$57=1,MAX(J10083,Assumptions!$G$57)+Assumptions!$F$57+$C$10084,Assumptions!$E$57))</f>
        <v>0.0425</v>
      </c>
      <c r="K10109" s="31" t="n">
        <f aca="false">IF(J10241=1,$C$10085,IF(Assumptions!$I$57=1,MAX(K10083,Assumptions!$G$57)+Assumptions!$F$57+$C$10084,Assumptions!$E$57))</f>
        <v>0.0425</v>
      </c>
    </row>
    <row r="10110" customFormat="false" ht="15" hidden="false" customHeight="false" outlineLevel="0" collapsed="false">
      <c r="A10110" s="3" t="s">
        <v>312</v>
      </c>
      <c r="G10110" s="25" t="n">
        <f aca="false">G10106*G10109</f>
        <v>11.760005</v>
      </c>
      <c r="H10110" s="25" t="n">
        <f aca="false">H10106*H10109</f>
        <v>11.760005</v>
      </c>
      <c r="I10110" s="25" t="n">
        <f aca="false">I10106*I10109</f>
        <v>11.760005</v>
      </c>
      <c r="J10110" s="25" t="n">
        <f aca="false">J10106*J10109</f>
        <v>0</v>
      </c>
      <c r="K10110" s="25" t="n">
        <f aca="false">K10106*K10109</f>
        <v>0</v>
      </c>
    </row>
    <row r="10111" customFormat="false" ht="15" hidden="false" customHeight="false" outlineLevel="0" collapsed="false">
      <c r="A10111" s="3" t="s">
        <v>313</v>
      </c>
      <c r="G10111" s="25" t="n">
        <f aca="false">G10106*Assumptions!$H$57</f>
        <v>0</v>
      </c>
      <c r="H10111" s="25" t="n">
        <f aca="false">H10106*Assumptions!$H$57</f>
        <v>0</v>
      </c>
      <c r="I10111" s="25" t="n">
        <f aca="false">I10106*Assumptions!$H$57</f>
        <v>0</v>
      </c>
      <c r="J10111" s="25" t="n">
        <f aca="false">J10106*Assumptions!$H$57</f>
        <v>0</v>
      </c>
      <c r="K10111" s="25" t="n">
        <f aca="false">K10106*Assumptions!$H$57</f>
        <v>0</v>
      </c>
    </row>
    <row r="10112" customFormat="false" ht="15" hidden="false" customHeight="false" outlineLevel="0" collapsed="false">
      <c r="A10112" s="3" t="s">
        <v>314</v>
      </c>
      <c r="G10112" s="25" t="n">
        <f aca="false">MIN(G10106,Assumptions!$L$57*Assumptions!$C$57)</f>
        <v>0</v>
      </c>
      <c r="H10112" s="25" t="n">
        <f aca="false">MIN(H10106,Assumptions!$L$57*Assumptions!$C$57)</f>
        <v>0</v>
      </c>
      <c r="I10112" s="25" t="n">
        <f aca="false">MIN(I10106,Assumptions!$L$57*Assumptions!$C$57)</f>
        <v>0</v>
      </c>
      <c r="J10112" s="25" t="n">
        <f aca="false">MIN(J10106,Assumptions!$L$57*Assumptions!$C$57)</f>
        <v>0</v>
      </c>
      <c r="K10112" s="25" t="n">
        <f aca="false">MIN(K10106,Assumptions!$L$57*Assumptions!$C$57)</f>
        <v>0</v>
      </c>
    </row>
    <row r="10113" customFormat="false" ht="15" hidden="false" customHeight="false" outlineLevel="0" collapsed="false">
      <c r="A10113" s="3" t="s">
        <v>315</v>
      </c>
      <c r="G10113" s="25" t="n">
        <f aca="false">IF(AND(Assumptions!$P$57=1,G10057&lt;Assumptions!$K$57),MIN(MAX(0,-G10154),MAX(0,Assumptions!$D$57-G10106)),0)</f>
        <v>0</v>
      </c>
      <c r="H10113" s="25" t="n">
        <f aca="false">IF(AND(Assumptions!$P$57=1,OR(H10057&lt;Assumptions!$K$57,G10241=1)),MIN(MAX(0,-H10154),MAX(0,Assumptions!$D$57-H10106)),0)</f>
        <v>0</v>
      </c>
      <c r="I10113" s="25" t="n">
        <f aca="false">IF(AND(Assumptions!$P$57=1,OR(I10057&lt;Assumptions!$K$57,H10241=1)),MIN(MAX(0,-I10154),MAX(0,Assumptions!$D$57-I10106)),0)</f>
        <v>0</v>
      </c>
      <c r="J10113" s="25" t="n">
        <f aca="false">IF(AND(Assumptions!$P$57=1,OR(J10057&lt;Assumptions!$K$57,I10241=1)),MIN(MAX(0,-J10154),MAX(0,Assumptions!$D$57-J10106)),0)</f>
        <v>0</v>
      </c>
      <c r="K10113" s="25" t="n">
        <f aca="false">IF(AND(Assumptions!$P$57=1,OR(K10057&lt;Assumptions!$K$57,J10241=1)),MIN(MAX(0,-K10154),MAX(0,Assumptions!$D$57-K10106)),0)</f>
        <v>0</v>
      </c>
    </row>
    <row r="10114" customFormat="false" ht="15" hidden="false" customHeight="false" outlineLevel="0" collapsed="false">
      <c r="A10114" s="3" t="s">
        <v>316</v>
      </c>
      <c r="G10114" s="25" t="n">
        <f aca="false">G10107*MIN(G10106-G10112+G10111,MAX(0,G10156-Assumptions!$C$12*G10091-G10101))</f>
        <v>0</v>
      </c>
      <c r="H10114" s="25" t="n">
        <f aca="false">H10107*MIN(H10106-H10112+H10111,MAX(0,H10156-Assumptions!$C$12*H10091-H10101))</f>
        <v>0</v>
      </c>
      <c r="I10114" s="25" t="n">
        <f aca="false">I10107*MIN(I10106-I10112+I10111,MAX(0,I10156-Assumptions!$C$12*I10091-I10101))</f>
        <v>276.706</v>
      </c>
      <c r="J10114" s="25" t="n">
        <f aca="false">J10107*MIN(J10106-J10112+J10111,MAX(0,J10156-Assumptions!$C$12*J10091-J10101))</f>
        <v>0</v>
      </c>
      <c r="K10114" s="25" t="n">
        <f aca="false">K10107*MIN(K10106-K10112+K10111,MAX(0,K10156-Assumptions!$C$12*K10091-K10101))</f>
        <v>0</v>
      </c>
    </row>
    <row r="10115" customFormat="false" ht="15" hidden="false" customHeight="false" outlineLevel="0" collapsed="false">
      <c r="A10115" s="3" t="s">
        <v>317</v>
      </c>
      <c r="G10115" s="25" t="n">
        <f aca="false">Assumptions!$N$57*MIN(G10106+G10113+G10111-G10112-G10114,MAX(0,G10160-G10102))</f>
        <v>0</v>
      </c>
      <c r="H10115" s="25" t="n">
        <f aca="false">Assumptions!$N$57*MIN(H10106+H10113+H10111-H10112-H10114,MAX(0,H10160-H10102))</f>
        <v>0</v>
      </c>
      <c r="I10115" s="25" t="n">
        <f aca="false">Assumptions!$N$57*MIN(I10106+I10113+I10111-I10112-I10114,MAX(0,I10160-I10102))</f>
        <v>0</v>
      </c>
      <c r="J10115" s="25" t="n">
        <f aca="false">Assumptions!$N$57*MIN(J10106+J10113+J10111-J10112-J10114,MAX(0,J10160-J10102))</f>
        <v>0</v>
      </c>
      <c r="K10115" s="25" t="n">
        <f aca="false">Assumptions!$N$57*MIN(K10106+K10113+K10111-K10112-K10114,MAX(0,K10160-K10102))</f>
        <v>0</v>
      </c>
    </row>
    <row r="10116" customFormat="false" ht="15" hidden="false" customHeight="false" outlineLevel="0" collapsed="false">
      <c r="A10116" s="3" t="s">
        <v>318</v>
      </c>
      <c r="G10116" s="25" t="n">
        <f aca="false">G10107*(1-G10091)*(G10106-G10112+G10111-G10114)</f>
        <v>0</v>
      </c>
      <c r="H10116" s="25" t="n">
        <f aca="false">H10107*(1-H10091)*(H10106-H10112+H10111-H10114)</f>
        <v>0</v>
      </c>
      <c r="I10116" s="25" t="n">
        <f aca="false">I10107*(1-I10091)*(I10106-I10112+I10111-I10114)</f>
        <v>0</v>
      </c>
      <c r="J10116" s="25" t="n">
        <f aca="false">J10107*(1-J10091)*(J10106-J10112+J10111-J10114)</f>
        <v>0</v>
      </c>
      <c r="K10116" s="25" t="n">
        <f aca="false">K10107*(1-K10091)*(K10106-K10112+K10111-K10114)</f>
        <v>0</v>
      </c>
    </row>
    <row r="10117" customFormat="false" ht="15" hidden="false" customHeight="false" outlineLevel="0" collapsed="false">
      <c r="A10117" s="2" t="s">
        <v>319</v>
      </c>
      <c r="F10117" s="28" t="n">
        <f aca="false">Assumptions!$C$57</f>
        <v>276.706</v>
      </c>
      <c r="G10117" s="16" t="n">
        <f aca="false">G10106+G10113+G10111-G10112-G10114-G10115</f>
        <v>276.706</v>
      </c>
      <c r="H10117" s="16" t="n">
        <f aca="false">H10106+H10113+H10111-H10112-H10114-H10115</f>
        <v>276.706</v>
      </c>
      <c r="I10117" s="16" t="n">
        <f aca="false">I10106+I10113+I10111-I10112-I10114-I10115</f>
        <v>0</v>
      </c>
      <c r="J10117" s="16" t="n">
        <f aca="false">J10106+J10113+J10111-J10112-J10114-J10115</f>
        <v>0</v>
      </c>
      <c r="K10117" s="16" t="n">
        <f aca="false">K10106+K10113+K10111-K10112-K10114-K10115</f>
        <v>0</v>
      </c>
    </row>
    <row r="10118" customFormat="false" ht="15" hidden="false" customHeight="false" outlineLevel="0" collapsed="false">
      <c r="A10118" s="23" t="s">
        <v>321</v>
      </c>
      <c r="B10118" s="24"/>
      <c r="C10118" s="24"/>
      <c r="D10118" s="24"/>
      <c r="E10118" s="24"/>
      <c r="F10118" s="24"/>
      <c r="G10118" s="24"/>
      <c r="H10118" s="24"/>
      <c r="I10118" s="24"/>
      <c r="J10118" s="24"/>
      <c r="K10118" s="24"/>
    </row>
    <row r="10119" customFormat="false" ht="15" hidden="false" customHeight="false" outlineLevel="0" collapsed="false">
      <c r="A10119" s="3" t="s">
        <v>309</v>
      </c>
      <c r="G10119" s="25" t="n">
        <f aca="false">F10130</f>
        <v>143.75</v>
      </c>
      <c r="H10119" s="25" t="n">
        <f aca="false">G10130</f>
        <v>143.75</v>
      </c>
      <c r="I10119" s="25" t="n">
        <f aca="false">H10130</f>
        <v>143.75</v>
      </c>
      <c r="J10119" s="25" t="n">
        <f aca="false">I10130</f>
        <v>120.90283220936</v>
      </c>
      <c r="K10119" s="25" t="n">
        <f aca="false">J10130</f>
        <v>120.90283220936</v>
      </c>
    </row>
    <row r="10120" customFormat="false" ht="15" hidden="false" customHeight="false" outlineLevel="0" collapsed="false">
      <c r="A10120" s="3" t="s">
        <v>310</v>
      </c>
      <c r="G10120" s="20" t="n">
        <f aca="false">IF(G10057=Assumptions!$K$58,1,0)</f>
        <v>0</v>
      </c>
      <c r="H10120" s="20" t="n">
        <f aca="false">IF(H10057=Assumptions!$K$58,1,0)</f>
        <v>0</v>
      </c>
      <c r="I10120" s="20" t="n">
        <f aca="false">IF(I10057=Assumptions!$K$58,1,0)</f>
        <v>1</v>
      </c>
      <c r="J10120" s="20" t="n">
        <f aca="false">IF(J10057=Assumptions!$K$58,1,0)</f>
        <v>0</v>
      </c>
      <c r="K10120" s="20" t="n">
        <f aca="false">IF(K10057=Assumptions!$K$58,1,0)</f>
        <v>0</v>
      </c>
    </row>
    <row r="10122" customFormat="false" ht="15" hidden="false" customHeight="false" outlineLevel="0" collapsed="false">
      <c r="A10122" s="3" t="s">
        <v>311</v>
      </c>
      <c r="G10122" s="31" t="n">
        <f aca="false">IF(Assumptions!$I$58=1,MAX(G10083,Assumptions!$G$58)+Assumptions!$F$58+$C$10084,Assumptions!$E$58)</f>
        <v>0.0425</v>
      </c>
      <c r="H10122" s="31" t="n">
        <f aca="false">IF(G10242=1,$C$10085,IF(Assumptions!$I$58=1,MAX(H10083,Assumptions!$G$58)+Assumptions!$F$58+$C$10084,Assumptions!$E$58))</f>
        <v>0.0425</v>
      </c>
      <c r="I10122" s="31" t="n">
        <f aca="false">IF(H10242=1,$C$10085,IF(Assumptions!$I$58=1,MAX(I10083,Assumptions!$G$58)+Assumptions!$F$58+$C$10084,Assumptions!$E$58))</f>
        <v>0.0425</v>
      </c>
      <c r="J10122" s="31" t="n">
        <f aca="false">IF(I10242=1,$C$10085,IF(Assumptions!$I$58=1,MAX(J10083,Assumptions!$G$58)+Assumptions!$F$58+$C$10084,Assumptions!$E$58))</f>
        <v>0.0425</v>
      </c>
      <c r="K10122" s="31" t="n">
        <f aca="false">IF(J10242=1,$C$10085,IF(Assumptions!$I$58=1,MAX(K10083,Assumptions!$G$58)+Assumptions!$F$58+$C$10084,Assumptions!$E$58))</f>
        <v>0.0425</v>
      </c>
    </row>
    <row r="10123" customFormat="false" ht="15" hidden="false" customHeight="false" outlineLevel="0" collapsed="false">
      <c r="A10123" s="3" t="s">
        <v>312</v>
      </c>
      <c r="G10123" s="25" t="n">
        <f aca="false">G10119*G10122</f>
        <v>6.109375</v>
      </c>
      <c r="H10123" s="25" t="n">
        <f aca="false">H10119*H10122</f>
        <v>6.109375</v>
      </c>
      <c r="I10123" s="25" t="n">
        <f aca="false">I10119*I10122</f>
        <v>6.109375</v>
      </c>
      <c r="J10123" s="25" t="n">
        <f aca="false">J10119*J10122</f>
        <v>5.1383703688978</v>
      </c>
      <c r="K10123" s="25" t="n">
        <f aca="false">K10119*K10122</f>
        <v>5.1383703688978</v>
      </c>
    </row>
    <row r="10124" customFormat="false" ht="15" hidden="false" customHeight="false" outlineLevel="0" collapsed="false">
      <c r="A10124" s="3" t="s">
        <v>313</v>
      </c>
      <c r="G10124" s="25" t="n">
        <f aca="false">G10119*Assumptions!$H$58</f>
        <v>0</v>
      </c>
      <c r="H10124" s="25" t="n">
        <f aca="false">H10119*Assumptions!$H$58</f>
        <v>0</v>
      </c>
      <c r="I10124" s="25" t="n">
        <f aca="false">I10119*Assumptions!$H$58</f>
        <v>0</v>
      </c>
      <c r="J10124" s="25" t="n">
        <f aca="false">J10119*Assumptions!$H$58</f>
        <v>0</v>
      </c>
      <c r="K10124" s="25" t="n">
        <f aca="false">K10119*Assumptions!$H$58</f>
        <v>0</v>
      </c>
    </row>
    <row r="10125" customFormat="false" ht="15" hidden="false" customHeight="false" outlineLevel="0" collapsed="false">
      <c r="A10125" s="3" t="s">
        <v>314</v>
      </c>
      <c r="G10125" s="25" t="n">
        <f aca="false">MIN(G10119,Assumptions!$L$58*Assumptions!$C$58)</f>
        <v>0</v>
      </c>
      <c r="H10125" s="25" t="n">
        <f aca="false">MIN(H10119,Assumptions!$L$58*Assumptions!$C$58)</f>
        <v>0</v>
      </c>
      <c r="I10125" s="25" t="n">
        <f aca="false">MIN(I10119,Assumptions!$L$58*Assumptions!$C$58)</f>
        <v>0</v>
      </c>
      <c r="J10125" s="25" t="n">
        <f aca="false">MIN(J10119,Assumptions!$L$58*Assumptions!$C$58)</f>
        <v>0</v>
      </c>
      <c r="K10125" s="25" t="n">
        <f aca="false">MIN(K10119,Assumptions!$L$58*Assumptions!$C$58)</f>
        <v>0</v>
      </c>
    </row>
    <row r="10126" customFormat="false" ht="15" hidden="false" customHeight="false" outlineLevel="0" collapsed="false">
      <c r="A10126" s="3" t="s">
        <v>315</v>
      </c>
      <c r="G10126" s="25" t="n">
        <f aca="false">IF(AND(Assumptions!$P$58=1,G10057&lt;Assumptions!$K$58),MIN(MAX(0,-G10154),MAX(0,Assumptions!$D$58-G10119)),0)</f>
        <v>0</v>
      </c>
      <c r="H10126" s="25" t="n">
        <f aca="false">IF(AND(Assumptions!$P$58=1,OR(H10057&lt;Assumptions!$K$58,G10242=1)),MIN(MAX(0,-H10154),MAX(0,Assumptions!$D$58-H10119)),0)</f>
        <v>0</v>
      </c>
      <c r="I10126" s="25" t="n">
        <f aca="false">IF(AND(Assumptions!$P$58=1,OR(I10057&lt;Assumptions!$K$58,H10242=1)),MIN(MAX(0,-I10154),MAX(0,Assumptions!$D$58-I10119)),0)</f>
        <v>0</v>
      </c>
      <c r="J10126" s="25" t="n">
        <f aca="false">IF(AND(Assumptions!$P$58=1,OR(J10057&lt;Assumptions!$K$58,I10242=1)),MIN(MAX(0,-J10154),MAX(0,Assumptions!$D$58-J10119)),0)</f>
        <v>0</v>
      </c>
      <c r="K10126" s="25" t="n">
        <f aca="false">IF(AND(Assumptions!$P$58=1,OR(K10057&lt;Assumptions!$K$58,J10242=1)),MIN(MAX(0,-K10154),MAX(0,Assumptions!$D$58-K10119)),0)</f>
        <v>0</v>
      </c>
    </row>
    <row r="10127" customFormat="false" ht="15" hidden="false" customHeight="false" outlineLevel="0" collapsed="false">
      <c r="A10127" s="3" t="s">
        <v>316</v>
      </c>
      <c r="G10127" s="25" t="n">
        <f aca="false">G10120*MIN(G10119-G10125+G10124,MAX(0,G10156-Assumptions!$C$12*G10091-G10101-G10114))</f>
        <v>0</v>
      </c>
      <c r="H10127" s="25" t="n">
        <f aca="false">H10120*MIN(H10119-H10125+H10124,MAX(0,H10156-Assumptions!$C$12*H10091-H10101-H10114))</f>
        <v>0</v>
      </c>
      <c r="I10127" s="25" t="n">
        <f aca="false">I10120*MIN(I10119-I10125+I10124,MAX(0,I10156-Assumptions!$C$12*I10091-I10101-I10114))</f>
        <v>22.84716779064</v>
      </c>
      <c r="J10127" s="25" t="n">
        <f aca="false">J10120*MIN(J10119-J10125+J10124,MAX(0,J10156-Assumptions!$C$12*J10091-J10101-J10114))</f>
        <v>0</v>
      </c>
      <c r="K10127" s="25" t="n">
        <f aca="false">K10120*MIN(K10119-K10125+K10124,MAX(0,K10156-Assumptions!$C$12*K10091-K10101-K10114))</f>
        <v>0</v>
      </c>
    </row>
    <row r="10128" customFormat="false" ht="15" hidden="false" customHeight="false" outlineLevel="0" collapsed="false">
      <c r="A10128" s="3" t="s">
        <v>317</v>
      </c>
      <c r="G10128" s="25" t="n">
        <f aca="false">Assumptions!$N$58*MIN(G10119+G10126+G10124-G10125-G10127,MAX(0,G10160-G10102-G10115))</f>
        <v>0</v>
      </c>
      <c r="H10128" s="25" t="n">
        <f aca="false">Assumptions!$N$58*MIN(H10119+H10126+H10124-H10125-H10127,MAX(0,H10160-H10102-H10115))</f>
        <v>0</v>
      </c>
      <c r="I10128" s="25" t="n">
        <f aca="false">Assumptions!$N$58*MIN(I10119+I10126+I10124-I10125-I10127,MAX(0,I10160-I10102-I10115))</f>
        <v>0</v>
      </c>
      <c r="J10128" s="25" t="n">
        <f aca="false">Assumptions!$N$58*MIN(J10119+J10126+J10124-J10125-J10127,MAX(0,J10160-J10102-J10115))</f>
        <v>0</v>
      </c>
      <c r="K10128" s="25" t="n">
        <f aca="false">Assumptions!$N$58*MIN(K10119+K10126+K10124-K10125-K10127,MAX(0,K10160-K10102-K10115))</f>
        <v>0</v>
      </c>
    </row>
    <row r="10129" customFormat="false" ht="15" hidden="false" customHeight="false" outlineLevel="0" collapsed="false">
      <c r="A10129" s="3" t="s">
        <v>318</v>
      </c>
      <c r="G10129" s="25" t="n">
        <f aca="false">G10120*(1-G10091)*(G10119-G10125+G10124-G10127)</f>
        <v>0</v>
      </c>
      <c r="H10129" s="25" t="n">
        <f aca="false">H10120*(1-H10091)*(H10119-H10125+H10124-H10127)</f>
        <v>0</v>
      </c>
      <c r="I10129" s="25" t="n">
        <f aca="false">I10120*(1-I10091)*(I10119-I10125+I10124-I10127)</f>
        <v>120.90283220936</v>
      </c>
      <c r="J10129" s="25" t="n">
        <f aca="false">J10120*(1-J10091)*(J10119-J10125+J10124-J10127)</f>
        <v>0</v>
      </c>
      <c r="K10129" s="25" t="n">
        <f aca="false">K10120*(1-K10091)*(K10119-K10125+K10124-K10127)</f>
        <v>0</v>
      </c>
    </row>
    <row r="10130" customFormat="false" ht="15" hidden="false" customHeight="false" outlineLevel="0" collapsed="false">
      <c r="A10130" s="2" t="s">
        <v>319</v>
      </c>
      <c r="F10130" s="28" t="n">
        <f aca="false">Assumptions!$C$58</f>
        <v>143.75</v>
      </c>
      <c r="G10130" s="16" t="n">
        <f aca="false">G10119+G10126+G10124-G10125-G10127-G10128</f>
        <v>143.75</v>
      </c>
      <c r="H10130" s="16" t="n">
        <f aca="false">H10119+H10126+H10124-H10125-H10127-H10128</f>
        <v>143.75</v>
      </c>
      <c r="I10130" s="16" t="n">
        <f aca="false">I10119+I10126+I10124-I10125-I10127-I10128</f>
        <v>120.90283220936</v>
      </c>
      <c r="J10130" s="16" t="n">
        <f aca="false">J10119+J10126+J10124-J10125-J10127-J10128</f>
        <v>120.90283220936</v>
      </c>
      <c r="K10130" s="16" t="n">
        <f aca="false">K10119+K10126+K10124-K10125-K10127-K10128</f>
        <v>120.90283220936</v>
      </c>
    </row>
    <row r="10131" customFormat="false" ht="15" hidden="false" customHeight="false" outlineLevel="0" collapsed="false">
      <c r="A10131" s="23" t="s">
        <v>322</v>
      </c>
      <c r="B10131" s="24"/>
      <c r="C10131" s="24"/>
      <c r="D10131" s="24"/>
      <c r="E10131" s="24"/>
      <c r="F10131" s="24"/>
      <c r="G10131" s="24"/>
      <c r="H10131" s="24"/>
      <c r="I10131" s="24"/>
      <c r="J10131" s="24"/>
      <c r="K10131" s="24"/>
    </row>
    <row r="10132" customFormat="false" ht="15" hidden="false" customHeight="false" outlineLevel="0" collapsed="false">
      <c r="A10132" s="2" t="s">
        <v>323</v>
      </c>
      <c r="F10132" s="16" t="n">
        <f aca="false">F10104+F10117+F10130</f>
        <v>1735.554</v>
      </c>
      <c r="G10132" s="16" t="n">
        <f aca="false">G10104+G10117+G10130</f>
        <v>1735.554</v>
      </c>
      <c r="H10132" s="16" t="n">
        <f aca="false">H10104+H10117+H10130</f>
        <v>1735.554</v>
      </c>
      <c r="I10132" s="16" t="n">
        <f aca="false">I10104+I10117+I10130</f>
        <v>1436.00083220936</v>
      </c>
      <c r="J10132" s="16" t="n">
        <f aca="false">J10104+J10117+J10130</f>
        <v>1436.00083220936</v>
      </c>
      <c r="K10132" s="16" t="n">
        <f aca="false">K10104+K10117+K10130</f>
        <v>1436.00083220936</v>
      </c>
    </row>
    <row r="10133" customFormat="false" ht="15" hidden="false" customHeight="false" outlineLevel="0" collapsed="false">
      <c r="A10133" s="3" t="s">
        <v>324</v>
      </c>
      <c r="G10133" s="25" t="n">
        <f aca="false">G10094*Assumptions!$C$56+G10107*Assumptions!$C$57+G10120*Assumptions!$C$58</f>
        <v>0</v>
      </c>
      <c r="H10133" s="25" t="n">
        <f aca="false">H10094*Assumptions!$C$56+H10107*Assumptions!$C$57+H10120*Assumptions!$C$58</f>
        <v>0</v>
      </c>
      <c r="I10133" s="25" t="n">
        <f aca="false">I10094*Assumptions!$C$56+I10107*Assumptions!$C$57+I10120*Assumptions!$C$58</f>
        <v>420.456</v>
      </c>
      <c r="J10133" s="25" t="n">
        <f aca="false">J10094*Assumptions!$C$56+J10107*Assumptions!$C$57+J10120*Assumptions!$C$58</f>
        <v>0</v>
      </c>
      <c r="K10133" s="25" t="n">
        <f aca="false">K10094*Assumptions!$C$56+K10107*Assumptions!$C$57+K10120*Assumptions!$C$58</f>
        <v>0</v>
      </c>
    </row>
    <row r="10134" customFormat="false" ht="15" hidden="false" customHeight="false" outlineLevel="0" collapsed="false">
      <c r="A10134" s="23" t="s">
        <v>325</v>
      </c>
      <c r="B10134" s="24"/>
      <c r="C10134" s="24"/>
      <c r="D10134" s="24"/>
      <c r="E10134" s="24"/>
      <c r="F10134" s="24"/>
      <c r="G10134" s="24"/>
      <c r="H10134" s="24"/>
      <c r="I10134" s="24"/>
      <c r="J10134" s="24"/>
      <c r="K10134" s="24"/>
    </row>
    <row r="10135" customFormat="false" ht="15" hidden="false" customHeight="false" outlineLevel="0" collapsed="false">
      <c r="A10135" s="3" t="s">
        <v>326</v>
      </c>
      <c r="C10135" s="25" t="n">
        <f aca="false">SUMPRODUCT($G$10094:$K$10094,$G$10093:$K$10093-$G$10099:$K$10099+$G$10098:$K$10098)</f>
        <v>0</v>
      </c>
    </row>
    <row r="10136" customFormat="false" ht="15" hidden="false" customHeight="false" outlineLevel="0" collapsed="false">
      <c r="A10136" s="3" t="s">
        <v>327</v>
      </c>
      <c r="C10136" s="25" t="n">
        <f aca="false">SUMPRODUCT($G$10094:$K$10094,$G$10101:$K$10101)</f>
        <v>0</v>
      </c>
    </row>
    <row r="10137" customFormat="false" ht="15" hidden="false" customHeight="false" outlineLevel="0" collapsed="false">
      <c r="A10137" s="3" t="s">
        <v>328</v>
      </c>
      <c r="C10137" s="3" t="str">
        <f aca="false">IF(SUM($G$10094:$K$10094)=0,"n/a (beyond horizon)",IF(SUMPRODUCT($G$10094:$K$10094,$G$10091:$K$10091)&gt;0,"REFINANCING PASS","REFINANCING FAILURE"))</f>
        <v>n/a (beyond horizon)</v>
      </c>
    </row>
    <row r="10138" customFormat="false" ht="15" hidden="false" customHeight="false" outlineLevel="0" collapsed="false">
      <c r="A10138" s="3" t="s">
        <v>329</v>
      </c>
      <c r="C10138" s="3" t="str">
        <f aca="false">IF(SUM($G$10094:$K$10094)=0,"n/a",IF(C10136&gt;=C10135-0.001,"Repaid from cash",IF(SUMPRODUCT($G$10094:$K$10094,$G$10091:$K$10091)&gt;0,IF(C10136&gt;0,"Partly repaid; remainder refinanced","Refinanced"),IF(SUM($G$10103:$K$10103)&gt;0.001,IF(C10136&gt;0,"Partial repayment; PAYMENT DEFAULT","PAYMENT DEFAULT"),"Repaid from cash"))))</f>
        <v>n/a</v>
      </c>
    </row>
    <row r="10139" customFormat="false" ht="15" hidden="false" customHeight="false" outlineLevel="0" collapsed="false">
      <c r="A10139" s="3" t="s">
        <v>330</v>
      </c>
      <c r="C10139" s="25" t="n">
        <f aca="false">SUMPRODUCT($G$10107:$K$10107,$G$10106:$K$10106-$G$10112:$K$10112+$G$10111:$K$10111)</f>
        <v>276.706</v>
      </c>
    </row>
    <row r="10140" customFormat="false" ht="15" hidden="false" customHeight="false" outlineLevel="0" collapsed="false">
      <c r="A10140" s="3" t="s">
        <v>331</v>
      </c>
      <c r="C10140" s="25" t="n">
        <f aca="false">SUMPRODUCT($G$10107:$K$10107,$G$10114:$K$10114)</f>
        <v>276.706</v>
      </c>
    </row>
    <row r="10141" customFormat="false" ht="15" hidden="false" customHeight="false" outlineLevel="0" collapsed="false">
      <c r="A10141" s="3" t="s">
        <v>332</v>
      </c>
      <c r="C10141" s="3" t="str">
        <f aca="false">IF(SUM($G$10107:$K$10107)=0,"n/a (beyond horizon)",IF(SUMPRODUCT($G$10107:$K$10107,$G$10091:$K$10091)&gt;0,"REFINANCING PASS","REFINANCING FAILURE"))</f>
        <v>REFINANCING FAILURE</v>
      </c>
    </row>
    <row r="10142" customFormat="false" ht="15" hidden="false" customHeight="false" outlineLevel="0" collapsed="false">
      <c r="A10142" s="3" t="s">
        <v>333</v>
      </c>
      <c r="C10142" s="3" t="str">
        <f aca="false">IF(SUM($G$10107:$K$10107)=0,"n/a",IF(C10140&gt;=C10139-0.001,"Repaid from cash",IF(SUMPRODUCT($G$10107:$K$10107,$G$10091:$K$10091)&gt;0,IF(C10140&gt;0,"Partly repaid; remainder refinanced","Refinanced"),IF(SUM($G$10116:$K$10116)&gt;0.001,IF(C10140&gt;0,"Partial repayment; PAYMENT DEFAULT","PAYMENT DEFAULT"),"Repaid from cash"))))</f>
        <v>Repaid from cash</v>
      </c>
    </row>
    <row r="10143" customFormat="false" ht="15" hidden="false" customHeight="false" outlineLevel="0" collapsed="false">
      <c r="A10143" s="3" t="s">
        <v>334</v>
      </c>
      <c r="C10143" s="25" t="n">
        <f aca="false">SUMPRODUCT($G$10120:$K$10120,$G$10119:$K$10119-$G$10125:$K$10125+$G$10124:$K$10124)</f>
        <v>143.75</v>
      </c>
    </row>
    <row r="10144" customFormat="false" ht="15" hidden="false" customHeight="false" outlineLevel="0" collapsed="false">
      <c r="A10144" s="3" t="s">
        <v>335</v>
      </c>
      <c r="C10144" s="25" t="n">
        <f aca="false">SUMPRODUCT($G$10120:$K$10120,$G$10127:$K$10127)</f>
        <v>22.84716779064</v>
      </c>
    </row>
    <row r="10145" customFormat="false" ht="15" hidden="false" customHeight="false" outlineLevel="0" collapsed="false">
      <c r="A10145" s="3" t="s">
        <v>336</v>
      </c>
      <c r="C10145" s="3" t="str">
        <f aca="false">IF(SUM($G$10120:$K$10120)=0,"n/a (beyond horizon)",IF(SUMPRODUCT($G$10120:$K$10120,$G$10091:$K$10091)&gt;0,"REFINANCING PASS","REFINANCING FAILURE"))</f>
        <v>REFINANCING FAILURE</v>
      </c>
    </row>
    <row r="10146" customFormat="false" ht="15" hidden="false" customHeight="false" outlineLevel="0" collapsed="false">
      <c r="A10146" s="3" t="s">
        <v>337</v>
      </c>
      <c r="C10146" s="3" t="str">
        <f aca="false">IF(SUM($G$10120:$K$10120)=0,"n/a",IF(C10144&gt;=C10143-0.001,"Repaid from cash",IF(SUMPRODUCT($G$10120:$K$10120,$G$10091:$K$10091)&gt;0,IF(C10144&gt;0,"Partly repaid; remainder refinanced","Refinanced"),IF(SUM($G$10129:$K$10129)&gt;0.001,IF(C10144&gt;0,"Partial repayment; PAYMENT DEFAULT","PAYMENT DEFAULT"),"Repaid from cash"))))</f>
        <v>Partial repayment; PAYMENT DEFAULT</v>
      </c>
    </row>
    <row r="10147" customFormat="false" ht="15" hidden="false" customHeight="false" outlineLevel="0" collapsed="false">
      <c r="A10147" s="3" t="s">
        <v>338</v>
      </c>
      <c r="C10147" s="20" t="n">
        <f aca="false">IF(C10137="REFINANCING FAILURE",1,0)+IF(C10141="REFINANCING FAILURE",1,0)+IF(C10145="REFINANCING FAILURE",1,0)</f>
        <v>2</v>
      </c>
    </row>
    <row r="10149" customFormat="false" ht="15" hidden="false" customHeight="false" outlineLevel="0" collapsed="false">
      <c r="A10149" s="23" t="s">
        <v>340</v>
      </c>
      <c r="B10149" s="24"/>
      <c r="C10149" s="24"/>
      <c r="D10149" s="24"/>
      <c r="E10149" s="24"/>
      <c r="F10149" s="24"/>
      <c r="G10149" s="24"/>
      <c r="H10149" s="24"/>
      <c r="I10149" s="24"/>
      <c r="J10149" s="24"/>
      <c r="K10149" s="24"/>
    </row>
    <row r="10150" customFormat="false" ht="15" hidden="false" customHeight="false" outlineLevel="0" collapsed="false">
      <c r="A10150" s="3" t="s">
        <v>305</v>
      </c>
      <c r="G10150" s="25" t="n">
        <f aca="false">F10162</f>
        <v>463.996</v>
      </c>
      <c r="H10150" s="25" t="n">
        <f aca="false">G10162</f>
        <v>438.85803784</v>
      </c>
      <c r="I10150" s="25" t="n">
        <f aca="false">H10162</f>
        <v>376.0489518442</v>
      </c>
      <c r="J10150" s="25" t="n">
        <f aca="false">I10162</f>
        <v>0</v>
      </c>
      <c r="K10150" s="25" t="n">
        <f aca="false">J10162</f>
        <v>-66.148541000851</v>
      </c>
    </row>
    <row r="10151" customFormat="false" ht="15" hidden="false" customHeight="false" outlineLevel="0" collapsed="false">
      <c r="A10151" s="3" t="s">
        <v>341</v>
      </c>
      <c r="G10151" s="25" t="n">
        <f aca="false">G10080</f>
        <v>-25.13796216</v>
      </c>
      <c r="H10151" s="25" t="n">
        <f aca="false">H10080</f>
        <v>-62.8090859958</v>
      </c>
      <c r="I10151" s="25" t="n">
        <f aca="false">I10080</f>
        <v>-76.49578405356</v>
      </c>
      <c r="J10151" s="25" t="n">
        <f aca="false">J10080</f>
        <v>-66.148541000851</v>
      </c>
      <c r="K10151" s="25" t="n">
        <f aca="false">K10080</f>
        <v>-66.9192921945314</v>
      </c>
    </row>
    <row r="10152" customFormat="false" ht="15" hidden="false" customHeight="false" outlineLevel="0" collapsed="false">
      <c r="A10152" s="3" t="s">
        <v>342</v>
      </c>
      <c r="G10152" s="25" t="n">
        <f aca="false">CHOOSE($C$10050,Assumptions!$G$74,Assumptions!$G$93,Assumptions!$G$112)</f>
        <v>0</v>
      </c>
      <c r="H10152" s="25" t="n">
        <f aca="false">CHOOSE($C$10050,Assumptions!$H$74,Assumptions!$H$93,Assumptions!$H$112)</f>
        <v>0</v>
      </c>
      <c r="I10152" s="25" t="n">
        <f aca="false">CHOOSE($C$10050,Assumptions!$I$74,Assumptions!$I$93,Assumptions!$I$112)</f>
        <v>0</v>
      </c>
      <c r="J10152" s="25" t="n">
        <f aca="false">CHOOSE($C$10050,Assumptions!$J$74,Assumptions!$J$93,Assumptions!$J$112)</f>
        <v>0</v>
      </c>
      <c r="K10152" s="25" t="n">
        <f aca="false">CHOOSE($C$10050,Assumptions!$K$74,Assumptions!$K$93,Assumptions!$K$112)</f>
        <v>0</v>
      </c>
    </row>
    <row r="10153" customFormat="false" ht="15" hidden="false" customHeight="false" outlineLevel="0" collapsed="false">
      <c r="A10153" s="3" t="s">
        <v>343</v>
      </c>
      <c r="G10153" s="25" t="n">
        <f aca="false">G10099+G10112+G10125</f>
        <v>0</v>
      </c>
      <c r="H10153" s="25" t="n">
        <f aca="false">H10099+H10112+H10125</f>
        <v>0</v>
      </c>
      <c r="I10153" s="25" t="n">
        <f aca="false">I10099+I10112+I10125</f>
        <v>0</v>
      </c>
      <c r="J10153" s="25" t="n">
        <f aca="false">J10099+J10112+J10125</f>
        <v>0</v>
      </c>
      <c r="K10153" s="25" t="n">
        <f aca="false">K10099+K10112+K10125</f>
        <v>0</v>
      </c>
    </row>
    <row r="10154" customFormat="false" ht="15" hidden="false" customHeight="false" outlineLevel="0" collapsed="false">
      <c r="A10154" s="2" t="s">
        <v>344</v>
      </c>
      <c r="G10154" s="16" t="n">
        <f aca="false">G10150+G10151+G10152-G10153</f>
        <v>438.85803784</v>
      </c>
      <c r="H10154" s="16" t="n">
        <f aca="false">H10150+H10151+H10152-H10153</f>
        <v>376.0489518442</v>
      </c>
      <c r="I10154" s="16" t="n">
        <f aca="false">I10150+I10151+I10152-I10153</f>
        <v>299.55316779064</v>
      </c>
      <c r="J10154" s="16" t="n">
        <f aca="false">J10150+J10151+J10152-J10153</f>
        <v>-66.148541000851</v>
      </c>
      <c r="K10154" s="16" t="n">
        <f aca="false">K10150+K10151+K10152-K10153</f>
        <v>-133.067833195382</v>
      </c>
    </row>
    <row r="10155" customFormat="false" ht="15" hidden="false" customHeight="false" outlineLevel="0" collapsed="false">
      <c r="A10155" s="3" t="s">
        <v>345</v>
      </c>
      <c r="G10155" s="25" t="n">
        <f aca="false">G10100+G10113+G10126</f>
        <v>0</v>
      </c>
      <c r="H10155" s="25" t="n">
        <f aca="false">H10100+H10113+H10126</f>
        <v>0</v>
      </c>
      <c r="I10155" s="25" t="n">
        <f aca="false">I10100+I10113+I10126</f>
        <v>0</v>
      </c>
      <c r="J10155" s="25" t="n">
        <f aca="false">J10100+J10113+J10126</f>
        <v>0</v>
      </c>
      <c r="K10155" s="25" t="n">
        <f aca="false">K10100+K10113+K10126</f>
        <v>0</v>
      </c>
    </row>
    <row r="10156" customFormat="false" ht="15" hidden="false" customHeight="false" outlineLevel="0" collapsed="false">
      <c r="A10156" s="2" t="s">
        <v>346</v>
      </c>
      <c r="G10156" s="16" t="n">
        <f aca="false">G10154+G10155</f>
        <v>438.85803784</v>
      </c>
      <c r="H10156" s="16" t="n">
        <f aca="false">H10154+H10155</f>
        <v>376.0489518442</v>
      </c>
      <c r="I10156" s="16" t="n">
        <f aca="false">I10154+I10155</f>
        <v>299.55316779064</v>
      </c>
      <c r="J10156" s="16" t="n">
        <f aca="false">J10154+J10155</f>
        <v>-66.148541000851</v>
      </c>
      <c r="K10156" s="16" t="n">
        <f aca="false">K10154+K10155</f>
        <v>-133.067833195382</v>
      </c>
    </row>
    <row r="10157" customFormat="false" ht="15" hidden="false" customHeight="false" outlineLevel="0" collapsed="false">
      <c r="A10157" s="3" t="s">
        <v>347</v>
      </c>
      <c r="G10157" s="25" t="n">
        <f aca="false">G10101+G10114+G10127</f>
        <v>0</v>
      </c>
      <c r="H10157" s="25" t="n">
        <f aca="false">H10101+H10114+H10127</f>
        <v>0</v>
      </c>
      <c r="I10157" s="25" t="n">
        <f aca="false">I10101+I10114+I10127</f>
        <v>299.55316779064</v>
      </c>
      <c r="J10157" s="25" t="n">
        <f aca="false">J10101+J10114+J10127</f>
        <v>0</v>
      </c>
      <c r="K10157" s="25" t="n">
        <f aca="false">K10101+K10114+K10127</f>
        <v>0</v>
      </c>
    </row>
    <row r="10158" customFormat="false" ht="15" hidden="false" customHeight="false" outlineLevel="0" collapsed="false">
      <c r="A10158" s="2" t="s">
        <v>348</v>
      </c>
      <c r="G10158" s="16" t="n">
        <f aca="false">G10156-G10157</f>
        <v>438.85803784</v>
      </c>
      <c r="H10158" s="16" t="n">
        <f aca="false">H10156-H10157</f>
        <v>376.0489518442</v>
      </c>
      <c r="I10158" s="16" t="n">
        <f aca="false">I10156-I10157</f>
        <v>0</v>
      </c>
      <c r="J10158" s="16" t="n">
        <f aca="false">J10156-J10157</f>
        <v>-66.148541000851</v>
      </c>
      <c r="K10158" s="16" t="n">
        <f aca="false">K10156-K10157</f>
        <v>-133.067833195382</v>
      </c>
    </row>
    <row r="10159" customFormat="false" ht="15" hidden="false" customHeight="false" outlineLevel="0" collapsed="false">
      <c r="A10159" s="3" t="s">
        <v>349</v>
      </c>
      <c r="G10159" s="25" t="n">
        <f aca="false">MAX(0,-G10158)</f>
        <v>0</v>
      </c>
      <c r="H10159" s="25" t="n">
        <f aca="false">MAX(0,-H10158)</f>
        <v>0</v>
      </c>
      <c r="I10159" s="25" t="n">
        <f aca="false">MAX(0,-I10158)</f>
        <v>-0</v>
      </c>
      <c r="J10159" s="25" t="n">
        <f aca="false">MAX(0,-J10158)</f>
        <v>66.148541000851</v>
      </c>
      <c r="K10159" s="25" t="n">
        <f aca="false">MAX(0,-K10158)</f>
        <v>133.067833195382</v>
      </c>
    </row>
    <row r="10160" customFormat="false" ht="15" hidden="false" customHeight="false" outlineLevel="0" collapsed="false">
      <c r="A10160" s="3" t="s">
        <v>350</v>
      </c>
      <c r="G10160" s="25" t="n">
        <f aca="false">MAX(0,G10158-Assumptions!$C$12)*Assumptions!$C$13</f>
        <v>0</v>
      </c>
      <c r="H10160" s="25" t="n">
        <f aca="false">MAX(0,H10158-Assumptions!$C$12)*Assumptions!$C$13</f>
        <v>0</v>
      </c>
      <c r="I10160" s="25" t="n">
        <f aca="false">MAX(0,I10158-Assumptions!$C$12)*Assumptions!$C$13</f>
        <v>0</v>
      </c>
      <c r="J10160" s="25" t="n">
        <f aca="false">MAX(0,J10158-Assumptions!$C$12)*Assumptions!$C$13</f>
        <v>0</v>
      </c>
      <c r="K10160" s="25" t="n">
        <f aca="false">MAX(0,K10158-Assumptions!$C$12)*Assumptions!$C$13</f>
        <v>0</v>
      </c>
    </row>
    <row r="10161" customFormat="false" ht="15" hidden="false" customHeight="false" outlineLevel="0" collapsed="false">
      <c r="A10161" s="3" t="s">
        <v>351</v>
      </c>
      <c r="G10161" s="25" t="n">
        <f aca="false">G10102+G10115+G10128</f>
        <v>0</v>
      </c>
      <c r="H10161" s="25" t="n">
        <f aca="false">H10102+H10115+H10128</f>
        <v>0</v>
      </c>
      <c r="I10161" s="25" t="n">
        <f aca="false">I10102+I10115+I10128</f>
        <v>0</v>
      </c>
      <c r="J10161" s="25" t="n">
        <f aca="false">J10102+J10115+J10128</f>
        <v>0</v>
      </c>
      <c r="K10161" s="25" t="n">
        <f aca="false">K10102+K10115+K10128</f>
        <v>0</v>
      </c>
    </row>
    <row r="10162" customFormat="false" ht="15" hidden="false" customHeight="false" outlineLevel="0" collapsed="false">
      <c r="A10162" s="2" t="s">
        <v>352</v>
      </c>
      <c r="F10162" s="28" t="n">
        <f aca="false">Assumptions!$C$11</f>
        <v>463.996</v>
      </c>
      <c r="G10162" s="16" t="n">
        <f aca="false">G10158-G10161</f>
        <v>438.85803784</v>
      </c>
      <c r="H10162" s="16" t="n">
        <f aca="false">H10158-H10161</f>
        <v>376.0489518442</v>
      </c>
      <c r="I10162" s="16" t="n">
        <f aca="false">I10158-I10161</f>
        <v>0</v>
      </c>
      <c r="J10162" s="16" t="n">
        <f aca="false">J10158-J10161</f>
        <v>-66.148541000851</v>
      </c>
      <c r="K10162" s="16" t="n">
        <f aca="false">K10158-K10161</f>
        <v>-133.067833195382</v>
      </c>
    </row>
    <row r="10163" customFormat="false" ht="15" hidden="false" customHeight="false" outlineLevel="0" collapsed="false">
      <c r="A10163" s="3" t="s">
        <v>353</v>
      </c>
      <c r="G10163" s="25" t="n">
        <f aca="false">G10103+G10116+G10129</f>
        <v>0</v>
      </c>
      <c r="H10163" s="25" t="n">
        <f aca="false">H10103+H10116+H10129</f>
        <v>0</v>
      </c>
      <c r="I10163" s="25" t="n">
        <f aca="false">I10103+I10116+I10129</f>
        <v>120.90283220936</v>
      </c>
      <c r="J10163" s="25" t="n">
        <f aca="false">J10103+J10116+J10129</f>
        <v>0</v>
      </c>
      <c r="K10163" s="25" t="n">
        <f aca="false">K10103+K10116+K10129</f>
        <v>0</v>
      </c>
    </row>
    <row r="10164" customFormat="false" ht="15" hidden="false" customHeight="false" outlineLevel="0" collapsed="false">
      <c r="A10164" s="3" t="s">
        <v>354</v>
      </c>
      <c r="G10164" s="20" t="n">
        <f aca="false">IF(OR(G10159&gt;0.001,G10163&gt;0.001),1,0)</f>
        <v>0</v>
      </c>
      <c r="H10164" s="20" t="n">
        <f aca="false">IF(OR(H10159&gt;0.001,H10163&gt;0.001),1,0)</f>
        <v>0</v>
      </c>
      <c r="I10164" s="20" t="n">
        <f aca="false">IF(OR(I10159&gt;0.001,I10163&gt;0.001),1,0)</f>
        <v>1</v>
      </c>
      <c r="J10164" s="20" t="n">
        <f aca="false">IF(OR(J10159&gt;0.001,J10163&gt;0.001),1,0)</f>
        <v>1</v>
      </c>
      <c r="K10164" s="20" t="n">
        <f aca="false">IF(OR(K10159&gt;0.001,K10163&gt;0.001),1,0)</f>
        <v>1</v>
      </c>
    </row>
    <row r="10165" customFormat="false" ht="15" hidden="false" customHeight="false" outlineLevel="0" collapsed="false">
      <c r="A10165" s="3" t="s">
        <v>355</v>
      </c>
      <c r="G10165" s="20" t="n">
        <f aca="false">IF(G10164=1,1,0)</f>
        <v>0</v>
      </c>
      <c r="H10165" s="20" t="n">
        <f aca="false">IF(AND(H10164=1,SUM($G$10164:G10164)=0),1,0)</f>
        <v>0</v>
      </c>
      <c r="I10165" s="20" t="n">
        <f aca="false">IF(AND(I10164=1,SUM($G$10164:H10164)=0),1,0)</f>
        <v>1</v>
      </c>
      <c r="J10165" s="20" t="n">
        <f aca="false">IF(AND(J10164=1,SUM($G$10164:I10164)=0),1,0)</f>
        <v>0</v>
      </c>
      <c r="K10165" s="20" t="n">
        <f aca="false">IF(AND(K10164=1,SUM($G$10164:J10164)=0),1,0)</f>
        <v>0</v>
      </c>
    </row>
    <row r="10166" customFormat="false" ht="15" hidden="false" customHeight="false" outlineLevel="0" collapsed="false">
      <c r="A10166" s="3" t="s">
        <v>356</v>
      </c>
      <c r="G10166" s="25" t="n">
        <f aca="false">(G10132-F10132)-(G10155+G10072-G10153-G10157-G10161)</f>
        <v>0</v>
      </c>
      <c r="H10166" s="25" t="n">
        <f aca="false">(H10132-G10132)-(H10155+H10072-H10153-H10157-H10161)</f>
        <v>0</v>
      </c>
      <c r="I10166" s="25" t="n">
        <f aca="false">(I10132-H10132)-(I10155+I10072-I10153-I10157-I10161)</f>
        <v>0</v>
      </c>
      <c r="J10166" s="25" t="n">
        <f aca="false">(J10132-I10132)-(J10155+J10072-J10153-J10157-J10161)</f>
        <v>0</v>
      </c>
      <c r="K10166" s="25" t="n">
        <f aca="false">(K10132-J10132)-(K10155+K10072-K10153-K10157-K10161)</f>
        <v>0</v>
      </c>
    </row>
    <row r="10168" customFormat="false" ht="15" hidden="false" customHeight="false" outlineLevel="0" collapsed="false">
      <c r="A10168" s="23" t="s">
        <v>358</v>
      </c>
      <c r="B10168" s="24"/>
      <c r="C10168" s="24"/>
      <c r="D10168" s="24"/>
      <c r="E10168" s="24"/>
      <c r="F10168" s="24"/>
      <c r="G10168" s="24"/>
      <c r="H10168" s="24"/>
      <c r="I10168" s="24"/>
      <c r="J10168" s="24"/>
      <c r="K10168" s="24"/>
    </row>
    <row r="10169" customFormat="false" ht="15" hidden="false" customHeight="false" outlineLevel="0" collapsed="false">
      <c r="A10169" s="3" t="s">
        <v>359</v>
      </c>
      <c r="G10169" s="25" t="n">
        <f aca="false">G10132</f>
        <v>1735.554</v>
      </c>
      <c r="H10169" s="25" t="n">
        <f aca="false">H10132</f>
        <v>1735.554</v>
      </c>
      <c r="I10169" s="25" t="n">
        <f aca="false">I10132</f>
        <v>1436.00083220936</v>
      </c>
      <c r="J10169" s="25" t="n">
        <f aca="false">J10132</f>
        <v>1436.00083220936</v>
      </c>
      <c r="K10169" s="25" t="n">
        <f aca="false">K10132</f>
        <v>1436.00083220936</v>
      </c>
    </row>
    <row r="10170" customFormat="false" ht="15" hidden="false" customHeight="false" outlineLevel="0" collapsed="false">
      <c r="A10170" s="3" t="s">
        <v>360</v>
      </c>
      <c r="G10170" s="25" t="n">
        <f aca="false">Assumptions!$O$56*G10104+Assumptions!$O$57*G10117+Assumptions!$O$58*G10130</f>
        <v>1315.098</v>
      </c>
      <c r="H10170" s="25" t="n">
        <f aca="false">Assumptions!$O$56*H10104+Assumptions!$O$57*H10117+Assumptions!$O$58*H10130</f>
        <v>1315.098</v>
      </c>
      <c r="I10170" s="25" t="n">
        <f aca="false">Assumptions!$O$56*I10104+Assumptions!$O$57*I10117+Assumptions!$O$58*I10130</f>
        <v>1315.098</v>
      </c>
      <c r="J10170" s="25" t="n">
        <f aca="false">Assumptions!$O$56*J10104+Assumptions!$O$57*J10117+Assumptions!$O$58*J10130</f>
        <v>1315.098</v>
      </c>
      <c r="K10170" s="25" t="n">
        <f aca="false">Assumptions!$O$56*K10104+Assumptions!$O$57*K10117+Assumptions!$O$58*K10130</f>
        <v>1315.098</v>
      </c>
    </row>
    <row r="10171" customFormat="false" ht="15" hidden="false" customHeight="false" outlineLevel="0" collapsed="false">
      <c r="A10171" s="3" t="s">
        <v>361</v>
      </c>
      <c r="G10171" s="25" t="n">
        <f aca="false">G10169-G10162</f>
        <v>1296.69596216</v>
      </c>
      <c r="H10171" s="25" t="n">
        <f aca="false">H10169-H10162</f>
        <v>1359.5050481558</v>
      </c>
      <c r="I10171" s="25" t="n">
        <f aca="false">I10169-I10162</f>
        <v>1436.00083220936</v>
      </c>
      <c r="J10171" s="25" t="n">
        <f aca="false">J10169-J10162</f>
        <v>1502.14937321021</v>
      </c>
      <c r="K10171" s="25" t="n">
        <f aca="false">K10169-K10162</f>
        <v>1569.06866540474</v>
      </c>
    </row>
    <row r="10172" customFormat="false" ht="15" hidden="false" customHeight="false" outlineLevel="0" collapsed="false">
      <c r="A10172" s="3" t="s">
        <v>362</v>
      </c>
      <c r="G10172" s="32" t="n">
        <f aca="false">IF(G10067&gt;0,G10169/G10067,0)</f>
        <v>9.43435860534597</v>
      </c>
      <c r="H10172" s="32" t="n">
        <f aca="false">IF(H10067&gt;0,H10169/H10067,0)</f>
        <v>12.1733659423819</v>
      </c>
      <c r="I10172" s="32" t="n">
        <f aca="false">IF(I10067&gt;0,I10169/I10067,0)</f>
        <v>11.3596998470382</v>
      </c>
      <c r="J10172" s="32" t="n">
        <f aca="false">IF(J10067&gt;0,J10169/J10067,0)</f>
        <v>11.7110307701424</v>
      </c>
      <c r="K10172" s="32" t="n">
        <f aca="false">IF(K10067&gt;0,K10169/K10067,0)</f>
        <v>11.8293240102449</v>
      </c>
    </row>
    <row r="10173" customFormat="false" ht="15" hidden="false" customHeight="false" outlineLevel="0" collapsed="false">
      <c r="A10173" s="3" t="s">
        <v>363</v>
      </c>
      <c r="G10173" s="32" t="n">
        <f aca="false">IF(G10067&gt;0,G10171/G10067,0)</f>
        <v>7.04875486969669</v>
      </c>
      <c r="H10173" s="32" t="n">
        <f aca="false">IF(H10067&gt;0,H10171/H10067,0)</f>
        <v>9.53571738575468</v>
      </c>
      <c r="I10173" s="32" t="n">
        <f aca="false">IF(I10067&gt;0,I10171/I10067,0)</f>
        <v>11.3596998470382</v>
      </c>
      <c r="J10173" s="32" t="n">
        <f aca="false">IF(J10067&gt;0,J10171/J10067,0)</f>
        <v>12.2504925738443</v>
      </c>
      <c r="K10173" s="32" t="n">
        <f aca="false">IF(K10067&gt;0,K10171/K10067,0)</f>
        <v>12.9254950422544</v>
      </c>
    </row>
    <row r="10174" customFormat="false" ht="15" hidden="false" customHeight="false" outlineLevel="0" collapsed="false">
      <c r="A10174" s="3" t="s">
        <v>364</v>
      </c>
      <c r="G10174" s="32" t="n">
        <f aca="false">IF(G10071&gt;0,G10067/G10071,0)</f>
        <v>1.17957990870039</v>
      </c>
      <c r="H10174" s="32" t="n">
        <f aca="false">IF(H10071&gt;0,H10067/H10071,0)</f>
        <v>0.914174429242805</v>
      </c>
      <c r="I10174" s="32" t="n">
        <f aca="false">IF(I10071&gt;0,I10067/I10071,0)</f>
        <v>0.81056799392862</v>
      </c>
      <c r="J10174" s="32" t="n">
        <f aca="false">IF(J10071&gt;0,J10067/J10071,0)</f>
        <v>0.856140024418457</v>
      </c>
      <c r="K10174" s="32" t="n">
        <f aca="false">IF(K10071&gt;0,K10067/K10071,0)</f>
        <v>0.847578624174273</v>
      </c>
    </row>
    <row r="10175" customFormat="false" ht="15" hidden="false" customHeight="false" outlineLevel="0" collapsed="false">
      <c r="A10175" s="3" t="s">
        <v>365</v>
      </c>
      <c r="G10175" s="32" t="n">
        <f aca="false">IF(G10071&gt;0,G10070/G10071,0)</f>
        <v>0.539757324355853</v>
      </c>
      <c r="H10175" s="32" t="n">
        <f aca="false">IF(H10071&gt;0,H10070/H10071,0)</f>
        <v>0.319139425802382</v>
      </c>
      <c r="I10175" s="32" t="n">
        <f aca="false">IF(I10071&gt;0,I10070/I10071,0)</f>
        <v>0.245284740660219</v>
      </c>
      <c r="J10175" s="32" t="n">
        <f aca="false">IF(J10071&gt;0,J10070/J10071,0)</f>
        <v>0.259075223092028</v>
      </c>
      <c r="K10175" s="32" t="n">
        <f aca="false">IF(K10071&gt;0,K10070/K10071,0)</f>
        <v>0.256484470861107</v>
      </c>
    </row>
    <row r="10176" customFormat="false" ht="15" hidden="false" customHeight="false" outlineLevel="0" collapsed="false">
      <c r="A10176" s="3" t="s">
        <v>198</v>
      </c>
      <c r="G10176" s="21" t="n">
        <f aca="false">IF(G10169&gt;0,G10080/G10169,0)</f>
        <v>-0.0144841140984377</v>
      </c>
      <c r="H10176" s="21" t="n">
        <f aca="false">IF(H10169&gt;0,H10080/H10169,0)</f>
        <v>-0.0361896466464311</v>
      </c>
      <c r="I10176" s="21" t="n">
        <f aca="false">IF(I10169&gt;0,I10080/I10169,0)</f>
        <v>-0.0532700137338133</v>
      </c>
      <c r="J10176" s="21" t="n">
        <f aca="false">IF(J10169&gt;0,J10080/J10169,0)</f>
        <v>-0.0460644168980586</v>
      </c>
      <c r="K10176" s="21" t="n">
        <f aca="false">IF(K10169&gt;0,K10080/K10169,0)</f>
        <v>-0.0466011514015439</v>
      </c>
    </row>
    <row r="10177" customFormat="false" ht="15" hidden="false" customHeight="false" outlineLevel="0" collapsed="false">
      <c r="A10177" s="3" t="s">
        <v>366</v>
      </c>
      <c r="G10177" s="32" t="n">
        <f aca="false">IF(G10071+G10153&gt;0,(G10067-G10078-G10075)/(G10071+G10153),0)</f>
        <v>1.03540903097035</v>
      </c>
      <c r="H10177" s="32" t="n">
        <f aca="false">IF(H10071+H10153&gt;0,(H10067-H10078-H10075)/(H10071+H10153),0)</f>
        <v>0.78009551295386</v>
      </c>
      <c r="I10177" s="32" t="n">
        <f aca="false">IF(I10071+I10153&gt;0,(I10067-I10078-I10075)/(I10071+I10153),0)</f>
        <v>0.683193023454123</v>
      </c>
      <c r="J10177" s="32" t="n">
        <f aca="false">IF(J10071+J10153&gt;0,(J10067-J10078-J10075)/(J10071+J10153),0)</f>
        <v>0.721603734866986</v>
      </c>
      <c r="K10177" s="32" t="n">
        <f aca="false">IF(K10071+K10153&gt;0,(K10067-K10078-K10075)/(K10071+K10153),0)</f>
        <v>0.714387697518316</v>
      </c>
    </row>
    <row r="10178" customFormat="false" ht="15" hidden="false" customHeight="false" outlineLevel="0" collapsed="false">
      <c r="A10178" s="3" t="s">
        <v>367</v>
      </c>
      <c r="G10178" s="25" t="n">
        <f aca="false">MAX(0,G10162)+Assumptions!$P$56*MAX(0,Assumptions!$D$56-G10104)+Assumptions!$P$57*MAX(0,Assumptions!$D$57-G10117)+Assumptions!$P$58*MAX(0,Assumptions!$D$58-G10130)</f>
        <v>438.85803784</v>
      </c>
      <c r="H10178" s="25" t="n">
        <f aca="false">MAX(0,H10162)+Assumptions!$P$56*MAX(0,Assumptions!$D$56-H10104)+Assumptions!$P$57*MAX(0,Assumptions!$D$57-H10117)+Assumptions!$P$58*MAX(0,Assumptions!$D$58-H10130)</f>
        <v>376.0489518442</v>
      </c>
      <c r="I10178" s="25" t="n">
        <f aca="false">MAX(0,I10162)+Assumptions!$P$56*MAX(0,Assumptions!$D$56-I10104)+Assumptions!$P$57*MAX(0,Assumptions!$D$57-I10117)+Assumptions!$P$58*MAX(0,Assumptions!$D$58-I10130)</f>
        <v>0</v>
      </c>
      <c r="J10178" s="25" t="n">
        <f aca="false">MAX(0,J10162)+Assumptions!$P$56*MAX(0,Assumptions!$D$56-J10104)+Assumptions!$P$57*MAX(0,Assumptions!$D$57-J10117)+Assumptions!$P$58*MAX(0,Assumptions!$D$58-J10130)</f>
        <v>0</v>
      </c>
      <c r="K10178" s="25" t="n">
        <f aca="false">MAX(0,K10162)+Assumptions!$P$56*MAX(0,Assumptions!$D$56-K10104)+Assumptions!$P$57*MAX(0,Assumptions!$D$57-K10117)+Assumptions!$P$58*MAX(0,Assumptions!$D$58-K10130)</f>
        <v>0</v>
      </c>
    </row>
    <row r="10179" customFormat="false" ht="15" hidden="false" customHeight="false" outlineLevel="0" collapsed="false">
      <c r="A10179" s="3" t="s">
        <v>368</v>
      </c>
      <c r="G10179" s="21" t="n">
        <f aca="false">IF(G10169&gt;0,G10169/(G10169+MAX(0,G10067*CHOOSE($C$10050,Assumptions!$C$82,Assumptions!$C$101,Assumptions!$C$120)-G10171)),0)</f>
        <v>1</v>
      </c>
      <c r="H10179" s="21" t="n">
        <f aca="false">IF(H10169&gt;0,H10169/(H10169+MAX(0,H10067*CHOOSE($C$10050,Assumptions!$C$82,Assumptions!$C$101,Assumptions!$C$120)-H10171)),0)</f>
        <v>1</v>
      </c>
      <c r="I10179" s="21" t="n">
        <f aca="false">IF(I10169&gt;0,I10169/(I10169+MAX(0,I10067*CHOOSE($C$10050,Assumptions!$C$82,Assumptions!$C$101,Assumptions!$C$120)-I10171)),0)</f>
        <v>1</v>
      </c>
      <c r="J10179" s="21" t="n">
        <f aca="false">IF(J10169&gt;0,J10169/(J10169+MAX(0,J10067*CHOOSE($C$10050,Assumptions!$C$82,Assumptions!$C$101,Assumptions!$C$120)-J10171)),0)</f>
        <v>1</v>
      </c>
      <c r="K10179" s="21" t="n">
        <f aca="false">IF(K10169&gt;0,K10169/(K10169+MAX(0,K10067*CHOOSE($C$10050,Assumptions!$C$82,Assumptions!$C$101,Assumptions!$C$120)-K10171)),0)</f>
        <v>1</v>
      </c>
    </row>
    <row r="10180" customFormat="false" ht="15" hidden="false" customHeight="false" outlineLevel="0" collapsed="false">
      <c r="A10180" s="3" t="s">
        <v>369</v>
      </c>
      <c r="G10180" s="21" t="n">
        <f aca="false">IF(G10169&gt;0,MAX(0,G10162)/G10169,0)</f>
        <v>0.252863372640667</v>
      </c>
      <c r="H10180" s="21" t="n">
        <f aca="false">IF(H10169&gt;0,MAX(0,H10162)/H10169,0)</f>
        <v>0.216673725994236</v>
      </c>
      <c r="I10180" s="21" t="n">
        <f aca="false">IF(I10169&gt;0,MAX(0,I10162)/I10169,0)</f>
        <v>0</v>
      </c>
      <c r="J10180" s="21" t="n">
        <f aca="false">IF(J10169&gt;0,MAX(0,J10162)/J10169,0)</f>
        <v>0</v>
      </c>
      <c r="K10180" s="21" t="n">
        <f aca="false">IF(K10169&gt;0,MAX(0,K10162)/K10169,0)</f>
        <v>0</v>
      </c>
    </row>
    <row r="10181" customFormat="false" ht="15" hidden="false" customHeight="false" outlineLevel="0" collapsed="false">
      <c r="A10181" s="3" t="s">
        <v>370</v>
      </c>
      <c r="G10181" s="25" t="n">
        <f aca="false">Assumptions!$C$30*(1-CHOOSE($C$10050,Assumptions!$C$85,Assumptions!$C$104,Assumptions!$C$123))</f>
        <v>1595.73115</v>
      </c>
      <c r="H10181" s="25" t="n">
        <f aca="false">Assumptions!$C$30*(1-CHOOSE($C$10050,Assumptions!$C$85,Assumptions!$C$104,Assumptions!$C$123))</f>
        <v>1595.73115</v>
      </c>
      <c r="I10181" s="25" t="n">
        <f aca="false">Assumptions!$C$30*(1-CHOOSE($C$10050,Assumptions!$C$85,Assumptions!$C$104,Assumptions!$C$123))</f>
        <v>1595.73115</v>
      </c>
      <c r="J10181" s="25" t="n">
        <f aca="false">Assumptions!$C$30*(1-CHOOSE($C$10050,Assumptions!$C$85,Assumptions!$C$104,Assumptions!$C$123))</f>
        <v>1595.73115</v>
      </c>
      <c r="K10181" s="25" t="n">
        <f aca="false">Assumptions!$C$30*(1-CHOOSE($C$10050,Assumptions!$C$85,Assumptions!$C$104,Assumptions!$C$123))</f>
        <v>1595.73115</v>
      </c>
    </row>
    <row r="10182" customFormat="false" ht="15" hidden="false" customHeight="false" outlineLevel="0" collapsed="false">
      <c r="A10182" s="23" t="s">
        <v>371</v>
      </c>
      <c r="B10182" s="24"/>
      <c r="C10182" s="24"/>
      <c r="D10182" s="24"/>
      <c r="E10182" s="24"/>
      <c r="F10182" s="24"/>
      <c r="G10182" s="24"/>
      <c r="H10182" s="24"/>
      <c r="I10182" s="24"/>
      <c r="J10182" s="24"/>
      <c r="K10182" s="24"/>
    </row>
    <row r="10183" customFormat="false" ht="15" hidden="false" customHeight="false" outlineLevel="0" collapsed="false">
      <c r="A10183" s="23" t="s">
        <v>372</v>
      </c>
      <c r="B10183" s="24"/>
      <c r="C10183" s="24"/>
      <c r="D10183" s="24"/>
      <c r="E10183" s="24"/>
      <c r="F10183" s="24"/>
      <c r="G10183" s="24"/>
      <c r="H10183" s="24"/>
      <c r="I10183" s="24"/>
      <c r="J10183" s="24"/>
      <c r="K10183" s="24"/>
    </row>
    <row r="10184" customFormat="false" ht="15" hidden="false" customHeight="false" outlineLevel="0" collapsed="false">
      <c r="A10184" s="3" t="s">
        <v>373</v>
      </c>
      <c r="G10184" s="32" t="n">
        <f aca="false">IF(G10067&gt;0,G10171/G10067,99)</f>
        <v>7.04875486969669</v>
      </c>
      <c r="H10184" s="32" t="n">
        <f aca="false">IF(H10067&gt;0,H10171/H10067,99)</f>
        <v>9.53571738575468</v>
      </c>
      <c r="I10184" s="32" t="n">
        <f aca="false">IF(I10067&gt;0,I10171/I10067,99)</f>
        <v>11.3596998470382</v>
      </c>
      <c r="J10184" s="32" t="n">
        <f aca="false">IF(J10067&gt;0,J10171/J10067,99)</f>
        <v>12.2504925738443</v>
      </c>
      <c r="K10184" s="32" t="n">
        <f aca="false">IF(K10067&gt;0,K10171/K10067,99)</f>
        <v>12.9254950422544</v>
      </c>
    </row>
    <row r="10185" customFormat="false" ht="15" hidden="false" customHeight="false" outlineLevel="0" collapsed="false">
      <c r="A10185" s="3" t="s">
        <v>374</v>
      </c>
      <c r="G10185" s="33" t="n">
        <f aca="false">Assumptions!$G$65</f>
        <v>5.25</v>
      </c>
      <c r="H10185" s="33" t="n">
        <f aca="false">Assumptions!$H$65</f>
        <v>5.25</v>
      </c>
      <c r="I10185" s="33" t="n">
        <f aca="false">Assumptions!$I$65</f>
        <v>5</v>
      </c>
      <c r="J10185" s="33" t="n">
        <f aca="false">Assumptions!$J$65</f>
        <v>5</v>
      </c>
      <c r="K10185" s="33" t="n">
        <f aca="false">Assumptions!$K$65</f>
        <v>5</v>
      </c>
    </row>
    <row r="10186" customFormat="false" ht="15" hidden="false" customHeight="false" outlineLevel="0" collapsed="false">
      <c r="A10186" s="3" t="s">
        <v>375</v>
      </c>
      <c r="G10186" s="32" t="n">
        <f aca="false">G10185-G10184</f>
        <v>-1.79875486969669</v>
      </c>
      <c r="H10186" s="32" t="n">
        <f aca="false">H10185-H10184</f>
        <v>-4.28571738575468</v>
      </c>
      <c r="I10186" s="32" t="n">
        <f aca="false">I10185-I10184</f>
        <v>-6.35969984703817</v>
      </c>
      <c r="J10186" s="32" t="n">
        <f aca="false">J10185-J10184</f>
        <v>-7.25049257384428</v>
      </c>
      <c r="K10186" s="32" t="n">
        <f aca="false">K10185-K10184</f>
        <v>-7.92549504225437</v>
      </c>
    </row>
    <row r="10187" customFormat="false" ht="15" hidden="false" customHeight="false" outlineLevel="0" collapsed="false">
      <c r="A10187" s="3" t="s">
        <v>376</v>
      </c>
      <c r="G10187" s="21" t="n">
        <f aca="false">IF(G10185=0,0,G10186/ABS(G10185))</f>
        <v>-0.342619975180322</v>
      </c>
      <c r="H10187" s="21" t="n">
        <f aca="false">IF(H10185=0,0,H10186/ABS(H10185))</f>
        <v>-0.816327121096129</v>
      </c>
      <c r="I10187" s="21" t="n">
        <f aca="false">IF(I10185=0,0,I10186/ABS(I10185))</f>
        <v>-1.27193996940763</v>
      </c>
      <c r="J10187" s="21" t="n">
        <f aca="false">IF(J10185=0,0,J10186/ABS(J10185))</f>
        <v>-1.45009851476886</v>
      </c>
      <c r="K10187" s="21" t="n">
        <f aca="false">IF(K10185=0,0,K10186/ABS(K10185))</f>
        <v>-1.58509900845087</v>
      </c>
    </row>
    <row r="10188" customFormat="false" ht="15" hidden="false" customHeight="false" outlineLevel="0" collapsed="false">
      <c r="A10188" s="3" t="s">
        <v>377</v>
      </c>
      <c r="G10188" s="20" t="n">
        <f aca="false">IF(G10186&lt;0,1,0)</f>
        <v>1</v>
      </c>
      <c r="H10188" s="20" t="n">
        <f aca="false">IF(H10186&lt;0,1,0)</f>
        <v>1</v>
      </c>
      <c r="I10188" s="20" t="n">
        <f aca="false">IF(I10186&lt;0,1,0)</f>
        <v>1</v>
      </c>
      <c r="J10188" s="20" t="n">
        <f aca="false">IF(J10186&lt;0,1,0)</f>
        <v>1</v>
      </c>
      <c r="K10188" s="20" t="n">
        <f aca="false">IF(K10186&lt;0,1,0)</f>
        <v>1</v>
      </c>
    </row>
    <row r="10189" customFormat="false" ht="15" hidden="false" customHeight="false" outlineLevel="0" collapsed="false">
      <c r="A10189" s="3" t="s">
        <v>378</v>
      </c>
      <c r="C10189" s="20" t="n">
        <f aca="false">IFERROR(INDEX($G$10057:$K$10057,MATCH(1,$G$10188:$K$10188,0)),0)</f>
        <v>2027</v>
      </c>
    </row>
    <row r="10190" customFormat="false" ht="15" hidden="false" customHeight="false" outlineLevel="0" collapsed="false">
      <c r="A10190" s="3" t="s">
        <v>379</v>
      </c>
      <c r="C10190" s="21" t="n">
        <f aca="false">MIN($G$10187:$K$10187)</f>
        <v>-1.58509900845087</v>
      </c>
    </row>
    <row r="10191" customFormat="false" ht="15" hidden="false" customHeight="false" outlineLevel="0" collapsed="false">
      <c r="A10191" s="23" t="s">
        <v>380</v>
      </c>
      <c r="B10191" s="24"/>
      <c r="C10191" s="24"/>
      <c r="D10191" s="24"/>
      <c r="E10191" s="24"/>
      <c r="F10191" s="24"/>
      <c r="G10191" s="24"/>
      <c r="H10191" s="24"/>
      <c r="I10191" s="24"/>
      <c r="J10191" s="24"/>
      <c r="K10191" s="24"/>
    </row>
    <row r="10192" customFormat="false" ht="15" hidden="false" customHeight="false" outlineLevel="0" collapsed="false">
      <c r="A10192" s="3" t="s">
        <v>373</v>
      </c>
      <c r="G10192" s="32" t="n">
        <f aca="false">IF(G10071&gt;0,G10067/G10071,99)</f>
        <v>1.17957990870039</v>
      </c>
      <c r="H10192" s="32" t="n">
        <f aca="false">IF(H10071&gt;0,H10067/H10071,99)</f>
        <v>0.914174429242805</v>
      </c>
      <c r="I10192" s="32" t="n">
        <f aca="false">IF(I10071&gt;0,I10067/I10071,99)</f>
        <v>0.81056799392862</v>
      </c>
      <c r="J10192" s="32" t="n">
        <f aca="false">IF(J10071&gt;0,J10067/J10071,99)</f>
        <v>0.856140024418457</v>
      </c>
      <c r="K10192" s="32" t="n">
        <f aca="false">IF(K10071&gt;0,K10067/K10071,99)</f>
        <v>0.847578624174273</v>
      </c>
    </row>
    <row r="10193" customFormat="false" ht="15" hidden="false" customHeight="false" outlineLevel="0" collapsed="false">
      <c r="A10193" s="3" t="s">
        <v>374</v>
      </c>
      <c r="G10193" s="33" t="n">
        <f aca="false">Assumptions!$G$66</f>
        <v>1.4</v>
      </c>
      <c r="H10193" s="33" t="n">
        <f aca="false">Assumptions!$H$66</f>
        <v>1.4</v>
      </c>
      <c r="I10193" s="33" t="n">
        <f aca="false">Assumptions!$I$66</f>
        <v>1.4</v>
      </c>
      <c r="J10193" s="33" t="n">
        <f aca="false">Assumptions!$J$66</f>
        <v>1.5</v>
      </c>
      <c r="K10193" s="33" t="n">
        <f aca="false">Assumptions!$K$66</f>
        <v>1.5</v>
      </c>
    </row>
    <row r="10194" customFormat="false" ht="15" hidden="false" customHeight="false" outlineLevel="0" collapsed="false">
      <c r="A10194" s="3" t="s">
        <v>375</v>
      </c>
      <c r="G10194" s="32" t="n">
        <f aca="false">G10192-G10193</f>
        <v>-0.220420091299607</v>
      </c>
      <c r="H10194" s="32" t="n">
        <f aca="false">H10192-H10193</f>
        <v>-0.485825570757195</v>
      </c>
      <c r="I10194" s="32" t="n">
        <f aca="false">I10192-I10193</f>
        <v>-0.58943200607138</v>
      </c>
      <c r="J10194" s="32" t="n">
        <f aca="false">J10192-J10193</f>
        <v>-0.643859975581543</v>
      </c>
      <c r="K10194" s="32" t="n">
        <f aca="false">K10192-K10193</f>
        <v>-0.652421375825727</v>
      </c>
    </row>
    <row r="10195" customFormat="false" ht="15" hidden="false" customHeight="false" outlineLevel="0" collapsed="false">
      <c r="A10195" s="3" t="s">
        <v>376</v>
      </c>
      <c r="G10195" s="21" t="n">
        <f aca="false">IF(G10193=0,0,G10194/ABS(G10193))</f>
        <v>-0.157442922356862</v>
      </c>
      <c r="H10195" s="21" t="n">
        <f aca="false">IF(H10193=0,0,H10194/ABS(H10193))</f>
        <v>-0.347018264826568</v>
      </c>
      <c r="I10195" s="21" t="n">
        <f aca="false">IF(I10193=0,0,I10194/ABS(I10193))</f>
        <v>-0.421022861479557</v>
      </c>
      <c r="J10195" s="21" t="n">
        <f aca="false">IF(J10193=0,0,J10194/ABS(J10193))</f>
        <v>-0.429239983721028</v>
      </c>
      <c r="K10195" s="21" t="n">
        <f aca="false">IF(K10193=0,0,K10194/ABS(K10193))</f>
        <v>-0.434947583883818</v>
      </c>
    </row>
    <row r="10196" customFormat="false" ht="15" hidden="false" customHeight="false" outlineLevel="0" collapsed="false">
      <c r="A10196" s="3" t="s">
        <v>377</v>
      </c>
      <c r="G10196" s="20" t="n">
        <f aca="false">IF(G10194&lt;0,1,0)</f>
        <v>1</v>
      </c>
      <c r="H10196" s="20" t="n">
        <f aca="false">IF(H10194&lt;0,1,0)</f>
        <v>1</v>
      </c>
      <c r="I10196" s="20" t="n">
        <f aca="false">IF(I10194&lt;0,1,0)</f>
        <v>1</v>
      </c>
      <c r="J10196" s="20" t="n">
        <f aca="false">IF(J10194&lt;0,1,0)</f>
        <v>1</v>
      </c>
      <c r="K10196" s="20" t="n">
        <f aca="false">IF(K10194&lt;0,1,0)</f>
        <v>1</v>
      </c>
    </row>
    <row r="10197" customFormat="false" ht="15" hidden="false" customHeight="false" outlineLevel="0" collapsed="false">
      <c r="A10197" s="3" t="s">
        <v>378</v>
      </c>
      <c r="C10197" s="20" t="n">
        <f aca="false">IFERROR(INDEX($G$10057:$K$10057,MATCH(1,$G$10196:$K$10196,0)),0)</f>
        <v>2027</v>
      </c>
    </row>
    <row r="10198" customFormat="false" ht="15" hidden="false" customHeight="false" outlineLevel="0" collapsed="false">
      <c r="A10198" s="3" t="s">
        <v>379</v>
      </c>
      <c r="C10198" s="21" t="n">
        <f aca="false">MIN($G$10195:$K$10195)</f>
        <v>-0.434947583883818</v>
      </c>
    </row>
    <row r="10199" customFormat="false" ht="15" hidden="false" customHeight="false" outlineLevel="0" collapsed="false">
      <c r="A10199" s="23" t="s">
        <v>381</v>
      </c>
      <c r="B10199" s="24"/>
      <c r="C10199" s="24"/>
      <c r="D10199" s="24"/>
      <c r="E10199" s="24"/>
      <c r="F10199" s="24"/>
      <c r="G10199" s="24"/>
      <c r="H10199" s="24"/>
      <c r="I10199" s="24"/>
      <c r="J10199" s="24"/>
      <c r="K10199" s="24"/>
    </row>
    <row r="10200" customFormat="false" ht="15" hidden="false" customHeight="false" outlineLevel="0" collapsed="false">
      <c r="A10200" s="3" t="s">
        <v>373</v>
      </c>
      <c r="G10200" s="25" t="n">
        <f aca="false">G10178</f>
        <v>438.85803784</v>
      </c>
      <c r="H10200" s="25" t="n">
        <f aca="false">H10178</f>
        <v>376.0489518442</v>
      </c>
      <c r="I10200" s="25" t="n">
        <f aca="false">I10178</f>
        <v>0</v>
      </c>
      <c r="J10200" s="25" t="n">
        <f aca="false">J10178</f>
        <v>0</v>
      </c>
      <c r="K10200" s="25" t="n">
        <f aca="false">K10178</f>
        <v>0</v>
      </c>
    </row>
    <row r="10201" customFormat="false" ht="15" hidden="false" customHeight="false" outlineLevel="0" collapsed="false">
      <c r="A10201" s="3" t="s">
        <v>374</v>
      </c>
      <c r="G10201" s="29" t="n">
        <f aca="false">Assumptions!$G$67</f>
        <v>200</v>
      </c>
      <c r="H10201" s="29" t="n">
        <f aca="false">Assumptions!$H$67</f>
        <v>200</v>
      </c>
      <c r="I10201" s="29" t="n">
        <f aca="false">Assumptions!$I$67</f>
        <v>200</v>
      </c>
      <c r="J10201" s="29" t="n">
        <f aca="false">Assumptions!$J$67</f>
        <v>200</v>
      </c>
      <c r="K10201" s="29" t="n">
        <f aca="false">Assumptions!$K$67</f>
        <v>200</v>
      </c>
    </row>
    <row r="10202" customFormat="false" ht="15" hidden="false" customHeight="false" outlineLevel="0" collapsed="false">
      <c r="A10202" s="3" t="s">
        <v>375</v>
      </c>
      <c r="G10202" s="25" t="n">
        <f aca="false">G10200-G10201</f>
        <v>238.85803784</v>
      </c>
      <c r="H10202" s="25" t="n">
        <f aca="false">H10200-H10201</f>
        <v>176.0489518442</v>
      </c>
      <c r="I10202" s="25" t="n">
        <f aca="false">I10200-I10201</f>
        <v>-200</v>
      </c>
      <c r="J10202" s="25" t="n">
        <f aca="false">J10200-J10201</f>
        <v>-200</v>
      </c>
      <c r="K10202" s="25" t="n">
        <f aca="false">K10200-K10201</f>
        <v>-200</v>
      </c>
    </row>
    <row r="10203" customFormat="false" ht="15" hidden="false" customHeight="false" outlineLevel="0" collapsed="false">
      <c r="A10203" s="3" t="s">
        <v>376</v>
      </c>
      <c r="G10203" s="21" t="n">
        <f aca="false">IF(G10201=0,0,G10202/ABS(G10201))</f>
        <v>1.1942901892</v>
      </c>
      <c r="H10203" s="21" t="n">
        <f aca="false">IF(H10201=0,0,H10202/ABS(H10201))</f>
        <v>0.880244759221</v>
      </c>
      <c r="I10203" s="21" t="n">
        <f aca="false">IF(I10201=0,0,I10202/ABS(I10201))</f>
        <v>-1</v>
      </c>
      <c r="J10203" s="21" t="n">
        <f aca="false">IF(J10201=0,0,J10202/ABS(J10201))</f>
        <v>-1</v>
      </c>
      <c r="K10203" s="21" t="n">
        <f aca="false">IF(K10201=0,0,K10202/ABS(K10201))</f>
        <v>-1</v>
      </c>
    </row>
    <row r="10204" customFormat="false" ht="15" hidden="false" customHeight="false" outlineLevel="0" collapsed="false">
      <c r="A10204" s="3" t="s">
        <v>377</v>
      </c>
      <c r="G10204" s="20" t="n">
        <f aca="false">IF(G10202&lt;0,1,0)</f>
        <v>0</v>
      </c>
      <c r="H10204" s="20" t="n">
        <f aca="false">IF(H10202&lt;0,1,0)</f>
        <v>0</v>
      </c>
      <c r="I10204" s="20" t="n">
        <f aca="false">IF(I10202&lt;0,1,0)</f>
        <v>1</v>
      </c>
      <c r="J10204" s="20" t="n">
        <f aca="false">IF(J10202&lt;0,1,0)</f>
        <v>1</v>
      </c>
      <c r="K10204" s="20" t="n">
        <f aca="false">IF(K10202&lt;0,1,0)</f>
        <v>1</v>
      </c>
    </row>
    <row r="10205" customFormat="false" ht="15" hidden="false" customHeight="false" outlineLevel="0" collapsed="false">
      <c r="A10205" s="3" t="s">
        <v>378</v>
      </c>
      <c r="C10205" s="20" t="n">
        <f aca="false">IFERROR(INDEX($G$10057:$K$10057,MATCH(1,$G$10204:$K$10204,0)),0)</f>
        <v>2029</v>
      </c>
    </row>
    <row r="10206" customFormat="false" ht="15" hidden="false" customHeight="false" outlineLevel="0" collapsed="false">
      <c r="A10206" s="3" t="s">
        <v>379</v>
      </c>
      <c r="C10206" s="21" t="n">
        <f aca="false">MIN($G$10203:$K$10203)</f>
        <v>-1</v>
      </c>
    </row>
    <row r="10207" customFormat="false" ht="15" hidden="false" customHeight="false" outlineLevel="0" collapsed="false">
      <c r="A10207" s="3" t="s">
        <v>382</v>
      </c>
      <c r="G10207" s="20" t="n">
        <f aca="false">G10188+G10196+G10204</f>
        <v>2</v>
      </c>
      <c r="H10207" s="20" t="n">
        <f aca="false">H10188+H10196+H10204</f>
        <v>2</v>
      </c>
      <c r="I10207" s="20" t="n">
        <f aca="false">I10188+I10196+I10204</f>
        <v>3</v>
      </c>
      <c r="J10207" s="20" t="n">
        <f aca="false">J10188+J10196+J10204</f>
        <v>3</v>
      </c>
      <c r="K10207" s="20" t="n">
        <f aca="false">K10188+K10196+K10204</f>
        <v>3</v>
      </c>
    </row>
    <row r="10208" customFormat="false" ht="15" hidden="false" customHeight="false" outlineLevel="0" collapsed="false">
      <c r="A10208" s="3" t="s">
        <v>383</v>
      </c>
      <c r="C10208" s="20" t="n">
        <f aca="false">SUM($G$10207:$K$10207)</f>
        <v>13</v>
      </c>
    </row>
    <row r="10209" customFormat="false" ht="15" hidden="false" customHeight="false" outlineLevel="0" collapsed="false">
      <c r="A10209" s="3" t="s">
        <v>384</v>
      </c>
      <c r="C10209" s="21" t="n">
        <f aca="false">MIN(C10190,C10198,C10206)</f>
        <v>-1.58509900845087</v>
      </c>
    </row>
    <row r="10211" customFormat="false" ht="15" hidden="false" customHeight="false" outlineLevel="0" collapsed="false">
      <c r="A10211" s="23" t="s">
        <v>486</v>
      </c>
      <c r="B10211" s="24"/>
      <c r="C10211" s="24"/>
      <c r="D10211" s="24"/>
      <c r="E10211" s="24"/>
      <c r="F10211" s="24"/>
      <c r="G10211" s="24"/>
      <c r="H10211" s="24"/>
      <c r="I10211" s="24"/>
      <c r="J10211" s="24"/>
      <c r="K10211" s="24"/>
    </row>
    <row r="10212" customFormat="false" ht="15" hidden="false" customHeight="false" outlineLevel="0" collapsed="false">
      <c r="A10212" s="3" t="s">
        <v>487</v>
      </c>
      <c r="G10212" s="20" t="n">
        <f aca="false">IF($C$10213=1,G10165,IF(G10067=MIN($G$10067:$K$10067),1,0))</f>
        <v>0</v>
      </c>
      <c r="H10212" s="20" t="n">
        <f aca="false">IF($C$10213=1,H10165,IF(AND(H10067=MIN($G$10067:$K$10067),SUM($G$10212:G10212)=0),1,0))</f>
        <v>0</v>
      </c>
      <c r="I10212" s="20" t="n">
        <f aca="false">IF($C$10213=1,I10165,IF(AND(I10067=MIN($G$10067:$K$10067),SUM($G$10212:H10212)=0),1,0))</f>
        <v>1</v>
      </c>
      <c r="J10212" s="20" t="n">
        <f aca="false">IF($C$10213=1,J10165,IF(AND(J10067=MIN($G$10067:$K$10067),SUM($G$10212:I10212)=0),1,0))</f>
        <v>0</v>
      </c>
      <c r="K10212" s="20" t="n">
        <f aca="false">IF($C$10213=1,K10165,IF(AND(K10067=MIN($G$10067:$K$10067),SUM($G$10212:J10212)=0),1,0))</f>
        <v>0</v>
      </c>
    </row>
    <row r="10213" customFormat="false" ht="15" hidden="false" customHeight="false" outlineLevel="0" collapsed="false">
      <c r="A10213" s="3" t="s">
        <v>488</v>
      </c>
      <c r="C10213" s="20" t="n">
        <f aca="false">IF(SUM($G$10165:$K$10165)&gt;0,1,0)</f>
        <v>1</v>
      </c>
    </row>
    <row r="10214" customFormat="false" ht="15" hidden="false" customHeight="false" outlineLevel="0" collapsed="false">
      <c r="A10214" s="3" t="s">
        <v>489</v>
      </c>
      <c r="C10214" s="20" t="n">
        <f aca="false">SUMPRODUCT($G$10212:$K$10212,$G$10057:$K$10057)</f>
        <v>2029</v>
      </c>
    </row>
    <row r="10215" customFormat="false" ht="15" hidden="false" customHeight="false" outlineLevel="0" collapsed="false">
      <c r="A10215" s="3" t="s">
        <v>490</v>
      </c>
      <c r="C10215" s="25" t="n">
        <f aca="false">SUMPRODUCT($G$10212:$K$10212,$G$10067:$K$10067)</f>
        <v>126.4118640057</v>
      </c>
    </row>
    <row r="10216" customFormat="false" ht="15" hidden="false" customHeight="false" outlineLevel="0" collapsed="false">
      <c r="A10216" s="3" t="s">
        <v>491</v>
      </c>
      <c r="C10216" s="25" t="n">
        <f aca="false">MAX(0,SUMPRODUCT($G$10212:$K$10212,$G$10162:$K$10162))</f>
        <v>0</v>
      </c>
    </row>
    <row r="10217" customFormat="false" ht="15" hidden="false" customHeight="false" outlineLevel="0" collapsed="false">
      <c r="A10217" s="3" t="s">
        <v>492</v>
      </c>
      <c r="C10217" s="25" t="n">
        <f aca="false">(CHOOSE($C$10050,Assumptions!$C$84,Assumptions!$C$103,Assumptions!$C$122)+$C$10054)*C10215</f>
        <v>505.6474560228</v>
      </c>
    </row>
    <row r="10218" customFormat="false" ht="15" hidden="false" customHeight="false" outlineLevel="0" collapsed="false">
      <c r="A10218" s="3" t="s">
        <v>493</v>
      </c>
      <c r="C10218" s="25" t="n">
        <f aca="false">Assumptions!$C$30*(1-CHOOSE($C$10050,Assumptions!$C$85,Assumptions!$C$104,Assumptions!$C$123))*CHOOSE($C$10050,Assumptions!$C$86,Assumptions!$C$105,Assumptions!$C$124)</f>
        <v>478.719345</v>
      </c>
    </row>
    <row r="10219" customFormat="false" ht="15" hidden="false" customHeight="false" outlineLevel="0" collapsed="false">
      <c r="A10219" s="3" t="s">
        <v>494</v>
      </c>
      <c r="C10219" s="25" t="n">
        <f aca="false">MAX(C10217,C10218)+C10216</f>
        <v>505.6474560228</v>
      </c>
    </row>
    <row r="10220" customFormat="false" ht="15" hidden="false" customHeight="false" outlineLevel="0" collapsed="false">
      <c r="A10220" s="2" t="s">
        <v>495</v>
      </c>
      <c r="C10220" s="16" t="n">
        <f aca="false">IF(ISNUMBER(Assumptions!$C$14),Assumptions!$C$14,C10219)</f>
        <v>505.6474560228</v>
      </c>
    </row>
    <row r="10221" customFormat="false" ht="15" hidden="false" customHeight="false" outlineLevel="0" collapsed="false">
      <c r="A10221" s="3" t="s">
        <v>496</v>
      </c>
      <c r="C10221" s="25" t="n">
        <f aca="false">C10220*Assumptions!$C$15</f>
        <v>20.225898240912</v>
      </c>
    </row>
    <row r="10222" customFormat="false" ht="15" hidden="false" customHeight="false" outlineLevel="0" collapsed="false">
      <c r="A10222" s="2" t="s">
        <v>497</v>
      </c>
      <c r="C10222" s="16" t="n">
        <f aca="false">C10220-C10221</f>
        <v>485.421557781888</v>
      </c>
    </row>
    <row r="10223" customFormat="false" ht="15" hidden="false" customHeight="false" outlineLevel="0" collapsed="false">
      <c r="A10223" s="23" t="s">
        <v>498</v>
      </c>
      <c r="B10223" s="24"/>
      <c r="C10223" s="24"/>
      <c r="D10223" s="24"/>
      <c r="E10223" s="24"/>
      <c r="F10223" s="24"/>
      <c r="G10223" s="24"/>
      <c r="H10223" s="24"/>
      <c r="I10223" s="24"/>
      <c r="J10223" s="24"/>
      <c r="K10223" s="24"/>
    </row>
    <row r="10224" customFormat="false" ht="15" hidden="false" customHeight="false" outlineLevel="0" collapsed="false">
      <c r="A10224" s="3" t="s">
        <v>499</v>
      </c>
      <c r="C10224" s="25" t="n">
        <f aca="false">SUMPRODUCT($G$10212:$K$10212,$G$10104:$K$10104)*(1+SUMPRODUCT($G$10212:$K$10212,$G$10096:$K$10096)*Assumptions!$C$16/12)</f>
        <v>1349.6193225</v>
      </c>
    </row>
    <row r="10225" customFormat="false" ht="15" hidden="false" customHeight="false" outlineLevel="0" collapsed="false">
      <c r="A10225" s="3" t="s">
        <v>500</v>
      </c>
      <c r="C10225" s="25" t="n">
        <f aca="false">SUMPRODUCT($G$10212:$K$10212,$G$10117:$K$10117)*(1+SUMPRODUCT($G$10212:$K$10212,$G$10109:$K$10109)*Assumptions!$C$16/12)</f>
        <v>0</v>
      </c>
    </row>
    <row r="10226" customFormat="false" ht="15" hidden="false" customHeight="false" outlineLevel="0" collapsed="false">
      <c r="A10226" s="3" t="s">
        <v>501</v>
      </c>
      <c r="C10226" s="25" t="n">
        <f aca="false">SUMPRODUCT($G$10212:$K$10212,$G$10130:$K$10130)*(1+SUMPRODUCT($G$10212:$K$10212,$G$10122:$K$10122)*Assumptions!$C$16/12)</f>
        <v>122.187424801585</v>
      </c>
    </row>
    <row r="10227" customFormat="false" ht="15" hidden="false" customHeight="false" outlineLevel="0" collapsed="false">
      <c r="A10227" s="23" t="s">
        <v>502</v>
      </c>
      <c r="B10227" s="24"/>
      <c r="C10227" s="24"/>
      <c r="D10227" s="24"/>
      <c r="E10227" s="24"/>
      <c r="F10227" s="24"/>
      <c r="G10227" s="24"/>
      <c r="H10227" s="24"/>
      <c r="I10227" s="24"/>
      <c r="J10227" s="24"/>
      <c r="K10227" s="24"/>
    </row>
    <row r="10228" customFormat="false" ht="15" hidden="false" customHeight="false" outlineLevel="0" collapsed="false">
      <c r="A10228" s="3" t="s">
        <v>499</v>
      </c>
      <c r="C10228" s="27" t="n">
        <f aca="false">Assumptions!$M$56</f>
        <v>1</v>
      </c>
    </row>
    <row r="10229" customFormat="false" ht="15" hidden="false" customHeight="false" outlineLevel="0" collapsed="false">
      <c r="A10229" s="3" t="s">
        <v>500</v>
      </c>
      <c r="C10229" s="27" t="n">
        <f aca="false">Assumptions!$M$57</f>
        <v>2</v>
      </c>
    </row>
    <row r="10230" customFormat="false" ht="15" hidden="false" customHeight="false" outlineLevel="0" collapsed="false">
      <c r="A10230" s="3" t="s">
        <v>501</v>
      </c>
      <c r="C10230" s="27" t="n">
        <f aca="false">Assumptions!$M$58</f>
        <v>2</v>
      </c>
    </row>
    <row r="10231" customFormat="false" ht="15" hidden="false" customHeight="false" outlineLevel="0" collapsed="false">
      <c r="A10231" s="23" t="s">
        <v>503</v>
      </c>
      <c r="B10231" s="24"/>
      <c r="C10231" s="24"/>
      <c r="D10231" s="24"/>
      <c r="E10231" s="24"/>
      <c r="F10231" s="24"/>
      <c r="G10231" s="24"/>
      <c r="H10231" s="24"/>
      <c r="I10231" s="24"/>
      <c r="J10231" s="24"/>
      <c r="K10231" s="24"/>
    </row>
    <row r="10232" customFormat="false" ht="15" hidden="false" customHeight="false" outlineLevel="0" collapsed="false">
      <c r="A10232" s="3" t="s">
        <v>499</v>
      </c>
      <c r="C10232" s="35" t="n">
        <f aca="false">Assumptions!$Q$56</f>
        <v>0</v>
      </c>
    </row>
    <row r="10233" customFormat="false" ht="15" hidden="false" customHeight="false" outlineLevel="0" collapsed="false">
      <c r="A10233" s="3" t="s">
        <v>500</v>
      </c>
      <c r="C10233" s="35" t="n">
        <f aca="false">Assumptions!$Q$57</f>
        <v>0</v>
      </c>
    </row>
    <row r="10234" customFormat="false" ht="15" hidden="false" customHeight="false" outlineLevel="0" collapsed="false">
      <c r="A10234" s="3" t="s">
        <v>501</v>
      </c>
      <c r="C10234" s="35" t="n">
        <f aca="false">Assumptions!$Q$58</f>
        <v>0</v>
      </c>
    </row>
    <row r="10235" customFormat="false" ht="15" hidden="false" customHeight="false" outlineLevel="0" collapsed="false">
      <c r="A10235" s="23" t="s">
        <v>504</v>
      </c>
      <c r="B10235" s="24"/>
      <c r="C10235" s="24"/>
      <c r="D10235" s="24"/>
      <c r="E10235" s="24"/>
      <c r="F10235" s="24"/>
      <c r="G10235" s="24"/>
      <c r="H10235" s="24"/>
      <c r="I10235" s="24"/>
      <c r="J10235" s="24"/>
      <c r="K10235" s="24"/>
    </row>
    <row r="10236" customFormat="false" ht="15" hidden="false" customHeight="false" outlineLevel="0" collapsed="false">
      <c r="A10236" s="3" t="s">
        <v>499</v>
      </c>
      <c r="C10236" s="25" t="n">
        <f aca="false">IF(C10232&gt;0,MIN(C10224,C10232*$C$10222),0)</f>
        <v>0</v>
      </c>
    </row>
    <row r="10237" customFormat="false" ht="15" hidden="false" customHeight="false" outlineLevel="0" collapsed="false">
      <c r="A10237" s="3" t="s">
        <v>500</v>
      </c>
      <c r="C10237" s="25" t="n">
        <f aca="false">IF(C10233&gt;0,MIN(C10225,C10233*$C$10222),0)</f>
        <v>0</v>
      </c>
    </row>
    <row r="10238" customFormat="false" ht="15" hidden="false" customHeight="false" outlineLevel="0" collapsed="false">
      <c r="A10238" s="3" t="s">
        <v>501</v>
      </c>
      <c r="C10238" s="25" t="n">
        <f aca="false">IF(C10234&gt;0,MIN(C10226,C10234*$C$10222),0)</f>
        <v>0</v>
      </c>
    </row>
    <row r="10239" customFormat="false" ht="15" hidden="false" customHeight="false" outlineLevel="0" collapsed="false">
      <c r="A10239" s="23" t="s">
        <v>505</v>
      </c>
      <c r="B10239" s="24"/>
      <c r="C10239" s="24"/>
      <c r="D10239" s="24"/>
      <c r="E10239" s="24"/>
      <c r="F10239" s="24"/>
      <c r="G10239" s="24"/>
      <c r="H10239" s="24"/>
      <c r="I10239" s="24"/>
      <c r="J10239" s="24"/>
      <c r="K10239" s="24"/>
    </row>
    <row r="10240" customFormat="false" ht="15" hidden="false" customHeight="false" outlineLevel="0" collapsed="false">
      <c r="A10240" s="3" t="s">
        <v>499</v>
      </c>
      <c r="C10240" s="25" t="n">
        <f aca="false">IF(C10232&gt;0,C10224-C10236,0)</f>
        <v>0</v>
      </c>
      <c r="G10240" s="20" t="n">
        <f aca="false">IF(AND(G10094=1,G10091=1),1,0)</f>
        <v>0</v>
      </c>
      <c r="H10240" s="20" t="n">
        <f aca="false">IF(G10240=1,1,IF(AND(H10094=1,H10091=1),1,0))</f>
        <v>0</v>
      </c>
      <c r="I10240" s="20" t="n">
        <f aca="false">IF(H10240=1,1,IF(AND(I10094=1,I10091=1),1,0))</f>
        <v>0</v>
      </c>
      <c r="J10240" s="20" t="n">
        <f aca="false">IF(I10240=1,1,IF(AND(J10094=1,J10091=1),1,0))</f>
        <v>0</v>
      </c>
      <c r="K10240" s="20" t="n">
        <f aca="false">IF(J10240=1,1,IF(AND(K10094=1,K10091=1),1,0))</f>
        <v>0</v>
      </c>
    </row>
    <row r="10241" customFormat="false" ht="15" hidden="false" customHeight="false" outlineLevel="0" collapsed="false">
      <c r="A10241" s="3" t="s">
        <v>500</v>
      </c>
      <c r="C10241" s="25" t="n">
        <f aca="false">IF(C10233&gt;0,C10225-C10237,0)</f>
        <v>0</v>
      </c>
      <c r="G10241" s="20" t="n">
        <f aca="false">IF(AND(G10107=1,G10091=1),1,0)</f>
        <v>0</v>
      </c>
      <c r="H10241" s="20" t="n">
        <f aca="false">IF(G10241=1,1,IF(AND(H10107=1,H10091=1),1,0))</f>
        <v>0</v>
      </c>
      <c r="I10241" s="20" t="n">
        <f aca="false">IF(H10241=1,1,IF(AND(I10107=1,I10091=1),1,0))</f>
        <v>0</v>
      </c>
      <c r="J10241" s="20" t="n">
        <f aca="false">IF(I10241=1,1,IF(AND(J10107=1,J10091=1),1,0))</f>
        <v>0</v>
      </c>
      <c r="K10241" s="20" t="n">
        <f aca="false">IF(J10241=1,1,IF(AND(K10107=1,K10091=1),1,0))</f>
        <v>0</v>
      </c>
    </row>
    <row r="10242" customFormat="false" ht="15" hidden="false" customHeight="false" outlineLevel="0" collapsed="false">
      <c r="A10242" s="3" t="s">
        <v>501</v>
      </c>
      <c r="C10242" s="25" t="n">
        <f aca="false">IF(C10234&gt;0,C10226-C10238,0)</f>
        <v>0</v>
      </c>
      <c r="G10242" s="20" t="n">
        <f aca="false">IF(AND(G10120=1,G10091=1),1,0)</f>
        <v>0</v>
      </c>
      <c r="H10242" s="20" t="n">
        <f aca="false">IF(G10242=1,1,IF(AND(H10120=1,H10091=1),1,0))</f>
        <v>0</v>
      </c>
      <c r="I10242" s="20" t="n">
        <f aca="false">IF(H10242=1,1,IF(AND(I10120=1,I10091=1),1,0))</f>
        <v>0</v>
      </c>
      <c r="J10242" s="20" t="n">
        <f aca="false">IF(I10242=1,1,IF(AND(J10120=1,J10091=1),1,0))</f>
        <v>0</v>
      </c>
      <c r="K10242" s="20" t="n">
        <f aca="false">IF(J10242=1,1,IF(AND(K10120=1,K10091=1),1,0))</f>
        <v>0</v>
      </c>
    </row>
    <row r="10243" customFormat="false" ht="15" hidden="false" customHeight="false" outlineLevel="0" collapsed="false">
      <c r="A10243" s="23" t="s">
        <v>506</v>
      </c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</row>
    <row r="10244" customFormat="false" ht="15" hidden="false" customHeight="false" outlineLevel="0" collapsed="false">
      <c r="A10244" s="3" t="s">
        <v>499</v>
      </c>
      <c r="C10244" s="25" t="n">
        <f aca="false">IF(C10232&gt;0,C10240,C10224)</f>
        <v>1349.6193225</v>
      </c>
    </row>
    <row r="10245" customFormat="false" ht="15" hidden="false" customHeight="false" outlineLevel="0" collapsed="false">
      <c r="A10245" s="3" t="s">
        <v>500</v>
      </c>
      <c r="C10245" s="25" t="n">
        <f aca="false">IF(C10233&gt;0,C10241,C10225)</f>
        <v>0</v>
      </c>
    </row>
    <row r="10246" customFormat="false" ht="15" hidden="false" customHeight="false" outlineLevel="0" collapsed="false">
      <c r="A10246" s="3" t="s">
        <v>501</v>
      </c>
      <c r="C10246" s="25" t="n">
        <f aca="false">IF(C10234&gt;0,C10242,C10226)</f>
        <v>122.187424801585</v>
      </c>
    </row>
    <row r="10247" customFormat="false" ht="15" hidden="false" customHeight="false" outlineLevel="0" collapsed="false">
      <c r="A10247" s="23" t="s">
        <v>507</v>
      </c>
      <c r="B10247" s="24"/>
      <c r="C10247" s="24"/>
      <c r="D10247" s="24"/>
      <c r="E10247" s="24"/>
      <c r="F10247" s="24"/>
      <c r="G10247" s="24"/>
      <c r="H10247" s="24"/>
      <c r="I10247" s="24"/>
      <c r="J10247" s="24"/>
      <c r="K10247" s="24"/>
    </row>
    <row r="10248" customFormat="false" ht="15" hidden="false" customHeight="false" outlineLevel="0" collapsed="false">
      <c r="A10248" s="3" t="s">
        <v>499</v>
      </c>
      <c r="C10248" s="20" t="n">
        <f aca="false">IF(C10232&gt;0,Assumptions!$C$17,C10228)</f>
        <v>1</v>
      </c>
    </row>
    <row r="10249" customFormat="false" ht="15" hidden="false" customHeight="false" outlineLevel="0" collapsed="false">
      <c r="A10249" s="3" t="s">
        <v>500</v>
      </c>
      <c r="C10249" s="20" t="n">
        <f aca="false">IF(C10233&gt;0,Assumptions!$C$17,C10229)</f>
        <v>2</v>
      </c>
    </row>
    <row r="10250" customFormat="false" ht="15" hidden="false" customHeight="false" outlineLevel="0" collapsed="false">
      <c r="A10250" s="3" t="s">
        <v>501</v>
      </c>
      <c r="C10250" s="20" t="n">
        <f aca="false">IF(C10234&gt;0,Assumptions!$C$17,C10230)</f>
        <v>2</v>
      </c>
    </row>
    <row r="10251" customFormat="false" ht="15" hidden="false" customHeight="false" outlineLevel="0" collapsed="false">
      <c r="A10251" s="23" t="s">
        <v>508</v>
      </c>
      <c r="B10251" s="24"/>
      <c r="C10251" s="24"/>
      <c r="D10251" s="24"/>
      <c r="E10251" s="24"/>
      <c r="F10251" s="24"/>
      <c r="G10251" s="24"/>
      <c r="H10251" s="24"/>
      <c r="I10251" s="24"/>
      <c r="J10251" s="24"/>
      <c r="K10251" s="24"/>
    </row>
    <row r="10252" customFormat="false" ht="15" hidden="false" customHeight="false" outlineLevel="0" collapsed="false">
      <c r="A10252" s="3" t="s">
        <v>499</v>
      </c>
      <c r="C10252" s="25" t="n">
        <f aca="false">SUMPRODUCT(($C$10248:$C$10250&lt;C10248)*$C$10244:$C$10246)</f>
        <v>0</v>
      </c>
    </row>
    <row r="10253" customFormat="false" ht="15" hidden="false" customHeight="false" outlineLevel="0" collapsed="false">
      <c r="A10253" s="3" t="s">
        <v>500</v>
      </c>
      <c r="C10253" s="25" t="n">
        <f aca="false">SUMPRODUCT(($C$10248:$C$10250&lt;C10249)*$C$10244:$C$10246)</f>
        <v>1349.6193225</v>
      </c>
    </row>
    <row r="10254" customFormat="false" ht="15" hidden="false" customHeight="false" outlineLevel="0" collapsed="false">
      <c r="A10254" s="3" t="s">
        <v>501</v>
      </c>
      <c r="C10254" s="25" t="n">
        <f aca="false">SUMPRODUCT(($C$10248:$C$10250&lt;C10250)*$C$10244:$C$10246)</f>
        <v>1349.6193225</v>
      </c>
    </row>
    <row r="10255" customFormat="false" ht="15" hidden="false" customHeight="false" outlineLevel="0" collapsed="false">
      <c r="A10255" s="23" t="s">
        <v>509</v>
      </c>
      <c r="B10255" s="24"/>
      <c r="C10255" s="24"/>
      <c r="D10255" s="24"/>
      <c r="E10255" s="24"/>
      <c r="F10255" s="24"/>
      <c r="G10255" s="24"/>
      <c r="H10255" s="24"/>
      <c r="I10255" s="24"/>
      <c r="J10255" s="24"/>
      <c r="K10255" s="24"/>
    </row>
    <row r="10256" customFormat="false" ht="15" hidden="false" customHeight="false" outlineLevel="0" collapsed="false">
      <c r="A10256" s="3" t="s">
        <v>499</v>
      </c>
      <c r="C10256" s="25" t="n">
        <f aca="false">SUMPRODUCT(($C$10248:$C$10250=C10248)*$C$10244:$C$10246)</f>
        <v>1349.6193225</v>
      </c>
    </row>
    <row r="10257" customFormat="false" ht="15" hidden="false" customHeight="false" outlineLevel="0" collapsed="false">
      <c r="A10257" s="3" t="s">
        <v>500</v>
      </c>
      <c r="C10257" s="25" t="n">
        <f aca="false">SUMPRODUCT(($C$10248:$C$10250=C10249)*$C$10244:$C$10246)</f>
        <v>122.187424801585</v>
      </c>
    </row>
    <row r="10258" customFormat="false" ht="15" hidden="false" customHeight="false" outlineLevel="0" collapsed="false">
      <c r="A10258" s="3" t="s">
        <v>501</v>
      </c>
      <c r="C10258" s="25" t="n">
        <f aca="false">SUMPRODUCT(($C$10248:$C$10250=C10250)*$C$10244:$C$10246)</f>
        <v>122.187424801585</v>
      </c>
    </row>
    <row r="10259" customFormat="false" ht="15" hidden="false" customHeight="false" outlineLevel="0" collapsed="false">
      <c r="A10259" s="23" t="s">
        <v>510</v>
      </c>
      <c r="B10259" s="24"/>
      <c r="C10259" s="24"/>
      <c r="D10259" s="24"/>
      <c r="E10259" s="24"/>
      <c r="F10259" s="24"/>
      <c r="G10259" s="24"/>
      <c r="H10259" s="24"/>
      <c r="I10259" s="24"/>
      <c r="J10259" s="24"/>
      <c r="K10259" s="24"/>
    </row>
    <row r="10260" customFormat="false" ht="15" hidden="false" customHeight="false" outlineLevel="0" collapsed="false">
      <c r="A10260" s="3" t="s">
        <v>499</v>
      </c>
      <c r="C10260" s="25" t="n">
        <f aca="false">IF(C10256=0,0,C10244/C10256*MAX(0,MIN(C10256,$C$10222-SUM($C$10236:$C$10238)-C10252)))</f>
        <v>485.421557781888</v>
      </c>
    </row>
    <row r="10261" customFormat="false" ht="15" hidden="false" customHeight="false" outlineLevel="0" collapsed="false">
      <c r="A10261" s="3" t="s">
        <v>500</v>
      </c>
      <c r="C10261" s="25" t="n">
        <f aca="false">IF(C10257=0,0,C10245/C10257*MAX(0,MIN(C10257,$C$10222-SUM($C$10236:$C$10238)-C10253)))</f>
        <v>0</v>
      </c>
    </row>
    <row r="10262" customFormat="false" ht="15" hidden="false" customHeight="false" outlineLevel="0" collapsed="false">
      <c r="A10262" s="3" t="s">
        <v>501</v>
      </c>
      <c r="C10262" s="25" t="n">
        <f aca="false">IF(C10258=0,0,C10246/C10258*MAX(0,MIN(C10258,$C$10222-SUM($C$10236:$C$10238)-C10254)))</f>
        <v>0</v>
      </c>
    </row>
    <row r="10263" customFormat="false" ht="15" hidden="false" customHeight="false" outlineLevel="0" collapsed="false">
      <c r="A10263" s="23" t="s">
        <v>511</v>
      </c>
      <c r="B10263" s="24"/>
      <c r="C10263" s="24"/>
      <c r="D10263" s="24"/>
      <c r="E10263" s="24"/>
      <c r="F10263" s="24"/>
      <c r="G10263" s="24"/>
      <c r="H10263" s="24"/>
      <c r="I10263" s="24"/>
      <c r="J10263" s="24"/>
      <c r="K10263" s="24"/>
    </row>
    <row r="10264" customFormat="false" ht="15" hidden="false" customHeight="false" outlineLevel="0" collapsed="false">
      <c r="A10264" s="2" t="s">
        <v>499</v>
      </c>
      <c r="C10264" s="16" t="n">
        <f aca="false">C10236+C10260</f>
        <v>485.421557781888</v>
      </c>
    </row>
    <row r="10265" customFormat="false" ht="15" hidden="false" customHeight="false" outlineLevel="0" collapsed="false">
      <c r="A10265" s="2" t="s">
        <v>500</v>
      </c>
      <c r="C10265" s="16" t="n">
        <f aca="false">C10237+C10261</f>
        <v>0</v>
      </c>
    </row>
    <row r="10266" customFormat="false" ht="15" hidden="false" customHeight="false" outlineLevel="0" collapsed="false">
      <c r="A10266" s="2" t="s">
        <v>501</v>
      </c>
      <c r="C10266" s="16" t="n">
        <f aca="false">C10238+C10262</f>
        <v>0</v>
      </c>
    </row>
    <row r="10267" customFormat="false" ht="15" hidden="false" customHeight="false" outlineLevel="0" collapsed="false">
      <c r="A10267" s="23" t="s">
        <v>512</v>
      </c>
      <c r="B10267" s="24"/>
      <c r="C10267" s="24"/>
      <c r="D10267" s="24"/>
      <c r="E10267" s="24"/>
      <c r="F10267" s="24"/>
      <c r="G10267" s="24"/>
      <c r="H10267" s="24"/>
      <c r="I10267" s="24"/>
      <c r="J10267" s="24"/>
      <c r="K10267" s="24"/>
    </row>
    <row r="10268" customFormat="false" ht="15" hidden="false" customHeight="false" outlineLevel="0" collapsed="false">
      <c r="A10268" s="3" t="s">
        <v>499</v>
      </c>
      <c r="C10268" s="21" t="n">
        <f aca="false">IF(C10224=0,1,C10264/C10224)</f>
        <v>0.35967294605912</v>
      </c>
    </row>
    <row r="10269" customFormat="false" ht="15" hidden="false" customHeight="false" outlineLevel="0" collapsed="false">
      <c r="A10269" s="3" t="s">
        <v>500</v>
      </c>
      <c r="C10269" s="21" t="n">
        <f aca="false">IF(C10225=0,1,C10265/C10225)</f>
        <v>1</v>
      </c>
    </row>
    <row r="10270" customFormat="false" ht="15" hidden="false" customHeight="false" outlineLevel="0" collapsed="false">
      <c r="A10270" s="3" t="s">
        <v>501</v>
      </c>
      <c r="C10270" s="21" t="n">
        <f aca="false">IF(C10226=0,1,C10266/C10226)</f>
        <v>0</v>
      </c>
    </row>
    <row r="10271" customFormat="false" ht="15" hidden="false" customHeight="false" outlineLevel="0" collapsed="false">
      <c r="A10271" s="23" t="s">
        <v>513</v>
      </c>
      <c r="B10271" s="24"/>
      <c r="C10271" s="24"/>
      <c r="D10271" s="24"/>
      <c r="E10271" s="24"/>
      <c r="F10271" s="24"/>
      <c r="G10271" s="24"/>
      <c r="H10271" s="24"/>
      <c r="I10271" s="24"/>
      <c r="J10271" s="24"/>
      <c r="K10271" s="24"/>
    </row>
    <row r="10272" customFormat="false" ht="15" hidden="false" customHeight="false" outlineLevel="0" collapsed="false">
      <c r="A10272" s="3" t="s">
        <v>499</v>
      </c>
      <c r="C10272" s="25" t="n">
        <f aca="false">C10224-C10264</f>
        <v>864.197764718112</v>
      </c>
    </row>
    <row r="10273" customFormat="false" ht="15" hidden="false" customHeight="false" outlineLevel="0" collapsed="false">
      <c r="A10273" s="3" t="s">
        <v>500</v>
      </c>
      <c r="C10273" s="25" t="n">
        <f aca="false">C10225-C10265</f>
        <v>0</v>
      </c>
    </row>
    <row r="10274" customFormat="false" ht="15" hidden="false" customHeight="false" outlineLevel="0" collapsed="false">
      <c r="A10274" s="3" t="s">
        <v>501</v>
      </c>
      <c r="C10274" s="25" t="n">
        <f aca="false">C10226-C10266</f>
        <v>122.187424801585</v>
      </c>
    </row>
    <row r="10275" customFormat="false" ht="15" hidden="false" customHeight="false" outlineLevel="0" collapsed="false">
      <c r="A10275" s="23" t="s">
        <v>514</v>
      </c>
      <c r="B10275" s="24"/>
      <c r="C10275" s="24"/>
      <c r="D10275" s="24"/>
      <c r="E10275" s="24"/>
      <c r="F10275" s="24"/>
      <c r="G10275" s="24"/>
      <c r="H10275" s="24"/>
      <c r="I10275" s="24"/>
      <c r="J10275" s="24"/>
      <c r="K10275" s="24"/>
    </row>
    <row r="10276" customFormat="false" ht="15" hidden="false" customHeight="false" outlineLevel="0" collapsed="false">
      <c r="A10276" s="3" t="s">
        <v>499</v>
      </c>
      <c r="C10276" s="21" t="n">
        <f aca="false">IF(C10224=0,0,C10272/C10224)</f>
        <v>0.640327053940881</v>
      </c>
    </row>
    <row r="10277" customFormat="false" ht="15" hidden="false" customHeight="false" outlineLevel="0" collapsed="false">
      <c r="A10277" s="3" t="s">
        <v>500</v>
      </c>
      <c r="C10277" s="21" t="n">
        <f aca="false">IF(C10225=0,0,C10273/C10225)</f>
        <v>0</v>
      </c>
    </row>
    <row r="10278" customFormat="false" ht="15" hidden="false" customHeight="false" outlineLevel="0" collapsed="false">
      <c r="A10278" s="3" t="s">
        <v>501</v>
      </c>
      <c r="C10278" s="21" t="n">
        <f aca="false">IF(C10226=0,0,C10274/C10226)</f>
        <v>1</v>
      </c>
    </row>
    <row r="10279" customFormat="false" ht="15" hidden="false" customHeight="false" outlineLevel="0" collapsed="false">
      <c r="A10279" s="2" t="s">
        <v>515</v>
      </c>
      <c r="C10279" s="16" t="n">
        <f aca="false">MAX(0,$C$10222-SUM($C$10236:$C$10238)-SUM($C$10244:$C$10246))</f>
        <v>0</v>
      </c>
    </row>
    <row r="10280" customFormat="false" ht="15" hidden="false" customHeight="false" outlineLevel="0" collapsed="false">
      <c r="A10280" s="3" t="s">
        <v>516</v>
      </c>
      <c r="C10280" s="25" t="n">
        <f aca="false">SUM($C$10264:$C$10266)+C10279+C10221-C10220</f>
        <v>0</v>
      </c>
    </row>
    <row r="10282" customFormat="false" ht="15" hidden="false" customHeight="false" outlineLevel="0" collapsed="false">
      <c r="A10282" s="23" t="s">
        <v>519</v>
      </c>
      <c r="B10282" s="24"/>
      <c r="C10282" s="24"/>
      <c r="D10282" s="24"/>
      <c r="E10282" s="24"/>
      <c r="F10282" s="24"/>
      <c r="G10282" s="24"/>
      <c r="H10282" s="24"/>
      <c r="I10282" s="24"/>
      <c r="J10282" s="24"/>
      <c r="K10282" s="24"/>
    </row>
    <row r="10283" customFormat="false" ht="15" hidden="false" customHeight="false" outlineLevel="0" collapsed="false">
      <c r="A10283" s="3" t="s">
        <v>520</v>
      </c>
      <c r="C10283" s="27" t="n">
        <f aca="false">Assumptions!$C$33</f>
        <v>1</v>
      </c>
    </row>
    <row r="10284" customFormat="false" ht="15" hidden="false" customHeight="false" outlineLevel="0" collapsed="false">
      <c r="A10284" s="3" t="s">
        <v>521</v>
      </c>
      <c r="C10284" s="29" t="n">
        <f aca="false">Assumptions!$C$34</f>
        <v>100</v>
      </c>
    </row>
    <row r="10285" customFormat="false" ht="15" hidden="false" customHeight="false" outlineLevel="0" collapsed="false">
      <c r="A10285" s="3" t="s">
        <v>522</v>
      </c>
      <c r="C10285" s="40" t="n">
        <f aca="false">Assumptions!$C$35</f>
        <v>95</v>
      </c>
    </row>
    <row r="10286" customFormat="false" ht="15" hidden="false" customHeight="false" outlineLevel="0" collapsed="false">
      <c r="A10286" s="3" t="s">
        <v>523</v>
      </c>
      <c r="C10286" s="25" t="n">
        <f aca="false">C10284*C10285/100*(1+Assumptions!$C$36)</f>
        <v>95</v>
      </c>
    </row>
    <row r="10287" customFormat="false" ht="15" hidden="false" customHeight="false" outlineLevel="0" collapsed="false">
      <c r="A10287" s="3" t="s">
        <v>524</v>
      </c>
      <c r="C10287" s="27" t="n">
        <f aca="false">Assumptions!$C$37</f>
        <v>3</v>
      </c>
    </row>
    <row r="10288" customFormat="false" ht="15" hidden="false" customHeight="false" outlineLevel="0" collapsed="false">
      <c r="A10288" s="3" t="s">
        <v>525</v>
      </c>
      <c r="C10288" s="20" t="n">
        <f aca="false">IF(C10213=1,SUMPRODUCT($G$10165:$K$10165,$G$10058:$K$10058),0)</f>
        <v>3</v>
      </c>
    </row>
    <row r="10289" customFormat="false" ht="15" hidden="false" customHeight="false" outlineLevel="0" collapsed="false">
      <c r="A10289" s="3" t="s">
        <v>526</v>
      </c>
      <c r="C10289" s="21" t="n">
        <f aca="false">IFERROR(C10284/CHOOSE(C10283,SUMPRODUCT($G$10212:$K$10212,$G$10104:$K$10104),SUMPRODUCT($G$10212:$K$10212,$G$10117:$K$10117),SUMPRODUCT($G$10212:$K$10212,$G$10130:$K$10130)),0)</f>
        <v>0.0760399605200525</v>
      </c>
    </row>
    <row r="10290" customFormat="false" ht="15" hidden="false" customHeight="false" outlineLevel="0" collapsed="false">
      <c r="A10290" s="3" t="s">
        <v>527</v>
      </c>
      <c r="C10290" s="25" t="n">
        <f aca="false">CHOOSE(C10283,C10264,C10265,C10266)*C10289</f>
        <v>36.9114360893172</v>
      </c>
    </row>
    <row r="10291" customFormat="false" ht="15" hidden="false" customHeight="false" outlineLevel="0" collapsed="false">
      <c r="A10291" s="3" t="s">
        <v>528</v>
      </c>
      <c r="C10291" s="21" t="n">
        <f aca="false">CHOOSE(C10283,C10268,C10269,C10270)</f>
        <v>0.35967294605912</v>
      </c>
    </row>
    <row r="10292" customFormat="false" ht="15" hidden="false" customHeight="false" outlineLevel="0" collapsed="false">
      <c r="A10292" s="3" t="s">
        <v>529</v>
      </c>
      <c r="C10292" s="20" t="n">
        <f aca="false">IF(C10213=1,C10288,C10287)</f>
        <v>3</v>
      </c>
    </row>
    <row r="10293" customFormat="false" ht="15" hidden="false" customHeight="false" outlineLevel="0" collapsed="false">
      <c r="A10293" s="3" t="s">
        <v>530</v>
      </c>
      <c r="C10293" s="34" t="n">
        <f aca="false">CHOOSE($C$10050,Assumptions!$C$83,Assumptions!$C$102,Assumptions!$C$121)</f>
        <v>80</v>
      </c>
    </row>
    <row r="10294" customFormat="false" ht="15" hidden="false" customHeight="false" outlineLevel="0" collapsed="false">
      <c r="A10294" s="3" t="s">
        <v>531</v>
      </c>
      <c r="C10294" s="25" t="n">
        <f aca="false">INDEX($G$10067:$K$10067,C10287)*CHOOSE($C$10050,Assumptions!$C$82,Assumptions!$C$101,Assumptions!$C$120)+MAX(0,INDEX($G$10162:$K$10162,C10287))</f>
        <v>505.6474560228</v>
      </c>
    </row>
    <row r="10295" customFormat="false" ht="15" hidden="false" customHeight="false" outlineLevel="0" collapsed="false">
      <c r="A10295" s="23" t="s">
        <v>532</v>
      </c>
      <c r="B10295" s="24"/>
      <c r="C10295" s="24"/>
      <c r="D10295" s="24"/>
      <c r="E10295" s="24"/>
      <c r="F10295" s="24"/>
      <c r="G10295" s="24"/>
      <c r="H10295" s="24"/>
      <c r="I10295" s="24"/>
      <c r="J10295" s="24"/>
      <c r="K10295" s="24"/>
    </row>
    <row r="10296" customFormat="false" ht="15" hidden="false" customHeight="false" outlineLevel="0" collapsed="false">
      <c r="A10296" s="3" t="s">
        <v>499</v>
      </c>
      <c r="C10296" s="25" t="n">
        <f aca="false">INDEX($G$10104:$K$10104,C10287)</f>
        <v>1315.098</v>
      </c>
    </row>
    <row r="10297" customFormat="false" ht="15" hidden="false" customHeight="false" outlineLevel="0" collapsed="false">
      <c r="A10297" s="3" t="s">
        <v>500</v>
      </c>
      <c r="C10297" s="25" t="n">
        <f aca="false">INDEX($G$10117:$K$10117,C10287)</f>
        <v>0</v>
      </c>
    </row>
    <row r="10298" customFormat="false" ht="15" hidden="false" customHeight="false" outlineLevel="0" collapsed="false">
      <c r="A10298" s="3" t="s">
        <v>501</v>
      </c>
      <c r="C10298" s="25" t="n">
        <f aca="false">INDEX($G$10130:$K$10130,C10287)</f>
        <v>120.90283220936</v>
      </c>
    </row>
    <row r="10299" customFormat="false" ht="15" hidden="false" customHeight="false" outlineLevel="0" collapsed="false">
      <c r="A10299" s="23" t="s">
        <v>502</v>
      </c>
      <c r="B10299" s="24"/>
      <c r="C10299" s="24"/>
      <c r="D10299" s="24"/>
      <c r="E10299" s="24"/>
      <c r="F10299" s="24"/>
      <c r="G10299" s="24"/>
      <c r="H10299" s="24"/>
      <c r="I10299" s="24"/>
      <c r="J10299" s="24"/>
      <c r="K10299" s="24"/>
    </row>
    <row r="10300" customFormat="false" ht="15" hidden="false" customHeight="false" outlineLevel="0" collapsed="false">
      <c r="A10300" s="3" t="s">
        <v>499</v>
      </c>
      <c r="C10300" s="27" t="n">
        <f aca="false">Assumptions!$M$56</f>
        <v>1</v>
      </c>
    </row>
    <row r="10301" customFormat="false" ht="15" hidden="false" customHeight="false" outlineLevel="0" collapsed="false">
      <c r="A10301" s="3" t="s">
        <v>500</v>
      </c>
      <c r="C10301" s="27" t="n">
        <f aca="false">Assumptions!$M$57</f>
        <v>2</v>
      </c>
    </row>
    <row r="10302" customFormat="false" ht="15" hidden="false" customHeight="false" outlineLevel="0" collapsed="false">
      <c r="A10302" s="3" t="s">
        <v>501</v>
      </c>
      <c r="C10302" s="27" t="n">
        <f aca="false">Assumptions!$M$58</f>
        <v>2</v>
      </c>
    </row>
    <row r="10303" customFormat="false" ht="15" hidden="false" customHeight="false" outlineLevel="0" collapsed="false">
      <c r="A10303" s="23" t="s">
        <v>503</v>
      </c>
      <c r="B10303" s="24"/>
      <c r="C10303" s="24"/>
      <c r="D10303" s="24"/>
      <c r="E10303" s="24"/>
      <c r="F10303" s="24"/>
      <c r="G10303" s="24"/>
      <c r="H10303" s="24"/>
      <c r="I10303" s="24"/>
      <c r="J10303" s="24"/>
      <c r="K10303" s="24"/>
    </row>
    <row r="10304" customFormat="false" ht="15" hidden="false" customHeight="false" outlineLevel="0" collapsed="false">
      <c r="A10304" s="3" t="s">
        <v>499</v>
      </c>
      <c r="C10304" s="35" t="n">
        <f aca="false">Assumptions!$Q$56</f>
        <v>0</v>
      </c>
    </row>
    <row r="10305" customFormat="false" ht="15" hidden="false" customHeight="false" outlineLevel="0" collapsed="false">
      <c r="A10305" s="3" t="s">
        <v>500</v>
      </c>
      <c r="C10305" s="35" t="n">
        <f aca="false">Assumptions!$Q$57</f>
        <v>0</v>
      </c>
    </row>
    <row r="10306" customFormat="false" ht="15" hidden="false" customHeight="false" outlineLevel="0" collapsed="false">
      <c r="A10306" s="3" t="s">
        <v>501</v>
      </c>
      <c r="C10306" s="35" t="n">
        <f aca="false">Assumptions!$Q$58</f>
        <v>0</v>
      </c>
    </row>
    <row r="10307" customFormat="false" ht="15" hidden="false" customHeight="false" outlineLevel="0" collapsed="false">
      <c r="A10307" s="23" t="s">
        <v>504</v>
      </c>
      <c r="B10307" s="24"/>
      <c r="C10307" s="24"/>
      <c r="D10307" s="24"/>
      <c r="E10307" s="24"/>
      <c r="F10307" s="24"/>
      <c r="G10307" s="24"/>
      <c r="H10307" s="24"/>
      <c r="I10307" s="24"/>
      <c r="J10307" s="24"/>
      <c r="K10307" s="24"/>
    </row>
    <row r="10308" customFormat="false" ht="15" hidden="false" customHeight="false" outlineLevel="0" collapsed="false">
      <c r="A10308" s="3" t="s">
        <v>499</v>
      </c>
      <c r="C10308" s="25" t="n">
        <f aca="false">IF(C10304&gt;0,MIN(C10296,C10304*$C$10294),0)</f>
        <v>0</v>
      </c>
    </row>
    <row r="10309" customFormat="false" ht="15" hidden="false" customHeight="false" outlineLevel="0" collapsed="false">
      <c r="A10309" s="3" t="s">
        <v>500</v>
      </c>
      <c r="C10309" s="25" t="n">
        <f aca="false">IF(C10305&gt;0,MIN(C10297,C10305*$C$10294),0)</f>
        <v>0</v>
      </c>
    </row>
    <row r="10310" customFormat="false" ht="15" hidden="false" customHeight="false" outlineLevel="0" collapsed="false">
      <c r="A10310" s="3" t="s">
        <v>501</v>
      </c>
      <c r="C10310" s="25" t="n">
        <f aca="false">IF(C10306&gt;0,MIN(C10298,C10306*$C$10294),0)</f>
        <v>0</v>
      </c>
    </row>
    <row r="10311" customFormat="false" ht="15" hidden="false" customHeight="false" outlineLevel="0" collapsed="false">
      <c r="A10311" s="23" t="s">
        <v>505</v>
      </c>
      <c r="B10311" s="24"/>
      <c r="C10311" s="24"/>
      <c r="D10311" s="24"/>
      <c r="E10311" s="24"/>
      <c r="F10311" s="24"/>
      <c r="G10311" s="24"/>
      <c r="H10311" s="24"/>
      <c r="I10311" s="24"/>
      <c r="J10311" s="24"/>
      <c r="K10311" s="24"/>
    </row>
    <row r="10312" customFormat="false" ht="15" hidden="false" customHeight="false" outlineLevel="0" collapsed="false">
      <c r="A10312" s="3" t="s">
        <v>499</v>
      </c>
      <c r="C10312" s="25" t="n">
        <f aca="false">IF(C10304&gt;0,C10296-C10308,0)</f>
        <v>0</v>
      </c>
    </row>
    <row r="10313" customFormat="false" ht="15" hidden="false" customHeight="false" outlineLevel="0" collapsed="false">
      <c r="A10313" s="3" t="s">
        <v>500</v>
      </c>
      <c r="C10313" s="25" t="n">
        <f aca="false">IF(C10305&gt;0,C10297-C10309,0)</f>
        <v>0</v>
      </c>
    </row>
    <row r="10314" customFormat="false" ht="15" hidden="false" customHeight="false" outlineLevel="0" collapsed="false">
      <c r="A10314" s="3" t="s">
        <v>501</v>
      </c>
      <c r="C10314" s="25" t="n">
        <f aca="false">IF(C10306&gt;0,C10298-C10310,0)</f>
        <v>0</v>
      </c>
    </row>
    <row r="10315" customFormat="false" ht="15" hidden="false" customHeight="false" outlineLevel="0" collapsed="false">
      <c r="A10315" s="23" t="s">
        <v>506</v>
      </c>
      <c r="B10315" s="24"/>
      <c r="C10315" s="24"/>
      <c r="D10315" s="24"/>
      <c r="E10315" s="24"/>
      <c r="F10315" s="24"/>
      <c r="G10315" s="24"/>
      <c r="H10315" s="24"/>
      <c r="I10315" s="24"/>
      <c r="J10315" s="24"/>
      <c r="K10315" s="24"/>
    </row>
    <row r="10316" customFormat="false" ht="15" hidden="false" customHeight="false" outlineLevel="0" collapsed="false">
      <c r="A10316" s="3" t="s">
        <v>499</v>
      </c>
      <c r="C10316" s="25" t="n">
        <f aca="false">IF(C10304&gt;0,C10312,C10296)</f>
        <v>1315.098</v>
      </c>
    </row>
    <row r="10317" customFormat="false" ht="15" hidden="false" customHeight="false" outlineLevel="0" collapsed="false">
      <c r="A10317" s="3" t="s">
        <v>500</v>
      </c>
      <c r="C10317" s="25" t="n">
        <f aca="false">IF(C10305&gt;0,C10313,C10297)</f>
        <v>0</v>
      </c>
    </row>
    <row r="10318" customFormat="false" ht="15" hidden="false" customHeight="false" outlineLevel="0" collapsed="false">
      <c r="A10318" s="3" t="s">
        <v>501</v>
      </c>
      <c r="C10318" s="25" t="n">
        <f aca="false">IF(C10306&gt;0,C10314,C10298)</f>
        <v>120.90283220936</v>
      </c>
    </row>
    <row r="10319" customFormat="false" ht="15" hidden="false" customHeight="false" outlineLevel="0" collapsed="false">
      <c r="A10319" s="23" t="s">
        <v>507</v>
      </c>
      <c r="B10319" s="24"/>
      <c r="C10319" s="24"/>
      <c r="D10319" s="24"/>
      <c r="E10319" s="24"/>
      <c r="F10319" s="24"/>
      <c r="G10319" s="24"/>
      <c r="H10319" s="24"/>
      <c r="I10319" s="24"/>
      <c r="J10319" s="24"/>
      <c r="K10319" s="24"/>
    </row>
    <row r="10320" customFormat="false" ht="15" hidden="false" customHeight="false" outlineLevel="0" collapsed="false">
      <c r="A10320" s="3" t="s">
        <v>499</v>
      </c>
      <c r="C10320" s="20" t="n">
        <f aca="false">IF(C10304&gt;0,Assumptions!$C$17,C10300)</f>
        <v>1</v>
      </c>
    </row>
    <row r="10321" customFormat="false" ht="15" hidden="false" customHeight="false" outlineLevel="0" collapsed="false">
      <c r="A10321" s="3" t="s">
        <v>500</v>
      </c>
      <c r="C10321" s="20" t="n">
        <f aca="false">IF(C10305&gt;0,Assumptions!$C$17,C10301)</f>
        <v>2</v>
      </c>
    </row>
    <row r="10322" customFormat="false" ht="15" hidden="false" customHeight="false" outlineLevel="0" collapsed="false">
      <c r="A10322" s="3" t="s">
        <v>501</v>
      </c>
      <c r="C10322" s="20" t="n">
        <f aca="false">IF(C10306&gt;0,Assumptions!$C$17,C10302)</f>
        <v>2</v>
      </c>
    </row>
    <row r="10323" customFormat="false" ht="15" hidden="false" customHeight="false" outlineLevel="0" collapsed="false">
      <c r="A10323" s="23" t="s">
        <v>508</v>
      </c>
      <c r="B10323" s="24"/>
      <c r="C10323" s="24"/>
      <c r="D10323" s="24"/>
      <c r="E10323" s="24"/>
      <c r="F10323" s="24"/>
      <c r="G10323" s="24"/>
      <c r="H10323" s="24"/>
      <c r="I10323" s="24"/>
      <c r="J10323" s="24"/>
      <c r="K10323" s="24"/>
    </row>
    <row r="10324" customFormat="false" ht="15" hidden="false" customHeight="false" outlineLevel="0" collapsed="false">
      <c r="A10324" s="3" t="s">
        <v>499</v>
      </c>
      <c r="C10324" s="25" t="n">
        <f aca="false">SUMPRODUCT(($C$10320:$C$10322&lt;C10320)*$C$10316:$C$10318)</f>
        <v>0</v>
      </c>
    </row>
    <row r="10325" customFormat="false" ht="15" hidden="false" customHeight="false" outlineLevel="0" collapsed="false">
      <c r="A10325" s="3" t="s">
        <v>500</v>
      </c>
      <c r="C10325" s="25" t="n">
        <f aca="false">SUMPRODUCT(($C$10320:$C$10322&lt;C10321)*$C$10316:$C$10318)</f>
        <v>1315.098</v>
      </c>
    </row>
    <row r="10326" customFormat="false" ht="15" hidden="false" customHeight="false" outlineLevel="0" collapsed="false">
      <c r="A10326" s="3" t="s">
        <v>501</v>
      </c>
      <c r="C10326" s="25" t="n">
        <f aca="false">SUMPRODUCT(($C$10320:$C$10322&lt;C10322)*$C$10316:$C$10318)</f>
        <v>1315.098</v>
      </c>
    </row>
    <row r="10327" customFormat="false" ht="15" hidden="false" customHeight="false" outlineLevel="0" collapsed="false">
      <c r="A10327" s="23" t="s">
        <v>509</v>
      </c>
      <c r="B10327" s="24"/>
      <c r="C10327" s="24"/>
      <c r="D10327" s="24"/>
      <c r="E10327" s="24"/>
      <c r="F10327" s="24"/>
      <c r="G10327" s="24"/>
      <c r="H10327" s="24"/>
      <c r="I10327" s="24"/>
      <c r="J10327" s="24"/>
      <c r="K10327" s="24"/>
    </row>
    <row r="10328" customFormat="false" ht="15" hidden="false" customHeight="false" outlineLevel="0" collapsed="false">
      <c r="A10328" s="3" t="s">
        <v>499</v>
      </c>
      <c r="C10328" s="25" t="n">
        <f aca="false">SUMPRODUCT(($C$10320:$C$10322=C10320)*$C$10316:$C$10318)</f>
        <v>1315.098</v>
      </c>
    </row>
    <row r="10329" customFormat="false" ht="15" hidden="false" customHeight="false" outlineLevel="0" collapsed="false">
      <c r="A10329" s="3" t="s">
        <v>500</v>
      </c>
      <c r="C10329" s="25" t="n">
        <f aca="false">SUMPRODUCT(($C$10320:$C$10322=C10321)*$C$10316:$C$10318)</f>
        <v>120.90283220936</v>
      </c>
    </row>
    <row r="10330" customFormat="false" ht="15" hidden="false" customHeight="false" outlineLevel="0" collapsed="false">
      <c r="A10330" s="3" t="s">
        <v>501</v>
      </c>
      <c r="C10330" s="25" t="n">
        <f aca="false">SUMPRODUCT(($C$10320:$C$10322=C10322)*$C$10316:$C$10318)</f>
        <v>120.90283220936</v>
      </c>
    </row>
    <row r="10331" customFormat="false" ht="15" hidden="false" customHeight="false" outlineLevel="0" collapsed="false">
      <c r="A10331" s="23" t="s">
        <v>510</v>
      </c>
      <c r="B10331" s="24"/>
      <c r="C10331" s="24"/>
      <c r="D10331" s="24"/>
      <c r="E10331" s="24"/>
      <c r="F10331" s="24"/>
      <c r="G10331" s="24"/>
      <c r="H10331" s="24"/>
      <c r="I10331" s="24"/>
      <c r="J10331" s="24"/>
      <c r="K10331" s="24"/>
    </row>
    <row r="10332" customFormat="false" ht="15" hidden="false" customHeight="false" outlineLevel="0" collapsed="false">
      <c r="A10332" s="3" t="s">
        <v>499</v>
      </c>
      <c r="C10332" s="25" t="n">
        <f aca="false">IF(C10328=0,0,C10316/C10328*MAX(0,MIN(C10328,$C$10294-SUM($C$10308:$C$10310)-C10324)))</f>
        <v>505.6474560228</v>
      </c>
    </row>
    <row r="10333" customFormat="false" ht="15" hidden="false" customHeight="false" outlineLevel="0" collapsed="false">
      <c r="A10333" s="3" t="s">
        <v>500</v>
      </c>
      <c r="C10333" s="25" t="n">
        <f aca="false">IF(C10329=0,0,C10317/C10329*MAX(0,MIN(C10329,$C$10294-SUM($C$10308:$C$10310)-C10325)))</f>
        <v>0</v>
      </c>
    </row>
    <row r="10334" customFormat="false" ht="15" hidden="false" customHeight="false" outlineLevel="0" collapsed="false">
      <c r="A10334" s="3" t="s">
        <v>501</v>
      </c>
      <c r="C10334" s="25" t="n">
        <f aca="false">IF(C10330=0,0,C10318/C10330*MAX(0,MIN(C10330,$C$10294-SUM($C$10308:$C$10310)-C10326)))</f>
        <v>0</v>
      </c>
    </row>
    <row r="10335" customFormat="false" ht="15" hidden="false" customHeight="false" outlineLevel="0" collapsed="false">
      <c r="A10335" s="23" t="s">
        <v>511</v>
      </c>
      <c r="B10335" s="24"/>
      <c r="C10335" s="24"/>
      <c r="D10335" s="24"/>
      <c r="E10335" s="24"/>
      <c r="F10335" s="24"/>
      <c r="G10335" s="24"/>
      <c r="H10335" s="24"/>
      <c r="I10335" s="24"/>
      <c r="J10335" s="24"/>
      <c r="K10335" s="24"/>
    </row>
    <row r="10336" customFormat="false" ht="15" hidden="false" customHeight="false" outlineLevel="0" collapsed="false">
      <c r="A10336" s="2" t="s">
        <v>499</v>
      </c>
      <c r="C10336" s="16" t="n">
        <f aca="false">C10308+C10332</f>
        <v>505.6474560228</v>
      </c>
    </row>
    <row r="10337" customFormat="false" ht="15" hidden="false" customHeight="false" outlineLevel="0" collapsed="false">
      <c r="A10337" s="2" t="s">
        <v>500</v>
      </c>
      <c r="C10337" s="16" t="n">
        <f aca="false">C10309+C10333</f>
        <v>0</v>
      </c>
    </row>
    <row r="10338" customFormat="false" ht="15" hidden="false" customHeight="false" outlineLevel="0" collapsed="false">
      <c r="A10338" s="2" t="s">
        <v>501</v>
      </c>
      <c r="C10338" s="16" t="n">
        <f aca="false">C10310+C10334</f>
        <v>0</v>
      </c>
    </row>
    <row r="10339" customFormat="false" ht="15" hidden="false" customHeight="false" outlineLevel="0" collapsed="false">
      <c r="A10339" s="23" t="s">
        <v>512</v>
      </c>
      <c r="B10339" s="24"/>
      <c r="C10339" s="24"/>
      <c r="D10339" s="24"/>
      <c r="E10339" s="24"/>
      <c r="F10339" s="24"/>
      <c r="G10339" s="24"/>
      <c r="H10339" s="24"/>
      <c r="I10339" s="24"/>
      <c r="J10339" s="24"/>
      <c r="K10339" s="24"/>
    </row>
    <row r="10340" customFormat="false" ht="15" hidden="false" customHeight="false" outlineLevel="0" collapsed="false">
      <c r="A10340" s="3" t="s">
        <v>499</v>
      </c>
      <c r="C10340" s="21" t="n">
        <f aca="false">IF(C10296=0,1,C10336/C10296)</f>
        <v>0.384494125930387</v>
      </c>
    </row>
    <row r="10341" customFormat="false" ht="15" hidden="false" customHeight="false" outlineLevel="0" collapsed="false">
      <c r="A10341" s="3" t="s">
        <v>500</v>
      </c>
      <c r="C10341" s="21" t="n">
        <f aca="false">IF(C10297=0,1,C10337/C10297)</f>
        <v>1</v>
      </c>
    </row>
    <row r="10342" customFormat="false" ht="15" hidden="false" customHeight="false" outlineLevel="0" collapsed="false">
      <c r="A10342" s="3" t="s">
        <v>501</v>
      </c>
      <c r="C10342" s="21" t="n">
        <f aca="false">IF(C10298=0,1,C10338/C10298)</f>
        <v>0</v>
      </c>
    </row>
    <row r="10343" customFormat="false" ht="15" hidden="false" customHeight="false" outlineLevel="0" collapsed="false">
      <c r="A10343" s="23" t="s">
        <v>513</v>
      </c>
      <c r="B10343" s="24"/>
      <c r="C10343" s="24"/>
      <c r="D10343" s="24"/>
      <c r="E10343" s="24"/>
      <c r="F10343" s="24"/>
      <c r="G10343" s="24"/>
      <c r="H10343" s="24"/>
      <c r="I10343" s="24"/>
      <c r="J10343" s="24"/>
      <c r="K10343" s="24"/>
    </row>
    <row r="10344" customFormat="false" ht="15" hidden="false" customHeight="false" outlineLevel="0" collapsed="false">
      <c r="A10344" s="3" t="s">
        <v>499</v>
      </c>
      <c r="C10344" s="25" t="n">
        <f aca="false">C10296-C10336</f>
        <v>809.4505439772</v>
      </c>
    </row>
    <row r="10345" customFormat="false" ht="15" hidden="false" customHeight="false" outlineLevel="0" collapsed="false">
      <c r="A10345" s="3" t="s">
        <v>500</v>
      </c>
      <c r="C10345" s="25" t="n">
        <f aca="false">C10297-C10337</f>
        <v>0</v>
      </c>
    </row>
    <row r="10346" customFormat="false" ht="15" hidden="false" customHeight="false" outlineLevel="0" collapsed="false">
      <c r="A10346" s="3" t="s">
        <v>501</v>
      </c>
      <c r="C10346" s="25" t="n">
        <f aca="false">C10298-C10338</f>
        <v>120.90283220936</v>
      </c>
    </row>
    <row r="10347" customFormat="false" ht="15" hidden="false" customHeight="false" outlineLevel="0" collapsed="false">
      <c r="A10347" s="23" t="s">
        <v>514</v>
      </c>
      <c r="B10347" s="24"/>
      <c r="C10347" s="24"/>
      <c r="D10347" s="24"/>
      <c r="E10347" s="24"/>
      <c r="F10347" s="24"/>
      <c r="G10347" s="24"/>
      <c r="H10347" s="24"/>
      <c r="I10347" s="24"/>
      <c r="J10347" s="24"/>
      <c r="K10347" s="24"/>
    </row>
    <row r="10348" customFormat="false" ht="15" hidden="false" customHeight="false" outlineLevel="0" collapsed="false">
      <c r="A10348" s="3" t="s">
        <v>499</v>
      </c>
      <c r="C10348" s="21" t="n">
        <f aca="false">IF(C10296=0,0,C10344/C10296)</f>
        <v>0.615505874069613</v>
      </c>
    </row>
    <row r="10349" customFormat="false" ht="15" hidden="false" customHeight="false" outlineLevel="0" collapsed="false">
      <c r="A10349" s="3" t="s">
        <v>500</v>
      </c>
      <c r="C10349" s="21" t="n">
        <f aca="false">IF(C10297=0,0,C10345/C10297)</f>
        <v>0</v>
      </c>
    </row>
    <row r="10350" customFormat="false" ht="15" hidden="false" customHeight="false" outlineLevel="0" collapsed="false">
      <c r="A10350" s="3" t="s">
        <v>501</v>
      </c>
      <c r="C10350" s="21" t="n">
        <f aca="false">IF(C10298=0,0,C10346/C10298)</f>
        <v>1</v>
      </c>
    </row>
    <row r="10351" customFormat="false" ht="15" hidden="false" customHeight="false" outlineLevel="0" collapsed="false">
      <c r="A10351" s="2" t="s">
        <v>515</v>
      </c>
      <c r="C10351" s="16" t="n">
        <f aca="false">MAX(0,$C$10294-SUM($C$10308:$C$10310)-SUM($C$10316:$C$10318))</f>
        <v>0</v>
      </c>
    </row>
    <row r="10352" customFormat="false" ht="15" hidden="false" customHeight="false" outlineLevel="0" collapsed="false">
      <c r="A10352" s="3" t="s">
        <v>533</v>
      </c>
      <c r="C10352" s="34" t="n">
        <f aca="false">MIN(C10293,100*CHOOSE(C10283,C10340,C10341,C10342))</f>
        <v>38.4494125930387</v>
      </c>
    </row>
    <row r="10353" customFormat="false" ht="15" hidden="false" customHeight="false" outlineLevel="0" collapsed="false">
      <c r="A10353" s="3" t="s">
        <v>534</v>
      </c>
      <c r="C10353" s="20" t="n">
        <f aca="false">IF(C10213=1,C10288+Assumptions!$C$39,C10287)</f>
        <v>4</v>
      </c>
    </row>
    <row r="10354" customFormat="false" ht="15" hidden="false" customHeight="false" outlineLevel="0" collapsed="false">
      <c r="A10354" s="23" t="s">
        <v>535</v>
      </c>
      <c r="B10354" s="24"/>
      <c r="C10354" s="24"/>
      <c r="D10354" s="24"/>
      <c r="E10354" s="24"/>
      <c r="F10354" s="24"/>
      <c r="G10354" s="24"/>
      <c r="H10354" s="24"/>
      <c r="I10354" s="24"/>
      <c r="J10354" s="24"/>
      <c r="K10354" s="24"/>
    </row>
    <row r="10355" customFormat="false" ht="15" hidden="false" customHeight="false" outlineLevel="0" collapsed="false">
      <c r="A10355" s="3" t="s">
        <v>536</v>
      </c>
      <c r="C10355" s="20" t="n">
        <f aca="false">COLUMN()-COLUMN($C$1)</f>
        <v>0</v>
      </c>
      <c r="D10355" s="20" t="n">
        <f aca="false">COLUMN()-COLUMN($C$1)</f>
        <v>1</v>
      </c>
      <c r="E10355" s="20" t="n">
        <f aca="false">COLUMN()-COLUMN($C$1)</f>
        <v>2</v>
      </c>
      <c r="F10355" s="20" t="n">
        <f aca="false">COLUMN()-COLUMN($C$1)</f>
        <v>3</v>
      </c>
      <c r="G10355" s="20" t="n">
        <f aca="false">COLUMN()-COLUMN($C$1)</f>
        <v>4</v>
      </c>
      <c r="H10355" s="20" t="n">
        <f aca="false">COLUMN()-COLUMN($C$1)</f>
        <v>5</v>
      </c>
      <c r="I10355" s="20" t="n">
        <f aca="false">COLUMN()-COLUMN($C$1)</f>
        <v>6</v>
      </c>
    </row>
    <row r="10356" customFormat="false" ht="15" hidden="false" customHeight="false" outlineLevel="0" collapsed="false">
      <c r="A10356" s="3" t="s">
        <v>537</v>
      </c>
      <c r="D10356" s="31" t="n">
        <f aca="false">CHOOSE($C$10283,G10096,G10109,G10122)</f>
        <v>0.105</v>
      </c>
      <c r="E10356" s="31" t="n">
        <f aca="false">CHOOSE($C$10283,H10096,H10109,H10122)</f>
        <v>0.105</v>
      </c>
      <c r="F10356" s="31" t="n">
        <f aca="false">CHOOSE($C$10283,I10096,I10109,I10122)</f>
        <v>0.105</v>
      </c>
      <c r="G10356" s="31" t="n">
        <f aca="false">CHOOSE($C$10283,J10096,J10109,J10122)</f>
        <v>0.105</v>
      </c>
      <c r="H10356" s="31" t="n">
        <f aca="false">CHOOSE($C$10283,K10096,K10109,K10122)</f>
        <v>0.105</v>
      </c>
    </row>
    <row r="10357" customFormat="false" ht="15" hidden="false" customHeight="false" outlineLevel="0" collapsed="false">
      <c r="A10357" s="3" t="s">
        <v>538</v>
      </c>
      <c r="D10357" s="25" t="n">
        <f aca="false">IF(D10355&lt;=$C$10292,$C$10284*D10356,0)</f>
        <v>10.5</v>
      </c>
      <c r="E10357" s="25" t="n">
        <f aca="false">IF(E10355&lt;=$C$10292,$C$10284*E10356,0)</f>
        <v>10.5</v>
      </c>
      <c r="F10357" s="25" t="n">
        <f aca="false">IF(F10355&lt;=$C$10292,$C$10284*F10356,0)</f>
        <v>10.5</v>
      </c>
      <c r="G10357" s="25" t="n">
        <f aca="false">IF(G10355&lt;=$C$10292,$C$10284*G10356,0)</f>
        <v>0</v>
      </c>
      <c r="H10357" s="25" t="n">
        <f aca="false">IF(H10355&lt;=$C$10292,$C$10284*H10356,0)</f>
        <v>0</v>
      </c>
    </row>
    <row r="10358" customFormat="false" ht="15" hidden="false" customHeight="false" outlineLevel="0" collapsed="false">
      <c r="A10358" s="3" t="s">
        <v>539</v>
      </c>
      <c r="D10358" s="25" t="n">
        <f aca="false">IF(AND($C$10213=0,D10355=$C$10287),$C$10284*$C$10352/100,0)+IF(AND($C$10213=1,D10355=$C$10353),$C$10290,0)</f>
        <v>0</v>
      </c>
      <c r="E10358" s="25" t="n">
        <f aca="false">IF(AND($C$10213=0,E10355=$C$10287),$C$10284*$C$10352/100,0)+IF(AND($C$10213=1,E10355=$C$10353),$C$10290,0)</f>
        <v>0</v>
      </c>
      <c r="F10358" s="25" t="n">
        <f aca="false">IF(AND($C$10213=0,F10355=$C$10287),$C$10284*$C$10352/100,0)+IF(AND($C$10213=1,F10355=$C$10353),$C$10290,0)</f>
        <v>0</v>
      </c>
      <c r="G10358" s="25" t="n">
        <f aca="false">IF(AND($C$10213=0,G10355=$C$10287),$C$10284*$C$10352/100,0)+IF(AND($C$10213=1,G10355=$C$10353),$C$10290,0)</f>
        <v>36.9114360893172</v>
      </c>
      <c r="H10358" s="25" t="n">
        <f aca="false">IF(AND($C$10213=0,H10355=$C$10287),$C$10284*$C$10352/100,0)+IF(AND($C$10213=1,H10355=$C$10353),$C$10290,0)</f>
        <v>0</v>
      </c>
      <c r="I10358" s="25" t="n">
        <f aca="false">IF(AND($C$10213=0,I10355=$C$10287),$C$10284*$C$10352/100,0)+IF(AND($C$10213=1,I10355=$C$10353),$C$10290,0)</f>
        <v>0</v>
      </c>
    </row>
    <row r="10359" customFormat="false" ht="15" hidden="false" customHeight="false" outlineLevel="0" collapsed="false">
      <c r="A10359" s="2" t="s">
        <v>540</v>
      </c>
      <c r="C10359" s="16" t="n">
        <f aca="false">-$C$10286</f>
        <v>-95</v>
      </c>
      <c r="D10359" s="16" t="n">
        <f aca="false">D10357+D10358</f>
        <v>10.5</v>
      </c>
      <c r="E10359" s="16" t="n">
        <f aca="false">E10357+E10358</f>
        <v>10.5</v>
      </c>
      <c r="F10359" s="16" t="n">
        <f aca="false">F10357+F10358</f>
        <v>10.5</v>
      </c>
      <c r="G10359" s="16" t="n">
        <f aca="false">G10357+G10358</f>
        <v>36.9114360893172</v>
      </c>
      <c r="H10359" s="16" t="n">
        <f aca="false">H10357+H10358</f>
        <v>0</v>
      </c>
      <c r="I10359" s="16" t="n">
        <f aca="false">I10357+I10358</f>
        <v>0</v>
      </c>
    </row>
    <row r="10360" customFormat="false" ht="15" hidden="false" customHeight="false" outlineLevel="0" collapsed="false">
      <c r="A10360" s="3" t="s">
        <v>541</v>
      </c>
      <c r="C10360" s="25" t="n">
        <f aca="false">SUM($C$10357:$I$10357)</f>
        <v>31.5</v>
      </c>
    </row>
    <row r="10361" customFormat="false" ht="15" hidden="false" customHeight="false" outlineLevel="0" collapsed="false">
      <c r="A10361" s="3" t="s">
        <v>542</v>
      </c>
      <c r="C10361" s="25" t="n">
        <f aca="false">SUM($C$10358:$I$10358)</f>
        <v>36.9114360893172</v>
      </c>
    </row>
    <row r="10362" customFormat="false" ht="15" hidden="false" customHeight="false" outlineLevel="0" collapsed="false">
      <c r="A10362" s="3" t="s">
        <v>543</v>
      </c>
      <c r="C10362" s="25" t="n">
        <f aca="false">C10360+C10361</f>
        <v>68.4114360893172</v>
      </c>
    </row>
    <row r="10363" customFormat="false" ht="15" hidden="false" customHeight="false" outlineLevel="0" collapsed="false">
      <c r="A10363" s="3" t="s">
        <v>544</v>
      </c>
      <c r="C10363" s="25" t="n">
        <f aca="false">C10361-C10284*C10285/100</f>
        <v>-58.0885639106829</v>
      </c>
    </row>
    <row r="10364" customFormat="false" ht="15" hidden="false" customHeight="false" outlineLevel="0" collapsed="false">
      <c r="A10364" s="3" t="s">
        <v>545</v>
      </c>
      <c r="C10364" s="25" t="n">
        <f aca="false">C10362-C10286</f>
        <v>-26.5885639106829</v>
      </c>
    </row>
    <row r="10365" customFormat="false" ht="15" hidden="false" customHeight="false" outlineLevel="0" collapsed="false">
      <c r="A10365" s="2" t="s">
        <v>427</v>
      </c>
      <c r="C10365" s="44" t="n">
        <f aca="false">C10362/C10286</f>
        <v>0.720120379887549</v>
      </c>
    </row>
    <row r="10366" customFormat="false" ht="15" hidden="false" customHeight="false" outlineLevel="0" collapsed="false">
      <c r="A10366" s="2" t="s">
        <v>426</v>
      </c>
      <c r="C10366" s="42" t="n">
        <f aca="false">IF(C10362&lt;=0,-1,IFERROR(IRR($C$10359:$I$10359,MAX(-0.9,C10365^(1/C10353)-1)),IRR($C$10359:$I$10359,0.1)))</f>
        <v>-0.0991394936188768</v>
      </c>
    </row>
    <row r="10367" customFormat="false" ht="15" hidden="false" customHeight="false" outlineLevel="0" collapsed="false">
      <c r="A10367" s="3" t="s">
        <v>546</v>
      </c>
      <c r="C10367" s="32" t="n">
        <f aca="false">MAX($G$10173:$K$10173)</f>
        <v>12.9254950422544</v>
      </c>
    </row>
    <row r="10368" customFormat="false" ht="15" hidden="false" customHeight="false" outlineLevel="0" collapsed="false">
      <c r="A10368" s="3" t="s">
        <v>547</v>
      </c>
      <c r="C10368" s="32" t="n">
        <f aca="false">MIN($G$10174:$K$10174)</f>
        <v>0.81056799392862</v>
      </c>
    </row>
    <row r="10369" customFormat="false" ht="15" hidden="false" customHeight="false" outlineLevel="0" collapsed="false">
      <c r="A10369" s="3" t="s">
        <v>548</v>
      </c>
      <c r="C10369" s="25" t="n">
        <f aca="false">SUM($G$10080:$K$10080)</f>
        <v>-297.510665404742</v>
      </c>
    </row>
    <row r="10373" customFormat="false" ht="15" hidden="false" customHeight="false" outlineLevel="0" collapsed="false">
      <c r="A10373" s="9" t="s">
        <v>1046</v>
      </c>
      <c r="B10373" s="10"/>
      <c r="C10373" s="10"/>
      <c r="D10373" s="10"/>
      <c r="E10373" s="10"/>
      <c r="F10373" s="10"/>
      <c r="G10373" s="10"/>
      <c r="H10373" s="10"/>
      <c r="I10373" s="10"/>
      <c r="J10373" s="10"/>
      <c r="K10373" s="10"/>
    </row>
    <row r="10374" customFormat="false" ht="15" hidden="false" customHeight="false" outlineLevel="0" collapsed="false">
      <c r="A10374" s="3" t="s">
        <v>1010</v>
      </c>
      <c r="C10374" s="11" t="n">
        <v>3</v>
      </c>
    </row>
    <row r="10375" customFormat="false" ht="15" hidden="false" customHeight="false" outlineLevel="0" collapsed="false">
      <c r="A10375" s="3" t="s">
        <v>1011</v>
      </c>
      <c r="C10375" s="30" t="n">
        <f aca="false">Sensitivities!$A$44</f>
        <v>0.1</v>
      </c>
    </row>
    <row r="10376" customFormat="false" ht="15" hidden="false" customHeight="false" outlineLevel="0" collapsed="false">
      <c r="A10376" s="3" t="s">
        <v>1012</v>
      </c>
      <c r="C10376" s="18" t="n">
        <v>0</v>
      </c>
    </row>
    <row r="10377" customFormat="false" ht="15" hidden="false" customHeight="false" outlineLevel="0" collapsed="false">
      <c r="A10377" s="3" t="s">
        <v>1013</v>
      </c>
      <c r="C10377" s="18" t="n">
        <v>0</v>
      </c>
    </row>
    <row r="10378" customFormat="false" ht="15" hidden="false" customHeight="false" outlineLevel="0" collapsed="false">
      <c r="A10378" s="3" t="s">
        <v>1014</v>
      </c>
      <c r="C10378" s="15" t="n">
        <v>0</v>
      </c>
    </row>
    <row r="10380" customFormat="false" ht="15" hidden="false" customHeight="false" outlineLevel="0" collapsed="false">
      <c r="A10380" s="23" t="s">
        <v>281</v>
      </c>
      <c r="B10380" s="24"/>
      <c r="C10380" s="24"/>
      <c r="D10380" s="24"/>
      <c r="E10380" s="24"/>
      <c r="F10380" s="24"/>
      <c r="G10380" s="24"/>
      <c r="H10380" s="24"/>
      <c r="I10380" s="24"/>
      <c r="J10380" s="24"/>
      <c r="K10380" s="24"/>
    </row>
    <row r="10381" customFormat="false" ht="15" hidden="false" customHeight="false" outlineLevel="0" collapsed="false">
      <c r="A10381" s="3" t="s">
        <v>282</v>
      </c>
      <c r="F10381" s="27" t="n">
        <f aca="false">Assumptions!$C$6</f>
        <v>2026</v>
      </c>
      <c r="G10381" s="20" t="n">
        <f aca="false">F10381+1</f>
        <v>2027</v>
      </c>
      <c r="H10381" s="20" t="n">
        <f aca="false">G10381+1</f>
        <v>2028</v>
      </c>
      <c r="I10381" s="20" t="n">
        <f aca="false">H10381+1</f>
        <v>2029</v>
      </c>
      <c r="J10381" s="20" t="n">
        <f aca="false">I10381+1</f>
        <v>2030</v>
      </c>
      <c r="K10381" s="20" t="n">
        <f aca="false">J10381+1</f>
        <v>2031</v>
      </c>
    </row>
    <row r="10382" customFormat="false" ht="15" hidden="false" customHeight="false" outlineLevel="0" collapsed="false">
      <c r="A10382" s="3" t="s">
        <v>283</v>
      </c>
      <c r="G10382" s="20" t="n">
        <f aca="false">G10381-Assumptions!$C$6</f>
        <v>1</v>
      </c>
      <c r="H10382" s="20" t="n">
        <f aca="false">H10381-Assumptions!$C$6</f>
        <v>2</v>
      </c>
      <c r="I10382" s="20" t="n">
        <f aca="false">I10381-Assumptions!$C$6</f>
        <v>3</v>
      </c>
      <c r="J10382" s="20" t="n">
        <f aca="false">J10381-Assumptions!$C$6</f>
        <v>4</v>
      </c>
      <c r="K10382" s="20" t="n">
        <f aca="false">K10381-Assumptions!$C$6</f>
        <v>5</v>
      </c>
    </row>
    <row r="10383" customFormat="false" ht="15" hidden="false" customHeight="false" outlineLevel="0" collapsed="false">
      <c r="A10383" s="3" t="s">
        <v>165</v>
      </c>
      <c r="G10383" s="21" t="n">
        <f aca="false">CHOOSE($C$10374,Assumptions!$G$71,Assumptions!$G$90,Assumptions!$G$109)+$C$10375</f>
        <v>-0.04</v>
      </c>
      <c r="H10383" s="21" t="n">
        <f aca="false">CHOOSE($C$10374,Assumptions!$H$71,Assumptions!$H$90,Assumptions!$H$109)+$C$10375</f>
        <v>-0.02</v>
      </c>
      <c r="I10383" s="21" t="n">
        <f aca="false">CHOOSE($C$10374,Assumptions!$I$71,Assumptions!$I$90,Assumptions!$I$109)+$C$10375</f>
        <v>0</v>
      </c>
      <c r="J10383" s="21" t="n">
        <f aca="false">CHOOSE($C$10374,Assumptions!$J$71,Assumptions!$J$90,Assumptions!$J$109)+$C$10375</f>
        <v>0.02</v>
      </c>
      <c r="K10383" s="21" t="n">
        <f aca="false">CHOOSE($C$10374,Assumptions!$K$71,Assumptions!$K$90,Assumptions!$K$109)+$C$10375</f>
        <v>0.04</v>
      </c>
    </row>
    <row r="10384" customFormat="false" ht="15" hidden="false" customHeight="false" outlineLevel="0" collapsed="false">
      <c r="A10384" s="3" t="s">
        <v>166</v>
      </c>
      <c r="G10384" s="21" t="n">
        <f aca="false">CHOOSE($C$10374,Assumptions!$G$72,Assumptions!$G$91,Assumptions!$G$110)</f>
        <v>0.433246670103635</v>
      </c>
      <c r="H10384" s="21" t="n">
        <f aca="false">CHOOSE($C$10374,Assumptions!$H$72,Assumptions!$H$91,Assumptions!$H$110)</f>
        <v>0.418246670103635</v>
      </c>
      <c r="I10384" s="21" t="n">
        <f aca="false">CHOOSE($C$10374,Assumptions!$I$72,Assumptions!$I$91,Assumptions!$I$110)</f>
        <v>0.413246670103635</v>
      </c>
      <c r="J10384" s="21" t="n">
        <f aca="false">CHOOSE($C$10374,Assumptions!$J$72,Assumptions!$J$91,Assumptions!$J$110)</f>
        <v>0.413246670103635</v>
      </c>
      <c r="K10384" s="21" t="n">
        <f aca="false">CHOOSE($C$10374,Assumptions!$K$72,Assumptions!$K$91,Assumptions!$K$110)</f>
        <v>0.413246670103635</v>
      </c>
    </row>
    <row r="10385" customFormat="false" ht="15" hidden="false" customHeight="false" outlineLevel="0" collapsed="false">
      <c r="A10385" s="3" t="s">
        <v>167</v>
      </c>
      <c r="G10385" s="21" t="n">
        <f aca="false">CHOOSE($C$10374,Assumptions!$G$73,Assumptions!$G$92,Assumptions!$G$111)+$C$10376</f>
        <v>0.09</v>
      </c>
      <c r="H10385" s="21" t="n">
        <f aca="false">CHOOSE($C$10374,Assumptions!$H$73,Assumptions!$H$92,Assumptions!$H$111)+$C$10376</f>
        <v>0.075</v>
      </c>
      <c r="I10385" s="21" t="n">
        <f aca="false">CHOOSE($C$10374,Assumptions!$I$73,Assumptions!$I$92,Assumptions!$I$111)+$C$10376</f>
        <v>0.07</v>
      </c>
      <c r="J10385" s="21" t="n">
        <f aca="false">CHOOSE($C$10374,Assumptions!$J$73,Assumptions!$J$92,Assumptions!$J$111)+$C$10376</f>
        <v>0.07</v>
      </c>
      <c r="K10385" s="21" t="n">
        <f aca="false">CHOOSE($C$10374,Assumptions!$K$73,Assumptions!$K$92,Assumptions!$K$111)+$C$10376</f>
        <v>0.07</v>
      </c>
    </row>
    <row r="10386" customFormat="false" ht="15" hidden="false" customHeight="false" outlineLevel="0" collapsed="false">
      <c r="A10386" s="23" t="s">
        <v>284</v>
      </c>
      <c r="B10386" s="24"/>
      <c r="C10386" s="24"/>
      <c r="D10386" s="24"/>
      <c r="E10386" s="24"/>
      <c r="F10386" s="24"/>
      <c r="G10386" s="24"/>
      <c r="H10386" s="24"/>
      <c r="I10386" s="24"/>
      <c r="J10386" s="24"/>
      <c r="K10386" s="24"/>
    </row>
    <row r="10387" customFormat="false" ht="15" hidden="false" customHeight="false" outlineLevel="0" collapsed="false">
      <c r="A10387" s="2" t="s">
        <v>256</v>
      </c>
      <c r="F10387" s="28" t="n">
        <f aca="false">'Historical Financials'!G23</f>
        <v>2246.166</v>
      </c>
      <c r="G10387" s="16" t="n">
        <f aca="false">F10387*(1+G10383)</f>
        <v>2156.31936</v>
      </c>
      <c r="H10387" s="16" t="n">
        <f aca="false">G10387*(1+H10383)</f>
        <v>2113.1929728</v>
      </c>
      <c r="I10387" s="16" t="n">
        <f aca="false">H10387*(1+I10383)</f>
        <v>2113.1929728</v>
      </c>
      <c r="J10387" s="16" t="n">
        <f aca="false">I10387*(1+J10383)</f>
        <v>2155.456832256</v>
      </c>
      <c r="K10387" s="16" t="n">
        <f aca="false">J10387*(1+K10383)</f>
        <v>2241.67510554624</v>
      </c>
    </row>
    <row r="10388" customFormat="false" ht="15" hidden="false" customHeight="false" outlineLevel="0" collapsed="false">
      <c r="A10388" s="3" t="s">
        <v>257</v>
      </c>
      <c r="G10388" s="25" t="n">
        <f aca="false">G10387*(1-G10384)</f>
        <v>1222.1011776</v>
      </c>
      <c r="H10388" s="25" t="n">
        <f aca="false">H10387*(1-H10384)</f>
        <v>1229.35704864</v>
      </c>
      <c r="I10388" s="25" t="n">
        <f aca="false">I10387*(1-I10384)</f>
        <v>1239.923013504</v>
      </c>
      <c r="J10388" s="25" t="n">
        <f aca="false">J10387*(1-J10384)</f>
        <v>1264.72147377408</v>
      </c>
      <c r="K10388" s="25" t="n">
        <f aca="false">K10387*(1-K10384)</f>
        <v>1315.31033272504</v>
      </c>
    </row>
    <row r="10389" customFormat="false" ht="15" hidden="false" customHeight="false" outlineLevel="0" collapsed="false">
      <c r="A10389" s="2" t="s">
        <v>258</v>
      </c>
      <c r="G10389" s="16" t="n">
        <f aca="false">G10387-G10388</f>
        <v>934.2181824</v>
      </c>
      <c r="H10389" s="16" t="n">
        <f aca="false">H10387-H10388</f>
        <v>883.83592416</v>
      </c>
      <c r="I10389" s="16" t="n">
        <f aca="false">I10387-I10388</f>
        <v>873.269959296</v>
      </c>
      <c r="J10389" s="16" t="n">
        <f aca="false">J10387-J10388</f>
        <v>890.73535848192</v>
      </c>
      <c r="K10389" s="16" t="n">
        <f aca="false">K10387-K10388</f>
        <v>926.364772821197</v>
      </c>
    </row>
    <row r="10390" customFormat="false" ht="15" hidden="false" customHeight="false" outlineLevel="0" collapsed="false">
      <c r="A10390" s="3" t="s">
        <v>285</v>
      </c>
      <c r="G10390" s="25" t="n">
        <f aca="false">G10389-G10391</f>
        <v>740.14944</v>
      </c>
      <c r="H10390" s="25" t="n">
        <f aca="false">H10389-H10391</f>
        <v>725.3464512</v>
      </c>
      <c r="I10390" s="25" t="n">
        <f aca="false">I10389-I10391</f>
        <v>725.3464512</v>
      </c>
      <c r="J10390" s="25" t="n">
        <f aca="false">J10389-J10391</f>
        <v>739.853380224</v>
      </c>
      <c r="K10390" s="25" t="n">
        <f aca="false">K10389-K10391</f>
        <v>769.44751543296</v>
      </c>
    </row>
    <row r="10391" customFormat="false" ht="15" hidden="false" customHeight="false" outlineLevel="0" collapsed="false">
      <c r="A10391" s="2" t="s">
        <v>286</v>
      </c>
      <c r="G10391" s="16" t="n">
        <f aca="false">G10387*G10385</f>
        <v>194.0687424</v>
      </c>
      <c r="H10391" s="16" t="n">
        <f aca="false">H10387*H10385</f>
        <v>158.48947296</v>
      </c>
      <c r="I10391" s="16" t="n">
        <f aca="false">I10387*I10385</f>
        <v>147.923508096</v>
      </c>
      <c r="J10391" s="16" t="n">
        <f aca="false">J10387*J10385</f>
        <v>150.88197825792</v>
      </c>
      <c r="K10391" s="16" t="n">
        <f aca="false">K10387*K10385</f>
        <v>156.917257388237</v>
      </c>
    </row>
    <row r="10392" customFormat="false" ht="15" hidden="false" customHeight="false" outlineLevel="0" collapsed="false">
      <c r="A10392" s="3" t="s">
        <v>287</v>
      </c>
      <c r="G10392" s="25" t="n">
        <f aca="false">G10387*'Historical Financials'!G28/'Historical Financials'!G23</f>
        <v>81.88416</v>
      </c>
      <c r="H10392" s="25" t="n">
        <f aca="false">H10387*'Historical Financials'!G28/'Historical Financials'!G23</f>
        <v>80.2464768</v>
      </c>
      <c r="I10392" s="25" t="n">
        <f aca="false">I10387*'Historical Financials'!G28/'Historical Financials'!G23</f>
        <v>80.2464768</v>
      </c>
      <c r="J10392" s="25" t="n">
        <f aca="false">J10387*'Historical Financials'!G28/'Historical Financials'!G23</f>
        <v>81.851406336</v>
      </c>
      <c r="K10392" s="25" t="n">
        <f aca="false">K10387*'Historical Financials'!G28/'Historical Financials'!G23</f>
        <v>85.12546258944</v>
      </c>
    </row>
    <row r="10393" customFormat="false" ht="15" hidden="false" customHeight="false" outlineLevel="0" collapsed="false">
      <c r="A10393" s="3" t="s">
        <v>288</v>
      </c>
      <c r="G10393" s="25" t="n">
        <f aca="false">G10387*'Historical Financials'!G29/'Historical Financials'!G23</f>
        <v>23.38176</v>
      </c>
      <c r="H10393" s="25" t="n">
        <f aca="false">H10387*'Historical Financials'!G29/'Historical Financials'!G23</f>
        <v>22.9141248</v>
      </c>
      <c r="I10393" s="25" t="n">
        <f aca="false">I10387*'Historical Financials'!G29/'Historical Financials'!G23</f>
        <v>22.9141248</v>
      </c>
      <c r="J10393" s="25" t="n">
        <f aca="false">J10387*'Historical Financials'!G29/'Historical Financials'!G23</f>
        <v>23.372407296</v>
      </c>
      <c r="K10393" s="25" t="n">
        <f aca="false">K10387*'Historical Financials'!G29/'Historical Financials'!G23</f>
        <v>24.30730358784</v>
      </c>
    </row>
    <row r="10394" customFormat="false" ht="15" hidden="false" customHeight="false" outlineLevel="0" collapsed="false">
      <c r="A10394" s="2" t="s">
        <v>289</v>
      </c>
      <c r="G10394" s="16" t="n">
        <f aca="false">G10391-G10392-G10393</f>
        <v>88.8028224</v>
      </c>
      <c r="H10394" s="16" t="n">
        <f aca="false">H10391-H10392-H10393</f>
        <v>55.32887136</v>
      </c>
      <c r="I10394" s="16" t="n">
        <f aca="false">I10391-I10392-I10393</f>
        <v>44.762906496</v>
      </c>
      <c r="J10394" s="16" t="n">
        <f aca="false">J10391-J10392-J10393</f>
        <v>45.65816462592</v>
      </c>
      <c r="K10394" s="16" t="n">
        <f aca="false">K10391-K10392-K10393</f>
        <v>47.4844912109568</v>
      </c>
    </row>
    <row r="10395" customFormat="false" ht="15" hidden="false" customHeight="false" outlineLevel="0" collapsed="false">
      <c r="A10395" s="3" t="s">
        <v>290</v>
      </c>
      <c r="G10395" s="25" t="n">
        <f aca="false">G10421+G10434+G10447</f>
        <v>155.95467</v>
      </c>
      <c r="H10395" s="25" t="n">
        <f aca="false">H10421+H10434+H10447</f>
        <v>155.95467</v>
      </c>
      <c r="I10395" s="25" t="n">
        <f aca="false">I10421+I10434+I10447</f>
        <v>155.95467</v>
      </c>
      <c r="J10395" s="25" t="n">
        <f aca="false">J10421+J10434+J10447</f>
        <v>141.901476540808</v>
      </c>
      <c r="K10395" s="25" t="n">
        <f aca="false">K10421+K10434+K10447</f>
        <v>141.901476540808</v>
      </c>
    </row>
    <row r="10396" customFormat="false" ht="15" hidden="false" customHeight="false" outlineLevel="0" collapsed="false">
      <c r="A10396" s="3" t="s">
        <v>291</v>
      </c>
      <c r="G10396" s="25" t="n">
        <f aca="false">G10422+G10435+G10448</f>
        <v>0</v>
      </c>
      <c r="H10396" s="25" t="n">
        <f aca="false">H10422+H10435+H10448</f>
        <v>0</v>
      </c>
      <c r="I10396" s="25" t="n">
        <f aca="false">I10422+I10435+I10448</f>
        <v>0</v>
      </c>
      <c r="J10396" s="25" t="n">
        <f aca="false">J10422+J10435+J10448</f>
        <v>0</v>
      </c>
      <c r="K10396" s="25" t="n">
        <f aca="false">K10422+K10435+K10448</f>
        <v>0</v>
      </c>
    </row>
    <row r="10397" customFormat="false" ht="15" hidden="false" customHeight="false" outlineLevel="0" collapsed="false">
      <c r="A10397" s="3" t="s">
        <v>239</v>
      </c>
      <c r="G10397" s="25" t="n">
        <f aca="false">G10395+G10396</f>
        <v>155.95467</v>
      </c>
      <c r="H10397" s="25" t="n">
        <f aca="false">H10395+H10396</f>
        <v>155.95467</v>
      </c>
      <c r="I10397" s="25" t="n">
        <f aca="false">I10395+I10396</f>
        <v>155.95467</v>
      </c>
      <c r="J10397" s="25" t="n">
        <f aca="false">J10395+J10396</f>
        <v>141.901476540808</v>
      </c>
      <c r="K10397" s="25" t="n">
        <f aca="false">K10395+K10396</f>
        <v>141.901476540808</v>
      </c>
    </row>
    <row r="10398" customFormat="false" ht="15" hidden="false" customHeight="false" outlineLevel="0" collapsed="false">
      <c r="A10398" s="2" t="s">
        <v>264</v>
      </c>
      <c r="G10398" s="16" t="n">
        <f aca="false">G10394-G10397</f>
        <v>-67.1518476</v>
      </c>
      <c r="H10398" s="16" t="n">
        <f aca="false">H10394-H10397</f>
        <v>-100.62579864</v>
      </c>
      <c r="I10398" s="16" t="n">
        <f aca="false">I10394-I10397</f>
        <v>-111.191763504</v>
      </c>
      <c r="J10398" s="16" t="n">
        <f aca="false">J10394-J10397</f>
        <v>-96.243311914888</v>
      </c>
      <c r="K10398" s="16" t="n">
        <f aca="false">K10394-K10397</f>
        <v>-94.4169853298512</v>
      </c>
    </row>
    <row r="10399" customFormat="false" ht="15" hidden="false" customHeight="false" outlineLevel="0" collapsed="false">
      <c r="A10399" s="3" t="s">
        <v>292</v>
      </c>
      <c r="G10399" s="25" t="n">
        <f aca="false">MAX(0,G10398)*Assumptions!$C$9</f>
        <v>0</v>
      </c>
      <c r="H10399" s="25" t="n">
        <f aca="false">MAX(0,H10398)*Assumptions!$C$9</f>
        <v>0</v>
      </c>
      <c r="I10399" s="25" t="n">
        <f aca="false">MAX(0,I10398)*Assumptions!$C$9</f>
        <v>0</v>
      </c>
      <c r="J10399" s="25" t="n">
        <f aca="false">MAX(0,J10398)*Assumptions!$C$9</f>
        <v>0</v>
      </c>
      <c r="K10399" s="25" t="n">
        <f aca="false">MAX(0,K10398)*Assumptions!$C$9</f>
        <v>0</v>
      </c>
    </row>
    <row r="10400" customFormat="false" ht="15" hidden="false" customHeight="false" outlineLevel="0" collapsed="false">
      <c r="A10400" s="2" t="s">
        <v>293</v>
      </c>
      <c r="G10400" s="16" t="n">
        <f aca="false">G10398-G10399</f>
        <v>-67.1518476</v>
      </c>
      <c r="H10400" s="16" t="n">
        <f aca="false">H10398-H10399</f>
        <v>-100.62579864</v>
      </c>
      <c r="I10400" s="16" t="n">
        <f aca="false">I10398-I10399</f>
        <v>-111.191763504</v>
      </c>
      <c r="J10400" s="16" t="n">
        <f aca="false">J10398-J10399</f>
        <v>-96.243311914888</v>
      </c>
      <c r="K10400" s="16" t="n">
        <f aca="false">K10398-K10399</f>
        <v>-94.4169853298512</v>
      </c>
    </row>
    <row r="10401" customFormat="false" ht="15" hidden="false" customHeight="false" outlineLevel="0" collapsed="false">
      <c r="A10401" s="23" t="s">
        <v>294</v>
      </c>
      <c r="B10401" s="24"/>
      <c r="C10401" s="24"/>
      <c r="D10401" s="24"/>
      <c r="E10401" s="24"/>
      <c r="F10401" s="24"/>
      <c r="G10401" s="24"/>
      <c r="H10401" s="24"/>
      <c r="I10401" s="24"/>
      <c r="J10401" s="24"/>
      <c r="K10401" s="24"/>
    </row>
    <row r="10402" customFormat="false" ht="15" hidden="false" customHeight="false" outlineLevel="0" collapsed="false">
      <c r="A10402" s="3" t="s">
        <v>169</v>
      </c>
      <c r="G10402" s="25" t="n">
        <f aca="false">G10387*CHOOSE($C$10374,Assumptions!$C$75,Assumptions!$C$94,Assumptions!$C$113)</f>
        <v>23.71951296</v>
      </c>
      <c r="H10402" s="25" t="n">
        <f aca="false">H10387*CHOOSE($C$10374,Assumptions!$C$75,Assumptions!$C$94,Assumptions!$C$113)</f>
        <v>23.2451227008</v>
      </c>
      <c r="I10402" s="25" t="n">
        <f aca="false">I10387*CHOOSE($C$10374,Assumptions!$C$75,Assumptions!$C$94,Assumptions!$C$113)</f>
        <v>23.2451227008</v>
      </c>
      <c r="J10402" s="25" t="n">
        <f aca="false">J10387*CHOOSE($C$10374,Assumptions!$C$75,Assumptions!$C$94,Assumptions!$C$113)</f>
        <v>23.710025154816</v>
      </c>
      <c r="K10402" s="25" t="n">
        <f aca="false">K10387*CHOOSE($C$10374,Assumptions!$C$75,Assumptions!$C$94,Assumptions!$C$113)</f>
        <v>24.6584261610086</v>
      </c>
    </row>
    <row r="10403" customFormat="false" ht="15" hidden="false" customHeight="false" outlineLevel="0" collapsed="false">
      <c r="A10403" s="3" t="s">
        <v>295</v>
      </c>
      <c r="G10403" s="25" t="n">
        <f aca="false">CHOOSE($C$10374,Assumptions!$C$76,Assumptions!$C$95,Assumptions!$C$114)*(G10387-F10387)+CHOOSE($C$10374,Assumptions!$C$77,Assumptions!$C$96,Assumptions!$C$115)*G10387</f>
        <v>32.3447904</v>
      </c>
      <c r="H10403" s="25" t="n">
        <f aca="false">CHOOSE($C$10374,Assumptions!$C$76,Assumptions!$C$95,Assumptions!$C$114)*(H10387-G10387)+CHOOSE($C$10374,Assumptions!$C$77,Assumptions!$C$96,Assumptions!$C$115)*H10387</f>
        <v>31.697894592</v>
      </c>
      <c r="I10403" s="25" t="n">
        <f aca="false">CHOOSE($C$10374,Assumptions!$C$76,Assumptions!$C$95,Assumptions!$C$114)*(I10387-H10387)+CHOOSE($C$10374,Assumptions!$C$77,Assumptions!$C$96,Assumptions!$C$115)*I10387</f>
        <v>31.697894592</v>
      </c>
      <c r="J10403" s="25" t="n">
        <f aca="false">CHOOSE($C$10374,Assumptions!$C$76,Assumptions!$C$95,Assumptions!$C$114)*(J10387-I10387)+CHOOSE($C$10374,Assumptions!$C$77,Assumptions!$C$96,Assumptions!$C$115)*J10387</f>
        <v>32.33185248384</v>
      </c>
      <c r="K10403" s="25" t="n">
        <f aca="false">CHOOSE($C$10374,Assumptions!$C$76,Assumptions!$C$95,Assumptions!$C$114)*(K10387-J10387)+CHOOSE($C$10374,Assumptions!$C$77,Assumptions!$C$96,Assumptions!$C$115)*K10387</f>
        <v>33.6251265831936</v>
      </c>
    </row>
    <row r="10404" customFormat="false" ht="15" hidden="false" customHeight="false" outlineLevel="0" collapsed="false">
      <c r="A10404" s="2" t="s">
        <v>296</v>
      </c>
      <c r="G10404" s="16" t="n">
        <f aca="false">G10400+G10392+G10393+G10396-G10402-G10403</f>
        <v>-17.95023096</v>
      </c>
      <c r="H10404" s="16" t="n">
        <f aca="false">H10400+H10392+H10393+H10396-H10402-H10403</f>
        <v>-52.4082143328</v>
      </c>
      <c r="I10404" s="16" t="n">
        <f aca="false">I10400+I10392+I10393+I10396-I10402-I10403</f>
        <v>-62.9741791968</v>
      </c>
      <c r="J10404" s="16" t="n">
        <f aca="false">J10400+J10392+J10393+J10396-J10402-J10403</f>
        <v>-47.061375921544</v>
      </c>
      <c r="K10404" s="16" t="n">
        <f aca="false">K10400+K10392+K10393+K10396-K10402-K10403</f>
        <v>-43.2677718967734</v>
      </c>
    </row>
    <row r="10406" customFormat="false" ht="15" hidden="false" customHeight="false" outlineLevel="0" collapsed="false">
      <c r="A10406" s="23" t="s">
        <v>298</v>
      </c>
      <c r="B10406" s="24"/>
      <c r="C10406" s="24"/>
      <c r="D10406" s="24"/>
      <c r="E10406" s="24"/>
      <c r="F10406" s="24"/>
      <c r="G10406" s="24"/>
      <c r="H10406" s="24"/>
      <c r="I10406" s="24"/>
      <c r="J10406" s="24"/>
      <c r="K10406" s="24"/>
    </row>
    <row r="10407" customFormat="false" ht="15" hidden="false" customHeight="false" outlineLevel="0" collapsed="false">
      <c r="A10407" s="3" t="s">
        <v>299</v>
      </c>
      <c r="G10407" s="30" t="n">
        <f aca="false">Assumptions!$G$52</f>
        <v>0.039</v>
      </c>
      <c r="H10407" s="30" t="n">
        <f aca="false">Assumptions!$H$52</f>
        <v>0.0375</v>
      </c>
      <c r="I10407" s="30" t="n">
        <f aca="false">Assumptions!$I$52</f>
        <v>0.035</v>
      </c>
      <c r="J10407" s="30" t="n">
        <f aca="false">Assumptions!$J$52</f>
        <v>0.035</v>
      </c>
      <c r="K10407" s="30" t="n">
        <f aca="false">Assumptions!$K$52</f>
        <v>0.035</v>
      </c>
    </row>
    <row r="10408" customFormat="false" ht="15" hidden="false" customHeight="false" outlineLevel="0" collapsed="false">
      <c r="A10408" s="3" t="s">
        <v>300</v>
      </c>
      <c r="C10408" s="31" t="n">
        <f aca="false">CHOOSE($C$10374,Assumptions!$C$78,Assumptions!$C$97,Assumptions!$C$116)+$C$10377</f>
        <v>0.03</v>
      </c>
    </row>
    <row r="10409" customFormat="false" ht="15" hidden="false" customHeight="false" outlineLevel="0" collapsed="false">
      <c r="A10409" s="3" t="s">
        <v>301</v>
      </c>
      <c r="C10409" s="31" t="n">
        <f aca="false">CHOOSE($C$10374,Assumptions!$C$79,Assumptions!$C$98,Assumptions!$C$117)</f>
        <v>0.15</v>
      </c>
    </row>
    <row r="10410" customFormat="false" ht="15" hidden="false" customHeight="false" outlineLevel="0" collapsed="false">
      <c r="A10410" s="3" t="s">
        <v>302</v>
      </c>
      <c r="C10410" s="32" t="n">
        <f aca="false">CHOOSE($C$10374,Assumptions!$C$80,Assumptions!$C$99,Assumptions!$C$118)</f>
        <v>5</v>
      </c>
    </row>
    <row r="10411" customFormat="false" ht="15" hidden="false" customHeight="false" outlineLevel="0" collapsed="false">
      <c r="A10411" s="3" t="s">
        <v>303</v>
      </c>
      <c r="C10411" s="32" t="n">
        <f aca="false">CHOOSE($C$10374,Assumptions!$C$81,Assumptions!$C$100,Assumptions!$C$119)</f>
        <v>1.75</v>
      </c>
    </row>
    <row r="10412" customFormat="false" ht="15" hidden="false" customHeight="false" outlineLevel="0" collapsed="false">
      <c r="A10412" s="3" t="s">
        <v>304</v>
      </c>
      <c r="G10412" s="25" t="n">
        <f aca="false">G10417+G10430+G10443</f>
        <v>1735.554</v>
      </c>
      <c r="H10412" s="25" t="n">
        <f aca="false">H10417+H10430+H10443</f>
        <v>1735.554</v>
      </c>
      <c r="I10412" s="25" t="n">
        <f aca="false">I10417+I10430+I10443</f>
        <v>1735.554</v>
      </c>
      <c r="J10412" s="25" t="n">
        <f aca="false">J10417+J10430+J10443</f>
        <v>1404.8906244896</v>
      </c>
      <c r="K10412" s="25" t="n">
        <f aca="false">K10417+K10430+K10443</f>
        <v>1404.8906244896</v>
      </c>
    </row>
    <row r="10413" customFormat="false" ht="15" hidden="false" customHeight="false" outlineLevel="0" collapsed="false">
      <c r="A10413" s="3" t="s">
        <v>305</v>
      </c>
      <c r="G10413" s="25" t="n">
        <f aca="false">F10486</f>
        <v>463.996</v>
      </c>
      <c r="H10413" s="25" t="n">
        <f aca="false">G10486</f>
        <v>446.04576904</v>
      </c>
      <c r="I10413" s="25" t="n">
        <f aca="false">H10486</f>
        <v>393.6375547072</v>
      </c>
      <c r="J10413" s="25" t="n">
        <f aca="false">I10486</f>
        <v>0</v>
      </c>
      <c r="K10413" s="25" t="n">
        <f aca="false">J10486</f>
        <v>-47.061375921544</v>
      </c>
    </row>
    <row r="10414" customFormat="false" ht="15" hidden="false" customHeight="false" outlineLevel="0" collapsed="false">
      <c r="A10414" s="3" t="s">
        <v>306</v>
      </c>
      <c r="G10414" s="25" t="n">
        <f aca="false">G10417*IF(G10418=1,$C$10409,IF(Assumptions!$I$56=1,MAX(G10407,Assumptions!$G$56)+Assumptions!$F$56+$C$10408,Assumptions!$E$56))+G10430*IF(G10431=1,$C$10409,IF(Assumptions!$I$57=1,MAX(G10407,Assumptions!$G$57)+Assumptions!$F$57+$C$10408,Assumptions!$E$57))+G10443*IF(G10444=1,$C$10409,IF(Assumptions!$I$58=1,MAX(G10407,Assumptions!$G$58)+Assumptions!$F$58+$C$10408,Assumptions!$E$58))</f>
        <v>155.95467</v>
      </c>
      <c r="H10414" s="25" t="n">
        <f aca="false">H10417*IF(OR(H10418=1,G10564=1),$C$10409,IF(Assumptions!$I$56=1,MAX(H10407,Assumptions!$G$56)+Assumptions!$F$56+$C$10408,Assumptions!$E$56))+H10430*IF(OR(H10431=1,G10565=1),$C$10409,IF(Assumptions!$I$57=1,MAX(H10407,Assumptions!$G$57)+Assumptions!$F$57+$C$10408,Assumptions!$E$57))+H10443*IF(OR(H10444=1,G10566=1),$C$10409,IF(Assumptions!$I$58=1,MAX(H10407,Assumptions!$G$58)+Assumptions!$F$58+$C$10408,Assumptions!$E$58))</f>
        <v>155.95467</v>
      </c>
      <c r="I10414" s="25" t="n">
        <f aca="false">I10417*IF(OR(I10418=1,H10564=1),$C$10409,IF(Assumptions!$I$56=1,MAX(I10407,Assumptions!$G$56)+Assumptions!$F$56+$C$10408,Assumptions!$E$56))+I10430*IF(OR(I10431=1,H10565=1),$C$10409,IF(Assumptions!$I$57=1,MAX(I10407,Assumptions!$G$57)+Assumptions!$F$57+$C$10408,Assumptions!$E$57))+I10443*IF(OR(I10444=1,H10566=1),$C$10409,IF(Assumptions!$I$58=1,MAX(I10407,Assumptions!$G$58)+Assumptions!$F$58+$C$10408,Assumptions!$E$58))</f>
        <v>201.15369</v>
      </c>
      <c r="J10414" s="25" t="n">
        <f aca="false">J10417*IF(OR(J10418=1,I10564=1),$C$10409,IF(Assumptions!$I$56=1,MAX(J10407,Assumptions!$G$56)+Assumptions!$F$56+$C$10408,Assumptions!$E$56))+J10430*IF(OR(J10431=1,I10565=1),$C$10409,IF(Assumptions!$I$57=1,MAX(J10407,Assumptions!$G$57)+Assumptions!$F$57+$C$10408,Assumptions!$E$57))+J10443*IF(OR(J10444=1,I10566=1),$C$10409,IF(Assumptions!$I$58=1,MAX(J10407,Assumptions!$G$58)+Assumptions!$F$58+$C$10408,Assumptions!$E$58))</f>
        <v>141.901476540808</v>
      </c>
      <c r="K10414" s="25" t="n">
        <f aca="false">K10417*IF(OR(K10418=1,J10564=1),$C$10409,IF(Assumptions!$I$56=1,MAX(K10407,Assumptions!$G$56)+Assumptions!$F$56+$C$10408,Assumptions!$E$56))+K10430*IF(OR(K10431=1,J10565=1),$C$10409,IF(Assumptions!$I$57=1,MAX(K10407,Assumptions!$G$57)+Assumptions!$F$57+$C$10408,Assumptions!$E$57))+K10443*IF(OR(K10444=1,J10566=1),$C$10409,IF(Assumptions!$I$58=1,MAX(K10407,Assumptions!$G$58)+Assumptions!$F$58+$C$10408,Assumptions!$E$58))</f>
        <v>141.901476540808</v>
      </c>
    </row>
    <row r="10415" customFormat="false" ht="15" hidden="false" customHeight="false" outlineLevel="0" collapsed="false">
      <c r="A10415" s="3" t="s">
        <v>307</v>
      </c>
      <c r="G10415" s="20" t="n">
        <f aca="false">IF(G10391&lt;=0,0,IF(AND((G10412-G10413)/G10391&lt;=$C$10410,G10391/G10414&gt;=$C$10411),1,0))</f>
        <v>0</v>
      </c>
      <c r="H10415" s="20" t="n">
        <f aca="false">IF(H10391&lt;=0,0,IF(AND((H10412-H10413)/H10391&lt;=$C$10410,H10391/H10414&gt;=$C$10411),1,0))</f>
        <v>0</v>
      </c>
      <c r="I10415" s="20" t="n">
        <f aca="false">IF(I10391&lt;=0,0,IF(AND((I10412-I10413)/I10391&lt;=$C$10410,I10391/I10414&gt;=$C$10411),1,0))</f>
        <v>0</v>
      </c>
      <c r="J10415" s="20" t="n">
        <f aca="false">IF(J10391&lt;=0,0,IF(AND((J10412-J10413)/J10391&lt;=$C$10410,J10391/J10414&gt;=$C$10411),1,0))</f>
        <v>0</v>
      </c>
      <c r="K10415" s="20" t="n">
        <f aca="false">IF(K10391&lt;=0,0,IF(AND((K10412-K10413)/K10391&lt;=$C$10410,K10391/K10414&gt;=$C$10411),1,0))</f>
        <v>0</v>
      </c>
    </row>
    <row r="10416" customFormat="false" ht="15" hidden="false" customHeight="false" outlineLevel="0" collapsed="false">
      <c r="A10416" s="23" t="s">
        <v>308</v>
      </c>
      <c r="B10416" s="24"/>
      <c r="C10416" s="24"/>
      <c r="D10416" s="24"/>
      <c r="E10416" s="24"/>
      <c r="F10416" s="24"/>
      <c r="G10416" s="24"/>
      <c r="H10416" s="24"/>
      <c r="I10416" s="24"/>
      <c r="J10416" s="24"/>
      <c r="K10416" s="24"/>
    </row>
    <row r="10417" customFormat="false" ht="15" hidden="false" customHeight="false" outlineLevel="0" collapsed="false">
      <c r="A10417" s="3" t="s">
        <v>309</v>
      </c>
      <c r="G10417" s="25" t="n">
        <f aca="false">F10428</f>
        <v>1315.098</v>
      </c>
      <c r="H10417" s="25" t="n">
        <f aca="false">G10428</f>
        <v>1315.098</v>
      </c>
      <c r="I10417" s="25" t="n">
        <f aca="false">H10428</f>
        <v>1315.098</v>
      </c>
      <c r="J10417" s="25" t="n">
        <f aca="false">I10428</f>
        <v>1315.098</v>
      </c>
      <c r="K10417" s="25" t="n">
        <f aca="false">J10428</f>
        <v>1315.098</v>
      </c>
    </row>
    <row r="10418" customFormat="false" ht="15" hidden="false" customHeight="false" outlineLevel="0" collapsed="false">
      <c r="A10418" s="3" t="s">
        <v>310</v>
      </c>
      <c r="G10418" s="20" t="n">
        <f aca="false">IF(G10381=Assumptions!$K$56,1,0)</f>
        <v>0</v>
      </c>
      <c r="H10418" s="20" t="n">
        <f aca="false">IF(H10381=Assumptions!$K$56,1,0)</f>
        <v>0</v>
      </c>
      <c r="I10418" s="20" t="n">
        <f aca="false">IF(I10381=Assumptions!$K$56,1,0)</f>
        <v>0</v>
      </c>
      <c r="J10418" s="20" t="n">
        <f aca="false">IF(J10381=Assumptions!$K$56,1,0)</f>
        <v>0</v>
      </c>
      <c r="K10418" s="20" t="n">
        <f aca="false">IF(K10381=Assumptions!$K$56,1,0)</f>
        <v>0</v>
      </c>
    </row>
    <row r="10420" customFormat="false" ht="15" hidden="false" customHeight="false" outlineLevel="0" collapsed="false">
      <c r="A10420" s="3" t="s">
        <v>311</v>
      </c>
      <c r="G10420" s="31" t="n">
        <f aca="false">IF(Assumptions!$I$56=1,MAX(G10407,Assumptions!$G$56)+Assumptions!$F$56+$C$10408,Assumptions!$E$56)</f>
        <v>0.105</v>
      </c>
      <c r="H10420" s="31" t="n">
        <f aca="false">IF(G10564=1,$C$10409,IF(Assumptions!$I$56=1,MAX(H10407,Assumptions!$G$56)+Assumptions!$F$56+$C$10408,Assumptions!$E$56))</f>
        <v>0.105</v>
      </c>
      <c r="I10420" s="31" t="n">
        <f aca="false">IF(H10564=1,$C$10409,IF(Assumptions!$I$56=1,MAX(I10407,Assumptions!$G$56)+Assumptions!$F$56+$C$10408,Assumptions!$E$56))</f>
        <v>0.105</v>
      </c>
      <c r="J10420" s="31" t="n">
        <f aca="false">IF(I10564=1,$C$10409,IF(Assumptions!$I$56=1,MAX(J10407,Assumptions!$G$56)+Assumptions!$F$56+$C$10408,Assumptions!$E$56))</f>
        <v>0.105</v>
      </c>
      <c r="K10420" s="31" t="n">
        <f aca="false">IF(J10564=1,$C$10409,IF(Assumptions!$I$56=1,MAX(K10407,Assumptions!$G$56)+Assumptions!$F$56+$C$10408,Assumptions!$E$56))</f>
        <v>0.105</v>
      </c>
    </row>
    <row r="10421" customFormat="false" ht="15" hidden="false" customHeight="false" outlineLevel="0" collapsed="false">
      <c r="A10421" s="3" t="s">
        <v>312</v>
      </c>
      <c r="G10421" s="25" t="n">
        <f aca="false">G10417*G10420</f>
        <v>138.08529</v>
      </c>
      <c r="H10421" s="25" t="n">
        <f aca="false">H10417*H10420</f>
        <v>138.08529</v>
      </c>
      <c r="I10421" s="25" t="n">
        <f aca="false">I10417*I10420</f>
        <v>138.08529</v>
      </c>
      <c r="J10421" s="25" t="n">
        <f aca="false">J10417*J10420</f>
        <v>138.08529</v>
      </c>
      <c r="K10421" s="25" t="n">
        <f aca="false">K10417*K10420</f>
        <v>138.08529</v>
      </c>
    </row>
    <row r="10422" customFormat="false" ht="15" hidden="false" customHeight="false" outlineLevel="0" collapsed="false">
      <c r="A10422" s="3" t="s">
        <v>313</v>
      </c>
      <c r="G10422" s="25" t="n">
        <f aca="false">G10417*Assumptions!$H$56</f>
        <v>0</v>
      </c>
      <c r="H10422" s="25" t="n">
        <f aca="false">H10417*Assumptions!$H$56</f>
        <v>0</v>
      </c>
      <c r="I10422" s="25" t="n">
        <f aca="false">I10417*Assumptions!$H$56</f>
        <v>0</v>
      </c>
      <c r="J10422" s="25" t="n">
        <f aca="false">J10417*Assumptions!$H$56</f>
        <v>0</v>
      </c>
      <c r="K10422" s="25" t="n">
        <f aca="false">K10417*Assumptions!$H$56</f>
        <v>0</v>
      </c>
    </row>
    <row r="10423" customFormat="false" ht="15" hidden="false" customHeight="false" outlineLevel="0" collapsed="false">
      <c r="A10423" s="3" t="s">
        <v>314</v>
      </c>
      <c r="G10423" s="25" t="n">
        <f aca="false">MIN(G10417,Assumptions!$L$56*Assumptions!$C$56)</f>
        <v>0</v>
      </c>
      <c r="H10423" s="25" t="n">
        <f aca="false">MIN(H10417,Assumptions!$L$56*Assumptions!$C$56)</f>
        <v>0</v>
      </c>
      <c r="I10423" s="25" t="n">
        <f aca="false">MIN(I10417,Assumptions!$L$56*Assumptions!$C$56)</f>
        <v>0</v>
      </c>
      <c r="J10423" s="25" t="n">
        <f aca="false">MIN(J10417,Assumptions!$L$56*Assumptions!$C$56)</f>
        <v>0</v>
      </c>
      <c r="K10423" s="25" t="n">
        <f aca="false">MIN(K10417,Assumptions!$L$56*Assumptions!$C$56)</f>
        <v>0</v>
      </c>
    </row>
    <row r="10424" customFormat="false" ht="15" hidden="false" customHeight="false" outlineLevel="0" collapsed="false">
      <c r="A10424" s="3" t="s">
        <v>315</v>
      </c>
      <c r="G10424" s="25" t="n">
        <f aca="false">IF(AND(Assumptions!$P$56=1,G10381&lt;Assumptions!$K$56),MIN(MAX(0,-G10478),MAX(0,Assumptions!$D$56-G10417)),0)</f>
        <v>0</v>
      </c>
      <c r="H10424" s="25" t="n">
        <f aca="false">IF(AND(Assumptions!$P$56=1,OR(H10381&lt;Assumptions!$K$56,G10564=1)),MIN(MAX(0,-H10478),MAX(0,Assumptions!$D$56-H10417)),0)</f>
        <v>0</v>
      </c>
      <c r="I10424" s="25" t="n">
        <f aca="false">IF(AND(Assumptions!$P$56=1,OR(I10381&lt;Assumptions!$K$56,H10564=1)),MIN(MAX(0,-I10478),MAX(0,Assumptions!$D$56-I10417)),0)</f>
        <v>0</v>
      </c>
      <c r="J10424" s="25" t="n">
        <f aca="false">IF(AND(Assumptions!$P$56=1,OR(J10381&lt;Assumptions!$K$56,I10564=1)),MIN(MAX(0,-J10478),MAX(0,Assumptions!$D$56-J10417)),0)</f>
        <v>0</v>
      </c>
      <c r="K10424" s="25" t="n">
        <f aca="false">IF(AND(Assumptions!$P$56=1,OR(K10381&lt;Assumptions!$K$56,J10564=1)),MIN(MAX(0,-K10478),MAX(0,Assumptions!$D$56-K10417)),0)</f>
        <v>0</v>
      </c>
    </row>
    <row r="10425" customFormat="false" ht="15" hidden="false" customHeight="false" outlineLevel="0" collapsed="false">
      <c r="A10425" s="3" t="s">
        <v>316</v>
      </c>
      <c r="G10425" s="25" t="n">
        <f aca="false">G10418*MIN(G10417-G10423+G10422,MAX(0,G10480-Assumptions!$C$12*G10415))</f>
        <v>0</v>
      </c>
      <c r="H10425" s="25" t="n">
        <f aca="false">H10418*MIN(H10417-H10423+H10422,MAX(0,H10480-Assumptions!$C$12*H10415))</f>
        <v>0</v>
      </c>
      <c r="I10425" s="25" t="n">
        <f aca="false">I10418*MIN(I10417-I10423+I10422,MAX(0,I10480-Assumptions!$C$12*I10415))</f>
        <v>0</v>
      </c>
      <c r="J10425" s="25" t="n">
        <f aca="false">J10418*MIN(J10417-J10423+J10422,MAX(0,J10480-Assumptions!$C$12*J10415))</f>
        <v>0</v>
      </c>
      <c r="K10425" s="25" t="n">
        <f aca="false">K10418*MIN(K10417-K10423+K10422,MAX(0,K10480-Assumptions!$C$12*K10415))</f>
        <v>0</v>
      </c>
    </row>
    <row r="10426" customFormat="false" ht="15" hidden="false" customHeight="false" outlineLevel="0" collapsed="false">
      <c r="A10426" s="3" t="s">
        <v>317</v>
      </c>
      <c r="G10426" s="25" t="n">
        <f aca="false">Assumptions!$N$56*MIN(G10417+G10424+G10422-G10423-G10425,MAX(0,G10484))</f>
        <v>0</v>
      </c>
      <c r="H10426" s="25" t="n">
        <f aca="false">Assumptions!$N$56*MIN(H10417+H10424+H10422-H10423-H10425,MAX(0,H10484))</f>
        <v>0</v>
      </c>
      <c r="I10426" s="25" t="n">
        <f aca="false">Assumptions!$N$56*MIN(I10417+I10424+I10422-I10423-I10425,MAX(0,I10484))</f>
        <v>0</v>
      </c>
      <c r="J10426" s="25" t="n">
        <f aca="false">Assumptions!$N$56*MIN(J10417+J10424+J10422-J10423-J10425,MAX(0,J10484))</f>
        <v>0</v>
      </c>
      <c r="K10426" s="25" t="n">
        <f aca="false">Assumptions!$N$56*MIN(K10417+K10424+K10422-K10423-K10425,MAX(0,K10484))</f>
        <v>0</v>
      </c>
    </row>
    <row r="10427" customFormat="false" ht="15" hidden="false" customHeight="false" outlineLevel="0" collapsed="false">
      <c r="A10427" s="3" t="s">
        <v>318</v>
      </c>
      <c r="G10427" s="25" t="n">
        <f aca="false">G10418*(1-G10415)*(G10417-G10423+G10422-G10425)</f>
        <v>0</v>
      </c>
      <c r="H10427" s="25" t="n">
        <f aca="false">H10418*(1-H10415)*(H10417-H10423+H10422-H10425)</f>
        <v>0</v>
      </c>
      <c r="I10427" s="25" t="n">
        <f aca="false">I10418*(1-I10415)*(I10417-I10423+I10422-I10425)</f>
        <v>0</v>
      </c>
      <c r="J10427" s="25" t="n">
        <f aca="false">J10418*(1-J10415)*(J10417-J10423+J10422-J10425)</f>
        <v>0</v>
      </c>
      <c r="K10427" s="25" t="n">
        <f aca="false">K10418*(1-K10415)*(K10417-K10423+K10422-K10425)</f>
        <v>0</v>
      </c>
    </row>
    <row r="10428" customFormat="false" ht="15" hidden="false" customHeight="false" outlineLevel="0" collapsed="false">
      <c r="A10428" s="2" t="s">
        <v>319</v>
      </c>
      <c r="F10428" s="28" t="n">
        <f aca="false">Assumptions!$C$56</f>
        <v>1315.098</v>
      </c>
      <c r="G10428" s="16" t="n">
        <f aca="false">G10417+G10424+G10422-G10423-G10425-G10426</f>
        <v>1315.098</v>
      </c>
      <c r="H10428" s="16" t="n">
        <f aca="false">H10417+H10424+H10422-H10423-H10425-H10426</f>
        <v>1315.098</v>
      </c>
      <c r="I10428" s="16" t="n">
        <f aca="false">I10417+I10424+I10422-I10423-I10425-I10426</f>
        <v>1315.098</v>
      </c>
      <c r="J10428" s="16" t="n">
        <f aca="false">J10417+J10424+J10422-J10423-J10425-J10426</f>
        <v>1315.098</v>
      </c>
      <c r="K10428" s="16" t="n">
        <f aca="false">K10417+K10424+K10422-K10423-K10425-K10426</f>
        <v>1315.098</v>
      </c>
    </row>
    <row r="10429" customFormat="false" ht="15" hidden="false" customHeight="false" outlineLevel="0" collapsed="false">
      <c r="A10429" s="23" t="s">
        <v>320</v>
      </c>
      <c r="B10429" s="24"/>
      <c r="C10429" s="24"/>
      <c r="D10429" s="24"/>
      <c r="E10429" s="24"/>
      <c r="F10429" s="24"/>
      <c r="G10429" s="24"/>
      <c r="H10429" s="24"/>
      <c r="I10429" s="24"/>
      <c r="J10429" s="24"/>
      <c r="K10429" s="24"/>
    </row>
    <row r="10430" customFormat="false" ht="15" hidden="false" customHeight="false" outlineLevel="0" collapsed="false">
      <c r="A10430" s="3" t="s">
        <v>309</v>
      </c>
      <c r="G10430" s="25" t="n">
        <f aca="false">F10441</f>
        <v>276.706</v>
      </c>
      <c r="H10430" s="25" t="n">
        <f aca="false">G10441</f>
        <v>276.706</v>
      </c>
      <c r="I10430" s="25" t="n">
        <f aca="false">H10441</f>
        <v>276.706</v>
      </c>
      <c r="J10430" s="25" t="n">
        <f aca="false">I10441</f>
        <v>0</v>
      </c>
      <c r="K10430" s="25" t="n">
        <f aca="false">J10441</f>
        <v>0</v>
      </c>
    </row>
    <row r="10431" customFormat="false" ht="15" hidden="false" customHeight="false" outlineLevel="0" collapsed="false">
      <c r="A10431" s="3" t="s">
        <v>310</v>
      </c>
      <c r="G10431" s="20" t="n">
        <f aca="false">IF(G10381=Assumptions!$K$57,1,0)</f>
        <v>0</v>
      </c>
      <c r="H10431" s="20" t="n">
        <f aca="false">IF(H10381=Assumptions!$K$57,1,0)</f>
        <v>0</v>
      </c>
      <c r="I10431" s="20" t="n">
        <f aca="false">IF(I10381=Assumptions!$K$57,1,0)</f>
        <v>1</v>
      </c>
      <c r="J10431" s="20" t="n">
        <f aca="false">IF(J10381=Assumptions!$K$57,1,0)</f>
        <v>0</v>
      </c>
      <c r="K10431" s="20" t="n">
        <f aca="false">IF(K10381=Assumptions!$K$57,1,0)</f>
        <v>0</v>
      </c>
    </row>
    <row r="10433" customFormat="false" ht="15" hidden="false" customHeight="false" outlineLevel="0" collapsed="false">
      <c r="A10433" s="3" t="s">
        <v>311</v>
      </c>
      <c r="G10433" s="31" t="n">
        <f aca="false">IF(Assumptions!$I$57=1,MAX(G10407,Assumptions!$G$57)+Assumptions!$F$57+$C$10408,Assumptions!$E$57)</f>
        <v>0.0425</v>
      </c>
      <c r="H10433" s="31" t="n">
        <f aca="false">IF(G10565=1,$C$10409,IF(Assumptions!$I$57=1,MAX(H10407,Assumptions!$G$57)+Assumptions!$F$57+$C$10408,Assumptions!$E$57))</f>
        <v>0.0425</v>
      </c>
      <c r="I10433" s="31" t="n">
        <f aca="false">IF(H10565=1,$C$10409,IF(Assumptions!$I$57=1,MAX(I10407,Assumptions!$G$57)+Assumptions!$F$57+$C$10408,Assumptions!$E$57))</f>
        <v>0.0425</v>
      </c>
      <c r="J10433" s="31" t="n">
        <f aca="false">IF(I10565=1,$C$10409,IF(Assumptions!$I$57=1,MAX(J10407,Assumptions!$G$57)+Assumptions!$F$57+$C$10408,Assumptions!$E$57))</f>
        <v>0.0425</v>
      </c>
      <c r="K10433" s="31" t="n">
        <f aca="false">IF(J10565=1,$C$10409,IF(Assumptions!$I$57=1,MAX(K10407,Assumptions!$G$57)+Assumptions!$F$57+$C$10408,Assumptions!$E$57))</f>
        <v>0.0425</v>
      </c>
    </row>
    <row r="10434" customFormat="false" ht="15" hidden="false" customHeight="false" outlineLevel="0" collapsed="false">
      <c r="A10434" s="3" t="s">
        <v>312</v>
      </c>
      <c r="G10434" s="25" t="n">
        <f aca="false">G10430*G10433</f>
        <v>11.760005</v>
      </c>
      <c r="H10434" s="25" t="n">
        <f aca="false">H10430*H10433</f>
        <v>11.760005</v>
      </c>
      <c r="I10434" s="25" t="n">
        <f aca="false">I10430*I10433</f>
        <v>11.760005</v>
      </c>
      <c r="J10434" s="25" t="n">
        <f aca="false">J10430*J10433</f>
        <v>0</v>
      </c>
      <c r="K10434" s="25" t="n">
        <f aca="false">K10430*K10433</f>
        <v>0</v>
      </c>
    </row>
    <row r="10435" customFormat="false" ht="15" hidden="false" customHeight="false" outlineLevel="0" collapsed="false">
      <c r="A10435" s="3" t="s">
        <v>313</v>
      </c>
      <c r="G10435" s="25" t="n">
        <f aca="false">G10430*Assumptions!$H$57</f>
        <v>0</v>
      </c>
      <c r="H10435" s="25" t="n">
        <f aca="false">H10430*Assumptions!$H$57</f>
        <v>0</v>
      </c>
      <c r="I10435" s="25" t="n">
        <f aca="false">I10430*Assumptions!$H$57</f>
        <v>0</v>
      </c>
      <c r="J10435" s="25" t="n">
        <f aca="false">J10430*Assumptions!$H$57</f>
        <v>0</v>
      </c>
      <c r="K10435" s="25" t="n">
        <f aca="false">K10430*Assumptions!$H$57</f>
        <v>0</v>
      </c>
    </row>
    <row r="10436" customFormat="false" ht="15" hidden="false" customHeight="false" outlineLevel="0" collapsed="false">
      <c r="A10436" s="3" t="s">
        <v>314</v>
      </c>
      <c r="G10436" s="25" t="n">
        <f aca="false">MIN(G10430,Assumptions!$L$57*Assumptions!$C$57)</f>
        <v>0</v>
      </c>
      <c r="H10436" s="25" t="n">
        <f aca="false">MIN(H10430,Assumptions!$L$57*Assumptions!$C$57)</f>
        <v>0</v>
      </c>
      <c r="I10436" s="25" t="n">
        <f aca="false">MIN(I10430,Assumptions!$L$57*Assumptions!$C$57)</f>
        <v>0</v>
      </c>
      <c r="J10436" s="25" t="n">
        <f aca="false">MIN(J10430,Assumptions!$L$57*Assumptions!$C$57)</f>
        <v>0</v>
      </c>
      <c r="K10436" s="25" t="n">
        <f aca="false">MIN(K10430,Assumptions!$L$57*Assumptions!$C$57)</f>
        <v>0</v>
      </c>
    </row>
    <row r="10437" customFormat="false" ht="15" hidden="false" customHeight="false" outlineLevel="0" collapsed="false">
      <c r="A10437" s="3" t="s">
        <v>315</v>
      </c>
      <c r="G10437" s="25" t="n">
        <f aca="false">IF(AND(Assumptions!$P$57=1,G10381&lt;Assumptions!$K$57),MIN(MAX(0,-G10478),MAX(0,Assumptions!$D$57-G10430)),0)</f>
        <v>0</v>
      </c>
      <c r="H10437" s="25" t="n">
        <f aca="false">IF(AND(Assumptions!$P$57=1,OR(H10381&lt;Assumptions!$K$57,G10565=1)),MIN(MAX(0,-H10478),MAX(0,Assumptions!$D$57-H10430)),0)</f>
        <v>0</v>
      </c>
      <c r="I10437" s="25" t="n">
        <f aca="false">IF(AND(Assumptions!$P$57=1,OR(I10381&lt;Assumptions!$K$57,H10565=1)),MIN(MAX(0,-I10478),MAX(0,Assumptions!$D$57-I10430)),0)</f>
        <v>0</v>
      </c>
      <c r="J10437" s="25" t="n">
        <f aca="false">IF(AND(Assumptions!$P$57=1,OR(J10381&lt;Assumptions!$K$57,I10565=1)),MIN(MAX(0,-J10478),MAX(0,Assumptions!$D$57-J10430)),0)</f>
        <v>0</v>
      </c>
      <c r="K10437" s="25" t="n">
        <f aca="false">IF(AND(Assumptions!$P$57=1,OR(K10381&lt;Assumptions!$K$57,J10565=1)),MIN(MAX(0,-K10478),MAX(0,Assumptions!$D$57-K10430)),0)</f>
        <v>0</v>
      </c>
    </row>
    <row r="10438" customFormat="false" ht="15" hidden="false" customHeight="false" outlineLevel="0" collapsed="false">
      <c r="A10438" s="3" t="s">
        <v>316</v>
      </c>
      <c r="G10438" s="25" t="n">
        <f aca="false">G10431*MIN(G10430-G10436+G10435,MAX(0,G10480-Assumptions!$C$12*G10415-G10425))</f>
        <v>0</v>
      </c>
      <c r="H10438" s="25" t="n">
        <f aca="false">H10431*MIN(H10430-H10436+H10435,MAX(0,H10480-Assumptions!$C$12*H10415-H10425))</f>
        <v>0</v>
      </c>
      <c r="I10438" s="25" t="n">
        <f aca="false">I10431*MIN(I10430-I10436+I10435,MAX(0,I10480-Assumptions!$C$12*I10415-I10425))</f>
        <v>276.706</v>
      </c>
      <c r="J10438" s="25" t="n">
        <f aca="false">J10431*MIN(J10430-J10436+J10435,MAX(0,J10480-Assumptions!$C$12*J10415-J10425))</f>
        <v>0</v>
      </c>
      <c r="K10438" s="25" t="n">
        <f aca="false">K10431*MIN(K10430-K10436+K10435,MAX(0,K10480-Assumptions!$C$12*K10415-K10425))</f>
        <v>0</v>
      </c>
    </row>
    <row r="10439" customFormat="false" ht="15" hidden="false" customHeight="false" outlineLevel="0" collapsed="false">
      <c r="A10439" s="3" t="s">
        <v>317</v>
      </c>
      <c r="G10439" s="25" t="n">
        <f aca="false">Assumptions!$N$57*MIN(G10430+G10437+G10435-G10436-G10438,MAX(0,G10484-G10426))</f>
        <v>0</v>
      </c>
      <c r="H10439" s="25" t="n">
        <f aca="false">Assumptions!$N$57*MIN(H10430+H10437+H10435-H10436-H10438,MAX(0,H10484-H10426))</f>
        <v>0</v>
      </c>
      <c r="I10439" s="25" t="n">
        <f aca="false">Assumptions!$N$57*MIN(I10430+I10437+I10435-I10436-I10438,MAX(0,I10484-I10426))</f>
        <v>0</v>
      </c>
      <c r="J10439" s="25" t="n">
        <f aca="false">Assumptions!$N$57*MIN(J10430+J10437+J10435-J10436-J10438,MAX(0,J10484-J10426))</f>
        <v>0</v>
      </c>
      <c r="K10439" s="25" t="n">
        <f aca="false">Assumptions!$N$57*MIN(K10430+K10437+K10435-K10436-K10438,MAX(0,K10484-K10426))</f>
        <v>0</v>
      </c>
    </row>
    <row r="10440" customFormat="false" ht="15" hidden="false" customHeight="false" outlineLevel="0" collapsed="false">
      <c r="A10440" s="3" t="s">
        <v>318</v>
      </c>
      <c r="G10440" s="25" t="n">
        <f aca="false">G10431*(1-G10415)*(G10430-G10436+G10435-G10438)</f>
        <v>0</v>
      </c>
      <c r="H10440" s="25" t="n">
        <f aca="false">H10431*(1-H10415)*(H10430-H10436+H10435-H10438)</f>
        <v>0</v>
      </c>
      <c r="I10440" s="25" t="n">
        <f aca="false">I10431*(1-I10415)*(I10430-I10436+I10435-I10438)</f>
        <v>0</v>
      </c>
      <c r="J10440" s="25" t="n">
        <f aca="false">J10431*(1-J10415)*(J10430-J10436+J10435-J10438)</f>
        <v>0</v>
      </c>
      <c r="K10440" s="25" t="n">
        <f aca="false">K10431*(1-K10415)*(K10430-K10436+K10435-K10438)</f>
        <v>0</v>
      </c>
    </row>
    <row r="10441" customFormat="false" ht="15" hidden="false" customHeight="false" outlineLevel="0" collapsed="false">
      <c r="A10441" s="2" t="s">
        <v>319</v>
      </c>
      <c r="F10441" s="28" t="n">
        <f aca="false">Assumptions!$C$57</f>
        <v>276.706</v>
      </c>
      <c r="G10441" s="16" t="n">
        <f aca="false">G10430+G10437+G10435-G10436-G10438-G10439</f>
        <v>276.706</v>
      </c>
      <c r="H10441" s="16" t="n">
        <f aca="false">H10430+H10437+H10435-H10436-H10438-H10439</f>
        <v>276.706</v>
      </c>
      <c r="I10441" s="16" t="n">
        <f aca="false">I10430+I10437+I10435-I10436-I10438-I10439</f>
        <v>0</v>
      </c>
      <c r="J10441" s="16" t="n">
        <f aca="false">J10430+J10437+J10435-J10436-J10438-J10439</f>
        <v>0</v>
      </c>
      <c r="K10441" s="16" t="n">
        <f aca="false">K10430+K10437+K10435-K10436-K10438-K10439</f>
        <v>0</v>
      </c>
    </row>
    <row r="10442" customFormat="false" ht="15" hidden="false" customHeight="false" outlineLevel="0" collapsed="false">
      <c r="A10442" s="23" t="s">
        <v>321</v>
      </c>
      <c r="B10442" s="24"/>
      <c r="C10442" s="24"/>
      <c r="D10442" s="24"/>
      <c r="E10442" s="24"/>
      <c r="F10442" s="24"/>
      <c r="G10442" s="24"/>
      <c r="H10442" s="24"/>
      <c r="I10442" s="24"/>
      <c r="J10442" s="24"/>
      <c r="K10442" s="24"/>
    </row>
    <row r="10443" customFormat="false" ht="15" hidden="false" customHeight="false" outlineLevel="0" collapsed="false">
      <c r="A10443" s="3" t="s">
        <v>309</v>
      </c>
      <c r="G10443" s="25" t="n">
        <f aca="false">F10454</f>
        <v>143.75</v>
      </c>
      <c r="H10443" s="25" t="n">
        <f aca="false">G10454</f>
        <v>143.75</v>
      </c>
      <c r="I10443" s="25" t="n">
        <f aca="false">H10454</f>
        <v>143.75</v>
      </c>
      <c r="J10443" s="25" t="n">
        <f aca="false">I10454</f>
        <v>89.7926244896</v>
      </c>
      <c r="K10443" s="25" t="n">
        <f aca="false">J10454</f>
        <v>89.7926244896</v>
      </c>
    </row>
    <row r="10444" customFormat="false" ht="15" hidden="false" customHeight="false" outlineLevel="0" collapsed="false">
      <c r="A10444" s="3" t="s">
        <v>310</v>
      </c>
      <c r="G10444" s="20" t="n">
        <f aca="false">IF(G10381=Assumptions!$K$58,1,0)</f>
        <v>0</v>
      </c>
      <c r="H10444" s="20" t="n">
        <f aca="false">IF(H10381=Assumptions!$K$58,1,0)</f>
        <v>0</v>
      </c>
      <c r="I10444" s="20" t="n">
        <f aca="false">IF(I10381=Assumptions!$K$58,1,0)</f>
        <v>1</v>
      </c>
      <c r="J10444" s="20" t="n">
        <f aca="false">IF(J10381=Assumptions!$K$58,1,0)</f>
        <v>0</v>
      </c>
      <c r="K10444" s="20" t="n">
        <f aca="false">IF(K10381=Assumptions!$K$58,1,0)</f>
        <v>0</v>
      </c>
    </row>
    <row r="10446" customFormat="false" ht="15" hidden="false" customHeight="false" outlineLevel="0" collapsed="false">
      <c r="A10446" s="3" t="s">
        <v>311</v>
      </c>
      <c r="G10446" s="31" t="n">
        <f aca="false">IF(Assumptions!$I$58=1,MAX(G10407,Assumptions!$G$58)+Assumptions!$F$58+$C$10408,Assumptions!$E$58)</f>
        <v>0.0425</v>
      </c>
      <c r="H10446" s="31" t="n">
        <f aca="false">IF(G10566=1,$C$10409,IF(Assumptions!$I$58=1,MAX(H10407,Assumptions!$G$58)+Assumptions!$F$58+$C$10408,Assumptions!$E$58))</f>
        <v>0.0425</v>
      </c>
      <c r="I10446" s="31" t="n">
        <f aca="false">IF(H10566=1,$C$10409,IF(Assumptions!$I$58=1,MAX(I10407,Assumptions!$G$58)+Assumptions!$F$58+$C$10408,Assumptions!$E$58))</f>
        <v>0.0425</v>
      </c>
      <c r="J10446" s="31" t="n">
        <f aca="false">IF(I10566=1,$C$10409,IF(Assumptions!$I$58=1,MAX(J10407,Assumptions!$G$58)+Assumptions!$F$58+$C$10408,Assumptions!$E$58))</f>
        <v>0.0425</v>
      </c>
      <c r="K10446" s="31" t="n">
        <f aca="false">IF(J10566=1,$C$10409,IF(Assumptions!$I$58=1,MAX(K10407,Assumptions!$G$58)+Assumptions!$F$58+$C$10408,Assumptions!$E$58))</f>
        <v>0.0425</v>
      </c>
    </row>
    <row r="10447" customFormat="false" ht="15" hidden="false" customHeight="false" outlineLevel="0" collapsed="false">
      <c r="A10447" s="3" t="s">
        <v>312</v>
      </c>
      <c r="G10447" s="25" t="n">
        <f aca="false">G10443*G10446</f>
        <v>6.109375</v>
      </c>
      <c r="H10447" s="25" t="n">
        <f aca="false">H10443*H10446</f>
        <v>6.109375</v>
      </c>
      <c r="I10447" s="25" t="n">
        <f aca="false">I10443*I10446</f>
        <v>6.109375</v>
      </c>
      <c r="J10447" s="25" t="n">
        <f aca="false">J10443*J10446</f>
        <v>3.816186540808</v>
      </c>
      <c r="K10447" s="25" t="n">
        <f aca="false">K10443*K10446</f>
        <v>3.816186540808</v>
      </c>
    </row>
    <row r="10448" customFormat="false" ht="15" hidden="false" customHeight="false" outlineLevel="0" collapsed="false">
      <c r="A10448" s="3" t="s">
        <v>313</v>
      </c>
      <c r="G10448" s="25" t="n">
        <f aca="false">G10443*Assumptions!$H$58</f>
        <v>0</v>
      </c>
      <c r="H10448" s="25" t="n">
        <f aca="false">H10443*Assumptions!$H$58</f>
        <v>0</v>
      </c>
      <c r="I10448" s="25" t="n">
        <f aca="false">I10443*Assumptions!$H$58</f>
        <v>0</v>
      </c>
      <c r="J10448" s="25" t="n">
        <f aca="false">J10443*Assumptions!$H$58</f>
        <v>0</v>
      </c>
      <c r="K10448" s="25" t="n">
        <f aca="false">K10443*Assumptions!$H$58</f>
        <v>0</v>
      </c>
    </row>
    <row r="10449" customFormat="false" ht="15" hidden="false" customHeight="false" outlineLevel="0" collapsed="false">
      <c r="A10449" s="3" t="s">
        <v>314</v>
      </c>
      <c r="G10449" s="25" t="n">
        <f aca="false">MIN(G10443,Assumptions!$L$58*Assumptions!$C$58)</f>
        <v>0</v>
      </c>
      <c r="H10449" s="25" t="n">
        <f aca="false">MIN(H10443,Assumptions!$L$58*Assumptions!$C$58)</f>
        <v>0</v>
      </c>
      <c r="I10449" s="25" t="n">
        <f aca="false">MIN(I10443,Assumptions!$L$58*Assumptions!$C$58)</f>
        <v>0</v>
      </c>
      <c r="J10449" s="25" t="n">
        <f aca="false">MIN(J10443,Assumptions!$L$58*Assumptions!$C$58)</f>
        <v>0</v>
      </c>
      <c r="K10449" s="25" t="n">
        <f aca="false">MIN(K10443,Assumptions!$L$58*Assumptions!$C$58)</f>
        <v>0</v>
      </c>
    </row>
    <row r="10450" customFormat="false" ht="15" hidden="false" customHeight="false" outlineLevel="0" collapsed="false">
      <c r="A10450" s="3" t="s">
        <v>315</v>
      </c>
      <c r="G10450" s="25" t="n">
        <f aca="false">IF(AND(Assumptions!$P$58=1,G10381&lt;Assumptions!$K$58),MIN(MAX(0,-G10478),MAX(0,Assumptions!$D$58-G10443)),0)</f>
        <v>0</v>
      </c>
      <c r="H10450" s="25" t="n">
        <f aca="false">IF(AND(Assumptions!$P$58=1,OR(H10381&lt;Assumptions!$K$58,G10566=1)),MIN(MAX(0,-H10478),MAX(0,Assumptions!$D$58-H10443)),0)</f>
        <v>0</v>
      </c>
      <c r="I10450" s="25" t="n">
        <f aca="false">IF(AND(Assumptions!$P$58=1,OR(I10381&lt;Assumptions!$K$58,H10566=1)),MIN(MAX(0,-I10478),MAX(0,Assumptions!$D$58-I10443)),0)</f>
        <v>0</v>
      </c>
      <c r="J10450" s="25" t="n">
        <f aca="false">IF(AND(Assumptions!$P$58=1,OR(J10381&lt;Assumptions!$K$58,I10566=1)),MIN(MAX(0,-J10478),MAX(0,Assumptions!$D$58-J10443)),0)</f>
        <v>0</v>
      </c>
      <c r="K10450" s="25" t="n">
        <f aca="false">IF(AND(Assumptions!$P$58=1,OR(K10381&lt;Assumptions!$K$58,J10566=1)),MIN(MAX(0,-K10478),MAX(0,Assumptions!$D$58-K10443)),0)</f>
        <v>0</v>
      </c>
    </row>
    <row r="10451" customFormat="false" ht="15" hidden="false" customHeight="false" outlineLevel="0" collapsed="false">
      <c r="A10451" s="3" t="s">
        <v>316</v>
      </c>
      <c r="G10451" s="25" t="n">
        <f aca="false">G10444*MIN(G10443-G10449+G10448,MAX(0,G10480-Assumptions!$C$12*G10415-G10425-G10438))</f>
        <v>0</v>
      </c>
      <c r="H10451" s="25" t="n">
        <f aca="false">H10444*MIN(H10443-H10449+H10448,MAX(0,H10480-Assumptions!$C$12*H10415-H10425-H10438))</f>
        <v>0</v>
      </c>
      <c r="I10451" s="25" t="n">
        <f aca="false">I10444*MIN(I10443-I10449+I10448,MAX(0,I10480-Assumptions!$C$12*I10415-I10425-I10438))</f>
        <v>53.9573755104</v>
      </c>
      <c r="J10451" s="25" t="n">
        <f aca="false">J10444*MIN(J10443-J10449+J10448,MAX(0,J10480-Assumptions!$C$12*J10415-J10425-J10438))</f>
        <v>0</v>
      </c>
      <c r="K10451" s="25" t="n">
        <f aca="false">K10444*MIN(K10443-K10449+K10448,MAX(0,K10480-Assumptions!$C$12*K10415-K10425-K10438))</f>
        <v>0</v>
      </c>
    </row>
    <row r="10452" customFormat="false" ht="15" hidden="false" customHeight="false" outlineLevel="0" collapsed="false">
      <c r="A10452" s="3" t="s">
        <v>317</v>
      </c>
      <c r="G10452" s="25" t="n">
        <f aca="false">Assumptions!$N$58*MIN(G10443+G10450+G10448-G10449-G10451,MAX(0,G10484-G10426-G10439))</f>
        <v>0</v>
      </c>
      <c r="H10452" s="25" t="n">
        <f aca="false">Assumptions!$N$58*MIN(H10443+H10450+H10448-H10449-H10451,MAX(0,H10484-H10426-H10439))</f>
        <v>0</v>
      </c>
      <c r="I10452" s="25" t="n">
        <f aca="false">Assumptions!$N$58*MIN(I10443+I10450+I10448-I10449-I10451,MAX(0,I10484-I10426-I10439))</f>
        <v>0</v>
      </c>
      <c r="J10452" s="25" t="n">
        <f aca="false">Assumptions!$N$58*MIN(J10443+J10450+J10448-J10449-J10451,MAX(0,J10484-J10426-J10439))</f>
        <v>0</v>
      </c>
      <c r="K10452" s="25" t="n">
        <f aca="false">Assumptions!$N$58*MIN(K10443+K10450+K10448-K10449-K10451,MAX(0,K10484-K10426-K10439))</f>
        <v>0</v>
      </c>
    </row>
    <row r="10453" customFormat="false" ht="15" hidden="false" customHeight="false" outlineLevel="0" collapsed="false">
      <c r="A10453" s="3" t="s">
        <v>318</v>
      </c>
      <c r="G10453" s="25" t="n">
        <f aca="false">G10444*(1-G10415)*(G10443-G10449+G10448-G10451)</f>
        <v>0</v>
      </c>
      <c r="H10453" s="25" t="n">
        <f aca="false">H10444*(1-H10415)*(H10443-H10449+H10448-H10451)</f>
        <v>0</v>
      </c>
      <c r="I10453" s="25" t="n">
        <f aca="false">I10444*(1-I10415)*(I10443-I10449+I10448-I10451)</f>
        <v>89.7926244896</v>
      </c>
      <c r="J10453" s="25" t="n">
        <f aca="false">J10444*(1-J10415)*(J10443-J10449+J10448-J10451)</f>
        <v>0</v>
      </c>
      <c r="K10453" s="25" t="n">
        <f aca="false">K10444*(1-K10415)*(K10443-K10449+K10448-K10451)</f>
        <v>0</v>
      </c>
    </row>
    <row r="10454" customFormat="false" ht="15" hidden="false" customHeight="false" outlineLevel="0" collapsed="false">
      <c r="A10454" s="2" t="s">
        <v>319</v>
      </c>
      <c r="F10454" s="28" t="n">
        <f aca="false">Assumptions!$C$58</f>
        <v>143.75</v>
      </c>
      <c r="G10454" s="16" t="n">
        <f aca="false">G10443+G10450+G10448-G10449-G10451-G10452</f>
        <v>143.75</v>
      </c>
      <c r="H10454" s="16" t="n">
        <f aca="false">H10443+H10450+H10448-H10449-H10451-H10452</f>
        <v>143.75</v>
      </c>
      <c r="I10454" s="16" t="n">
        <f aca="false">I10443+I10450+I10448-I10449-I10451-I10452</f>
        <v>89.7926244896</v>
      </c>
      <c r="J10454" s="16" t="n">
        <f aca="false">J10443+J10450+J10448-J10449-J10451-J10452</f>
        <v>89.7926244896</v>
      </c>
      <c r="K10454" s="16" t="n">
        <f aca="false">K10443+K10450+K10448-K10449-K10451-K10452</f>
        <v>89.7926244896</v>
      </c>
    </row>
    <row r="10455" customFormat="false" ht="15" hidden="false" customHeight="false" outlineLevel="0" collapsed="false">
      <c r="A10455" s="23" t="s">
        <v>322</v>
      </c>
      <c r="B10455" s="24"/>
      <c r="C10455" s="24"/>
      <c r="D10455" s="24"/>
      <c r="E10455" s="24"/>
      <c r="F10455" s="24"/>
      <c r="G10455" s="24"/>
      <c r="H10455" s="24"/>
      <c r="I10455" s="24"/>
      <c r="J10455" s="24"/>
      <c r="K10455" s="24"/>
    </row>
    <row r="10456" customFormat="false" ht="15" hidden="false" customHeight="false" outlineLevel="0" collapsed="false">
      <c r="A10456" s="2" t="s">
        <v>323</v>
      </c>
      <c r="F10456" s="16" t="n">
        <f aca="false">F10428+F10441+F10454</f>
        <v>1735.554</v>
      </c>
      <c r="G10456" s="16" t="n">
        <f aca="false">G10428+G10441+G10454</f>
        <v>1735.554</v>
      </c>
      <c r="H10456" s="16" t="n">
        <f aca="false">H10428+H10441+H10454</f>
        <v>1735.554</v>
      </c>
      <c r="I10456" s="16" t="n">
        <f aca="false">I10428+I10441+I10454</f>
        <v>1404.8906244896</v>
      </c>
      <c r="J10456" s="16" t="n">
        <f aca="false">J10428+J10441+J10454</f>
        <v>1404.8906244896</v>
      </c>
      <c r="K10456" s="16" t="n">
        <f aca="false">K10428+K10441+K10454</f>
        <v>1404.8906244896</v>
      </c>
    </row>
    <row r="10457" customFormat="false" ht="15" hidden="false" customHeight="false" outlineLevel="0" collapsed="false">
      <c r="A10457" s="3" t="s">
        <v>324</v>
      </c>
      <c r="G10457" s="25" t="n">
        <f aca="false">G10418*Assumptions!$C$56+G10431*Assumptions!$C$57+G10444*Assumptions!$C$58</f>
        <v>0</v>
      </c>
      <c r="H10457" s="25" t="n">
        <f aca="false">H10418*Assumptions!$C$56+H10431*Assumptions!$C$57+H10444*Assumptions!$C$58</f>
        <v>0</v>
      </c>
      <c r="I10457" s="25" t="n">
        <f aca="false">I10418*Assumptions!$C$56+I10431*Assumptions!$C$57+I10444*Assumptions!$C$58</f>
        <v>420.456</v>
      </c>
      <c r="J10457" s="25" t="n">
        <f aca="false">J10418*Assumptions!$C$56+J10431*Assumptions!$C$57+J10444*Assumptions!$C$58</f>
        <v>0</v>
      </c>
      <c r="K10457" s="25" t="n">
        <f aca="false">K10418*Assumptions!$C$56+K10431*Assumptions!$C$57+K10444*Assumptions!$C$58</f>
        <v>0</v>
      </c>
    </row>
    <row r="10458" customFormat="false" ht="15" hidden="false" customHeight="false" outlineLevel="0" collapsed="false">
      <c r="A10458" s="23" t="s">
        <v>325</v>
      </c>
      <c r="B10458" s="24"/>
      <c r="C10458" s="24"/>
      <c r="D10458" s="24"/>
      <c r="E10458" s="24"/>
      <c r="F10458" s="24"/>
      <c r="G10458" s="24"/>
      <c r="H10458" s="24"/>
      <c r="I10458" s="24"/>
      <c r="J10458" s="24"/>
      <c r="K10458" s="24"/>
    </row>
    <row r="10459" customFormat="false" ht="15" hidden="false" customHeight="false" outlineLevel="0" collapsed="false">
      <c r="A10459" s="3" t="s">
        <v>326</v>
      </c>
      <c r="C10459" s="25" t="n">
        <f aca="false">SUMPRODUCT($G$10418:$K$10418,$G$10417:$K$10417-$G$10423:$K$10423+$G$10422:$K$10422)</f>
        <v>0</v>
      </c>
    </row>
    <row r="10460" customFormat="false" ht="15" hidden="false" customHeight="false" outlineLevel="0" collapsed="false">
      <c r="A10460" s="3" t="s">
        <v>327</v>
      </c>
      <c r="C10460" s="25" t="n">
        <f aca="false">SUMPRODUCT($G$10418:$K$10418,$G$10425:$K$10425)</f>
        <v>0</v>
      </c>
    </row>
    <row r="10461" customFormat="false" ht="15" hidden="false" customHeight="false" outlineLevel="0" collapsed="false">
      <c r="A10461" s="3" t="s">
        <v>328</v>
      </c>
      <c r="C10461" s="3" t="str">
        <f aca="false">IF(SUM($G$10418:$K$10418)=0,"n/a (beyond horizon)",IF(SUMPRODUCT($G$10418:$K$10418,$G$10415:$K$10415)&gt;0,"REFINANCING PASS","REFINANCING FAILURE"))</f>
        <v>n/a (beyond horizon)</v>
      </c>
    </row>
    <row r="10462" customFormat="false" ht="15" hidden="false" customHeight="false" outlineLevel="0" collapsed="false">
      <c r="A10462" s="3" t="s">
        <v>329</v>
      </c>
      <c r="C10462" s="3" t="str">
        <f aca="false">IF(SUM($G$10418:$K$10418)=0,"n/a",IF(C10460&gt;=C10459-0.001,"Repaid from cash",IF(SUMPRODUCT($G$10418:$K$10418,$G$10415:$K$10415)&gt;0,IF(C10460&gt;0,"Partly repaid; remainder refinanced","Refinanced"),IF(SUM($G$10427:$K$10427)&gt;0.001,IF(C10460&gt;0,"Partial repayment; PAYMENT DEFAULT","PAYMENT DEFAULT"),"Repaid from cash"))))</f>
        <v>n/a</v>
      </c>
    </row>
    <row r="10463" customFormat="false" ht="15" hidden="false" customHeight="false" outlineLevel="0" collapsed="false">
      <c r="A10463" s="3" t="s">
        <v>330</v>
      </c>
      <c r="C10463" s="25" t="n">
        <f aca="false">SUMPRODUCT($G$10431:$K$10431,$G$10430:$K$10430-$G$10436:$K$10436+$G$10435:$K$10435)</f>
        <v>276.706</v>
      </c>
    </row>
    <row r="10464" customFormat="false" ht="15" hidden="false" customHeight="false" outlineLevel="0" collapsed="false">
      <c r="A10464" s="3" t="s">
        <v>331</v>
      </c>
      <c r="C10464" s="25" t="n">
        <f aca="false">SUMPRODUCT($G$10431:$K$10431,$G$10438:$K$10438)</f>
        <v>276.706</v>
      </c>
    </row>
    <row r="10465" customFormat="false" ht="15" hidden="false" customHeight="false" outlineLevel="0" collapsed="false">
      <c r="A10465" s="3" t="s">
        <v>332</v>
      </c>
      <c r="C10465" s="3" t="str">
        <f aca="false">IF(SUM($G$10431:$K$10431)=0,"n/a (beyond horizon)",IF(SUMPRODUCT($G$10431:$K$10431,$G$10415:$K$10415)&gt;0,"REFINANCING PASS","REFINANCING FAILURE"))</f>
        <v>REFINANCING FAILURE</v>
      </c>
    </row>
    <row r="10466" customFormat="false" ht="15" hidden="false" customHeight="false" outlineLevel="0" collapsed="false">
      <c r="A10466" s="3" t="s">
        <v>333</v>
      </c>
      <c r="C10466" s="3" t="str">
        <f aca="false">IF(SUM($G$10431:$K$10431)=0,"n/a",IF(C10464&gt;=C10463-0.001,"Repaid from cash",IF(SUMPRODUCT($G$10431:$K$10431,$G$10415:$K$10415)&gt;0,IF(C10464&gt;0,"Partly repaid; remainder refinanced","Refinanced"),IF(SUM($G$10440:$K$10440)&gt;0.001,IF(C10464&gt;0,"Partial repayment; PAYMENT DEFAULT","PAYMENT DEFAULT"),"Repaid from cash"))))</f>
        <v>Repaid from cash</v>
      </c>
    </row>
    <row r="10467" customFormat="false" ht="15" hidden="false" customHeight="false" outlineLevel="0" collapsed="false">
      <c r="A10467" s="3" t="s">
        <v>334</v>
      </c>
      <c r="C10467" s="25" t="n">
        <f aca="false">SUMPRODUCT($G$10444:$K$10444,$G$10443:$K$10443-$G$10449:$K$10449+$G$10448:$K$10448)</f>
        <v>143.75</v>
      </c>
    </row>
    <row r="10468" customFormat="false" ht="15" hidden="false" customHeight="false" outlineLevel="0" collapsed="false">
      <c r="A10468" s="3" t="s">
        <v>335</v>
      </c>
      <c r="C10468" s="25" t="n">
        <f aca="false">SUMPRODUCT($G$10444:$K$10444,$G$10451:$K$10451)</f>
        <v>53.9573755104</v>
      </c>
    </row>
    <row r="10469" customFormat="false" ht="15" hidden="false" customHeight="false" outlineLevel="0" collapsed="false">
      <c r="A10469" s="3" t="s">
        <v>336</v>
      </c>
      <c r="C10469" s="3" t="str">
        <f aca="false">IF(SUM($G$10444:$K$10444)=0,"n/a (beyond horizon)",IF(SUMPRODUCT($G$10444:$K$10444,$G$10415:$K$10415)&gt;0,"REFINANCING PASS","REFINANCING FAILURE"))</f>
        <v>REFINANCING FAILURE</v>
      </c>
    </row>
    <row r="10470" customFormat="false" ht="15" hidden="false" customHeight="false" outlineLevel="0" collapsed="false">
      <c r="A10470" s="3" t="s">
        <v>337</v>
      </c>
      <c r="C10470" s="3" t="str">
        <f aca="false">IF(SUM($G$10444:$K$10444)=0,"n/a",IF(C10468&gt;=C10467-0.001,"Repaid from cash",IF(SUMPRODUCT($G$10444:$K$10444,$G$10415:$K$10415)&gt;0,IF(C10468&gt;0,"Partly repaid; remainder refinanced","Refinanced"),IF(SUM($G$10453:$K$10453)&gt;0.001,IF(C10468&gt;0,"Partial repayment; PAYMENT DEFAULT","PAYMENT DEFAULT"),"Repaid from cash"))))</f>
        <v>Partial repayment; PAYMENT DEFAULT</v>
      </c>
    </row>
    <row r="10471" customFormat="false" ht="15" hidden="false" customHeight="false" outlineLevel="0" collapsed="false">
      <c r="A10471" s="3" t="s">
        <v>338</v>
      </c>
      <c r="C10471" s="20" t="n">
        <f aca="false">IF(C10461="REFINANCING FAILURE",1,0)+IF(C10465="REFINANCING FAILURE",1,0)+IF(C10469="REFINANCING FAILURE",1,0)</f>
        <v>2</v>
      </c>
    </row>
    <row r="10473" customFormat="false" ht="15" hidden="false" customHeight="false" outlineLevel="0" collapsed="false">
      <c r="A10473" s="23" t="s">
        <v>340</v>
      </c>
      <c r="B10473" s="24"/>
      <c r="C10473" s="24"/>
      <c r="D10473" s="24"/>
      <c r="E10473" s="24"/>
      <c r="F10473" s="24"/>
      <c r="G10473" s="24"/>
      <c r="H10473" s="24"/>
      <c r="I10473" s="24"/>
      <c r="J10473" s="24"/>
      <c r="K10473" s="24"/>
    </row>
    <row r="10474" customFormat="false" ht="15" hidden="false" customHeight="false" outlineLevel="0" collapsed="false">
      <c r="A10474" s="3" t="s">
        <v>305</v>
      </c>
      <c r="G10474" s="25" t="n">
        <f aca="false">F10486</f>
        <v>463.996</v>
      </c>
      <c r="H10474" s="25" t="n">
        <f aca="false">G10486</f>
        <v>446.04576904</v>
      </c>
      <c r="I10474" s="25" t="n">
        <f aca="false">H10486</f>
        <v>393.6375547072</v>
      </c>
      <c r="J10474" s="25" t="n">
        <f aca="false">I10486</f>
        <v>0</v>
      </c>
      <c r="K10474" s="25" t="n">
        <f aca="false">J10486</f>
        <v>-47.061375921544</v>
      </c>
    </row>
    <row r="10475" customFormat="false" ht="15" hidden="false" customHeight="false" outlineLevel="0" collapsed="false">
      <c r="A10475" s="3" t="s">
        <v>341</v>
      </c>
      <c r="G10475" s="25" t="n">
        <f aca="false">G10404</f>
        <v>-17.95023096</v>
      </c>
      <c r="H10475" s="25" t="n">
        <f aca="false">H10404</f>
        <v>-52.4082143328</v>
      </c>
      <c r="I10475" s="25" t="n">
        <f aca="false">I10404</f>
        <v>-62.9741791968</v>
      </c>
      <c r="J10475" s="25" t="n">
        <f aca="false">J10404</f>
        <v>-47.061375921544</v>
      </c>
      <c r="K10475" s="25" t="n">
        <f aca="false">K10404</f>
        <v>-43.2677718967734</v>
      </c>
    </row>
    <row r="10476" customFormat="false" ht="15" hidden="false" customHeight="false" outlineLevel="0" collapsed="false">
      <c r="A10476" s="3" t="s">
        <v>342</v>
      </c>
      <c r="G10476" s="25" t="n">
        <f aca="false">CHOOSE($C$10374,Assumptions!$G$74,Assumptions!$G$93,Assumptions!$G$112)</f>
        <v>0</v>
      </c>
      <c r="H10476" s="25" t="n">
        <f aca="false">CHOOSE($C$10374,Assumptions!$H$74,Assumptions!$H$93,Assumptions!$H$112)</f>
        <v>0</v>
      </c>
      <c r="I10476" s="25" t="n">
        <f aca="false">CHOOSE($C$10374,Assumptions!$I$74,Assumptions!$I$93,Assumptions!$I$112)</f>
        <v>0</v>
      </c>
      <c r="J10476" s="25" t="n">
        <f aca="false">CHOOSE($C$10374,Assumptions!$J$74,Assumptions!$J$93,Assumptions!$J$112)</f>
        <v>0</v>
      </c>
      <c r="K10476" s="25" t="n">
        <f aca="false">CHOOSE($C$10374,Assumptions!$K$74,Assumptions!$K$93,Assumptions!$K$112)</f>
        <v>0</v>
      </c>
    </row>
    <row r="10477" customFormat="false" ht="15" hidden="false" customHeight="false" outlineLevel="0" collapsed="false">
      <c r="A10477" s="3" t="s">
        <v>343</v>
      </c>
      <c r="G10477" s="25" t="n">
        <f aca="false">G10423+G10436+G10449</f>
        <v>0</v>
      </c>
      <c r="H10477" s="25" t="n">
        <f aca="false">H10423+H10436+H10449</f>
        <v>0</v>
      </c>
      <c r="I10477" s="25" t="n">
        <f aca="false">I10423+I10436+I10449</f>
        <v>0</v>
      </c>
      <c r="J10477" s="25" t="n">
        <f aca="false">J10423+J10436+J10449</f>
        <v>0</v>
      </c>
      <c r="K10477" s="25" t="n">
        <f aca="false">K10423+K10436+K10449</f>
        <v>0</v>
      </c>
    </row>
    <row r="10478" customFormat="false" ht="15" hidden="false" customHeight="false" outlineLevel="0" collapsed="false">
      <c r="A10478" s="2" t="s">
        <v>344</v>
      </c>
      <c r="G10478" s="16" t="n">
        <f aca="false">G10474+G10475+G10476-G10477</f>
        <v>446.04576904</v>
      </c>
      <c r="H10478" s="16" t="n">
        <f aca="false">H10474+H10475+H10476-H10477</f>
        <v>393.6375547072</v>
      </c>
      <c r="I10478" s="16" t="n">
        <f aca="false">I10474+I10475+I10476-I10477</f>
        <v>330.6633755104</v>
      </c>
      <c r="J10478" s="16" t="n">
        <f aca="false">J10474+J10475+J10476-J10477</f>
        <v>-47.061375921544</v>
      </c>
      <c r="K10478" s="16" t="n">
        <f aca="false">K10474+K10475+K10476-K10477</f>
        <v>-90.3291478183174</v>
      </c>
    </row>
    <row r="10479" customFormat="false" ht="15" hidden="false" customHeight="false" outlineLevel="0" collapsed="false">
      <c r="A10479" s="3" t="s">
        <v>345</v>
      </c>
      <c r="G10479" s="25" t="n">
        <f aca="false">G10424+G10437+G10450</f>
        <v>0</v>
      </c>
      <c r="H10479" s="25" t="n">
        <f aca="false">H10424+H10437+H10450</f>
        <v>0</v>
      </c>
      <c r="I10479" s="25" t="n">
        <f aca="false">I10424+I10437+I10450</f>
        <v>0</v>
      </c>
      <c r="J10479" s="25" t="n">
        <f aca="false">J10424+J10437+J10450</f>
        <v>0</v>
      </c>
      <c r="K10479" s="25" t="n">
        <f aca="false">K10424+K10437+K10450</f>
        <v>0</v>
      </c>
    </row>
    <row r="10480" customFormat="false" ht="15" hidden="false" customHeight="false" outlineLevel="0" collapsed="false">
      <c r="A10480" s="2" t="s">
        <v>346</v>
      </c>
      <c r="G10480" s="16" t="n">
        <f aca="false">G10478+G10479</f>
        <v>446.04576904</v>
      </c>
      <c r="H10480" s="16" t="n">
        <f aca="false">H10478+H10479</f>
        <v>393.6375547072</v>
      </c>
      <c r="I10480" s="16" t="n">
        <f aca="false">I10478+I10479</f>
        <v>330.6633755104</v>
      </c>
      <c r="J10480" s="16" t="n">
        <f aca="false">J10478+J10479</f>
        <v>-47.061375921544</v>
      </c>
      <c r="K10480" s="16" t="n">
        <f aca="false">K10478+K10479</f>
        <v>-90.3291478183174</v>
      </c>
    </row>
    <row r="10481" customFormat="false" ht="15" hidden="false" customHeight="false" outlineLevel="0" collapsed="false">
      <c r="A10481" s="3" t="s">
        <v>347</v>
      </c>
      <c r="G10481" s="25" t="n">
        <f aca="false">G10425+G10438+G10451</f>
        <v>0</v>
      </c>
      <c r="H10481" s="25" t="n">
        <f aca="false">H10425+H10438+H10451</f>
        <v>0</v>
      </c>
      <c r="I10481" s="25" t="n">
        <f aca="false">I10425+I10438+I10451</f>
        <v>330.6633755104</v>
      </c>
      <c r="J10481" s="25" t="n">
        <f aca="false">J10425+J10438+J10451</f>
        <v>0</v>
      </c>
      <c r="K10481" s="25" t="n">
        <f aca="false">K10425+K10438+K10451</f>
        <v>0</v>
      </c>
    </row>
    <row r="10482" customFormat="false" ht="15" hidden="false" customHeight="false" outlineLevel="0" collapsed="false">
      <c r="A10482" s="2" t="s">
        <v>348</v>
      </c>
      <c r="G10482" s="16" t="n">
        <f aca="false">G10480-G10481</f>
        <v>446.04576904</v>
      </c>
      <c r="H10482" s="16" t="n">
        <f aca="false">H10480-H10481</f>
        <v>393.6375547072</v>
      </c>
      <c r="I10482" s="16" t="n">
        <f aca="false">I10480-I10481</f>
        <v>0</v>
      </c>
      <c r="J10482" s="16" t="n">
        <f aca="false">J10480-J10481</f>
        <v>-47.061375921544</v>
      </c>
      <c r="K10482" s="16" t="n">
        <f aca="false">K10480-K10481</f>
        <v>-90.3291478183174</v>
      </c>
    </row>
    <row r="10483" customFormat="false" ht="15" hidden="false" customHeight="false" outlineLevel="0" collapsed="false">
      <c r="A10483" s="3" t="s">
        <v>349</v>
      </c>
      <c r="G10483" s="25" t="n">
        <f aca="false">MAX(0,-G10482)</f>
        <v>0</v>
      </c>
      <c r="H10483" s="25" t="n">
        <f aca="false">MAX(0,-H10482)</f>
        <v>0</v>
      </c>
      <c r="I10483" s="25" t="n">
        <f aca="false">MAX(0,-I10482)</f>
        <v>-0</v>
      </c>
      <c r="J10483" s="25" t="n">
        <f aca="false">MAX(0,-J10482)</f>
        <v>47.061375921544</v>
      </c>
      <c r="K10483" s="25" t="n">
        <f aca="false">MAX(0,-K10482)</f>
        <v>90.3291478183174</v>
      </c>
    </row>
    <row r="10484" customFormat="false" ht="15" hidden="false" customHeight="false" outlineLevel="0" collapsed="false">
      <c r="A10484" s="3" t="s">
        <v>350</v>
      </c>
      <c r="G10484" s="25" t="n">
        <f aca="false">MAX(0,G10482-Assumptions!$C$12)*Assumptions!$C$13</f>
        <v>0</v>
      </c>
      <c r="H10484" s="25" t="n">
        <f aca="false">MAX(0,H10482-Assumptions!$C$12)*Assumptions!$C$13</f>
        <v>0</v>
      </c>
      <c r="I10484" s="25" t="n">
        <f aca="false">MAX(0,I10482-Assumptions!$C$12)*Assumptions!$C$13</f>
        <v>0</v>
      </c>
      <c r="J10484" s="25" t="n">
        <f aca="false">MAX(0,J10482-Assumptions!$C$12)*Assumptions!$C$13</f>
        <v>0</v>
      </c>
      <c r="K10484" s="25" t="n">
        <f aca="false">MAX(0,K10482-Assumptions!$C$12)*Assumptions!$C$13</f>
        <v>0</v>
      </c>
    </row>
    <row r="10485" customFormat="false" ht="15" hidden="false" customHeight="false" outlineLevel="0" collapsed="false">
      <c r="A10485" s="3" t="s">
        <v>351</v>
      </c>
      <c r="G10485" s="25" t="n">
        <f aca="false">G10426+G10439+G10452</f>
        <v>0</v>
      </c>
      <c r="H10485" s="25" t="n">
        <f aca="false">H10426+H10439+H10452</f>
        <v>0</v>
      </c>
      <c r="I10485" s="25" t="n">
        <f aca="false">I10426+I10439+I10452</f>
        <v>0</v>
      </c>
      <c r="J10485" s="25" t="n">
        <f aca="false">J10426+J10439+J10452</f>
        <v>0</v>
      </c>
      <c r="K10485" s="25" t="n">
        <f aca="false">K10426+K10439+K10452</f>
        <v>0</v>
      </c>
    </row>
    <row r="10486" customFormat="false" ht="15" hidden="false" customHeight="false" outlineLevel="0" collapsed="false">
      <c r="A10486" s="2" t="s">
        <v>352</v>
      </c>
      <c r="F10486" s="28" t="n">
        <f aca="false">Assumptions!$C$11</f>
        <v>463.996</v>
      </c>
      <c r="G10486" s="16" t="n">
        <f aca="false">G10482-G10485</f>
        <v>446.04576904</v>
      </c>
      <c r="H10486" s="16" t="n">
        <f aca="false">H10482-H10485</f>
        <v>393.6375547072</v>
      </c>
      <c r="I10486" s="16" t="n">
        <f aca="false">I10482-I10485</f>
        <v>0</v>
      </c>
      <c r="J10486" s="16" t="n">
        <f aca="false">J10482-J10485</f>
        <v>-47.061375921544</v>
      </c>
      <c r="K10486" s="16" t="n">
        <f aca="false">K10482-K10485</f>
        <v>-90.3291478183174</v>
      </c>
    </row>
    <row r="10487" customFormat="false" ht="15" hidden="false" customHeight="false" outlineLevel="0" collapsed="false">
      <c r="A10487" s="3" t="s">
        <v>353</v>
      </c>
      <c r="G10487" s="25" t="n">
        <f aca="false">G10427+G10440+G10453</f>
        <v>0</v>
      </c>
      <c r="H10487" s="25" t="n">
        <f aca="false">H10427+H10440+H10453</f>
        <v>0</v>
      </c>
      <c r="I10487" s="25" t="n">
        <f aca="false">I10427+I10440+I10453</f>
        <v>89.7926244896</v>
      </c>
      <c r="J10487" s="25" t="n">
        <f aca="false">J10427+J10440+J10453</f>
        <v>0</v>
      </c>
      <c r="K10487" s="25" t="n">
        <f aca="false">K10427+K10440+K10453</f>
        <v>0</v>
      </c>
    </row>
    <row r="10488" customFormat="false" ht="15" hidden="false" customHeight="false" outlineLevel="0" collapsed="false">
      <c r="A10488" s="3" t="s">
        <v>354</v>
      </c>
      <c r="G10488" s="20" t="n">
        <f aca="false">IF(OR(G10483&gt;0.001,G10487&gt;0.001),1,0)</f>
        <v>0</v>
      </c>
      <c r="H10488" s="20" t="n">
        <f aca="false">IF(OR(H10483&gt;0.001,H10487&gt;0.001),1,0)</f>
        <v>0</v>
      </c>
      <c r="I10488" s="20" t="n">
        <f aca="false">IF(OR(I10483&gt;0.001,I10487&gt;0.001),1,0)</f>
        <v>1</v>
      </c>
      <c r="J10488" s="20" t="n">
        <f aca="false">IF(OR(J10483&gt;0.001,J10487&gt;0.001),1,0)</f>
        <v>1</v>
      </c>
      <c r="K10488" s="20" t="n">
        <f aca="false">IF(OR(K10483&gt;0.001,K10487&gt;0.001),1,0)</f>
        <v>1</v>
      </c>
    </row>
    <row r="10489" customFormat="false" ht="15" hidden="false" customHeight="false" outlineLevel="0" collapsed="false">
      <c r="A10489" s="3" t="s">
        <v>355</v>
      </c>
      <c r="G10489" s="20" t="n">
        <f aca="false">IF(G10488=1,1,0)</f>
        <v>0</v>
      </c>
      <c r="H10489" s="20" t="n">
        <f aca="false">IF(AND(H10488=1,SUM($G$10488:G10488)=0),1,0)</f>
        <v>0</v>
      </c>
      <c r="I10489" s="20" t="n">
        <f aca="false">IF(AND(I10488=1,SUM($G$10488:H10488)=0),1,0)</f>
        <v>1</v>
      </c>
      <c r="J10489" s="20" t="n">
        <f aca="false">IF(AND(J10488=1,SUM($G$10488:I10488)=0),1,0)</f>
        <v>0</v>
      </c>
      <c r="K10489" s="20" t="n">
        <f aca="false">IF(AND(K10488=1,SUM($G$10488:J10488)=0),1,0)</f>
        <v>0</v>
      </c>
    </row>
    <row r="10490" customFormat="false" ht="15" hidden="false" customHeight="false" outlineLevel="0" collapsed="false">
      <c r="A10490" s="3" t="s">
        <v>356</v>
      </c>
      <c r="G10490" s="25" t="n">
        <f aca="false">(G10456-F10456)-(G10479+G10396-G10477-G10481-G10485)</f>
        <v>0</v>
      </c>
      <c r="H10490" s="25" t="n">
        <f aca="false">(H10456-G10456)-(H10479+H10396-H10477-H10481-H10485)</f>
        <v>0</v>
      </c>
      <c r="I10490" s="25" t="n">
        <f aca="false">(I10456-H10456)-(I10479+I10396-I10477-I10481-I10485)</f>
        <v>0</v>
      </c>
      <c r="J10490" s="25" t="n">
        <f aca="false">(J10456-I10456)-(J10479+J10396-J10477-J10481-J10485)</f>
        <v>0</v>
      </c>
      <c r="K10490" s="25" t="n">
        <f aca="false">(K10456-J10456)-(K10479+K10396-K10477-K10481-K10485)</f>
        <v>0</v>
      </c>
    </row>
    <row r="10492" customFormat="false" ht="15" hidden="false" customHeight="false" outlineLevel="0" collapsed="false">
      <c r="A10492" s="23" t="s">
        <v>358</v>
      </c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</row>
    <row r="10493" customFormat="false" ht="15" hidden="false" customHeight="false" outlineLevel="0" collapsed="false">
      <c r="A10493" s="3" t="s">
        <v>359</v>
      </c>
      <c r="G10493" s="25" t="n">
        <f aca="false">G10456</f>
        <v>1735.554</v>
      </c>
      <c r="H10493" s="25" t="n">
        <f aca="false">H10456</f>
        <v>1735.554</v>
      </c>
      <c r="I10493" s="25" t="n">
        <f aca="false">I10456</f>
        <v>1404.8906244896</v>
      </c>
      <c r="J10493" s="25" t="n">
        <f aca="false">J10456</f>
        <v>1404.8906244896</v>
      </c>
      <c r="K10493" s="25" t="n">
        <f aca="false">K10456</f>
        <v>1404.8906244896</v>
      </c>
    </row>
    <row r="10494" customFormat="false" ht="15" hidden="false" customHeight="false" outlineLevel="0" collapsed="false">
      <c r="A10494" s="3" t="s">
        <v>360</v>
      </c>
      <c r="G10494" s="25" t="n">
        <f aca="false">Assumptions!$O$56*G10428+Assumptions!$O$57*G10441+Assumptions!$O$58*G10454</f>
        <v>1315.098</v>
      </c>
      <c r="H10494" s="25" t="n">
        <f aca="false">Assumptions!$O$56*H10428+Assumptions!$O$57*H10441+Assumptions!$O$58*H10454</f>
        <v>1315.098</v>
      </c>
      <c r="I10494" s="25" t="n">
        <f aca="false">Assumptions!$O$56*I10428+Assumptions!$O$57*I10441+Assumptions!$O$58*I10454</f>
        <v>1315.098</v>
      </c>
      <c r="J10494" s="25" t="n">
        <f aca="false">Assumptions!$O$56*J10428+Assumptions!$O$57*J10441+Assumptions!$O$58*J10454</f>
        <v>1315.098</v>
      </c>
      <c r="K10494" s="25" t="n">
        <f aca="false">Assumptions!$O$56*K10428+Assumptions!$O$57*K10441+Assumptions!$O$58*K10454</f>
        <v>1315.098</v>
      </c>
    </row>
    <row r="10495" customFormat="false" ht="15" hidden="false" customHeight="false" outlineLevel="0" collapsed="false">
      <c r="A10495" s="3" t="s">
        <v>361</v>
      </c>
      <c r="G10495" s="25" t="n">
        <f aca="false">G10493-G10486</f>
        <v>1289.50823096</v>
      </c>
      <c r="H10495" s="25" t="n">
        <f aca="false">H10493-H10486</f>
        <v>1341.9164452928</v>
      </c>
      <c r="I10495" s="25" t="n">
        <f aca="false">I10493-I10486</f>
        <v>1404.8906244896</v>
      </c>
      <c r="J10495" s="25" t="n">
        <f aca="false">J10493-J10486</f>
        <v>1451.95200041114</v>
      </c>
      <c r="K10495" s="25" t="n">
        <f aca="false">K10493-K10486</f>
        <v>1495.21977230792</v>
      </c>
    </row>
    <row r="10496" customFormat="false" ht="15" hidden="false" customHeight="false" outlineLevel="0" collapsed="false">
      <c r="A10496" s="3" t="s">
        <v>362</v>
      </c>
      <c r="G10496" s="32" t="n">
        <f aca="false">IF(G10391&gt;0,G10493/G10391,0)</f>
        <v>8.94298576131753</v>
      </c>
      <c r="H10496" s="32" t="n">
        <f aca="false">IF(H10391&gt;0,H10493/H10391,0)</f>
        <v>10.9505948097766</v>
      </c>
      <c r="I10496" s="32" t="n">
        <f aca="false">IF(I10391&gt;0,I10493/I10391,0)</f>
        <v>9.49741283567889</v>
      </c>
      <c r="J10496" s="32" t="n">
        <f aca="false">IF(J10391&gt;0,J10493/J10391,0)</f>
        <v>9.31118905458714</v>
      </c>
      <c r="K10496" s="32" t="n">
        <f aca="false">IF(K10391&gt;0,K10493/K10391,0)</f>
        <v>8.95306639864149</v>
      </c>
    </row>
    <row r="10497" customFormat="false" ht="15" hidden="false" customHeight="false" outlineLevel="0" collapsed="false">
      <c r="A10497" s="3" t="s">
        <v>363</v>
      </c>
      <c r="G10497" s="32" t="n">
        <f aca="false">IF(G10391&gt;0,G10495/G10391,0)</f>
        <v>6.64459518319628</v>
      </c>
      <c r="H10497" s="32" t="n">
        <f aca="false">IF(H10391&gt;0,H10495/H10391,0)</f>
        <v>8.46691215656624</v>
      </c>
      <c r="I10497" s="32" t="n">
        <f aca="false">IF(I10391&gt;0,I10495/I10391,0)</f>
        <v>9.49741283567889</v>
      </c>
      <c r="J10497" s="32" t="n">
        <f aca="false">IF(J10391&gt;0,J10495/J10391,0)</f>
        <v>9.62309758378933</v>
      </c>
      <c r="K10497" s="32" t="n">
        <f aca="false">IF(K10391&gt;0,K10495/K10391,0)</f>
        <v>9.52871466908525</v>
      </c>
    </row>
    <row r="10498" customFormat="false" ht="15" hidden="false" customHeight="false" outlineLevel="0" collapsed="false">
      <c r="A10498" s="3" t="s">
        <v>364</v>
      </c>
      <c r="G10498" s="32" t="n">
        <f aca="false">IF(G10395&gt;0,G10391/G10395,0)</f>
        <v>1.24439199159602</v>
      </c>
      <c r="H10498" s="32" t="n">
        <f aca="false">IF(H10395&gt;0,H10391/H10395,0)</f>
        <v>1.01625345980342</v>
      </c>
      <c r="I10498" s="32" t="n">
        <f aca="false">IF(I10395&gt;0,I10391/I10395,0)</f>
        <v>0.948503229149855</v>
      </c>
      <c r="J10498" s="32" t="n">
        <f aca="false">IF(J10395&gt;0,J10391/J10395,0)</f>
        <v>1.06328687999613</v>
      </c>
      <c r="K10498" s="32" t="n">
        <f aca="false">IF(K10395&gt;0,K10391/K10395,0)</f>
        <v>1.10581835519598</v>
      </c>
    </row>
    <row r="10499" customFormat="false" ht="15" hidden="false" customHeight="false" outlineLevel="0" collapsed="false">
      <c r="A10499" s="3" t="s">
        <v>365</v>
      </c>
      <c r="G10499" s="32" t="n">
        <f aca="false">IF(G10395&gt;0,G10394/G10395,0)</f>
        <v>0.569414320199581</v>
      </c>
      <c r="H10499" s="32" t="n">
        <f aca="false">IF(H10395&gt;0,H10394/H10395,0)</f>
        <v>0.354775341834906</v>
      </c>
      <c r="I10499" s="32" t="n">
        <f aca="false">IF(I10395&gt;0,I10394/I10395,0)</f>
        <v>0.287025111181345</v>
      </c>
      <c r="J10499" s="32" t="n">
        <f aca="false">IF(J10395&gt;0,J10394/J10395,0)</f>
        <v>0.321759616171363</v>
      </c>
      <c r="K10499" s="32" t="n">
        <f aca="false">IF(K10395&gt;0,K10394/K10395,0)</f>
        <v>0.334630000818217</v>
      </c>
    </row>
    <row r="10500" customFormat="false" ht="15" hidden="false" customHeight="false" outlineLevel="0" collapsed="false">
      <c r="A10500" s="3" t="s">
        <v>198</v>
      </c>
      <c r="G10500" s="21" t="n">
        <f aca="false">IF(G10493&gt;0,G10404/G10493,0)</f>
        <v>-0.0103426519485997</v>
      </c>
      <c r="H10500" s="21" t="n">
        <f aca="false">IF(H10493&gt;0,H10404/H10493,0)</f>
        <v>-0.0301968214949232</v>
      </c>
      <c r="I10500" s="21" t="n">
        <f aca="false">IF(I10493&gt;0,I10404/I10493,0)</f>
        <v>-0.0448249693599305</v>
      </c>
      <c r="J10500" s="21" t="n">
        <f aca="false">IF(J10493&gt;0,J10404/J10493,0)</f>
        <v>-0.0334982489748207</v>
      </c>
      <c r="K10500" s="21" t="n">
        <f aca="false">IF(K10493&gt;0,K10404/K10493,0)</f>
        <v>-0.0307979647258965</v>
      </c>
    </row>
    <row r="10501" customFormat="false" ht="15" hidden="false" customHeight="false" outlineLevel="0" collapsed="false">
      <c r="A10501" s="3" t="s">
        <v>366</v>
      </c>
      <c r="G10501" s="32" t="n">
        <f aca="false">IF(G10395+G10477&gt;0,(G10391-G10402-G10399)/(G10395+G10477),0)</f>
        <v>1.09229963706762</v>
      </c>
      <c r="H10501" s="32" t="n">
        <f aca="false">IF(H10395+H10477&gt;0,(H10391-H10402-H10399)/(H10395+H10477),0)</f>
        <v>0.867202952365582</v>
      </c>
      <c r="I10501" s="32" t="n">
        <f aca="false">IF(I10395+I10477&gt;0,(I10391-I10402-I10399)/(I10395+I10477),0)</f>
        <v>0.79945272171202</v>
      </c>
      <c r="J10501" s="32" t="n">
        <f aca="false">IF(J10395+J10477&gt;0,(J10391-J10402-J10399)/(J10395+J10477),0)</f>
        <v>0.896198941711025</v>
      </c>
      <c r="K10501" s="32" t="n">
        <f aca="false">IF(K10395+K10477&gt;0,(K10391-K10402-K10399)/(K10395+K10477),0)</f>
        <v>0.932046899379466</v>
      </c>
    </row>
    <row r="10502" customFormat="false" ht="15" hidden="false" customHeight="false" outlineLevel="0" collapsed="false">
      <c r="A10502" s="3" t="s">
        <v>367</v>
      </c>
      <c r="G10502" s="25" t="n">
        <f aca="false">MAX(0,G10486)+Assumptions!$P$56*MAX(0,Assumptions!$D$56-G10428)+Assumptions!$P$57*MAX(0,Assumptions!$D$57-G10441)+Assumptions!$P$58*MAX(0,Assumptions!$D$58-G10454)</f>
        <v>446.04576904</v>
      </c>
      <c r="H10502" s="25" t="n">
        <f aca="false">MAX(0,H10486)+Assumptions!$P$56*MAX(0,Assumptions!$D$56-H10428)+Assumptions!$P$57*MAX(0,Assumptions!$D$57-H10441)+Assumptions!$P$58*MAX(0,Assumptions!$D$58-H10454)</f>
        <v>393.6375547072</v>
      </c>
      <c r="I10502" s="25" t="n">
        <f aca="false">MAX(0,I10486)+Assumptions!$P$56*MAX(0,Assumptions!$D$56-I10428)+Assumptions!$P$57*MAX(0,Assumptions!$D$57-I10441)+Assumptions!$P$58*MAX(0,Assumptions!$D$58-I10454)</f>
        <v>0</v>
      </c>
      <c r="J10502" s="25" t="n">
        <f aca="false">MAX(0,J10486)+Assumptions!$P$56*MAX(0,Assumptions!$D$56-J10428)+Assumptions!$P$57*MAX(0,Assumptions!$D$57-J10441)+Assumptions!$P$58*MAX(0,Assumptions!$D$58-J10454)</f>
        <v>0</v>
      </c>
      <c r="K10502" s="25" t="n">
        <f aca="false">MAX(0,K10486)+Assumptions!$P$56*MAX(0,Assumptions!$D$56-K10428)+Assumptions!$P$57*MAX(0,Assumptions!$D$57-K10441)+Assumptions!$P$58*MAX(0,Assumptions!$D$58-K10454)</f>
        <v>0</v>
      </c>
    </row>
    <row r="10503" customFormat="false" ht="15" hidden="false" customHeight="false" outlineLevel="0" collapsed="false">
      <c r="A10503" s="3" t="s">
        <v>368</v>
      </c>
      <c r="G10503" s="21" t="n">
        <f aca="false">IF(G10493&gt;0,G10493/(G10493+MAX(0,G10391*CHOOSE($C$10374,Assumptions!$C$82,Assumptions!$C$101,Assumptions!$C$120)-G10495)),0)</f>
        <v>1</v>
      </c>
      <c r="H10503" s="21" t="n">
        <f aca="false">IF(H10493&gt;0,H10493/(H10493+MAX(0,H10391*CHOOSE($C$10374,Assumptions!$C$82,Assumptions!$C$101,Assumptions!$C$120)-H10495)),0)</f>
        <v>1</v>
      </c>
      <c r="I10503" s="21" t="n">
        <f aca="false">IF(I10493&gt;0,I10493/(I10493+MAX(0,I10391*CHOOSE($C$10374,Assumptions!$C$82,Assumptions!$C$101,Assumptions!$C$120)-I10495)),0)</f>
        <v>1</v>
      </c>
      <c r="J10503" s="21" t="n">
        <f aca="false">IF(J10493&gt;0,J10493/(J10493+MAX(0,J10391*CHOOSE($C$10374,Assumptions!$C$82,Assumptions!$C$101,Assumptions!$C$120)-J10495)),0)</f>
        <v>1</v>
      </c>
      <c r="K10503" s="21" t="n">
        <f aca="false">IF(K10493&gt;0,K10493/(K10493+MAX(0,K10391*CHOOSE($C$10374,Assumptions!$C$82,Assumptions!$C$101,Assumptions!$C$120)-K10495)),0)</f>
        <v>1</v>
      </c>
    </row>
    <row r="10504" customFormat="false" ht="15" hidden="false" customHeight="false" outlineLevel="0" collapsed="false">
      <c r="A10504" s="3" t="s">
        <v>369</v>
      </c>
      <c r="G10504" s="21" t="n">
        <f aca="false">IF(G10493&gt;0,MAX(0,G10486)/G10493,0)</f>
        <v>0.257004834790505</v>
      </c>
      <c r="H10504" s="21" t="n">
        <f aca="false">IF(H10493&gt;0,MAX(0,H10486)/H10493,0)</f>
        <v>0.226808013295582</v>
      </c>
      <c r="I10504" s="21" t="n">
        <f aca="false">IF(I10493&gt;0,MAX(0,I10486)/I10493,0)</f>
        <v>0</v>
      </c>
      <c r="J10504" s="21" t="n">
        <f aca="false">IF(J10493&gt;0,MAX(0,J10486)/J10493,0)</f>
        <v>0</v>
      </c>
      <c r="K10504" s="21" t="n">
        <f aca="false">IF(K10493&gt;0,MAX(0,K10486)/K10493,0)</f>
        <v>0</v>
      </c>
    </row>
    <row r="10505" customFormat="false" ht="15" hidden="false" customHeight="false" outlineLevel="0" collapsed="false">
      <c r="A10505" s="3" t="s">
        <v>370</v>
      </c>
      <c r="G10505" s="25" t="n">
        <f aca="false">Assumptions!$C$30*(1-CHOOSE($C$10374,Assumptions!$C$85,Assumptions!$C$104,Assumptions!$C$123))</f>
        <v>1595.73115</v>
      </c>
      <c r="H10505" s="25" t="n">
        <f aca="false">Assumptions!$C$30*(1-CHOOSE($C$10374,Assumptions!$C$85,Assumptions!$C$104,Assumptions!$C$123))</f>
        <v>1595.73115</v>
      </c>
      <c r="I10505" s="25" t="n">
        <f aca="false">Assumptions!$C$30*(1-CHOOSE($C$10374,Assumptions!$C$85,Assumptions!$C$104,Assumptions!$C$123))</f>
        <v>1595.73115</v>
      </c>
      <c r="J10505" s="25" t="n">
        <f aca="false">Assumptions!$C$30*(1-CHOOSE($C$10374,Assumptions!$C$85,Assumptions!$C$104,Assumptions!$C$123))</f>
        <v>1595.73115</v>
      </c>
      <c r="K10505" s="25" t="n">
        <f aca="false">Assumptions!$C$30*(1-CHOOSE($C$10374,Assumptions!$C$85,Assumptions!$C$104,Assumptions!$C$123))</f>
        <v>1595.73115</v>
      </c>
    </row>
    <row r="10506" customFormat="false" ht="15" hidden="false" customHeight="false" outlineLevel="0" collapsed="false">
      <c r="A10506" s="23" t="s">
        <v>371</v>
      </c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</row>
    <row r="10507" customFormat="false" ht="15" hidden="false" customHeight="false" outlineLevel="0" collapsed="false">
      <c r="A10507" s="23" t="s">
        <v>372</v>
      </c>
      <c r="B10507" s="24"/>
      <c r="C10507" s="24"/>
      <c r="D10507" s="24"/>
      <c r="E10507" s="24"/>
      <c r="F10507" s="24"/>
      <c r="G10507" s="24"/>
      <c r="H10507" s="24"/>
      <c r="I10507" s="24"/>
      <c r="J10507" s="24"/>
      <c r="K10507" s="24"/>
    </row>
    <row r="10508" customFormat="false" ht="15" hidden="false" customHeight="false" outlineLevel="0" collapsed="false">
      <c r="A10508" s="3" t="s">
        <v>373</v>
      </c>
      <c r="G10508" s="32" t="n">
        <f aca="false">IF(G10391&gt;0,G10495/G10391,99)</f>
        <v>6.64459518319628</v>
      </c>
      <c r="H10508" s="32" t="n">
        <f aca="false">IF(H10391&gt;0,H10495/H10391,99)</f>
        <v>8.46691215656624</v>
      </c>
      <c r="I10508" s="32" t="n">
        <f aca="false">IF(I10391&gt;0,I10495/I10391,99)</f>
        <v>9.49741283567889</v>
      </c>
      <c r="J10508" s="32" t="n">
        <f aca="false">IF(J10391&gt;0,J10495/J10391,99)</f>
        <v>9.62309758378933</v>
      </c>
      <c r="K10508" s="32" t="n">
        <f aca="false">IF(K10391&gt;0,K10495/K10391,99)</f>
        <v>9.52871466908525</v>
      </c>
    </row>
    <row r="10509" customFormat="false" ht="15" hidden="false" customHeight="false" outlineLevel="0" collapsed="false">
      <c r="A10509" s="3" t="s">
        <v>374</v>
      </c>
      <c r="G10509" s="33" t="n">
        <f aca="false">Assumptions!$G$65</f>
        <v>5.25</v>
      </c>
      <c r="H10509" s="33" t="n">
        <f aca="false">Assumptions!$H$65</f>
        <v>5.25</v>
      </c>
      <c r="I10509" s="33" t="n">
        <f aca="false">Assumptions!$I$65</f>
        <v>5</v>
      </c>
      <c r="J10509" s="33" t="n">
        <f aca="false">Assumptions!$J$65</f>
        <v>5</v>
      </c>
      <c r="K10509" s="33" t="n">
        <f aca="false">Assumptions!$K$65</f>
        <v>5</v>
      </c>
    </row>
    <row r="10510" customFormat="false" ht="15" hidden="false" customHeight="false" outlineLevel="0" collapsed="false">
      <c r="A10510" s="3" t="s">
        <v>375</v>
      </c>
      <c r="G10510" s="32" t="n">
        <f aca="false">G10509-G10508</f>
        <v>-1.39459518319628</v>
      </c>
      <c r="H10510" s="32" t="n">
        <f aca="false">H10509-H10508</f>
        <v>-3.21691215656624</v>
      </c>
      <c r="I10510" s="32" t="n">
        <f aca="false">I10509-I10508</f>
        <v>-4.49741283567889</v>
      </c>
      <c r="J10510" s="32" t="n">
        <f aca="false">J10509-J10508</f>
        <v>-4.62309758378933</v>
      </c>
      <c r="K10510" s="32" t="n">
        <f aca="false">K10509-K10508</f>
        <v>-4.52871466908525</v>
      </c>
    </row>
    <row r="10511" customFormat="false" ht="15" hidden="false" customHeight="false" outlineLevel="0" collapsed="false">
      <c r="A10511" s="3" t="s">
        <v>376</v>
      </c>
      <c r="G10511" s="21" t="n">
        <f aca="false">IF(G10509=0,0,G10510/ABS(G10509))</f>
        <v>-0.265637177751673</v>
      </c>
      <c r="H10511" s="21" t="n">
        <f aca="false">IF(H10509=0,0,H10510/ABS(H10509))</f>
        <v>-0.612745172679284</v>
      </c>
      <c r="I10511" s="21" t="n">
        <f aca="false">IF(I10509=0,0,I10510/ABS(I10509))</f>
        <v>-0.899482567135777</v>
      </c>
      <c r="J10511" s="21" t="n">
        <f aca="false">IF(J10509=0,0,J10510/ABS(J10509))</f>
        <v>-0.924619516757866</v>
      </c>
      <c r="K10511" s="21" t="n">
        <f aca="false">IF(K10509=0,0,K10510/ABS(K10509))</f>
        <v>-0.90574293381705</v>
      </c>
    </row>
    <row r="10512" customFormat="false" ht="15" hidden="false" customHeight="false" outlineLevel="0" collapsed="false">
      <c r="A10512" s="3" t="s">
        <v>377</v>
      </c>
      <c r="G10512" s="20" t="n">
        <f aca="false">IF(G10510&lt;0,1,0)</f>
        <v>1</v>
      </c>
      <c r="H10512" s="20" t="n">
        <f aca="false">IF(H10510&lt;0,1,0)</f>
        <v>1</v>
      </c>
      <c r="I10512" s="20" t="n">
        <f aca="false">IF(I10510&lt;0,1,0)</f>
        <v>1</v>
      </c>
      <c r="J10512" s="20" t="n">
        <f aca="false">IF(J10510&lt;0,1,0)</f>
        <v>1</v>
      </c>
      <c r="K10512" s="20" t="n">
        <f aca="false">IF(K10510&lt;0,1,0)</f>
        <v>1</v>
      </c>
    </row>
    <row r="10513" customFormat="false" ht="15" hidden="false" customHeight="false" outlineLevel="0" collapsed="false">
      <c r="A10513" s="3" t="s">
        <v>378</v>
      </c>
      <c r="C10513" s="20" t="n">
        <f aca="false">IFERROR(INDEX($G$10381:$K$10381,MATCH(1,$G$10512:$K$10512,0)),0)</f>
        <v>2027</v>
      </c>
    </row>
    <row r="10514" customFormat="false" ht="15" hidden="false" customHeight="false" outlineLevel="0" collapsed="false">
      <c r="A10514" s="3" t="s">
        <v>379</v>
      </c>
      <c r="C10514" s="21" t="n">
        <f aca="false">MIN($G$10511:$K$10511)</f>
        <v>-0.924619516757866</v>
      </c>
    </row>
    <row r="10515" customFormat="false" ht="15" hidden="false" customHeight="false" outlineLevel="0" collapsed="false">
      <c r="A10515" s="23" t="s">
        <v>380</v>
      </c>
      <c r="B10515" s="24"/>
      <c r="C10515" s="24"/>
      <c r="D10515" s="24"/>
      <c r="E10515" s="24"/>
      <c r="F10515" s="24"/>
      <c r="G10515" s="24"/>
      <c r="H10515" s="24"/>
      <c r="I10515" s="24"/>
      <c r="J10515" s="24"/>
      <c r="K10515" s="24"/>
    </row>
    <row r="10516" customFormat="false" ht="15" hidden="false" customHeight="false" outlineLevel="0" collapsed="false">
      <c r="A10516" s="3" t="s">
        <v>373</v>
      </c>
      <c r="G10516" s="32" t="n">
        <f aca="false">IF(G10395&gt;0,G10391/G10395,99)</f>
        <v>1.24439199159602</v>
      </c>
      <c r="H10516" s="32" t="n">
        <f aca="false">IF(H10395&gt;0,H10391/H10395,99)</f>
        <v>1.01625345980342</v>
      </c>
      <c r="I10516" s="32" t="n">
        <f aca="false">IF(I10395&gt;0,I10391/I10395,99)</f>
        <v>0.948503229149855</v>
      </c>
      <c r="J10516" s="32" t="n">
        <f aca="false">IF(J10395&gt;0,J10391/J10395,99)</f>
        <v>1.06328687999613</v>
      </c>
      <c r="K10516" s="32" t="n">
        <f aca="false">IF(K10395&gt;0,K10391/K10395,99)</f>
        <v>1.10581835519598</v>
      </c>
    </row>
    <row r="10517" customFormat="false" ht="15" hidden="false" customHeight="false" outlineLevel="0" collapsed="false">
      <c r="A10517" s="3" t="s">
        <v>374</v>
      </c>
      <c r="G10517" s="33" t="n">
        <f aca="false">Assumptions!$G$66</f>
        <v>1.4</v>
      </c>
      <c r="H10517" s="33" t="n">
        <f aca="false">Assumptions!$H$66</f>
        <v>1.4</v>
      </c>
      <c r="I10517" s="33" t="n">
        <f aca="false">Assumptions!$I$66</f>
        <v>1.4</v>
      </c>
      <c r="J10517" s="33" t="n">
        <f aca="false">Assumptions!$J$66</f>
        <v>1.5</v>
      </c>
      <c r="K10517" s="33" t="n">
        <f aca="false">Assumptions!$K$66</f>
        <v>1.5</v>
      </c>
    </row>
    <row r="10518" customFormat="false" ht="15" hidden="false" customHeight="false" outlineLevel="0" collapsed="false">
      <c r="A10518" s="3" t="s">
        <v>375</v>
      </c>
      <c r="G10518" s="32" t="n">
        <f aca="false">G10516-G10517</f>
        <v>-0.155608008403981</v>
      </c>
      <c r="H10518" s="32" t="n">
        <f aca="false">H10516-H10517</f>
        <v>-0.383746540196584</v>
      </c>
      <c r="I10518" s="32" t="n">
        <f aca="false">I10516-I10517</f>
        <v>-0.451496770850145</v>
      </c>
      <c r="J10518" s="32" t="n">
        <f aca="false">J10516-J10517</f>
        <v>-0.436713120003869</v>
      </c>
      <c r="K10518" s="32" t="n">
        <f aca="false">K10516-K10517</f>
        <v>-0.394181644804023</v>
      </c>
    </row>
    <row r="10519" customFormat="false" ht="15" hidden="false" customHeight="false" outlineLevel="0" collapsed="false">
      <c r="A10519" s="3" t="s">
        <v>376</v>
      </c>
      <c r="G10519" s="21" t="n">
        <f aca="false">IF(G10517=0,0,G10518/ABS(G10517))</f>
        <v>-0.111148577431415</v>
      </c>
      <c r="H10519" s="21" t="n">
        <f aca="false">IF(H10517=0,0,H10518/ABS(H10517))</f>
        <v>-0.274104671568989</v>
      </c>
      <c r="I10519" s="21" t="n">
        <f aca="false">IF(I10517=0,0,I10518/ABS(I10517))</f>
        <v>-0.322497693464389</v>
      </c>
      <c r="J10519" s="21" t="n">
        <f aca="false">IF(J10517=0,0,J10518/ABS(J10517))</f>
        <v>-0.291142080002579</v>
      </c>
      <c r="K10519" s="21" t="n">
        <f aca="false">IF(K10517=0,0,K10518/ABS(K10517))</f>
        <v>-0.262787763202682</v>
      </c>
    </row>
    <row r="10520" customFormat="false" ht="15" hidden="false" customHeight="false" outlineLevel="0" collapsed="false">
      <c r="A10520" s="3" t="s">
        <v>377</v>
      </c>
      <c r="G10520" s="20" t="n">
        <f aca="false">IF(G10518&lt;0,1,0)</f>
        <v>1</v>
      </c>
      <c r="H10520" s="20" t="n">
        <f aca="false">IF(H10518&lt;0,1,0)</f>
        <v>1</v>
      </c>
      <c r="I10520" s="20" t="n">
        <f aca="false">IF(I10518&lt;0,1,0)</f>
        <v>1</v>
      </c>
      <c r="J10520" s="20" t="n">
        <f aca="false">IF(J10518&lt;0,1,0)</f>
        <v>1</v>
      </c>
      <c r="K10520" s="20" t="n">
        <f aca="false">IF(K10518&lt;0,1,0)</f>
        <v>1</v>
      </c>
    </row>
    <row r="10521" customFormat="false" ht="15" hidden="false" customHeight="false" outlineLevel="0" collapsed="false">
      <c r="A10521" s="3" t="s">
        <v>378</v>
      </c>
      <c r="C10521" s="20" t="n">
        <f aca="false">IFERROR(INDEX($G$10381:$K$10381,MATCH(1,$G$10520:$K$10520,0)),0)</f>
        <v>2027</v>
      </c>
    </row>
    <row r="10522" customFormat="false" ht="15" hidden="false" customHeight="false" outlineLevel="0" collapsed="false">
      <c r="A10522" s="3" t="s">
        <v>379</v>
      </c>
      <c r="C10522" s="21" t="n">
        <f aca="false">MIN($G$10519:$K$10519)</f>
        <v>-0.322497693464389</v>
      </c>
    </row>
    <row r="10523" customFormat="false" ht="15" hidden="false" customHeight="false" outlineLevel="0" collapsed="false">
      <c r="A10523" s="23" t="s">
        <v>381</v>
      </c>
      <c r="B10523" s="24"/>
      <c r="C10523" s="24"/>
      <c r="D10523" s="24"/>
      <c r="E10523" s="24"/>
      <c r="F10523" s="24"/>
      <c r="G10523" s="24"/>
      <c r="H10523" s="24"/>
      <c r="I10523" s="24"/>
      <c r="J10523" s="24"/>
      <c r="K10523" s="24"/>
    </row>
    <row r="10524" customFormat="false" ht="15" hidden="false" customHeight="false" outlineLevel="0" collapsed="false">
      <c r="A10524" s="3" t="s">
        <v>373</v>
      </c>
      <c r="G10524" s="25" t="n">
        <f aca="false">G10502</f>
        <v>446.04576904</v>
      </c>
      <c r="H10524" s="25" t="n">
        <f aca="false">H10502</f>
        <v>393.6375547072</v>
      </c>
      <c r="I10524" s="25" t="n">
        <f aca="false">I10502</f>
        <v>0</v>
      </c>
      <c r="J10524" s="25" t="n">
        <f aca="false">J10502</f>
        <v>0</v>
      </c>
      <c r="K10524" s="25" t="n">
        <f aca="false">K10502</f>
        <v>0</v>
      </c>
    </row>
    <row r="10525" customFormat="false" ht="15" hidden="false" customHeight="false" outlineLevel="0" collapsed="false">
      <c r="A10525" s="3" t="s">
        <v>374</v>
      </c>
      <c r="G10525" s="29" t="n">
        <f aca="false">Assumptions!$G$67</f>
        <v>200</v>
      </c>
      <c r="H10525" s="29" t="n">
        <f aca="false">Assumptions!$H$67</f>
        <v>200</v>
      </c>
      <c r="I10525" s="29" t="n">
        <f aca="false">Assumptions!$I$67</f>
        <v>200</v>
      </c>
      <c r="J10525" s="29" t="n">
        <f aca="false">Assumptions!$J$67</f>
        <v>200</v>
      </c>
      <c r="K10525" s="29" t="n">
        <f aca="false">Assumptions!$K$67</f>
        <v>200</v>
      </c>
    </row>
    <row r="10526" customFormat="false" ht="15" hidden="false" customHeight="false" outlineLevel="0" collapsed="false">
      <c r="A10526" s="3" t="s">
        <v>375</v>
      </c>
      <c r="G10526" s="25" t="n">
        <f aca="false">G10524-G10525</f>
        <v>246.04576904</v>
      </c>
      <c r="H10526" s="25" t="n">
        <f aca="false">H10524-H10525</f>
        <v>193.6375547072</v>
      </c>
      <c r="I10526" s="25" t="n">
        <f aca="false">I10524-I10525</f>
        <v>-200</v>
      </c>
      <c r="J10526" s="25" t="n">
        <f aca="false">J10524-J10525</f>
        <v>-200</v>
      </c>
      <c r="K10526" s="25" t="n">
        <f aca="false">K10524-K10525</f>
        <v>-200</v>
      </c>
    </row>
    <row r="10527" customFormat="false" ht="15" hidden="false" customHeight="false" outlineLevel="0" collapsed="false">
      <c r="A10527" s="3" t="s">
        <v>376</v>
      </c>
      <c r="G10527" s="21" t="n">
        <f aca="false">IF(G10525=0,0,G10526/ABS(G10525))</f>
        <v>1.2302288452</v>
      </c>
      <c r="H10527" s="21" t="n">
        <f aca="false">IF(H10525=0,0,H10526/ABS(H10525))</f>
        <v>0.968187773536</v>
      </c>
      <c r="I10527" s="21" t="n">
        <f aca="false">IF(I10525=0,0,I10526/ABS(I10525))</f>
        <v>-1</v>
      </c>
      <c r="J10527" s="21" t="n">
        <f aca="false">IF(J10525=0,0,J10526/ABS(J10525))</f>
        <v>-1</v>
      </c>
      <c r="K10527" s="21" t="n">
        <f aca="false">IF(K10525=0,0,K10526/ABS(K10525))</f>
        <v>-1</v>
      </c>
    </row>
    <row r="10528" customFormat="false" ht="15" hidden="false" customHeight="false" outlineLevel="0" collapsed="false">
      <c r="A10528" s="3" t="s">
        <v>377</v>
      </c>
      <c r="G10528" s="20" t="n">
        <f aca="false">IF(G10526&lt;0,1,0)</f>
        <v>0</v>
      </c>
      <c r="H10528" s="20" t="n">
        <f aca="false">IF(H10526&lt;0,1,0)</f>
        <v>0</v>
      </c>
      <c r="I10528" s="20" t="n">
        <f aca="false">IF(I10526&lt;0,1,0)</f>
        <v>1</v>
      </c>
      <c r="J10528" s="20" t="n">
        <f aca="false">IF(J10526&lt;0,1,0)</f>
        <v>1</v>
      </c>
      <c r="K10528" s="20" t="n">
        <f aca="false">IF(K10526&lt;0,1,0)</f>
        <v>1</v>
      </c>
    </row>
    <row r="10529" customFormat="false" ht="15" hidden="false" customHeight="false" outlineLevel="0" collapsed="false">
      <c r="A10529" s="3" t="s">
        <v>378</v>
      </c>
      <c r="C10529" s="20" t="n">
        <f aca="false">IFERROR(INDEX($G$10381:$K$10381,MATCH(1,$G$10528:$K$10528,0)),0)</f>
        <v>2029</v>
      </c>
    </row>
    <row r="10530" customFormat="false" ht="15" hidden="false" customHeight="false" outlineLevel="0" collapsed="false">
      <c r="A10530" s="3" t="s">
        <v>379</v>
      </c>
      <c r="C10530" s="21" t="n">
        <f aca="false">MIN($G$10527:$K$10527)</f>
        <v>-1</v>
      </c>
    </row>
    <row r="10531" customFormat="false" ht="15" hidden="false" customHeight="false" outlineLevel="0" collapsed="false">
      <c r="A10531" s="3" t="s">
        <v>382</v>
      </c>
      <c r="G10531" s="20" t="n">
        <f aca="false">G10512+G10520+G10528</f>
        <v>2</v>
      </c>
      <c r="H10531" s="20" t="n">
        <f aca="false">H10512+H10520+H10528</f>
        <v>2</v>
      </c>
      <c r="I10531" s="20" t="n">
        <f aca="false">I10512+I10520+I10528</f>
        <v>3</v>
      </c>
      <c r="J10531" s="20" t="n">
        <f aca="false">J10512+J10520+J10528</f>
        <v>3</v>
      </c>
      <c r="K10531" s="20" t="n">
        <f aca="false">K10512+K10520+K10528</f>
        <v>3</v>
      </c>
    </row>
    <row r="10532" customFormat="false" ht="15" hidden="false" customHeight="false" outlineLevel="0" collapsed="false">
      <c r="A10532" s="3" t="s">
        <v>383</v>
      </c>
      <c r="C10532" s="20" t="n">
        <f aca="false">SUM($G$10531:$K$10531)</f>
        <v>13</v>
      </c>
    </row>
    <row r="10533" customFormat="false" ht="15" hidden="false" customHeight="false" outlineLevel="0" collapsed="false">
      <c r="A10533" s="3" t="s">
        <v>384</v>
      </c>
      <c r="C10533" s="21" t="n">
        <f aca="false">MIN(C10514,C10522,C10530)</f>
        <v>-1</v>
      </c>
    </row>
    <row r="10535" customFormat="false" ht="15" hidden="false" customHeight="false" outlineLevel="0" collapsed="false">
      <c r="A10535" s="23" t="s">
        <v>486</v>
      </c>
      <c r="B10535" s="24"/>
      <c r="C10535" s="24"/>
      <c r="D10535" s="24"/>
      <c r="E10535" s="24"/>
      <c r="F10535" s="24"/>
      <c r="G10535" s="24"/>
      <c r="H10535" s="24"/>
      <c r="I10535" s="24"/>
      <c r="J10535" s="24"/>
      <c r="K10535" s="24"/>
    </row>
    <row r="10536" customFormat="false" ht="15" hidden="false" customHeight="false" outlineLevel="0" collapsed="false">
      <c r="A10536" s="3" t="s">
        <v>487</v>
      </c>
      <c r="G10536" s="20" t="n">
        <f aca="false">IF($C$10537=1,G10489,IF(G10391=MIN($G$10391:$K$10391),1,0))</f>
        <v>0</v>
      </c>
      <c r="H10536" s="20" t="n">
        <f aca="false">IF($C$10537=1,H10489,IF(AND(H10391=MIN($G$10391:$K$10391),SUM($G$10536:G10536)=0),1,0))</f>
        <v>0</v>
      </c>
      <c r="I10536" s="20" t="n">
        <f aca="false">IF($C$10537=1,I10489,IF(AND(I10391=MIN($G$10391:$K$10391),SUM($G$10536:H10536)=0),1,0))</f>
        <v>1</v>
      </c>
      <c r="J10536" s="20" t="n">
        <f aca="false">IF($C$10537=1,J10489,IF(AND(J10391=MIN($G$10391:$K$10391),SUM($G$10536:I10536)=0),1,0))</f>
        <v>0</v>
      </c>
      <c r="K10536" s="20" t="n">
        <f aca="false">IF($C$10537=1,K10489,IF(AND(K10391=MIN($G$10391:$K$10391),SUM($G$10536:J10536)=0),1,0))</f>
        <v>0</v>
      </c>
    </row>
    <row r="10537" customFormat="false" ht="15" hidden="false" customHeight="false" outlineLevel="0" collapsed="false">
      <c r="A10537" s="3" t="s">
        <v>488</v>
      </c>
      <c r="C10537" s="20" t="n">
        <f aca="false">IF(SUM($G$10489:$K$10489)&gt;0,1,0)</f>
        <v>1</v>
      </c>
    </row>
    <row r="10538" customFormat="false" ht="15" hidden="false" customHeight="false" outlineLevel="0" collapsed="false">
      <c r="A10538" s="3" t="s">
        <v>489</v>
      </c>
      <c r="C10538" s="20" t="n">
        <f aca="false">SUMPRODUCT($G$10536:$K$10536,$G$10381:$K$10381)</f>
        <v>2029</v>
      </c>
    </row>
    <row r="10539" customFormat="false" ht="15" hidden="false" customHeight="false" outlineLevel="0" collapsed="false">
      <c r="A10539" s="3" t="s">
        <v>490</v>
      </c>
      <c r="C10539" s="25" t="n">
        <f aca="false">SUMPRODUCT($G$10536:$K$10536,$G$10391:$K$10391)</f>
        <v>147.923508096</v>
      </c>
    </row>
    <row r="10540" customFormat="false" ht="15" hidden="false" customHeight="false" outlineLevel="0" collapsed="false">
      <c r="A10540" s="3" t="s">
        <v>491</v>
      </c>
      <c r="C10540" s="25" t="n">
        <f aca="false">MAX(0,SUMPRODUCT($G$10536:$K$10536,$G$10486:$K$10486))</f>
        <v>0</v>
      </c>
    </row>
    <row r="10541" customFormat="false" ht="15" hidden="false" customHeight="false" outlineLevel="0" collapsed="false">
      <c r="A10541" s="3" t="s">
        <v>492</v>
      </c>
      <c r="C10541" s="25" t="n">
        <f aca="false">(CHOOSE($C$10374,Assumptions!$C$84,Assumptions!$C$103,Assumptions!$C$122)+$C$10378)*C10539</f>
        <v>591.694032384</v>
      </c>
    </row>
    <row r="10542" customFormat="false" ht="15" hidden="false" customHeight="false" outlineLevel="0" collapsed="false">
      <c r="A10542" s="3" t="s">
        <v>493</v>
      </c>
      <c r="C10542" s="25" t="n">
        <f aca="false">Assumptions!$C$30*(1-CHOOSE($C$10374,Assumptions!$C$85,Assumptions!$C$104,Assumptions!$C$123))*CHOOSE($C$10374,Assumptions!$C$86,Assumptions!$C$105,Assumptions!$C$124)</f>
        <v>478.719345</v>
      </c>
    </row>
    <row r="10543" customFormat="false" ht="15" hidden="false" customHeight="false" outlineLevel="0" collapsed="false">
      <c r="A10543" s="3" t="s">
        <v>494</v>
      </c>
      <c r="C10543" s="25" t="n">
        <f aca="false">MAX(C10541,C10542)+C10540</f>
        <v>591.694032384</v>
      </c>
    </row>
    <row r="10544" customFormat="false" ht="15" hidden="false" customHeight="false" outlineLevel="0" collapsed="false">
      <c r="A10544" s="2" t="s">
        <v>495</v>
      </c>
      <c r="C10544" s="16" t="n">
        <f aca="false">IF(ISNUMBER(Assumptions!$C$14),Assumptions!$C$14,C10543)</f>
        <v>591.694032384</v>
      </c>
    </row>
    <row r="10545" customFormat="false" ht="15" hidden="false" customHeight="false" outlineLevel="0" collapsed="false">
      <c r="A10545" s="3" t="s">
        <v>496</v>
      </c>
      <c r="C10545" s="25" t="n">
        <f aca="false">C10544*Assumptions!$C$15</f>
        <v>23.66776129536</v>
      </c>
    </row>
    <row r="10546" customFormat="false" ht="15" hidden="false" customHeight="false" outlineLevel="0" collapsed="false">
      <c r="A10546" s="2" t="s">
        <v>497</v>
      </c>
      <c r="C10546" s="16" t="n">
        <f aca="false">C10544-C10545</f>
        <v>568.02627108864</v>
      </c>
    </row>
    <row r="10547" customFormat="false" ht="15" hidden="false" customHeight="false" outlineLevel="0" collapsed="false">
      <c r="A10547" s="23" t="s">
        <v>498</v>
      </c>
      <c r="B10547" s="24"/>
      <c r="C10547" s="24"/>
      <c r="D10547" s="24"/>
      <c r="E10547" s="24"/>
      <c r="F10547" s="24"/>
      <c r="G10547" s="24"/>
      <c r="H10547" s="24"/>
      <c r="I10547" s="24"/>
      <c r="J10547" s="24"/>
      <c r="K10547" s="24"/>
    </row>
    <row r="10548" customFormat="false" ht="15" hidden="false" customHeight="false" outlineLevel="0" collapsed="false">
      <c r="A10548" s="3" t="s">
        <v>499</v>
      </c>
      <c r="C10548" s="25" t="n">
        <f aca="false">SUMPRODUCT($G$10536:$K$10536,$G$10428:$K$10428)*(1+SUMPRODUCT($G$10536:$K$10536,$G$10420:$K$10420)*Assumptions!$C$16/12)</f>
        <v>1349.6193225</v>
      </c>
    </row>
    <row r="10549" customFormat="false" ht="15" hidden="false" customHeight="false" outlineLevel="0" collapsed="false">
      <c r="A10549" s="3" t="s">
        <v>500</v>
      </c>
      <c r="C10549" s="25" t="n">
        <f aca="false">SUMPRODUCT($G$10536:$K$10536,$G$10441:$K$10441)*(1+SUMPRODUCT($G$10536:$K$10536,$G$10433:$K$10433)*Assumptions!$C$16/12)</f>
        <v>0</v>
      </c>
    </row>
    <row r="10550" customFormat="false" ht="15" hidden="false" customHeight="false" outlineLevel="0" collapsed="false">
      <c r="A10550" s="3" t="s">
        <v>501</v>
      </c>
      <c r="C10550" s="25" t="n">
        <f aca="false">SUMPRODUCT($G$10536:$K$10536,$G$10454:$K$10454)*(1+SUMPRODUCT($G$10536:$K$10536,$G$10446:$K$10446)*Assumptions!$C$16/12)</f>
        <v>90.746671124802</v>
      </c>
    </row>
    <row r="10551" customFormat="false" ht="15" hidden="false" customHeight="false" outlineLevel="0" collapsed="false">
      <c r="A10551" s="23" t="s">
        <v>502</v>
      </c>
      <c r="B10551" s="24"/>
      <c r="C10551" s="24"/>
      <c r="D10551" s="24"/>
      <c r="E10551" s="24"/>
      <c r="F10551" s="24"/>
      <c r="G10551" s="24"/>
      <c r="H10551" s="24"/>
      <c r="I10551" s="24"/>
      <c r="J10551" s="24"/>
      <c r="K10551" s="24"/>
    </row>
    <row r="10552" customFormat="false" ht="15" hidden="false" customHeight="false" outlineLevel="0" collapsed="false">
      <c r="A10552" s="3" t="s">
        <v>499</v>
      </c>
      <c r="C10552" s="27" t="n">
        <f aca="false">Assumptions!$M$56</f>
        <v>1</v>
      </c>
    </row>
    <row r="10553" customFormat="false" ht="15" hidden="false" customHeight="false" outlineLevel="0" collapsed="false">
      <c r="A10553" s="3" t="s">
        <v>500</v>
      </c>
      <c r="C10553" s="27" t="n">
        <f aca="false">Assumptions!$M$57</f>
        <v>2</v>
      </c>
    </row>
    <row r="10554" customFormat="false" ht="15" hidden="false" customHeight="false" outlineLevel="0" collapsed="false">
      <c r="A10554" s="3" t="s">
        <v>501</v>
      </c>
      <c r="C10554" s="27" t="n">
        <f aca="false">Assumptions!$M$58</f>
        <v>2</v>
      </c>
    </row>
    <row r="10555" customFormat="false" ht="15" hidden="false" customHeight="false" outlineLevel="0" collapsed="false">
      <c r="A10555" s="23" t="s">
        <v>503</v>
      </c>
      <c r="B10555" s="24"/>
      <c r="C10555" s="24"/>
      <c r="D10555" s="24"/>
      <c r="E10555" s="24"/>
      <c r="F10555" s="24"/>
      <c r="G10555" s="24"/>
      <c r="H10555" s="24"/>
      <c r="I10555" s="24"/>
      <c r="J10555" s="24"/>
      <c r="K10555" s="24"/>
    </row>
    <row r="10556" customFormat="false" ht="15" hidden="false" customHeight="false" outlineLevel="0" collapsed="false">
      <c r="A10556" s="3" t="s">
        <v>499</v>
      </c>
      <c r="C10556" s="35" t="n">
        <f aca="false">Assumptions!$Q$56</f>
        <v>0</v>
      </c>
    </row>
    <row r="10557" customFormat="false" ht="15" hidden="false" customHeight="false" outlineLevel="0" collapsed="false">
      <c r="A10557" s="3" t="s">
        <v>500</v>
      </c>
      <c r="C10557" s="35" t="n">
        <f aca="false">Assumptions!$Q$57</f>
        <v>0</v>
      </c>
    </row>
    <row r="10558" customFormat="false" ht="15" hidden="false" customHeight="false" outlineLevel="0" collapsed="false">
      <c r="A10558" s="3" t="s">
        <v>501</v>
      </c>
      <c r="C10558" s="35" t="n">
        <f aca="false">Assumptions!$Q$58</f>
        <v>0</v>
      </c>
    </row>
    <row r="10559" customFormat="false" ht="15" hidden="false" customHeight="false" outlineLevel="0" collapsed="false">
      <c r="A10559" s="23" t="s">
        <v>504</v>
      </c>
      <c r="B10559" s="24"/>
      <c r="C10559" s="24"/>
      <c r="D10559" s="24"/>
      <c r="E10559" s="24"/>
      <c r="F10559" s="24"/>
      <c r="G10559" s="24"/>
      <c r="H10559" s="24"/>
      <c r="I10559" s="24"/>
      <c r="J10559" s="24"/>
      <c r="K10559" s="24"/>
    </row>
    <row r="10560" customFormat="false" ht="15" hidden="false" customHeight="false" outlineLevel="0" collapsed="false">
      <c r="A10560" s="3" t="s">
        <v>499</v>
      </c>
      <c r="C10560" s="25" t="n">
        <f aca="false">IF(C10556&gt;0,MIN(C10548,C10556*$C$10546),0)</f>
        <v>0</v>
      </c>
    </row>
    <row r="10561" customFormat="false" ht="15" hidden="false" customHeight="false" outlineLevel="0" collapsed="false">
      <c r="A10561" s="3" t="s">
        <v>500</v>
      </c>
      <c r="C10561" s="25" t="n">
        <f aca="false">IF(C10557&gt;0,MIN(C10549,C10557*$C$10546),0)</f>
        <v>0</v>
      </c>
    </row>
    <row r="10562" customFormat="false" ht="15" hidden="false" customHeight="false" outlineLevel="0" collapsed="false">
      <c r="A10562" s="3" t="s">
        <v>501</v>
      </c>
      <c r="C10562" s="25" t="n">
        <f aca="false">IF(C10558&gt;0,MIN(C10550,C10558*$C$10546),0)</f>
        <v>0</v>
      </c>
    </row>
    <row r="10563" customFormat="false" ht="15" hidden="false" customHeight="false" outlineLevel="0" collapsed="false">
      <c r="A10563" s="23" t="s">
        <v>505</v>
      </c>
      <c r="B10563" s="24"/>
      <c r="C10563" s="24"/>
      <c r="D10563" s="24"/>
      <c r="E10563" s="24"/>
      <c r="F10563" s="24"/>
      <c r="G10563" s="24"/>
      <c r="H10563" s="24"/>
      <c r="I10563" s="24"/>
      <c r="J10563" s="24"/>
      <c r="K10563" s="24"/>
    </row>
    <row r="10564" customFormat="false" ht="15" hidden="false" customHeight="false" outlineLevel="0" collapsed="false">
      <c r="A10564" s="3" t="s">
        <v>499</v>
      </c>
      <c r="C10564" s="25" t="n">
        <f aca="false">IF(C10556&gt;0,C10548-C10560,0)</f>
        <v>0</v>
      </c>
      <c r="G10564" s="20" t="n">
        <f aca="false">IF(AND(G10418=1,G10415=1),1,0)</f>
        <v>0</v>
      </c>
      <c r="H10564" s="20" t="n">
        <f aca="false">IF(G10564=1,1,IF(AND(H10418=1,H10415=1),1,0))</f>
        <v>0</v>
      </c>
      <c r="I10564" s="20" t="n">
        <f aca="false">IF(H10564=1,1,IF(AND(I10418=1,I10415=1),1,0))</f>
        <v>0</v>
      </c>
      <c r="J10564" s="20" t="n">
        <f aca="false">IF(I10564=1,1,IF(AND(J10418=1,J10415=1),1,0))</f>
        <v>0</v>
      </c>
      <c r="K10564" s="20" t="n">
        <f aca="false">IF(J10564=1,1,IF(AND(K10418=1,K10415=1),1,0))</f>
        <v>0</v>
      </c>
    </row>
    <row r="10565" customFormat="false" ht="15" hidden="false" customHeight="false" outlineLevel="0" collapsed="false">
      <c r="A10565" s="3" t="s">
        <v>500</v>
      </c>
      <c r="C10565" s="25" t="n">
        <f aca="false">IF(C10557&gt;0,C10549-C10561,0)</f>
        <v>0</v>
      </c>
      <c r="G10565" s="20" t="n">
        <f aca="false">IF(AND(G10431=1,G10415=1),1,0)</f>
        <v>0</v>
      </c>
      <c r="H10565" s="20" t="n">
        <f aca="false">IF(G10565=1,1,IF(AND(H10431=1,H10415=1),1,0))</f>
        <v>0</v>
      </c>
      <c r="I10565" s="20" t="n">
        <f aca="false">IF(H10565=1,1,IF(AND(I10431=1,I10415=1),1,0))</f>
        <v>0</v>
      </c>
      <c r="J10565" s="20" t="n">
        <f aca="false">IF(I10565=1,1,IF(AND(J10431=1,J10415=1),1,0))</f>
        <v>0</v>
      </c>
      <c r="K10565" s="20" t="n">
        <f aca="false">IF(J10565=1,1,IF(AND(K10431=1,K10415=1),1,0))</f>
        <v>0</v>
      </c>
    </row>
    <row r="10566" customFormat="false" ht="15" hidden="false" customHeight="false" outlineLevel="0" collapsed="false">
      <c r="A10566" s="3" t="s">
        <v>501</v>
      </c>
      <c r="C10566" s="25" t="n">
        <f aca="false">IF(C10558&gt;0,C10550-C10562,0)</f>
        <v>0</v>
      </c>
      <c r="G10566" s="20" t="n">
        <f aca="false">IF(AND(G10444=1,G10415=1),1,0)</f>
        <v>0</v>
      </c>
      <c r="H10566" s="20" t="n">
        <f aca="false">IF(G10566=1,1,IF(AND(H10444=1,H10415=1),1,0))</f>
        <v>0</v>
      </c>
      <c r="I10566" s="20" t="n">
        <f aca="false">IF(H10566=1,1,IF(AND(I10444=1,I10415=1),1,0))</f>
        <v>0</v>
      </c>
      <c r="J10566" s="20" t="n">
        <f aca="false">IF(I10566=1,1,IF(AND(J10444=1,J10415=1),1,0))</f>
        <v>0</v>
      </c>
      <c r="K10566" s="20" t="n">
        <f aca="false">IF(J10566=1,1,IF(AND(K10444=1,K10415=1),1,0))</f>
        <v>0</v>
      </c>
    </row>
    <row r="10567" customFormat="false" ht="15" hidden="false" customHeight="false" outlineLevel="0" collapsed="false">
      <c r="A10567" s="23" t="s">
        <v>506</v>
      </c>
      <c r="B10567" s="24"/>
      <c r="C10567" s="24"/>
      <c r="D10567" s="24"/>
      <c r="E10567" s="24"/>
      <c r="F10567" s="24"/>
      <c r="G10567" s="24"/>
      <c r="H10567" s="24"/>
      <c r="I10567" s="24"/>
      <c r="J10567" s="24"/>
      <c r="K10567" s="24"/>
    </row>
    <row r="10568" customFormat="false" ht="15" hidden="false" customHeight="false" outlineLevel="0" collapsed="false">
      <c r="A10568" s="3" t="s">
        <v>499</v>
      </c>
      <c r="C10568" s="25" t="n">
        <f aca="false">IF(C10556&gt;0,C10564,C10548)</f>
        <v>1349.6193225</v>
      </c>
    </row>
    <row r="10569" customFormat="false" ht="15" hidden="false" customHeight="false" outlineLevel="0" collapsed="false">
      <c r="A10569" s="3" t="s">
        <v>500</v>
      </c>
      <c r="C10569" s="25" t="n">
        <f aca="false">IF(C10557&gt;0,C10565,C10549)</f>
        <v>0</v>
      </c>
    </row>
    <row r="10570" customFormat="false" ht="15" hidden="false" customHeight="false" outlineLevel="0" collapsed="false">
      <c r="A10570" s="3" t="s">
        <v>501</v>
      </c>
      <c r="C10570" s="25" t="n">
        <f aca="false">IF(C10558&gt;0,C10566,C10550)</f>
        <v>90.746671124802</v>
      </c>
    </row>
    <row r="10571" customFormat="false" ht="15" hidden="false" customHeight="false" outlineLevel="0" collapsed="false">
      <c r="A10571" s="23" t="s">
        <v>507</v>
      </c>
      <c r="B10571" s="24"/>
      <c r="C10571" s="24"/>
      <c r="D10571" s="24"/>
      <c r="E10571" s="24"/>
      <c r="F10571" s="24"/>
      <c r="G10571" s="24"/>
      <c r="H10571" s="24"/>
      <c r="I10571" s="24"/>
      <c r="J10571" s="24"/>
      <c r="K10571" s="24"/>
    </row>
    <row r="10572" customFormat="false" ht="15" hidden="false" customHeight="false" outlineLevel="0" collapsed="false">
      <c r="A10572" s="3" t="s">
        <v>499</v>
      </c>
      <c r="C10572" s="20" t="n">
        <f aca="false">IF(C10556&gt;0,Assumptions!$C$17,C10552)</f>
        <v>1</v>
      </c>
    </row>
    <row r="10573" customFormat="false" ht="15" hidden="false" customHeight="false" outlineLevel="0" collapsed="false">
      <c r="A10573" s="3" t="s">
        <v>500</v>
      </c>
      <c r="C10573" s="20" t="n">
        <f aca="false">IF(C10557&gt;0,Assumptions!$C$17,C10553)</f>
        <v>2</v>
      </c>
    </row>
    <row r="10574" customFormat="false" ht="15" hidden="false" customHeight="false" outlineLevel="0" collapsed="false">
      <c r="A10574" s="3" t="s">
        <v>501</v>
      </c>
      <c r="C10574" s="20" t="n">
        <f aca="false">IF(C10558&gt;0,Assumptions!$C$17,C10554)</f>
        <v>2</v>
      </c>
    </row>
    <row r="10575" customFormat="false" ht="15" hidden="false" customHeight="false" outlineLevel="0" collapsed="false">
      <c r="A10575" s="23" t="s">
        <v>508</v>
      </c>
      <c r="B10575" s="24"/>
      <c r="C10575" s="24"/>
      <c r="D10575" s="24"/>
      <c r="E10575" s="24"/>
      <c r="F10575" s="24"/>
      <c r="G10575" s="24"/>
      <c r="H10575" s="24"/>
      <c r="I10575" s="24"/>
      <c r="J10575" s="24"/>
      <c r="K10575" s="24"/>
    </row>
    <row r="10576" customFormat="false" ht="15" hidden="false" customHeight="false" outlineLevel="0" collapsed="false">
      <c r="A10576" s="3" t="s">
        <v>499</v>
      </c>
      <c r="C10576" s="25" t="n">
        <f aca="false">SUMPRODUCT(($C$10572:$C$10574&lt;C10572)*$C$10568:$C$10570)</f>
        <v>0</v>
      </c>
    </row>
    <row r="10577" customFormat="false" ht="15" hidden="false" customHeight="false" outlineLevel="0" collapsed="false">
      <c r="A10577" s="3" t="s">
        <v>500</v>
      </c>
      <c r="C10577" s="25" t="n">
        <f aca="false">SUMPRODUCT(($C$10572:$C$10574&lt;C10573)*$C$10568:$C$10570)</f>
        <v>1349.6193225</v>
      </c>
    </row>
    <row r="10578" customFormat="false" ht="15" hidden="false" customHeight="false" outlineLevel="0" collapsed="false">
      <c r="A10578" s="3" t="s">
        <v>501</v>
      </c>
      <c r="C10578" s="25" t="n">
        <f aca="false">SUMPRODUCT(($C$10572:$C$10574&lt;C10574)*$C$10568:$C$10570)</f>
        <v>1349.6193225</v>
      </c>
    </row>
    <row r="10579" customFormat="false" ht="15" hidden="false" customHeight="false" outlineLevel="0" collapsed="false">
      <c r="A10579" s="23" t="s">
        <v>509</v>
      </c>
      <c r="B10579" s="24"/>
      <c r="C10579" s="24"/>
      <c r="D10579" s="24"/>
      <c r="E10579" s="24"/>
      <c r="F10579" s="24"/>
      <c r="G10579" s="24"/>
      <c r="H10579" s="24"/>
      <c r="I10579" s="24"/>
      <c r="J10579" s="24"/>
      <c r="K10579" s="24"/>
    </row>
    <row r="10580" customFormat="false" ht="15" hidden="false" customHeight="false" outlineLevel="0" collapsed="false">
      <c r="A10580" s="3" t="s">
        <v>499</v>
      </c>
      <c r="C10580" s="25" t="n">
        <f aca="false">SUMPRODUCT(($C$10572:$C$10574=C10572)*$C$10568:$C$10570)</f>
        <v>1349.6193225</v>
      </c>
    </row>
    <row r="10581" customFormat="false" ht="15" hidden="false" customHeight="false" outlineLevel="0" collapsed="false">
      <c r="A10581" s="3" t="s">
        <v>500</v>
      </c>
      <c r="C10581" s="25" t="n">
        <f aca="false">SUMPRODUCT(($C$10572:$C$10574=C10573)*$C$10568:$C$10570)</f>
        <v>90.746671124802</v>
      </c>
    </row>
    <row r="10582" customFormat="false" ht="15" hidden="false" customHeight="false" outlineLevel="0" collapsed="false">
      <c r="A10582" s="3" t="s">
        <v>501</v>
      </c>
      <c r="C10582" s="25" t="n">
        <f aca="false">SUMPRODUCT(($C$10572:$C$10574=C10574)*$C$10568:$C$10570)</f>
        <v>90.746671124802</v>
      </c>
    </row>
    <row r="10583" customFormat="false" ht="15" hidden="false" customHeight="false" outlineLevel="0" collapsed="false">
      <c r="A10583" s="23" t="s">
        <v>510</v>
      </c>
      <c r="B10583" s="24"/>
      <c r="C10583" s="24"/>
      <c r="D10583" s="24"/>
      <c r="E10583" s="24"/>
      <c r="F10583" s="24"/>
      <c r="G10583" s="24"/>
      <c r="H10583" s="24"/>
      <c r="I10583" s="24"/>
      <c r="J10583" s="24"/>
      <c r="K10583" s="24"/>
    </row>
    <row r="10584" customFormat="false" ht="15" hidden="false" customHeight="false" outlineLevel="0" collapsed="false">
      <c r="A10584" s="3" t="s">
        <v>499</v>
      </c>
      <c r="C10584" s="25" t="n">
        <f aca="false">IF(C10580=0,0,C10568/C10580*MAX(0,MIN(C10580,$C$10546-SUM($C$10560:$C$10562)-C10576)))</f>
        <v>568.02627108864</v>
      </c>
    </row>
    <row r="10585" customFormat="false" ht="15" hidden="false" customHeight="false" outlineLevel="0" collapsed="false">
      <c r="A10585" s="3" t="s">
        <v>500</v>
      </c>
      <c r="C10585" s="25" t="n">
        <f aca="false">IF(C10581=0,0,C10569/C10581*MAX(0,MIN(C10581,$C$10546-SUM($C$10560:$C$10562)-C10577)))</f>
        <v>0</v>
      </c>
    </row>
    <row r="10586" customFormat="false" ht="15" hidden="false" customHeight="false" outlineLevel="0" collapsed="false">
      <c r="A10586" s="3" t="s">
        <v>501</v>
      </c>
      <c r="C10586" s="25" t="n">
        <f aca="false">IF(C10582=0,0,C10570/C10582*MAX(0,MIN(C10582,$C$10546-SUM($C$10560:$C$10562)-C10578)))</f>
        <v>0</v>
      </c>
    </row>
    <row r="10587" customFormat="false" ht="15" hidden="false" customHeight="false" outlineLevel="0" collapsed="false">
      <c r="A10587" s="23" t="s">
        <v>511</v>
      </c>
      <c r="B10587" s="24"/>
      <c r="C10587" s="24"/>
      <c r="D10587" s="24"/>
      <c r="E10587" s="24"/>
      <c r="F10587" s="24"/>
      <c r="G10587" s="24"/>
      <c r="H10587" s="24"/>
      <c r="I10587" s="24"/>
      <c r="J10587" s="24"/>
      <c r="K10587" s="24"/>
    </row>
    <row r="10588" customFormat="false" ht="15" hidden="false" customHeight="false" outlineLevel="0" collapsed="false">
      <c r="A10588" s="2" t="s">
        <v>499</v>
      </c>
      <c r="C10588" s="16" t="n">
        <f aca="false">C10560+C10584</f>
        <v>568.02627108864</v>
      </c>
    </row>
    <row r="10589" customFormat="false" ht="15" hidden="false" customHeight="false" outlineLevel="0" collapsed="false">
      <c r="A10589" s="2" t="s">
        <v>500</v>
      </c>
      <c r="C10589" s="16" t="n">
        <f aca="false">C10561+C10585</f>
        <v>0</v>
      </c>
    </row>
    <row r="10590" customFormat="false" ht="15" hidden="false" customHeight="false" outlineLevel="0" collapsed="false">
      <c r="A10590" s="2" t="s">
        <v>501</v>
      </c>
      <c r="C10590" s="16" t="n">
        <f aca="false">C10562+C10586</f>
        <v>0</v>
      </c>
    </row>
    <row r="10591" customFormat="false" ht="15" hidden="false" customHeight="false" outlineLevel="0" collapsed="false">
      <c r="A10591" s="23" t="s">
        <v>512</v>
      </c>
      <c r="B10591" s="24"/>
      <c r="C10591" s="24"/>
      <c r="D10591" s="24"/>
      <c r="E10591" s="24"/>
      <c r="F10591" s="24"/>
      <c r="G10591" s="24"/>
      <c r="H10591" s="24"/>
      <c r="I10591" s="24"/>
      <c r="J10591" s="24"/>
      <c r="K10591" s="24"/>
    </row>
    <row r="10592" customFormat="false" ht="15" hidden="false" customHeight="false" outlineLevel="0" collapsed="false">
      <c r="A10592" s="3" t="s">
        <v>499</v>
      </c>
      <c r="C10592" s="21" t="n">
        <f aca="false">IF(C10548=0,1,C10588/C10548)</f>
        <v>0.420878881636373</v>
      </c>
    </row>
    <row r="10593" customFormat="false" ht="15" hidden="false" customHeight="false" outlineLevel="0" collapsed="false">
      <c r="A10593" s="3" t="s">
        <v>500</v>
      </c>
      <c r="C10593" s="21" t="n">
        <f aca="false">IF(C10549=0,1,C10589/C10549)</f>
        <v>1</v>
      </c>
    </row>
    <row r="10594" customFormat="false" ht="15" hidden="false" customHeight="false" outlineLevel="0" collapsed="false">
      <c r="A10594" s="3" t="s">
        <v>501</v>
      </c>
      <c r="C10594" s="21" t="n">
        <f aca="false">IF(C10550=0,1,C10590/C10550)</f>
        <v>0</v>
      </c>
    </row>
    <row r="10595" customFormat="false" ht="15" hidden="false" customHeight="false" outlineLevel="0" collapsed="false">
      <c r="A10595" s="23" t="s">
        <v>513</v>
      </c>
      <c r="B10595" s="24"/>
      <c r="C10595" s="24"/>
      <c r="D10595" s="24"/>
      <c r="E10595" s="24"/>
      <c r="F10595" s="24"/>
      <c r="G10595" s="24"/>
      <c r="H10595" s="24"/>
      <c r="I10595" s="24"/>
      <c r="J10595" s="24"/>
      <c r="K10595" s="24"/>
    </row>
    <row r="10596" customFormat="false" ht="15" hidden="false" customHeight="false" outlineLevel="0" collapsed="false">
      <c r="A10596" s="3" t="s">
        <v>499</v>
      </c>
      <c r="C10596" s="25" t="n">
        <f aca="false">C10548-C10588</f>
        <v>781.59305141136</v>
      </c>
    </row>
    <row r="10597" customFormat="false" ht="15" hidden="false" customHeight="false" outlineLevel="0" collapsed="false">
      <c r="A10597" s="3" t="s">
        <v>500</v>
      </c>
      <c r="C10597" s="25" t="n">
        <f aca="false">C10549-C10589</f>
        <v>0</v>
      </c>
    </row>
    <row r="10598" customFormat="false" ht="15" hidden="false" customHeight="false" outlineLevel="0" collapsed="false">
      <c r="A10598" s="3" t="s">
        <v>501</v>
      </c>
      <c r="C10598" s="25" t="n">
        <f aca="false">C10550-C10590</f>
        <v>90.746671124802</v>
      </c>
    </row>
    <row r="10599" customFormat="false" ht="15" hidden="false" customHeight="false" outlineLevel="0" collapsed="false">
      <c r="A10599" s="23" t="s">
        <v>514</v>
      </c>
      <c r="B10599" s="24"/>
      <c r="C10599" s="24"/>
      <c r="D10599" s="24"/>
      <c r="E10599" s="24"/>
      <c r="F10599" s="24"/>
      <c r="G10599" s="24"/>
      <c r="H10599" s="24"/>
      <c r="I10599" s="24"/>
      <c r="J10599" s="24"/>
      <c r="K10599" s="24"/>
    </row>
    <row r="10600" customFormat="false" ht="15" hidden="false" customHeight="false" outlineLevel="0" collapsed="false">
      <c r="A10600" s="3" t="s">
        <v>499</v>
      </c>
      <c r="C10600" s="21" t="n">
        <f aca="false">IF(C10548=0,0,C10596/C10548)</f>
        <v>0.579121118363627</v>
      </c>
    </row>
    <row r="10601" customFormat="false" ht="15" hidden="false" customHeight="false" outlineLevel="0" collapsed="false">
      <c r="A10601" s="3" t="s">
        <v>500</v>
      </c>
      <c r="C10601" s="21" t="n">
        <f aca="false">IF(C10549=0,0,C10597/C10549)</f>
        <v>0</v>
      </c>
    </row>
    <row r="10602" customFormat="false" ht="15" hidden="false" customHeight="false" outlineLevel="0" collapsed="false">
      <c r="A10602" s="3" t="s">
        <v>501</v>
      </c>
      <c r="C10602" s="21" t="n">
        <f aca="false">IF(C10550=0,0,C10598/C10550)</f>
        <v>1</v>
      </c>
    </row>
    <row r="10603" customFormat="false" ht="15" hidden="false" customHeight="false" outlineLevel="0" collapsed="false">
      <c r="A10603" s="2" t="s">
        <v>515</v>
      </c>
      <c r="C10603" s="16" t="n">
        <f aca="false">MAX(0,$C$10546-SUM($C$10560:$C$10562)-SUM($C$10568:$C$10570))</f>
        <v>0</v>
      </c>
    </row>
    <row r="10604" customFormat="false" ht="15" hidden="false" customHeight="false" outlineLevel="0" collapsed="false">
      <c r="A10604" s="3" t="s">
        <v>516</v>
      </c>
      <c r="C10604" s="25" t="n">
        <f aca="false">SUM($C$10588:$C$10590)+C10603+C10545-C10544</f>
        <v>0</v>
      </c>
    </row>
    <row r="10606" customFormat="false" ht="15" hidden="false" customHeight="false" outlineLevel="0" collapsed="false">
      <c r="A10606" s="23" t="s">
        <v>519</v>
      </c>
      <c r="B10606" s="24"/>
      <c r="C10606" s="24"/>
      <c r="D10606" s="24"/>
      <c r="E10606" s="24"/>
      <c r="F10606" s="24"/>
      <c r="G10606" s="24"/>
      <c r="H10606" s="24"/>
      <c r="I10606" s="24"/>
      <c r="J10606" s="24"/>
      <c r="K10606" s="24"/>
    </row>
    <row r="10607" customFormat="false" ht="15" hidden="false" customHeight="false" outlineLevel="0" collapsed="false">
      <c r="A10607" s="3" t="s">
        <v>520</v>
      </c>
      <c r="C10607" s="27" t="n">
        <f aca="false">Assumptions!$C$33</f>
        <v>1</v>
      </c>
    </row>
    <row r="10608" customFormat="false" ht="15" hidden="false" customHeight="false" outlineLevel="0" collapsed="false">
      <c r="A10608" s="3" t="s">
        <v>521</v>
      </c>
      <c r="C10608" s="29" t="n">
        <f aca="false">Assumptions!$C$34</f>
        <v>100</v>
      </c>
    </row>
    <row r="10609" customFormat="false" ht="15" hidden="false" customHeight="false" outlineLevel="0" collapsed="false">
      <c r="A10609" s="3" t="s">
        <v>522</v>
      </c>
      <c r="C10609" s="40" t="n">
        <f aca="false">Assumptions!$C$35</f>
        <v>95</v>
      </c>
    </row>
    <row r="10610" customFormat="false" ht="15" hidden="false" customHeight="false" outlineLevel="0" collapsed="false">
      <c r="A10610" s="3" t="s">
        <v>523</v>
      </c>
      <c r="C10610" s="25" t="n">
        <f aca="false">C10608*C10609/100*(1+Assumptions!$C$36)</f>
        <v>95</v>
      </c>
    </row>
    <row r="10611" customFormat="false" ht="15" hidden="false" customHeight="false" outlineLevel="0" collapsed="false">
      <c r="A10611" s="3" t="s">
        <v>524</v>
      </c>
      <c r="C10611" s="27" t="n">
        <f aca="false">Assumptions!$C$37</f>
        <v>3</v>
      </c>
    </row>
    <row r="10612" customFormat="false" ht="15" hidden="false" customHeight="false" outlineLevel="0" collapsed="false">
      <c r="A10612" s="3" t="s">
        <v>525</v>
      </c>
      <c r="C10612" s="20" t="n">
        <f aca="false">IF(C10537=1,SUMPRODUCT($G$10489:$K$10489,$G$10382:$K$10382),0)</f>
        <v>3</v>
      </c>
    </row>
    <row r="10613" customFormat="false" ht="15" hidden="false" customHeight="false" outlineLevel="0" collapsed="false">
      <c r="A10613" s="3" t="s">
        <v>526</v>
      </c>
      <c r="C10613" s="21" t="n">
        <f aca="false">IFERROR(C10608/CHOOSE(C10607,SUMPRODUCT($G$10536:$K$10536,$G$10428:$K$10428),SUMPRODUCT($G$10536:$K$10536,$G$10441:$K$10441),SUMPRODUCT($G$10536:$K$10536,$G$10454:$K$10454)),0)</f>
        <v>0.0760399605200525</v>
      </c>
    </row>
    <row r="10614" customFormat="false" ht="15" hidden="false" customHeight="false" outlineLevel="0" collapsed="false">
      <c r="A10614" s="3" t="s">
        <v>527</v>
      </c>
      <c r="C10614" s="25" t="n">
        <f aca="false">CHOOSE(C10607,C10588,C10589,C10590)*C10613</f>
        <v>43.1926952279328</v>
      </c>
    </row>
    <row r="10615" customFormat="false" ht="15" hidden="false" customHeight="false" outlineLevel="0" collapsed="false">
      <c r="A10615" s="3" t="s">
        <v>528</v>
      </c>
      <c r="C10615" s="21" t="n">
        <f aca="false">CHOOSE(C10607,C10592,C10593,C10594)</f>
        <v>0.420878881636373</v>
      </c>
    </row>
    <row r="10616" customFormat="false" ht="15" hidden="false" customHeight="false" outlineLevel="0" collapsed="false">
      <c r="A10616" s="3" t="s">
        <v>529</v>
      </c>
      <c r="C10616" s="20" t="n">
        <f aca="false">IF(C10537=1,C10612,C10611)</f>
        <v>3</v>
      </c>
    </row>
    <row r="10617" customFormat="false" ht="15" hidden="false" customHeight="false" outlineLevel="0" collapsed="false">
      <c r="A10617" s="3" t="s">
        <v>530</v>
      </c>
      <c r="C10617" s="34" t="n">
        <f aca="false">CHOOSE($C$10374,Assumptions!$C$83,Assumptions!$C$102,Assumptions!$C$121)</f>
        <v>80</v>
      </c>
    </row>
    <row r="10618" customFormat="false" ht="15" hidden="false" customHeight="false" outlineLevel="0" collapsed="false">
      <c r="A10618" s="3" t="s">
        <v>531</v>
      </c>
      <c r="C10618" s="25" t="n">
        <f aca="false">INDEX($G$10391:$K$10391,C10611)*CHOOSE($C$10374,Assumptions!$C$82,Assumptions!$C$101,Assumptions!$C$120)+MAX(0,INDEX($G$10486:$K$10486,C10611))</f>
        <v>591.694032384</v>
      </c>
    </row>
    <row r="10619" customFormat="false" ht="15" hidden="false" customHeight="false" outlineLevel="0" collapsed="false">
      <c r="A10619" s="23" t="s">
        <v>532</v>
      </c>
      <c r="B10619" s="24"/>
      <c r="C10619" s="24"/>
      <c r="D10619" s="24"/>
      <c r="E10619" s="24"/>
      <c r="F10619" s="24"/>
      <c r="G10619" s="24"/>
      <c r="H10619" s="24"/>
      <c r="I10619" s="24"/>
      <c r="J10619" s="24"/>
      <c r="K10619" s="24"/>
    </row>
    <row r="10620" customFormat="false" ht="15" hidden="false" customHeight="false" outlineLevel="0" collapsed="false">
      <c r="A10620" s="3" t="s">
        <v>499</v>
      </c>
      <c r="C10620" s="25" t="n">
        <f aca="false">INDEX($G$10428:$K$10428,C10611)</f>
        <v>1315.098</v>
      </c>
    </row>
    <row r="10621" customFormat="false" ht="15" hidden="false" customHeight="false" outlineLevel="0" collapsed="false">
      <c r="A10621" s="3" t="s">
        <v>500</v>
      </c>
      <c r="C10621" s="25" t="n">
        <f aca="false">INDEX($G$10441:$K$10441,C10611)</f>
        <v>0</v>
      </c>
    </row>
    <row r="10622" customFormat="false" ht="15" hidden="false" customHeight="false" outlineLevel="0" collapsed="false">
      <c r="A10622" s="3" t="s">
        <v>501</v>
      </c>
      <c r="C10622" s="25" t="n">
        <f aca="false">INDEX($G$10454:$K$10454,C10611)</f>
        <v>89.7926244896</v>
      </c>
    </row>
    <row r="10623" customFormat="false" ht="15" hidden="false" customHeight="false" outlineLevel="0" collapsed="false">
      <c r="A10623" s="23" t="s">
        <v>502</v>
      </c>
      <c r="B10623" s="24"/>
      <c r="C10623" s="24"/>
      <c r="D10623" s="24"/>
      <c r="E10623" s="24"/>
      <c r="F10623" s="24"/>
      <c r="G10623" s="24"/>
      <c r="H10623" s="24"/>
      <c r="I10623" s="24"/>
      <c r="J10623" s="24"/>
      <c r="K10623" s="24"/>
    </row>
    <row r="10624" customFormat="false" ht="15" hidden="false" customHeight="false" outlineLevel="0" collapsed="false">
      <c r="A10624" s="3" t="s">
        <v>499</v>
      </c>
      <c r="C10624" s="27" t="n">
        <f aca="false">Assumptions!$M$56</f>
        <v>1</v>
      </c>
    </row>
    <row r="10625" customFormat="false" ht="15" hidden="false" customHeight="false" outlineLevel="0" collapsed="false">
      <c r="A10625" s="3" t="s">
        <v>500</v>
      </c>
      <c r="C10625" s="27" t="n">
        <f aca="false">Assumptions!$M$57</f>
        <v>2</v>
      </c>
    </row>
    <row r="10626" customFormat="false" ht="15" hidden="false" customHeight="false" outlineLevel="0" collapsed="false">
      <c r="A10626" s="3" t="s">
        <v>501</v>
      </c>
      <c r="C10626" s="27" t="n">
        <f aca="false">Assumptions!$M$58</f>
        <v>2</v>
      </c>
    </row>
    <row r="10627" customFormat="false" ht="15" hidden="false" customHeight="false" outlineLevel="0" collapsed="false">
      <c r="A10627" s="23" t="s">
        <v>503</v>
      </c>
      <c r="B10627" s="24"/>
      <c r="C10627" s="24"/>
      <c r="D10627" s="24"/>
      <c r="E10627" s="24"/>
      <c r="F10627" s="24"/>
      <c r="G10627" s="24"/>
      <c r="H10627" s="24"/>
      <c r="I10627" s="24"/>
      <c r="J10627" s="24"/>
      <c r="K10627" s="24"/>
    </row>
    <row r="10628" customFormat="false" ht="15" hidden="false" customHeight="false" outlineLevel="0" collapsed="false">
      <c r="A10628" s="3" t="s">
        <v>499</v>
      </c>
      <c r="C10628" s="35" t="n">
        <f aca="false">Assumptions!$Q$56</f>
        <v>0</v>
      </c>
    </row>
    <row r="10629" customFormat="false" ht="15" hidden="false" customHeight="false" outlineLevel="0" collapsed="false">
      <c r="A10629" s="3" t="s">
        <v>500</v>
      </c>
      <c r="C10629" s="35" t="n">
        <f aca="false">Assumptions!$Q$57</f>
        <v>0</v>
      </c>
    </row>
    <row r="10630" customFormat="false" ht="15" hidden="false" customHeight="false" outlineLevel="0" collapsed="false">
      <c r="A10630" s="3" t="s">
        <v>501</v>
      </c>
      <c r="C10630" s="35" t="n">
        <f aca="false">Assumptions!$Q$58</f>
        <v>0</v>
      </c>
    </row>
    <row r="10631" customFormat="false" ht="15" hidden="false" customHeight="false" outlineLevel="0" collapsed="false">
      <c r="A10631" s="23" t="s">
        <v>504</v>
      </c>
      <c r="B10631" s="24"/>
      <c r="C10631" s="24"/>
      <c r="D10631" s="24"/>
      <c r="E10631" s="24"/>
      <c r="F10631" s="24"/>
      <c r="G10631" s="24"/>
      <c r="H10631" s="24"/>
      <c r="I10631" s="24"/>
      <c r="J10631" s="24"/>
      <c r="K10631" s="24"/>
    </row>
    <row r="10632" customFormat="false" ht="15" hidden="false" customHeight="false" outlineLevel="0" collapsed="false">
      <c r="A10632" s="3" t="s">
        <v>499</v>
      </c>
      <c r="C10632" s="25" t="n">
        <f aca="false">IF(C10628&gt;0,MIN(C10620,C10628*$C$10618),0)</f>
        <v>0</v>
      </c>
    </row>
    <row r="10633" customFormat="false" ht="15" hidden="false" customHeight="false" outlineLevel="0" collapsed="false">
      <c r="A10633" s="3" t="s">
        <v>500</v>
      </c>
      <c r="C10633" s="25" t="n">
        <f aca="false">IF(C10629&gt;0,MIN(C10621,C10629*$C$10618),0)</f>
        <v>0</v>
      </c>
    </row>
    <row r="10634" customFormat="false" ht="15" hidden="false" customHeight="false" outlineLevel="0" collapsed="false">
      <c r="A10634" s="3" t="s">
        <v>501</v>
      </c>
      <c r="C10634" s="25" t="n">
        <f aca="false">IF(C10630&gt;0,MIN(C10622,C10630*$C$10618),0)</f>
        <v>0</v>
      </c>
    </row>
    <row r="10635" customFormat="false" ht="15" hidden="false" customHeight="false" outlineLevel="0" collapsed="false">
      <c r="A10635" s="23" t="s">
        <v>505</v>
      </c>
      <c r="B10635" s="24"/>
      <c r="C10635" s="24"/>
      <c r="D10635" s="24"/>
      <c r="E10635" s="24"/>
      <c r="F10635" s="24"/>
      <c r="G10635" s="24"/>
      <c r="H10635" s="24"/>
      <c r="I10635" s="24"/>
      <c r="J10635" s="24"/>
      <c r="K10635" s="24"/>
    </row>
    <row r="10636" customFormat="false" ht="15" hidden="false" customHeight="false" outlineLevel="0" collapsed="false">
      <c r="A10636" s="3" t="s">
        <v>499</v>
      </c>
      <c r="C10636" s="25" t="n">
        <f aca="false">IF(C10628&gt;0,C10620-C10632,0)</f>
        <v>0</v>
      </c>
    </row>
    <row r="10637" customFormat="false" ht="15" hidden="false" customHeight="false" outlineLevel="0" collapsed="false">
      <c r="A10637" s="3" t="s">
        <v>500</v>
      </c>
      <c r="C10637" s="25" t="n">
        <f aca="false">IF(C10629&gt;0,C10621-C10633,0)</f>
        <v>0</v>
      </c>
    </row>
    <row r="10638" customFormat="false" ht="15" hidden="false" customHeight="false" outlineLevel="0" collapsed="false">
      <c r="A10638" s="3" t="s">
        <v>501</v>
      </c>
      <c r="C10638" s="25" t="n">
        <f aca="false">IF(C10630&gt;0,C10622-C10634,0)</f>
        <v>0</v>
      </c>
    </row>
    <row r="10639" customFormat="false" ht="15" hidden="false" customHeight="false" outlineLevel="0" collapsed="false">
      <c r="A10639" s="23" t="s">
        <v>506</v>
      </c>
      <c r="B10639" s="24"/>
      <c r="C10639" s="24"/>
      <c r="D10639" s="24"/>
      <c r="E10639" s="24"/>
      <c r="F10639" s="24"/>
      <c r="G10639" s="24"/>
      <c r="H10639" s="24"/>
      <c r="I10639" s="24"/>
      <c r="J10639" s="24"/>
      <c r="K10639" s="24"/>
    </row>
    <row r="10640" customFormat="false" ht="15" hidden="false" customHeight="false" outlineLevel="0" collapsed="false">
      <c r="A10640" s="3" t="s">
        <v>499</v>
      </c>
      <c r="C10640" s="25" t="n">
        <f aca="false">IF(C10628&gt;0,C10636,C10620)</f>
        <v>1315.098</v>
      </c>
    </row>
    <row r="10641" customFormat="false" ht="15" hidden="false" customHeight="false" outlineLevel="0" collapsed="false">
      <c r="A10641" s="3" t="s">
        <v>500</v>
      </c>
      <c r="C10641" s="25" t="n">
        <f aca="false">IF(C10629&gt;0,C10637,C10621)</f>
        <v>0</v>
      </c>
    </row>
    <row r="10642" customFormat="false" ht="15" hidden="false" customHeight="false" outlineLevel="0" collapsed="false">
      <c r="A10642" s="3" t="s">
        <v>501</v>
      </c>
      <c r="C10642" s="25" t="n">
        <f aca="false">IF(C10630&gt;0,C10638,C10622)</f>
        <v>89.7926244896</v>
      </c>
    </row>
    <row r="10643" customFormat="false" ht="15" hidden="false" customHeight="false" outlineLevel="0" collapsed="false">
      <c r="A10643" s="23" t="s">
        <v>507</v>
      </c>
      <c r="B10643" s="24"/>
      <c r="C10643" s="24"/>
      <c r="D10643" s="24"/>
      <c r="E10643" s="24"/>
      <c r="F10643" s="24"/>
      <c r="G10643" s="24"/>
      <c r="H10643" s="24"/>
      <c r="I10643" s="24"/>
      <c r="J10643" s="24"/>
      <c r="K10643" s="24"/>
    </row>
    <row r="10644" customFormat="false" ht="15" hidden="false" customHeight="false" outlineLevel="0" collapsed="false">
      <c r="A10644" s="3" t="s">
        <v>499</v>
      </c>
      <c r="C10644" s="20" t="n">
        <f aca="false">IF(C10628&gt;0,Assumptions!$C$17,C10624)</f>
        <v>1</v>
      </c>
    </row>
    <row r="10645" customFormat="false" ht="15" hidden="false" customHeight="false" outlineLevel="0" collapsed="false">
      <c r="A10645" s="3" t="s">
        <v>500</v>
      </c>
      <c r="C10645" s="20" t="n">
        <f aca="false">IF(C10629&gt;0,Assumptions!$C$17,C10625)</f>
        <v>2</v>
      </c>
    </row>
    <row r="10646" customFormat="false" ht="15" hidden="false" customHeight="false" outlineLevel="0" collapsed="false">
      <c r="A10646" s="3" t="s">
        <v>501</v>
      </c>
      <c r="C10646" s="20" t="n">
        <f aca="false">IF(C10630&gt;0,Assumptions!$C$17,C10626)</f>
        <v>2</v>
      </c>
    </row>
    <row r="10647" customFormat="false" ht="15" hidden="false" customHeight="false" outlineLevel="0" collapsed="false">
      <c r="A10647" s="23" t="s">
        <v>508</v>
      </c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</row>
    <row r="10648" customFormat="false" ht="15" hidden="false" customHeight="false" outlineLevel="0" collapsed="false">
      <c r="A10648" s="3" t="s">
        <v>499</v>
      </c>
      <c r="C10648" s="25" t="n">
        <f aca="false">SUMPRODUCT(($C$10644:$C$10646&lt;C10644)*$C$10640:$C$10642)</f>
        <v>0</v>
      </c>
    </row>
    <row r="10649" customFormat="false" ht="15" hidden="false" customHeight="false" outlineLevel="0" collapsed="false">
      <c r="A10649" s="3" t="s">
        <v>500</v>
      </c>
      <c r="C10649" s="25" t="n">
        <f aca="false">SUMPRODUCT(($C$10644:$C$10646&lt;C10645)*$C$10640:$C$10642)</f>
        <v>1315.098</v>
      </c>
    </row>
    <row r="10650" customFormat="false" ht="15" hidden="false" customHeight="false" outlineLevel="0" collapsed="false">
      <c r="A10650" s="3" t="s">
        <v>501</v>
      </c>
      <c r="C10650" s="25" t="n">
        <f aca="false">SUMPRODUCT(($C$10644:$C$10646&lt;C10646)*$C$10640:$C$10642)</f>
        <v>1315.098</v>
      </c>
    </row>
    <row r="10651" customFormat="false" ht="15" hidden="false" customHeight="false" outlineLevel="0" collapsed="false">
      <c r="A10651" s="23" t="s">
        <v>509</v>
      </c>
      <c r="B10651" s="24"/>
      <c r="C10651" s="24"/>
      <c r="D10651" s="24"/>
      <c r="E10651" s="24"/>
      <c r="F10651" s="24"/>
      <c r="G10651" s="24"/>
      <c r="H10651" s="24"/>
      <c r="I10651" s="24"/>
      <c r="J10651" s="24"/>
      <c r="K10651" s="24"/>
    </row>
    <row r="10652" customFormat="false" ht="15" hidden="false" customHeight="false" outlineLevel="0" collapsed="false">
      <c r="A10652" s="3" t="s">
        <v>499</v>
      </c>
      <c r="C10652" s="25" t="n">
        <f aca="false">SUMPRODUCT(($C$10644:$C$10646=C10644)*$C$10640:$C$10642)</f>
        <v>1315.098</v>
      </c>
    </row>
    <row r="10653" customFormat="false" ht="15" hidden="false" customHeight="false" outlineLevel="0" collapsed="false">
      <c r="A10653" s="3" t="s">
        <v>500</v>
      </c>
      <c r="C10653" s="25" t="n">
        <f aca="false">SUMPRODUCT(($C$10644:$C$10646=C10645)*$C$10640:$C$10642)</f>
        <v>89.7926244896</v>
      </c>
    </row>
    <row r="10654" customFormat="false" ht="15" hidden="false" customHeight="false" outlineLevel="0" collapsed="false">
      <c r="A10654" s="3" t="s">
        <v>501</v>
      </c>
      <c r="C10654" s="25" t="n">
        <f aca="false">SUMPRODUCT(($C$10644:$C$10646=C10646)*$C$10640:$C$10642)</f>
        <v>89.7926244896</v>
      </c>
    </row>
    <row r="10655" customFormat="false" ht="15" hidden="false" customHeight="false" outlineLevel="0" collapsed="false">
      <c r="A10655" s="23" t="s">
        <v>510</v>
      </c>
      <c r="B10655" s="24"/>
      <c r="C10655" s="24"/>
      <c r="D10655" s="24"/>
      <c r="E10655" s="24"/>
      <c r="F10655" s="24"/>
      <c r="G10655" s="24"/>
      <c r="H10655" s="24"/>
      <c r="I10655" s="24"/>
      <c r="J10655" s="24"/>
      <c r="K10655" s="24"/>
    </row>
    <row r="10656" customFormat="false" ht="15" hidden="false" customHeight="false" outlineLevel="0" collapsed="false">
      <c r="A10656" s="3" t="s">
        <v>499</v>
      </c>
      <c r="C10656" s="25" t="n">
        <f aca="false">IF(C10652=0,0,C10640/C10652*MAX(0,MIN(C10652,$C$10618-SUM($C$10632:$C$10634)-C10648)))</f>
        <v>591.694032384</v>
      </c>
    </row>
    <row r="10657" customFormat="false" ht="15" hidden="false" customHeight="false" outlineLevel="0" collapsed="false">
      <c r="A10657" s="3" t="s">
        <v>500</v>
      </c>
      <c r="C10657" s="25" t="n">
        <f aca="false">IF(C10653=0,0,C10641/C10653*MAX(0,MIN(C10653,$C$10618-SUM($C$10632:$C$10634)-C10649)))</f>
        <v>0</v>
      </c>
    </row>
    <row r="10658" customFormat="false" ht="15" hidden="false" customHeight="false" outlineLevel="0" collapsed="false">
      <c r="A10658" s="3" t="s">
        <v>501</v>
      </c>
      <c r="C10658" s="25" t="n">
        <f aca="false">IF(C10654=0,0,C10642/C10654*MAX(0,MIN(C10654,$C$10618-SUM($C$10632:$C$10634)-C10650)))</f>
        <v>0</v>
      </c>
    </row>
    <row r="10659" customFormat="false" ht="15" hidden="false" customHeight="false" outlineLevel="0" collapsed="false">
      <c r="A10659" s="23" t="s">
        <v>511</v>
      </c>
      <c r="B10659" s="24"/>
      <c r="C10659" s="24"/>
      <c r="D10659" s="24"/>
      <c r="E10659" s="24"/>
      <c r="F10659" s="24"/>
      <c r="G10659" s="24"/>
      <c r="H10659" s="24"/>
      <c r="I10659" s="24"/>
      <c r="J10659" s="24"/>
      <c r="K10659" s="24"/>
    </row>
    <row r="10660" customFormat="false" ht="15" hidden="false" customHeight="false" outlineLevel="0" collapsed="false">
      <c r="A10660" s="2" t="s">
        <v>499</v>
      </c>
      <c r="C10660" s="16" t="n">
        <f aca="false">C10632+C10656</f>
        <v>591.694032384</v>
      </c>
    </row>
    <row r="10661" customFormat="false" ht="15" hidden="false" customHeight="false" outlineLevel="0" collapsed="false">
      <c r="A10661" s="2" t="s">
        <v>500</v>
      </c>
      <c r="C10661" s="16" t="n">
        <f aca="false">C10633+C10657</f>
        <v>0</v>
      </c>
    </row>
    <row r="10662" customFormat="false" ht="15" hidden="false" customHeight="false" outlineLevel="0" collapsed="false">
      <c r="A10662" s="2" t="s">
        <v>501</v>
      </c>
      <c r="C10662" s="16" t="n">
        <f aca="false">C10634+C10658</f>
        <v>0</v>
      </c>
    </row>
    <row r="10663" customFormat="false" ht="15" hidden="false" customHeight="false" outlineLevel="0" collapsed="false">
      <c r="A10663" s="23" t="s">
        <v>512</v>
      </c>
      <c r="B10663" s="24"/>
      <c r="C10663" s="24"/>
      <c r="D10663" s="24"/>
      <c r="E10663" s="24"/>
      <c r="F10663" s="24"/>
      <c r="G10663" s="24"/>
      <c r="H10663" s="24"/>
      <c r="I10663" s="24"/>
      <c r="J10663" s="24"/>
      <c r="K10663" s="24"/>
    </row>
    <row r="10664" customFormat="false" ht="15" hidden="false" customHeight="false" outlineLevel="0" collapsed="false">
      <c r="A10664" s="3" t="s">
        <v>499</v>
      </c>
      <c r="C10664" s="21" t="n">
        <f aca="false">IF(C10620=0,1,C10660/C10620)</f>
        <v>0.4499239086243</v>
      </c>
    </row>
    <row r="10665" customFormat="false" ht="15" hidden="false" customHeight="false" outlineLevel="0" collapsed="false">
      <c r="A10665" s="3" t="s">
        <v>500</v>
      </c>
      <c r="C10665" s="21" t="n">
        <f aca="false">IF(C10621=0,1,C10661/C10621)</f>
        <v>1</v>
      </c>
    </row>
    <row r="10666" customFormat="false" ht="15" hidden="false" customHeight="false" outlineLevel="0" collapsed="false">
      <c r="A10666" s="3" t="s">
        <v>501</v>
      </c>
      <c r="C10666" s="21" t="n">
        <f aca="false">IF(C10622=0,1,C10662/C10622)</f>
        <v>0</v>
      </c>
    </row>
    <row r="10667" customFormat="false" ht="15" hidden="false" customHeight="false" outlineLevel="0" collapsed="false">
      <c r="A10667" s="23" t="s">
        <v>513</v>
      </c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</row>
    <row r="10668" customFormat="false" ht="15" hidden="false" customHeight="false" outlineLevel="0" collapsed="false">
      <c r="A10668" s="3" t="s">
        <v>499</v>
      </c>
      <c r="C10668" s="25" t="n">
        <f aca="false">C10620-C10660</f>
        <v>723.403967616</v>
      </c>
    </row>
    <row r="10669" customFormat="false" ht="15" hidden="false" customHeight="false" outlineLevel="0" collapsed="false">
      <c r="A10669" s="3" t="s">
        <v>500</v>
      </c>
      <c r="C10669" s="25" t="n">
        <f aca="false">C10621-C10661</f>
        <v>0</v>
      </c>
    </row>
    <row r="10670" customFormat="false" ht="15" hidden="false" customHeight="false" outlineLevel="0" collapsed="false">
      <c r="A10670" s="3" t="s">
        <v>501</v>
      </c>
      <c r="C10670" s="25" t="n">
        <f aca="false">C10622-C10662</f>
        <v>89.7926244896</v>
      </c>
    </row>
    <row r="10671" customFormat="false" ht="15" hidden="false" customHeight="false" outlineLevel="0" collapsed="false">
      <c r="A10671" s="23" t="s">
        <v>514</v>
      </c>
      <c r="B10671" s="24"/>
      <c r="C10671" s="24"/>
      <c r="D10671" s="24"/>
      <c r="E10671" s="24"/>
      <c r="F10671" s="24"/>
      <c r="G10671" s="24"/>
      <c r="H10671" s="24"/>
      <c r="I10671" s="24"/>
      <c r="J10671" s="24"/>
      <c r="K10671" s="24"/>
    </row>
    <row r="10672" customFormat="false" ht="15" hidden="false" customHeight="false" outlineLevel="0" collapsed="false">
      <c r="A10672" s="3" t="s">
        <v>499</v>
      </c>
      <c r="C10672" s="21" t="n">
        <f aca="false">IF(C10620=0,0,C10668/C10620)</f>
        <v>0.5500760913757</v>
      </c>
    </row>
    <row r="10673" customFormat="false" ht="15" hidden="false" customHeight="false" outlineLevel="0" collapsed="false">
      <c r="A10673" s="3" t="s">
        <v>500</v>
      </c>
      <c r="C10673" s="21" t="n">
        <f aca="false">IF(C10621=0,0,C10669/C10621)</f>
        <v>0</v>
      </c>
    </row>
    <row r="10674" customFormat="false" ht="15" hidden="false" customHeight="false" outlineLevel="0" collapsed="false">
      <c r="A10674" s="3" t="s">
        <v>501</v>
      </c>
      <c r="C10674" s="21" t="n">
        <f aca="false">IF(C10622=0,0,C10670/C10622)</f>
        <v>1</v>
      </c>
    </row>
    <row r="10675" customFormat="false" ht="15" hidden="false" customHeight="false" outlineLevel="0" collapsed="false">
      <c r="A10675" s="2" t="s">
        <v>515</v>
      </c>
      <c r="C10675" s="16" t="n">
        <f aca="false">MAX(0,$C$10618-SUM($C$10632:$C$10634)-SUM($C$10640:$C$10642))</f>
        <v>0</v>
      </c>
    </row>
    <row r="10676" customFormat="false" ht="15" hidden="false" customHeight="false" outlineLevel="0" collapsed="false">
      <c r="A10676" s="3" t="s">
        <v>533</v>
      </c>
      <c r="C10676" s="34" t="n">
        <f aca="false">MIN(C10617,100*CHOOSE(C10607,C10664,C10665,C10666))</f>
        <v>44.99239086243</v>
      </c>
    </row>
    <row r="10677" customFormat="false" ht="15" hidden="false" customHeight="false" outlineLevel="0" collapsed="false">
      <c r="A10677" s="3" t="s">
        <v>534</v>
      </c>
      <c r="C10677" s="20" t="n">
        <f aca="false">IF(C10537=1,C10612+Assumptions!$C$39,C10611)</f>
        <v>4</v>
      </c>
    </row>
    <row r="10678" customFormat="false" ht="15" hidden="false" customHeight="false" outlineLevel="0" collapsed="false">
      <c r="A10678" s="23" t="s">
        <v>535</v>
      </c>
      <c r="B10678" s="24"/>
      <c r="C10678" s="24"/>
      <c r="D10678" s="24"/>
      <c r="E10678" s="24"/>
      <c r="F10678" s="24"/>
      <c r="G10678" s="24"/>
      <c r="H10678" s="24"/>
      <c r="I10678" s="24"/>
      <c r="J10678" s="24"/>
      <c r="K10678" s="24"/>
    </row>
    <row r="10679" customFormat="false" ht="15" hidden="false" customHeight="false" outlineLevel="0" collapsed="false">
      <c r="A10679" s="3" t="s">
        <v>536</v>
      </c>
      <c r="C10679" s="20" t="n">
        <f aca="false">COLUMN()-COLUMN($C$1)</f>
        <v>0</v>
      </c>
      <c r="D10679" s="20" t="n">
        <f aca="false">COLUMN()-COLUMN($C$1)</f>
        <v>1</v>
      </c>
      <c r="E10679" s="20" t="n">
        <f aca="false">COLUMN()-COLUMN($C$1)</f>
        <v>2</v>
      </c>
      <c r="F10679" s="20" t="n">
        <f aca="false">COLUMN()-COLUMN($C$1)</f>
        <v>3</v>
      </c>
      <c r="G10679" s="20" t="n">
        <f aca="false">COLUMN()-COLUMN($C$1)</f>
        <v>4</v>
      </c>
      <c r="H10679" s="20" t="n">
        <f aca="false">COLUMN()-COLUMN($C$1)</f>
        <v>5</v>
      </c>
      <c r="I10679" s="20" t="n">
        <f aca="false">COLUMN()-COLUMN($C$1)</f>
        <v>6</v>
      </c>
    </row>
    <row r="10680" customFormat="false" ht="15" hidden="false" customHeight="false" outlineLevel="0" collapsed="false">
      <c r="A10680" s="3" t="s">
        <v>537</v>
      </c>
      <c r="D10680" s="31" t="n">
        <f aca="false">CHOOSE($C$10607,G10420,G10433,G10446)</f>
        <v>0.105</v>
      </c>
      <c r="E10680" s="31" t="n">
        <f aca="false">CHOOSE($C$10607,H10420,H10433,H10446)</f>
        <v>0.105</v>
      </c>
      <c r="F10680" s="31" t="n">
        <f aca="false">CHOOSE($C$10607,I10420,I10433,I10446)</f>
        <v>0.105</v>
      </c>
      <c r="G10680" s="31" t="n">
        <f aca="false">CHOOSE($C$10607,J10420,J10433,J10446)</f>
        <v>0.105</v>
      </c>
      <c r="H10680" s="31" t="n">
        <f aca="false">CHOOSE($C$10607,K10420,K10433,K10446)</f>
        <v>0.105</v>
      </c>
    </row>
    <row r="10681" customFormat="false" ht="15" hidden="false" customHeight="false" outlineLevel="0" collapsed="false">
      <c r="A10681" s="3" t="s">
        <v>538</v>
      </c>
      <c r="D10681" s="25" t="n">
        <f aca="false">IF(D10679&lt;=$C$10616,$C$10608*D10680,0)</f>
        <v>10.5</v>
      </c>
      <c r="E10681" s="25" t="n">
        <f aca="false">IF(E10679&lt;=$C$10616,$C$10608*E10680,0)</f>
        <v>10.5</v>
      </c>
      <c r="F10681" s="25" t="n">
        <f aca="false">IF(F10679&lt;=$C$10616,$C$10608*F10680,0)</f>
        <v>10.5</v>
      </c>
      <c r="G10681" s="25" t="n">
        <f aca="false">IF(G10679&lt;=$C$10616,$C$10608*G10680,0)</f>
        <v>0</v>
      </c>
      <c r="H10681" s="25" t="n">
        <f aca="false">IF(H10679&lt;=$C$10616,$C$10608*H10680,0)</f>
        <v>0</v>
      </c>
    </row>
    <row r="10682" customFormat="false" ht="15" hidden="false" customHeight="false" outlineLevel="0" collapsed="false">
      <c r="A10682" s="3" t="s">
        <v>539</v>
      </c>
      <c r="D10682" s="25" t="n">
        <f aca="false">IF(AND($C$10537=0,D10679=$C$10611),$C$10608*$C$10676/100,0)+IF(AND($C$10537=1,D10679=$C$10677),$C$10614,0)</f>
        <v>0</v>
      </c>
      <c r="E10682" s="25" t="n">
        <f aca="false">IF(AND($C$10537=0,E10679=$C$10611),$C$10608*$C$10676/100,0)+IF(AND($C$10537=1,E10679=$C$10677),$C$10614,0)</f>
        <v>0</v>
      </c>
      <c r="F10682" s="25" t="n">
        <f aca="false">IF(AND($C$10537=0,F10679=$C$10611),$C$10608*$C$10676/100,0)+IF(AND($C$10537=1,F10679=$C$10677),$C$10614,0)</f>
        <v>0</v>
      </c>
      <c r="G10682" s="25" t="n">
        <f aca="false">IF(AND($C$10537=0,G10679=$C$10611),$C$10608*$C$10676/100,0)+IF(AND($C$10537=1,G10679=$C$10677),$C$10614,0)</f>
        <v>43.1926952279328</v>
      </c>
      <c r="H10682" s="25" t="n">
        <f aca="false">IF(AND($C$10537=0,H10679=$C$10611),$C$10608*$C$10676/100,0)+IF(AND($C$10537=1,H10679=$C$10677),$C$10614,0)</f>
        <v>0</v>
      </c>
      <c r="I10682" s="25" t="n">
        <f aca="false">IF(AND($C$10537=0,I10679=$C$10611),$C$10608*$C$10676/100,0)+IF(AND($C$10537=1,I10679=$C$10677),$C$10614,0)</f>
        <v>0</v>
      </c>
    </row>
    <row r="10683" customFormat="false" ht="15" hidden="false" customHeight="false" outlineLevel="0" collapsed="false">
      <c r="A10683" s="2" t="s">
        <v>540</v>
      </c>
      <c r="C10683" s="16" t="n">
        <f aca="false">-$C$10610</f>
        <v>-95</v>
      </c>
      <c r="D10683" s="16" t="n">
        <f aca="false">D10681+D10682</f>
        <v>10.5</v>
      </c>
      <c r="E10683" s="16" t="n">
        <f aca="false">E10681+E10682</f>
        <v>10.5</v>
      </c>
      <c r="F10683" s="16" t="n">
        <f aca="false">F10681+F10682</f>
        <v>10.5</v>
      </c>
      <c r="G10683" s="16" t="n">
        <f aca="false">G10681+G10682</f>
        <v>43.1926952279328</v>
      </c>
      <c r="H10683" s="16" t="n">
        <f aca="false">H10681+H10682</f>
        <v>0</v>
      </c>
      <c r="I10683" s="16" t="n">
        <f aca="false">I10681+I10682</f>
        <v>0</v>
      </c>
    </row>
    <row r="10684" customFormat="false" ht="15" hidden="false" customHeight="false" outlineLevel="0" collapsed="false">
      <c r="A10684" s="3" t="s">
        <v>541</v>
      </c>
      <c r="C10684" s="25" t="n">
        <f aca="false">SUM($C$10681:$I$10681)</f>
        <v>31.5</v>
      </c>
    </row>
    <row r="10685" customFormat="false" ht="15" hidden="false" customHeight="false" outlineLevel="0" collapsed="false">
      <c r="A10685" s="3" t="s">
        <v>542</v>
      </c>
      <c r="C10685" s="25" t="n">
        <f aca="false">SUM($C$10682:$I$10682)</f>
        <v>43.1926952279328</v>
      </c>
    </row>
    <row r="10686" customFormat="false" ht="15" hidden="false" customHeight="false" outlineLevel="0" collapsed="false">
      <c r="A10686" s="3" t="s">
        <v>543</v>
      </c>
      <c r="C10686" s="25" t="n">
        <f aca="false">C10684+C10685</f>
        <v>74.6926952279328</v>
      </c>
    </row>
    <row r="10687" customFormat="false" ht="15" hidden="false" customHeight="false" outlineLevel="0" collapsed="false">
      <c r="A10687" s="3" t="s">
        <v>544</v>
      </c>
      <c r="C10687" s="25" t="n">
        <f aca="false">C10685-C10608*C10609/100</f>
        <v>-51.8073047720672</v>
      </c>
    </row>
    <row r="10688" customFormat="false" ht="15" hidden="false" customHeight="false" outlineLevel="0" collapsed="false">
      <c r="A10688" s="3" t="s">
        <v>545</v>
      </c>
      <c r="C10688" s="25" t="n">
        <f aca="false">C10686-C10610</f>
        <v>-20.3073047720672</v>
      </c>
    </row>
    <row r="10689" customFormat="false" ht="15" hidden="false" customHeight="false" outlineLevel="0" collapsed="false">
      <c r="A10689" s="2" t="s">
        <v>427</v>
      </c>
      <c r="C10689" s="44" t="n">
        <f aca="false">C10686/C10610</f>
        <v>0.786238897136135</v>
      </c>
    </row>
    <row r="10690" customFormat="false" ht="15" hidden="false" customHeight="false" outlineLevel="0" collapsed="false">
      <c r="A10690" s="2" t="s">
        <v>426</v>
      </c>
      <c r="C10690" s="42" t="n">
        <f aca="false">IF(C10686&lt;=0,-1,IFERROR(IRR($C$10683:$I$10683,MAX(-0.9,C10689^(1/C10677)-1)),IRR($C$10683:$I$10683,0.1)))</f>
        <v>-0.0723453280188484</v>
      </c>
    </row>
    <row r="10691" customFormat="false" ht="15" hidden="false" customHeight="false" outlineLevel="0" collapsed="false">
      <c r="A10691" s="3" t="s">
        <v>546</v>
      </c>
      <c r="C10691" s="32" t="n">
        <f aca="false">MAX($G$10497:$K$10497)</f>
        <v>9.62309758378933</v>
      </c>
    </row>
    <row r="10692" customFormat="false" ht="15" hidden="false" customHeight="false" outlineLevel="0" collapsed="false">
      <c r="A10692" s="3" t="s">
        <v>547</v>
      </c>
      <c r="C10692" s="32" t="n">
        <f aca="false">MIN($G$10498:$K$10498)</f>
        <v>0.948503229149855</v>
      </c>
    </row>
    <row r="10693" customFormat="false" ht="15" hidden="false" customHeight="false" outlineLevel="0" collapsed="false">
      <c r="A10693" s="3" t="s">
        <v>548</v>
      </c>
      <c r="C10693" s="25" t="n">
        <f aca="false">SUM($G$10404:$K$10404)</f>
        <v>-223.661772307917</v>
      </c>
    </row>
    <row r="10697" customFormat="false" ht="15" hidden="false" customHeight="false" outlineLevel="0" collapsed="false">
      <c r="A10697" s="9" t="s">
        <v>1047</v>
      </c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</row>
    <row r="10698" customFormat="false" ht="15" hidden="false" customHeight="false" outlineLevel="0" collapsed="false">
      <c r="A10698" s="3" t="s">
        <v>1010</v>
      </c>
      <c r="C10698" s="11" t="n">
        <v>1</v>
      </c>
    </row>
    <row r="10699" customFormat="false" ht="15" hidden="false" customHeight="false" outlineLevel="0" collapsed="false">
      <c r="A10699" s="3" t="s">
        <v>1011</v>
      </c>
      <c r="C10699" s="18" t="n">
        <v>0</v>
      </c>
    </row>
    <row r="10700" customFormat="false" ht="15" hidden="false" customHeight="false" outlineLevel="0" collapsed="false">
      <c r="A10700" s="3" t="s">
        <v>1012</v>
      </c>
      <c r="C10700" s="18" t="n">
        <v>0</v>
      </c>
    </row>
    <row r="10701" customFormat="false" ht="15" hidden="false" customHeight="false" outlineLevel="0" collapsed="false">
      <c r="A10701" s="3" t="s">
        <v>1013</v>
      </c>
      <c r="C10701" s="30" t="n">
        <f aca="false">Sensitivities!$A$50</f>
        <v>-0.01</v>
      </c>
    </row>
    <row r="10702" customFormat="false" ht="15" hidden="false" customHeight="false" outlineLevel="0" collapsed="false">
      <c r="A10702" s="3" t="s">
        <v>1014</v>
      </c>
      <c r="C10702" s="15" t="n">
        <v>0</v>
      </c>
    </row>
    <row r="10704" customFormat="false" ht="15" hidden="false" customHeight="false" outlineLevel="0" collapsed="false">
      <c r="A10704" s="23" t="s">
        <v>281</v>
      </c>
      <c r="B10704" s="24"/>
      <c r="C10704" s="24"/>
      <c r="D10704" s="24"/>
      <c r="E10704" s="24"/>
      <c r="F10704" s="24"/>
      <c r="G10704" s="24"/>
      <c r="H10704" s="24"/>
      <c r="I10704" s="24"/>
      <c r="J10704" s="24"/>
      <c r="K10704" s="24"/>
    </row>
    <row r="10705" customFormat="false" ht="15" hidden="false" customHeight="false" outlineLevel="0" collapsed="false">
      <c r="A10705" s="3" t="s">
        <v>282</v>
      </c>
      <c r="F10705" s="27" t="n">
        <f aca="false">Assumptions!$C$6</f>
        <v>2026</v>
      </c>
      <c r="G10705" s="20" t="n">
        <f aca="false">F10705+1</f>
        <v>2027</v>
      </c>
      <c r="H10705" s="20" t="n">
        <f aca="false">G10705+1</f>
        <v>2028</v>
      </c>
      <c r="I10705" s="20" t="n">
        <f aca="false">H10705+1</f>
        <v>2029</v>
      </c>
      <c r="J10705" s="20" t="n">
        <f aca="false">I10705+1</f>
        <v>2030</v>
      </c>
      <c r="K10705" s="20" t="n">
        <f aca="false">J10705+1</f>
        <v>2031</v>
      </c>
    </row>
    <row r="10706" customFormat="false" ht="15" hidden="false" customHeight="false" outlineLevel="0" collapsed="false">
      <c r="A10706" s="3" t="s">
        <v>283</v>
      </c>
      <c r="G10706" s="20" t="n">
        <f aca="false">G10705-Assumptions!$C$6</f>
        <v>1</v>
      </c>
      <c r="H10706" s="20" t="n">
        <f aca="false">H10705-Assumptions!$C$6</f>
        <v>2</v>
      </c>
      <c r="I10706" s="20" t="n">
        <f aca="false">I10705-Assumptions!$C$6</f>
        <v>3</v>
      </c>
      <c r="J10706" s="20" t="n">
        <f aca="false">J10705-Assumptions!$C$6</f>
        <v>4</v>
      </c>
      <c r="K10706" s="20" t="n">
        <f aca="false">K10705-Assumptions!$C$6</f>
        <v>5</v>
      </c>
    </row>
    <row r="10707" customFormat="false" ht="15" hidden="false" customHeight="false" outlineLevel="0" collapsed="false">
      <c r="A10707" s="3" t="s">
        <v>165</v>
      </c>
      <c r="G10707" s="21" t="n">
        <f aca="false">CHOOSE($C$10698,Assumptions!$G$71,Assumptions!$G$90,Assumptions!$G$109)+$C$10699</f>
        <v>-0.045</v>
      </c>
      <c r="H10707" s="21" t="n">
        <f aca="false">CHOOSE($C$10698,Assumptions!$H$71,Assumptions!$H$90,Assumptions!$H$109)+$C$10699</f>
        <v>-0.04</v>
      </c>
      <c r="I10707" s="21" t="n">
        <f aca="false">CHOOSE($C$10698,Assumptions!$I$71,Assumptions!$I$90,Assumptions!$I$109)+$C$10699</f>
        <v>-0.035</v>
      </c>
      <c r="J10707" s="21" t="n">
        <f aca="false">CHOOSE($C$10698,Assumptions!$J$71,Assumptions!$J$90,Assumptions!$J$109)+$C$10699</f>
        <v>-0.03</v>
      </c>
      <c r="K10707" s="21" t="n">
        <f aca="false">CHOOSE($C$10698,Assumptions!$K$71,Assumptions!$K$90,Assumptions!$K$109)+$C$10699</f>
        <v>-0.03</v>
      </c>
    </row>
    <row r="10708" customFormat="false" ht="15" hidden="false" customHeight="false" outlineLevel="0" collapsed="false">
      <c r="A10708" s="3" t="s">
        <v>166</v>
      </c>
      <c r="G10708" s="21" t="n">
        <f aca="false">CHOOSE($C$10698,Assumptions!$G$72,Assumptions!$G$91,Assumptions!$G$110)</f>
        <v>0.483246670103635</v>
      </c>
      <c r="H10708" s="21" t="n">
        <f aca="false">CHOOSE($C$10698,Assumptions!$H$72,Assumptions!$H$91,Assumptions!$H$110)</f>
        <v>0.483246670103635</v>
      </c>
      <c r="I10708" s="21" t="n">
        <f aca="false">CHOOSE($C$10698,Assumptions!$I$72,Assumptions!$I$91,Assumptions!$I$110)</f>
        <v>0.481246670103635</v>
      </c>
      <c r="J10708" s="21" t="n">
        <f aca="false">CHOOSE($C$10698,Assumptions!$J$72,Assumptions!$J$91,Assumptions!$J$110)</f>
        <v>0.479246670103635</v>
      </c>
      <c r="K10708" s="21" t="n">
        <f aca="false">CHOOSE($C$10698,Assumptions!$K$72,Assumptions!$K$91,Assumptions!$K$110)</f>
        <v>0.477246670103635</v>
      </c>
    </row>
    <row r="10709" customFormat="false" ht="15" hidden="false" customHeight="false" outlineLevel="0" collapsed="false">
      <c r="A10709" s="3" t="s">
        <v>167</v>
      </c>
      <c r="G10709" s="21" t="n">
        <f aca="false">CHOOSE($C$10698,Assumptions!$G$73,Assumptions!$G$92,Assumptions!$G$111)+$C$10700</f>
        <v>0.14</v>
      </c>
      <c r="H10709" s="21" t="n">
        <f aca="false">CHOOSE($C$10698,Assumptions!$H$73,Assumptions!$H$92,Assumptions!$H$111)+$C$10700</f>
        <v>0.14</v>
      </c>
      <c r="I10709" s="21" t="n">
        <f aca="false">CHOOSE($C$10698,Assumptions!$I$73,Assumptions!$I$92,Assumptions!$I$111)+$C$10700</f>
        <v>0.138</v>
      </c>
      <c r="J10709" s="21" t="n">
        <f aca="false">CHOOSE($C$10698,Assumptions!$J$73,Assumptions!$J$92,Assumptions!$J$111)+$C$10700</f>
        <v>0.136</v>
      </c>
      <c r="K10709" s="21" t="n">
        <f aca="false">CHOOSE($C$10698,Assumptions!$K$73,Assumptions!$K$92,Assumptions!$K$111)+$C$10700</f>
        <v>0.134</v>
      </c>
    </row>
    <row r="10710" customFormat="false" ht="15" hidden="false" customHeight="false" outlineLevel="0" collapsed="false">
      <c r="A10710" s="23" t="s">
        <v>284</v>
      </c>
      <c r="B10710" s="24"/>
      <c r="C10710" s="24"/>
      <c r="D10710" s="24"/>
      <c r="E10710" s="24"/>
      <c r="F10710" s="24"/>
      <c r="G10710" s="24"/>
      <c r="H10710" s="24"/>
      <c r="I10710" s="24"/>
      <c r="J10710" s="24"/>
      <c r="K10710" s="24"/>
    </row>
    <row r="10711" customFormat="false" ht="15" hidden="false" customHeight="false" outlineLevel="0" collapsed="false">
      <c r="A10711" s="2" t="s">
        <v>256</v>
      </c>
      <c r="F10711" s="28" t="n">
        <f aca="false">'Historical Financials'!G23</f>
        <v>2246.166</v>
      </c>
      <c r="G10711" s="16" t="n">
        <f aca="false">F10711*(1+G10707)</f>
        <v>2145.08853</v>
      </c>
      <c r="H10711" s="16" t="n">
        <f aca="false">G10711*(1+H10707)</f>
        <v>2059.2849888</v>
      </c>
      <c r="I10711" s="16" t="n">
        <f aca="false">H10711*(1+I10707)</f>
        <v>1987.210014192</v>
      </c>
      <c r="J10711" s="16" t="n">
        <f aca="false">I10711*(1+J10707)</f>
        <v>1927.59371376624</v>
      </c>
      <c r="K10711" s="16" t="n">
        <f aca="false">J10711*(1+K10707)</f>
        <v>1869.76590235325</v>
      </c>
    </row>
    <row r="10712" customFormat="false" ht="15" hidden="false" customHeight="false" outlineLevel="0" collapsed="false">
      <c r="A10712" s="3" t="s">
        <v>257</v>
      </c>
      <c r="G10712" s="25" t="n">
        <f aca="false">G10711*(1-G10708)</f>
        <v>1108.4816408</v>
      </c>
      <c r="H10712" s="25" t="n">
        <f aca="false">H10711*(1-H10708)</f>
        <v>1064.142375168</v>
      </c>
      <c r="I10712" s="25" t="n">
        <f aca="false">I10711*(1-I10708)</f>
        <v>1030.8718120655</v>
      </c>
      <c r="J10712" s="25" t="n">
        <f aca="false">J10711*(1-J10708)</f>
        <v>1003.80084513107</v>
      </c>
      <c r="K10712" s="25" t="n">
        <f aca="false">K10711*(1-K10708)</f>
        <v>977.426351581845</v>
      </c>
    </row>
    <row r="10713" customFormat="false" ht="15" hidden="false" customHeight="false" outlineLevel="0" collapsed="false">
      <c r="A10713" s="2" t="s">
        <v>258</v>
      </c>
      <c r="G10713" s="16" t="n">
        <f aca="false">G10711-G10712</f>
        <v>1036.6068892</v>
      </c>
      <c r="H10713" s="16" t="n">
        <f aca="false">H10711-H10712</f>
        <v>995.142613632</v>
      </c>
      <c r="I10713" s="16" t="n">
        <f aca="false">I10711-I10712</f>
        <v>956.338202126496</v>
      </c>
      <c r="J10713" s="16" t="n">
        <f aca="false">J10711-J10712</f>
        <v>923.792868635169</v>
      </c>
      <c r="K10713" s="16" t="n">
        <f aca="false">K10711-K10712</f>
        <v>892.339550771407</v>
      </c>
    </row>
    <row r="10714" customFormat="false" ht="15" hidden="false" customHeight="false" outlineLevel="0" collapsed="false">
      <c r="A10714" s="3" t="s">
        <v>285</v>
      </c>
      <c r="G10714" s="25" t="n">
        <f aca="false">G10713-G10715</f>
        <v>736.294495</v>
      </c>
      <c r="H10714" s="25" t="n">
        <f aca="false">H10713-H10715</f>
        <v>706.8427152</v>
      </c>
      <c r="I10714" s="25" t="n">
        <f aca="false">I10713-I10715</f>
        <v>682.103220168</v>
      </c>
      <c r="J10714" s="25" t="n">
        <f aca="false">J10713-J10715</f>
        <v>661.64012356296</v>
      </c>
      <c r="K10714" s="25" t="n">
        <f aca="false">K10713-K10715</f>
        <v>641.790919856071</v>
      </c>
    </row>
    <row r="10715" customFormat="false" ht="15" hidden="false" customHeight="false" outlineLevel="0" collapsed="false">
      <c r="A10715" s="2" t="s">
        <v>286</v>
      </c>
      <c r="G10715" s="16" t="n">
        <f aca="false">G10711*G10709</f>
        <v>300.3123942</v>
      </c>
      <c r="H10715" s="16" t="n">
        <f aca="false">H10711*H10709</f>
        <v>288.299898432</v>
      </c>
      <c r="I10715" s="16" t="n">
        <f aca="false">I10711*I10709</f>
        <v>274.234981958496</v>
      </c>
      <c r="J10715" s="16" t="n">
        <f aca="false">J10711*J10709</f>
        <v>262.152745072209</v>
      </c>
      <c r="K10715" s="16" t="n">
        <f aca="false">K10711*K10709</f>
        <v>250.548630915336</v>
      </c>
    </row>
    <row r="10716" customFormat="false" ht="15" hidden="false" customHeight="false" outlineLevel="0" collapsed="false">
      <c r="A10716" s="3" t="s">
        <v>287</v>
      </c>
      <c r="G10716" s="25" t="n">
        <f aca="false">G10711*'Historical Financials'!G28/'Historical Financials'!G23</f>
        <v>81.45768</v>
      </c>
      <c r="H10716" s="25" t="n">
        <f aca="false">H10711*'Historical Financials'!G28/'Historical Financials'!G23</f>
        <v>78.1993728</v>
      </c>
      <c r="I10716" s="25" t="n">
        <f aca="false">I10711*'Historical Financials'!G28/'Historical Financials'!G23</f>
        <v>75.462394752</v>
      </c>
      <c r="J10716" s="25" t="n">
        <f aca="false">J10711*'Historical Financials'!G28/'Historical Financials'!G23</f>
        <v>73.19852290944</v>
      </c>
      <c r="K10716" s="25" t="n">
        <f aca="false">K10711*'Historical Financials'!G28/'Historical Financials'!G23</f>
        <v>71.0025672221568</v>
      </c>
    </row>
    <row r="10717" customFormat="false" ht="15" hidden="false" customHeight="false" outlineLevel="0" collapsed="false">
      <c r="A10717" s="3" t="s">
        <v>288</v>
      </c>
      <c r="G10717" s="25" t="n">
        <f aca="false">G10711*'Historical Financials'!G29/'Historical Financials'!G23</f>
        <v>23.25998</v>
      </c>
      <c r="H10717" s="25" t="n">
        <f aca="false">H10711*'Historical Financials'!G29/'Historical Financials'!G23</f>
        <v>22.3295808</v>
      </c>
      <c r="I10717" s="25" t="n">
        <f aca="false">I10711*'Historical Financials'!G29/'Historical Financials'!G23</f>
        <v>21.548045472</v>
      </c>
      <c r="J10717" s="25" t="n">
        <f aca="false">J10711*'Historical Financials'!G29/'Historical Financials'!G23</f>
        <v>20.90160410784</v>
      </c>
      <c r="K10717" s="25" t="n">
        <f aca="false">K10711*'Historical Financials'!G29/'Historical Financials'!G23</f>
        <v>20.2745559846048</v>
      </c>
    </row>
    <row r="10718" customFormat="false" ht="15" hidden="false" customHeight="false" outlineLevel="0" collapsed="false">
      <c r="A10718" s="2" t="s">
        <v>289</v>
      </c>
      <c r="G10718" s="16" t="n">
        <f aca="false">G10715-G10716-G10717</f>
        <v>195.5947342</v>
      </c>
      <c r="H10718" s="16" t="n">
        <f aca="false">H10715-H10716-H10717</f>
        <v>187.770944832</v>
      </c>
      <c r="I10718" s="16" t="n">
        <f aca="false">I10715-I10716-I10717</f>
        <v>177.224541734496</v>
      </c>
      <c r="J10718" s="16" t="n">
        <f aca="false">J10715-J10716-J10717</f>
        <v>168.052618054929</v>
      </c>
      <c r="K10718" s="16" t="n">
        <f aca="false">K10715-K10716-K10717</f>
        <v>159.271507708574</v>
      </c>
    </row>
    <row r="10719" customFormat="false" ht="15" hidden="false" customHeight="false" outlineLevel="0" collapsed="false">
      <c r="A10719" s="3" t="s">
        <v>290</v>
      </c>
      <c r="G10719" s="25" t="n">
        <f aca="false">G10745+G10758+G10771</f>
        <v>155.95467</v>
      </c>
      <c r="H10719" s="25" t="n">
        <f aca="false">H10745+H10758+H10771</f>
        <v>155.95467</v>
      </c>
      <c r="I10719" s="25" t="n">
        <f aca="false">I10745+I10758+I10771</f>
        <v>155.95467</v>
      </c>
      <c r="J10719" s="25" t="n">
        <f aca="false">J10745+J10758+J10771</f>
        <v>138.08529</v>
      </c>
      <c r="K10719" s="25" t="n">
        <f aca="false">K10745+K10758+K10771</f>
        <v>138.08529</v>
      </c>
    </row>
    <row r="10720" customFormat="false" ht="15" hidden="false" customHeight="false" outlineLevel="0" collapsed="false">
      <c r="A10720" s="3" t="s">
        <v>291</v>
      </c>
      <c r="G10720" s="25" t="n">
        <f aca="false">G10746+G10759+G10772</f>
        <v>0</v>
      </c>
      <c r="H10720" s="25" t="n">
        <f aca="false">H10746+H10759+H10772</f>
        <v>0</v>
      </c>
      <c r="I10720" s="25" t="n">
        <f aca="false">I10746+I10759+I10772</f>
        <v>0</v>
      </c>
      <c r="J10720" s="25" t="n">
        <f aca="false">J10746+J10759+J10772</f>
        <v>0</v>
      </c>
      <c r="K10720" s="25" t="n">
        <f aca="false">K10746+K10759+K10772</f>
        <v>0</v>
      </c>
    </row>
    <row r="10721" customFormat="false" ht="15" hidden="false" customHeight="false" outlineLevel="0" collapsed="false">
      <c r="A10721" s="3" t="s">
        <v>239</v>
      </c>
      <c r="G10721" s="25" t="n">
        <f aca="false">G10719+G10720</f>
        <v>155.95467</v>
      </c>
      <c r="H10721" s="25" t="n">
        <f aca="false">H10719+H10720</f>
        <v>155.95467</v>
      </c>
      <c r="I10721" s="25" t="n">
        <f aca="false">I10719+I10720</f>
        <v>155.95467</v>
      </c>
      <c r="J10721" s="25" t="n">
        <f aca="false">J10719+J10720</f>
        <v>138.08529</v>
      </c>
      <c r="K10721" s="25" t="n">
        <f aca="false">K10719+K10720</f>
        <v>138.08529</v>
      </c>
    </row>
    <row r="10722" customFormat="false" ht="15" hidden="false" customHeight="false" outlineLevel="0" collapsed="false">
      <c r="A10722" s="2" t="s">
        <v>264</v>
      </c>
      <c r="G10722" s="16" t="n">
        <f aca="false">G10718-G10721</f>
        <v>39.6400642</v>
      </c>
      <c r="H10722" s="16" t="n">
        <f aca="false">H10718-H10721</f>
        <v>31.816274832</v>
      </c>
      <c r="I10722" s="16" t="n">
        <f aca="false">I10718-I10721</f>
        <v>21.269871734496</v>
      </c>
      <c r="J10722" s="16" t="n">
        <f aca="false">J10718-J10721</f>
        <v>29.9673280549286</v>
      </c>
      <c r="K10722" s="16" t="n">
        <f aca="false">K10718-K10721</f>
        <v>21.1862177085742</v>
      </c>
    </row>
    <row r="10723" customFormat="false" ht="15" hidden="false" customHeight="false" outlineLevel="0" collapsed="false">
      <c r="A10723" s="3" t="s">
        <v>292</v>
      </c>
      <c r="G10723" s="25" t="n">
        <f aca="false">MAX(0,G10722)*Assumptions!$C$9</f>
        <v>9.91001604999999</v>
      </c>
      <c r="H10723" s="25" t="n">
        <f aca="false">MAX(0,H10722)*Assumptions!$C$9</f>
        <v>7.95406870799999</v>
      </c>
      <c r="I10723" s="25" t="n">
        <f aca="false">MAX(0,I10722)*Assumptions!$C$9</f>
        <v>5.317467933624</v>
      </c>
      <c r="J10723" s="25" t="n">
        <f aca="false">MAX(0,J10722)*Assumptions!$C$9</f>
        <v>7.49183201373215</v>
      </c>
      <c r="K10723" s="25" t="n">
        <f aca="false">MAX(0,K10722)*Assumptions!$C$9</f>
        <v>5.29655442714356</v>
      </c>
    </row>
    <row r="10724" customFormat="false" ht="15" hidden="false" customHeight="false" outlineLevel="0" collapsed="false">
      <c r="A10724" s="2" t="s">
        <v>293</v>
      </c>
      <c r="G10724" s="16" t="n">
        <f aca="false">G10722-G10723</f>
        <v>29.73004815</v>
      </c>
      <c r="H10724" s="16" t="n">
        <f aca="false">H10722-H10723</f>
        <v>23.862206124</v>
      </c>
      <c r="I10724" s="16" t="n">
        <f aca="false">I10722-I10723</f>
        <v>15.952403800872</v>
      </c>
      <c r="J10724" s="16" t="n">
        <f aca="false">J10722-J10723</f>
        <v>22.4754960411965</v>
      </c>
      <c r="K10724" s="16" t="n">
        <f aca="false">K10722-K10723</f>
        <v>15.8896632814307</v>
      </c>
    </row>
    <row r="10725" customFormat="false" ht="15" hidden="false" customHeight="false" outlineLevel="0" collapsed="false">
      <c r="A10725" s="23" t="s">
        <v>294</v>
      </c>
      <c r="B10725" s="24"/>
      <c r="C10725" s="24"/>
      <c r="D10725" s="24"/>
      <c r="E10725" s="24"/>
      <c r="F10725" s="24"/>
      <c r="G10725" s="24"/>
      <c r="H10725" s="24"/>
      <c r="I10725" s="24"/>
      <c r="J10725" s="24"/>
      <c r="K10725" s="24"/>
    </row>
    <row r="10726" customFormat="false" ht="15" hidden="false" customHeight="false" outlineLevel="0" collapsed="false">
      <c r="A10726" s="3" t="s">
        <v>169</v>
      </c>
      <c r="G10726" s="25" t="n">
        <f aca="false">G10711*CHOOSE($C$10698,Assumptions!$C$75,Assumptions!$C$94,Assumptions!$C$113)</f>
        <v>30.03123942</v>
      </c>
      <c r="H10726" s="25" t="n">
        <f aca="false">H10711*CHOOSE($C$10698,Assumptions!$C$75,Assumptions!$C$94,Assumptions!$C$113)</f>
        <v>28.8299898432</v>
      </c>
      <c r="I10726" s="25" t="n">
        <f aca="false">I10711*CHOOSE($C$10698,Assumptions!$C$75,Assumptions!$C$94,Assumptions!$C$113)</f>
        <v>27.820940198688</v>
      </c>
      <c r="J10726" s="25" t="n">
        <f aca="false">J10711*CHOOSE($C$10698,Assumptions!$C$75,Assumptions!$C$94,Assumptions!$C$113)</f>
        <v>26.9863119927274</v>
      </c>
      <c r="K10726" s="25" t="n">
        <f aca="false">K10711*CHOOSE($C$10698,Assumptions!$C$75,Assumptions!$C$94,Assumptions!$C$113)</f>
        <v>26.1767226329455</v>
      </c>
    </row>
    <row r="10727" customFormat="false" ht="15" hidden="false" customHeight="false" outlineLevel="0" collapsed="false">
      <c r="A10727" s="3" t="s">
        <v>295</v>
      </c>
      <c r="G10727" s="25" t="n">
        <f aca="false">CHOOSE($C$10698,Assumptions!$C$76,Assumptions!$C$95,Assumptions!$C$114)*(G10711-F10711)+CHOOSE($C$10698,Assumptions!$C$77,Assumptions!$C$96,Assumptions!$C$115)*G10711</f>
        <v>-21.4508853</v>
      </c>
      <c r="H10727" s="25" t="n">
        <f aca="false">CHOOSE($C$10698,Assumptions!$C$76,Assumptions!$C$95,Assumptions!$C$114)*(H10711-G10711)+CHOOSE($C$10698,Assumptions!$C$77,Assumptions!$C$96,Assumptions!$C$115)*H10711</f>
        <v>-20.592849888</v>
      </c>
      <c r="I10727" s="25" t="n">
        <f aca="false">CHOOSE($C$10698,Assumptions!$C$76,Assumptions!$C$95,Assumptions!$C$114)*(I10711-H10711)+CHOOSE($C$10698,Assumptions!$C$77,Assumptions!$C$96,Assumptions!$C$115)*I10711</f>
        <v>-19.87210014192</v>
      </c>
      <c r="J10727" s="25" t="n">
        <f aca="false">CHOOSE($C$10698,Assumptions!$C$76,Assumptions!$C$95,Assumptions!$C$114)*(J10711-I10711)+CHOOSE($C$10698,Assumptions!$C$77,Assumptions!$C$96,Assumptions!$C$115)*J10711</f>
        <v>-19.2759371376624</v>
      </c>
      <c r="K10727" s="25" t="n">
        <f aca="false">CHOOSE($C$10698,Assumptions!$C$76,Assumptions!$C$95,Assumptions!$C$114)*(K10711-J10711)+CHOOSE($C$10698,Assumptions!$C$77,Assumptions!$C$96,Assumptions!$C$115)*K10711</f>
        <v>-18.6976590235325</v>
      </c>
    </row>
    <row r="10728" customFormat="false" ht="15" hidden="false" customHeight="false" outlineLevel="0" collapsed="false">
      <c r="A10728" s="2" t="s">
        <v>296</v>
      </c>
      <c r="G10728" s="16" t="n">
        <f aca="false">G10724+G10716+G10717+G10720-G10726-G10727</f>
        <v>125.86735403</v>
      </c>
      <c r="H10728" s="16" t="n">
        <f aca="false">H10724+H10716+H10717+H10720-H10726-H10727</f>
        <v>116.1540197688</v>
      </c>
      <c r="I10728" s="16" t="n">
        <f aca="false">I10724+I10716+I10717+I10720-I10726-I10727</f>
        <v>105.014003968104</v>
      </c>
      <c r="J10728" s="16" t="n">
        <f aca="false">J10724+J10716+J10717+J10720-J10726-J10727</f>
        <v>108.865248203412</v>
      </c>
      <c r="K10728" s="16" t="n">
        <f aca="false">K10724+K10716+K10717+K10720-K10726-K10727</f>
        <v>99.6877228787792</v>
      </c>
    </row>
    <row r="10730" customFormat="false" ht="15" hidden="false" customHeight="false" outlineLevel="0" collapsed="false">
      <c r="A10730" s="23" t="s">
        <v>298</v>
      </c>
      <c r="B10730" s="24"/>
      <c r="C10730" s="24"/>
      <c r="D10730" s="24"/>
      <c r="E10730" s="24"/>
      <c r="F10730" s="24"/>
      <c r="G10730" s="24"/>
      <c r="H10730" s="24"/>
      <c r="I10730" s="24"/>
      <c r="J10730" s="24"/>
      <c r="K10730" s="24"/>
    </row>
    <row r="10731" customFormat="false" ht="15" hidden="false" customHeight="false" outlineLevel="0" collapsed="false">
      <c r="A10731" s="3" t="s">
        <v>299</v>
      </c>
      <c r="G10731" s="30" t="n">
        <f aca="false">Assumptions!$G$52</f>
        <v>0.039</v>
      </c>
      <c r="H10731" s="30" t="n">
        <f aca="false">Assumptions!$H$52</f>
        <v>0.0375</v>
      </c>
      <c r="I10731" s="30" t="n">
        <f aca="false">Assumptions!$I$52</f>
        <v>0.035</v>
      </c>
      <c r="J10731" s="30" t="n">
        <f aca="false">Assumptions!$J$52</f>
        <v>0.035</v>
      </c>
      <c r="K10731" s="30" t="n">
        <f aca="false">Assumptions!$K$52</f>
        <v>0.035</v>
      </c>
    </row>
    <row r="10732" customFormat="false" ht="15" hidden="false" customHeight="false" outlineLevel="0" collapsed="false">
      <c r="A10732" s="3" t="s">
        <v>300</v>
      </c>
      <c r="C10732" s="31" t="n">
        <f aca="false">CHOOSE($C$10698,Assumptions!$C$78,Assumptions!$C$97,Assumptions!$C$116)+$C$10701</f>
        <v>-0.01</v>
      </c>
    </row>
    <row r="10733" customFormat="false" ht="15" hidden="false" customHeight="false" outlineLevel="0" collapsed="false">
      <c r="A10733" s="3" t="s">
        <v>301</v>
      </c>
      <c r="C10733" s="31" t="n">
        <f aca="false">CHOOSE($C$10698,Assumptions!$C$79,Assumptions!$C$98,Assumptions!$C$117)</f>
        <v>0.11</v>
      </c>
    </row>
    <row r="10734" customFormat="false" ht="15" hidden="false" customHeight="false" outlineLevel="0" collapsed="false">
      <c r="A10734" s="3" t="s">
        <v>302</v>
      </c>
      <c r="C10734" s="32" t="n">
        <f aca="false">CHOOSE($C$10698,Assumptions!$C$80,Assumptions!$C$99,Assumptions!$C$118)</f>
        <v>6</v>
      </c>
    </row>
    <row r="10735" customFormat="false" ht="15" hidden="false" customHeight="false" outlineLevel="0" collapsed="false">
      <c r="A10735" s="3" t="s">
        <v>303</v>
      </c>
      <c r="C10735" s="32" t="n">
        <f aca="false">CHOOSE($C$10698,Assumptions!$C$81,Assumptions!$C$100,Assumptions!$C$119)</f>
        <v>1.25</v>
      </c>
    </row>
    <row r="10736" customFormat="false" ht="15" hidden="false" customHeight="false" outlineLevel="0" collapsed="false">
      <c r="A10736" s="3" t="s">
        <v>304</v>
      </c>
      <c r="G10736" s="25" t="n">
        <f aca="false">G10741+G10754+G10767</f>
        <v>1735.554</v>
      </c>
      <c r="H10736" s="25" t="n">
        <f aca="false">H10741+H10754+H10767</f>
        <v>1735.554</v>
      </c>
      <c r="I10736" s="25" t="n">
        <f aca="false">I10741+I10754+I10767</f>
        <v>1735.554</v>
      </c>
      <c r="J10736" s="25" t="n">
        <f aca="false">J10741+J10754+J10767</f>
        <v>1315.098</v>
      </c>
      <c r="K10736" s="25" t="n">
        <f aca="false">K10741+K10754+K10767</f>
        <v>1315.098</v>
      </c>
    </row>
    <row r="10737" customFormat="false" ht="15" hidden="false" customHeight="false" outlineLevel="0" collapsed="false">
      <c r="A10737" s="3" t="s">
        <v>305</v>
      </c>
      <c r="G10737" s="25" t="n">
        <f aca="false">F10810</f>
        <v>463.996</v>
      </c>
      <c r="H10737" s="25" t="n">
        <f aca="false">G10810</f>
        <v>589.86335403</v>
      </c>
      <c r="I10737" s="25" t="n">
        <f aca="false">H10810</f>
        <v>706.0173737988</v>
      </c>
      <c r="J10737" s="25" t="n">
        <f aca="false">I10810</f>
        <v>390.575377766904</v>
      </c>
      <c r="K10737" s="25" t="n">
        <f aca="false">J10810</f>
        <v>499.440625970316</v>
      </c>
    </row>
    <row r="10738" customFormat="false" ht="15" hidden="false" customHeight="false" outlineLevel="0" collapsed="false">
      <c r="A10738" s="3" t="s">
        <v>306</v>
      </c>
      <c r="G10738" s="25" t="n">
        <f aca="false">G10741*IF(G10742=1,$C$10733,IF(Assumptions!$I$56=1,MAX(G10731,Assumptions!$G$56)+Assumptions!$F$56+$C$10732,Assumptions!$E$56))+G10754*IF(G10755=1,$C$10733,IF(Assumptions!$I$57=1,MAX(G10731,Assumptions!$G$57)+Assumptions!$F$57+$C$10732,Assumptions!$E$57))+G10767*IF(G10768=1,$C$10733,IF(Assumptions!$I$58=1,MAX(G10731,Assumptions!$G$58)+Assumptions!$F$58+$C$10732,Assumptions!$E$58))</f>
        <v>155.95467</v>
      </c>
      <c r="H10738" s="25" t="n">
        <f aca="false">H10741*IF(OR(H10742=1,G10888=1),$C$10733,IF(Assumptions!$I$56=1,MAX(H10731,Assumptions!$G$56)+Assumptions!$F$56+$C$10732,Assumptions!$E$56))+H10754*IF(OR(H10755=1,G10889=1),$C$10733,IF(Assumptions!$I$57=1,MAX(H10731,Assumptions!$G$57)+Assumptions!$F$57+$C$10732,Assumptions!$E$57))+H10767*IF(OR(H10768=1,G10890=1),$C$10733,IF(Assumptions!$I$58=1,MAX(H10731,Assumptions!$G$58)+Assumptions!$F$58+$C$10732,Assumptions!$E$58))</f>
        <v>155.95467</v>
      </c>
      <c r="I10738" s="25" t="n">
        <f aca="false">I10741*IF(OR(I10742=1,H10888=1),$C$10733,IF(Assumptions!$I$56=1,MAX(I10731,Assumptions!$G$56)+Assumptions!$F$56+$C$10732,Assumptions!$E$56))+I10754*IF(OR(I10755=1,H10889=1),$C$10733,IF(Assumptions!$I$57=1,MAX(I10731,Assumptions!$G$57)+Assumptions!$F$57+$C$10732,Assumptions!$E$57))+I10767*IF(OR(I10768=1,H10890=1),$C$10733,IF(Assumptions!$I$58=1,MAX(I10731,Assumptions!$G$58)+Assumptions!$F$58+$C$10732,Assumptions!$E$58))</f>
        <v>184.33545</v>
      </c>
      <c r="J10738" s="25" t="n">
        <f aca="false">J10741*IF(OR(J10742=1,I10888=1),$C$10733,IF(Assumptions!$I$56=1,MAX(J10731,Assumptions!$G$56)+Assumptions!$F$56+$C$10732,Assumptions!$E$56))+J10754*IF(OR(J10755=1,I10889=1),$C$10733,IF(Assumptions!$I$57=1,MAX(J10731,Assumptions!$G$57)+Assumptions!$F$57+$C$10732,Assumptions!$E$57))+J10767*IF(OR(J10768=1,I10890=1),$C$10733,IF(Assumptions!$I$58=1,MAX(J10731,Assumptions!$G$58)+Assumptions!$F$58+$C$10732,Assumptions!$E$58))</f>
        <v>138.08529</v>
      </c>
      <c r="K10738" s="25" t="n">
        <f aca="false">K10741*IF(OR(K10742=1,J10888=1),$C$10733,IF(Assumptions!$I$56=1,MAX(K10731,Assumptions!$G$56)+Assumptions!$F$56+$C$10732,Assumptions!$E$56))+K10754*IF(OR(K10755=1,J10889=1),$C$10733,IF(Assumptions!$I$57=1,MAX(K10731,Assumptions!$G$57)+Assumptions!$F$57+$C$10732,Assumptions!$E$57))+K10767*IF(OR(K10768=1,J10890=1),$C$10733,IF(Assumptions!$I$58=1,MAX(K10731,Assumptions!$G$58)+Assumptions!$F$58+$C$10732,Assumptions!$E$58))</f>
        <v>138.08529</v>
      </c>
    </row>
    <row r="10739" customFormat="false" ht="15" hidden="false" customHeight="false" outlineLevel="0" collapsed="false">
      <c r="A10739" s="3" t="s">
        <v>307</v>
      </c>
      <c r="G10739" s="20" t="n">
        <f aca="false">IF(G10715&lt;=0,0,IF(AND((G10736-G10737)/G10715&lt;=$C$10734,G10715/G10738&gt;=$C$10735),1,0))</f>
        <v>1</v>
      </c>
      <c r="H10739" s="20" t="n">
        <f aca="false">IF(H10715&lt;=0,0,IF(AND((H10736-H10737)/H10715&lt;=$C$10734,H10715/H10738&gt;=$C$10735),1,0))</f>
        <v>1</v>
      </c>
      <c r="I10739" s="20" t="n">
        <f aca="false">IF(I10715&lt;=0,0,IF(AND((I10736-I10737)/I10715&lt;=$C$10734,I10715/I10738&gt;=$C$10735),1,0))</f>
        <v>1</v>
      </c>
      <c r="J10739" s="20" t="n">
        <f aca="false">IF(J10715&lt;=0,0,IF(AND((J10736-J10737)/J10715&lt;=$C$10734,J10715/J10738&gt;=$C$10735),1,0))</f>
        <v>1</v>
      </c>
      <c r="K10739" s="20" t="n">
        <f aca="false">IF(K10715&lt;=0,0,IF(AND((K10736-K10737)/K10715&lt;=$C$10734,K10715/K10738&gt;=$C$10735),1,0))</f>
        <v>1</v>
      </c>
    </row>
    <row r="10740" customFormat="false" ht="15" hidden="false" customHeight="false" outlineLevel="0" collapsed="false">
      <c r="A10740" s="23" t="s">
        <v>308</v>
      </c>
      <c r="B10740" s="24"/>
      <c r="C10740" s="24"/>
      <c r="D10740" s="24"/>
      <c r="E10740" s="24"/>
      <c r="F10740" s="24"/>
      <c r="G10740" s="24"/>
      <c r="H10740" s="24"/>
      <c r="I10740" s="24"/>
      <c r="J10740" s="24"/>
      <c r="K10740" s="24"/>
    </row>
    <row r="10741" customFormat="false" ht="15" hidden="false" customHeight="false" outlineLevel="0" collapsed="false">
      <c r="A10741" s="3" t="s">
        <v>309</v>
      </c>
      <c r="G10741" s="25" t="n">
        <f aca="false">F10752</f>
        <v>1315.098</v>
      </c>
      <c r="H10741" s="25" t="n">
        <f aca="false">G10752</f>
        <v>1315.098</v>
      </c>
      <c r="I10741" s="25" t="n">
        <f aca="false">H10752</f>
        <v>1315.098</v>
      </c>
      <c r="J10741" s="25" t="n">
        <f aca="false">I10752</f>
        <v>1315.098</v>
      </c>
      <c r="K10741" s="25" t="n">
        <f aca="false">J10752</f>
        <v>1315.098</v>
      </c>
    </row>
    <row r="10742" customFormat="false" ht="15" hidden="false" customHeight="false" outlineLevel="0" collapsed="false">
      <c r="A10742" s="3" t="s">
        <v>310</v>
      </c>
      <c r="G10742" s="20" t="n">
        <f aca="false">IF(G10705=Assumptions!$K$56,1,0)</f>
        <v>0</v>
      </c>
      <c r="H10742" s="20" t="n">
        <f aca="false">IF(H10705=Assumptions!$K$56,1,0)</f>
        <v>0</v>
      </c>
      <c r="I10742" s="20" t="n">
        <f aca="false">IF(I10705=Assumptions!$K$56,1,0)</f>
        <v>0</v>
      </c>
      <c r="J10742" s="20" t="n">
        <f aca="false">IF(J10705=Assumptions!$K$56,1,0)</f>
        <v>0</v>
      </c>
      <c r="K10742" s="20" t="n">
        <f aca="false">IF(K10705=Assumptions!$K$56,1,0)</f>
        <v>0</v>
      </c>
    </row>
    <row r="10744" customFormat="false" ht="15" hidden="false" customHeight="false" outlineLevel="0" collapsed="false">
      <c r="A10744" s="3" t="s">
        <v>311</v>
      </c>
      <c r="G10744" s="31" t="n">
        <f aca="false">IF(Assumptions!$I$56=1,MAX(G10731,Assumptions!$G$56)+Assumptions!$F$56+$C$10732,Assumptions!$E$56)</f>
        <v>0.105</v>
      </c>
      <c r="H10744" s="31" t="n">
        <f aca="false">IF(G10888=1,$C$10733,IF(Assumptions!$I$56=1,MAX(H10731,Assumptions!$G$56)+Assumptions!$F$56+$C$10732,Assumptions!$E$56))</f>
        <v>0.105</v>
      </c>
      <c r="I10744" s="31" t="n">
        <f aca="false">IF(H10888=1,$C$10733,IF(Assumptions!$I$56=1,MAX(I10731,Assumptions!$G$56)+Assumptions!$F$56+$C$10732,Assumptions!$E$56))</f>
        <v>0.105</v>
      </c>
      <c r="J10744" s="31" t="n">
        <f aca="false">IF(I10888=1,$C$10733,IF(Assumptions!$I$56=1,MAX(J10731,Assumptions!$G$56)+Assumptions!$F$56+$C$10732,Assumptions!$E$56))</f>
        <v>0.105</v>
      </c>
      <c r="K10744" s="31" t="n">
        <f aca="false">IF(J10888=1,$C$10733,IF(Assumptions!$I$56=1,MAX(K10731,Assumptions!$G$56)+Assumptions!$F$56+$C$10732,Assumptions!$E$56))</f>
        <v>0.105</v>
      </c>
    </row>
    <row r="10745" customFormat="false" ht="15" hidden="false" customHeight="false" outlineLevel="0" collapsed="false">
      <c r="A10745" s="3" t="s">
        <v>312</v>
      </c>
      <c r="G10745" s="25" t="n">
        <f aca="false">G10741*G10744</f>
        <v>138.08529</v>
      </c>
      <c r="H10745" s="25" t="n">
        <f aca="false">H10741*H10744</f>
        <v>138.08529</v>
      </c>
      <c r="I10745" s="25" t="n">
        <f aca="false">I10741*I10744</f>
        <v>138.08529</v>
      </c>
      <c r="J10745" s="25" t="n">
        <f aca="false">J10741*J10744</f>
        <v>138.08529</v>
      </c>
      <c r="K10745" s="25" t="n">
        <f aca="false">K10741*K10744</f>
        <v>138.08529</v>
      </c>
    </row>
    <row r="10746" customFormat="false" ht="15" hidden="false" customHeight="false" outlineLevel="0" collapsed="false">
      <c r="A10746" s="3" t="s">
        <v>313</v>
      </c>
      <c r="G10746" s="25" t="n">
        <f aca="false">G10741*Assumptions!$H$56</f>
        <v>0</v>
      </c>
      <c r="H10746" s="25" t="n">
        <f aca="false">H10741*Assumptions!$H$56</f>
        <v>0</v>
      </c>
      <c r="I10746" s="25" t="n">
        <f aca="false">I10741*Assumptions!$H$56</f>
        <v>0</v>
      </c>
      <c r="J10746" s="25" t="n">
        <f aca="false">J10741*Assumptions!$H$56</f>
        <v>0</v>
      </c>
      <c r="K10746" s="25" t="n">
        <f aca="false">K10741*Assumptions!$H$56</f>
        <v>0</v>
      </c>
    </row>
    <row r="10747" customFormat="false" ht="15" hidden="false" customHeight="false" outlineLevel="0" collapsed="false">
      <c r="A10747" s="3" t="s">
        <v>314</v>
      </c>
      <c r="G10747" s="25" t="n">
        <f aca="false">MIN(G10741,Assumptions!$L$56*Assumptions!$C$56)</f>
        <v>0</v>
      </c>
      <c r="H10747" s="25" t="n">
        <f aca="false">MIN(H10741,Assumptions!$L$56*Assumptions!$C$56)</f>
        <v>0</v>
      </c>
      <c r="I10747" s="25" t="n">
        <f aca="false">MIN(I10741,Assumptions!$L$56*Assumptions!$C$56)</f>
        <v>0</v>
      </c>
      <c r="J10747" s="25" t="n">
        <f aca="false">MIN(J10741,Assumptions!$L$56*Assumptions!$C$56)</f>
        <v>0</v>
      </c>
      <c r="K10747" s="25" t="n">
        <f aca="false">MIN(K10741,Assumptions!$L$56*Assumptions!$C$56)</f>
        <v>0</v>
      </c>
    </row>
    <row r="10748" customFormat="false" ht="15" hidden="false" customHeight="false" outlineLevel="0" collapsed="false">
      <c r="A10748" s="3" t="s">
        <v>315</v>
      </c>
      <c r="G10748" s="25" t="n">
        <f aca="false">IF(AND(Assumptions!$P$56=1,G10705&lt;Assumptions!$K$56),MIN(MAX(0,-G10802),MAX(0,Assumptions!$D$56-G10741)),0)</f>
        <v>0</v>
      </c>
      <c r="H10748" s="25" t="n">
        <f aca="false">IF(AND(Assumptions!$P$56=1,OR(H10705&lt;Assumptions!$K$56,G10888=1)),MIN(MAX(0,-H10802),MAX(0,Assumptions!$D$56-H10741)),0)</f>
        <v>0</v>
      </c>
      <c r="I10748" s="25" t="n">
        <f aca="false">IF(AND(Assumptions!$P$56=1,OR(I10705&lt;Assumptions!$K$56,H10888=1)),MIN(MAX(0,-I10802),MAX(0,Assumptions!$D$56-I10741)),0)</f>
        <v>0</v>
      </c>
      <c r="J10748" s="25" t="n">
        <f aca="false">IF(AND(Assumptions!$P$56=1,OR(J10705&lt;Assumptions!$K$56,I10888=1)),MIN(MAX(0,-J10802),MAX(0,Assumptions!$D$56-J10741)),0)</f>
        <v>0</v>
      </c>
      <c r="K10748" s="25" t="n">
        <f aca="false">IF(AND(Assumptions!$P$56=1,OR(K10705&lt;Assumptions!$K$56,J10888=1)),MIN(MAX(0,-K10802),MAX(0,Assumptions!$D$56-K10741)),0)</f>
        <v>0</v>
      </c>
    </row>
    <row r="10749" customFormat="false" ht="15" hidden="false" customHeight="false" outlineLevel="0" collapsed="false">
      <c r="A10749" s="3" t="s">
        <v>316</v>
      </c>
      <c r="G10749" s="25" t="n">
        <f aca="false">G10742*MIN(G10741-G10747+G10746,MAX(0,G10804-Assumptions!$C$12*G10739))</f>
        <v>0</v>
      </c>
      <c r="H10749" s="25" t="n">
        <f aca="false">H10742*MIN(H10741-H10747+H10746,MAX(0,H10804-Assumptions!$C$12*H10739))</f>
        <v>0</v>
      </c>
      <c r="I10749" s="25" t="n">
        <f aca="false">I10742*MIN(I10741-I10747+I10746,MAX(0,I10804-Assumptions!$C$12*I10739))</f>
        <v>0</v>
      </c>
      <c r="J10749" s="25" t="n">
        <f aca="false">J10742*MIN(J10741-J10747+J10746,MAX(0,J10804-Assumptions!$C$12*J10739))</f>
        <v>0</v>
      </c>
      <c r="K10749" s="25" t="n">
        <f aca="false">K10742*MIN(K10741-K10747+K10746,MAX(0,K10804-Assumptions!$C$12*K10739))</f>
        <v>0</v>
      </c>
    </row>
    <row r="10750" customFormat="false" ht="15" hidden="false" customHeight="false" outlineLevel="0" collapsed="false">
      <c r="A10750" s="3" t="s">
        <v>317</v>
      </c>
      <c r="G10750" s="25" t="n">
        <f aca="false">Assumptions!$N$56*MIN(G10741+G10748+G10746-G10747-G10749,MAX(0,G10808))</f>
        <v>0</v>
      </c>
      <c r="H10750" s="25" t="n">
        <f aca="false">Assumptions!$N$56*MIN(H10741+H10748+H10746-H10747-H10749,MAX(0,H10808))</f>
        <v>0</v>
      </c>
      <c r="I10750" s="25" t="n">
        <f aca="false">Assumptions!$N$56*MIN(I10741+I10748+I10746-I10747-I10749,MAX(0,I10808))</f>
        <v>0</v>
      </c>
      <c r="J10750" s="25" t="n">
        <f aca="false">Assumptions!$N$56*MIN(J10741+J10748+J10746-J10747-J10749,MAX(0,J10808))</f>
        <v>0</v>
      </c>
      <c r="K10750" s="25" t="n">
        <f aca="false">Assumptions!$N$56*MIN(K10741+K10748+K10746-K10747-K10749,MAX(0,K10808))</f>
        <v>0</v>
      </c>
    </row>
    <row r="10751" customFormat="false" ht="15" hidden="false" customHeight="false" outlineLevel="0" collapsed="false">
      <c r="A10751" s="3" t="s">
        <v>318</v>
      </c>
      <c r="G10751" s="25" t="n">
        <f aca="false">G10742*(1-G10739)*(G10741-G10747+G10746-G10749)</f>
        <v>0</v>
      </c>
      <c r="H10751" s="25" t="n">
        <f aca="false">H10742*(1-H10739)*(H10741-H10747+H10746-H10749)</f>
        <v>0</v>
      </c>
      <c r="I10751" s="25" t="n">
        <f aca="false">I10742*(1-I10739)*(I10741-I10747+I10746-I10749)</f>
        <v>0</v>
      </c>
      <c r="J10751" s="25" t="n">
        <f aca="false">J10742*(1-J10739)*(J10741-J10747+J10746-J10749)</f>
        <v>0</v>
      </c>
      <c r="K10751" s="25" t="n">
        <f aca="false">K10742*(1-K10739)*(K10741-K10747+K10746-K10749)</f>
        <v>0</v>
      </c>
    </row>
    <row r="10752" customFormat="false" ht="15" hidden="false" customHeight="false" outlineLevel="0" collapsed="false">
      <c r="A10752" s="2" t="s">
        <v>319</v>
      </c>
      <c r="F10752" s="28" t="n">
        <f aca="false">Assumptions!$C$56</f>
        <v>1315.098</v>
      </c>
      <c r="G10752" s="16" t="n">
        <f aca="false">G10741+G10748+G10746-G10747-G10749-G10750</f>
        <v>1315.098</v>
      </c>
      <c r="H10752" s="16" t="n">
        <f aca="false">H10741+H10748+H10746-H10747-H10749-H10750</f>
        <v>1315.098</v>
      </c>
      <c r="I10752" s="16" t="n">
        <f aca="false">I10741+I10748+I10746-I10747-I10749-I10750</f>
        <v>1315.098</v>
      </c>
      <c r="J10752" s="16" t="n">
        <f aca="false">J10741+J10748+J10746-J10747-J10749-J10750</f>
        <v>1315.098</v>
      </c>
      <c r="K10752" s="16" t="n">
        <f aca="false">K10741+K10748+K10746-K10747-K10749-K10750</f>
        <v>1315.098</v>
      </c>
    </row>
    <row r="10753" customFormat="false" ht="15" hidden="false" customHeight="false" outlineLevel="0" collapsed="false">
      <c r="A10753" s="23" t="s">
        <v>320</v>
      </c>
      <c r="B10753" s="24"/>
      <c r="C10753" s="24"/>
      <c r="D10753" s="24"/>
      <c r="E10753" s="24"/>
      <c r="F10753" s="24"/>
      <c r="G10753" s="24"/>
      <c r="H10753" s="24"/>
      <c r="I10753" s="24"/>
      <c r="J10753" s="24"/>
      <c r="K10753" s="24"/>
    </row>
    <row r="10754" customFormat="false" ht="15" hidden="false" customHeight="false" outlineLevel="0" collapsed="false">
      <c r="A10754" s="3" t="s">
        <v>309</v>
      </c>
      <c r="G10754" s="25" t="n">
        <f aca="false">F10765</f>
        <v>276.706</v>
      </c>
      <c r="H10754" s="25" t="n">
        <f aca="false">G10765</f>
        <v>276.706</v>
      </c>
      <c r="I10754" s="25" t="n">
        <f aca="false">H10765</f>
        <v>276.706</v>
      </c>
      <c r="J10754" s="25" t="n">
        <f aca="false">I10765</f>
        <v>0</v>
      </c>
      <c r="K10754" s="25" t="n">
        <f aca="false">J10765</f>
        <v>0</v>
      </c>
    </row>
    <row r="10755" customFormat="false" ht="15" hidden="false" customHeight="false" outlineLevel="0" collapsed="false">
      <c r="A10755" s="3" t="s">
        <v>310</v>
      </c>
      <c r="G10755" s="20" t="n">
        <f aca="false">IF(G10705=Assumptions!$K$57,1,0)</f>
        <v>0</v>
      </c>
      <c r="H10755" s="20" t="n">
        <f aca="false">IF(H10705=Assumptions!$K$57,1,0)</f>
        <v>0</v>
      </c>
      <c r="I10755" s="20" t="n">
        <f aca="false">IF(I10705=Assumptions!$K$57,1,0)</f>
        <v>1</v>
      </c>
      <c r="J10755" s="20" t="n">
        <f aca="false">IF(J10705=Assumptions!$K$57,1,0)</f>
        <v>0</v>
      </c>
      <c r="K10755" s="20" t="n">
        <f aca="false">IF(K10705=Assumptions!$K$57,1,0)</f>
        <v>0</v>
      </c>
    </row>
    <row r="10757" customFormat="false" ht="15" hidden="false" customHeight="false" outlineLevel="0" collapsed="false">
      <c r="A10757" s="3" t="s">
        <v>311</v>
      </c>
      <c r="G10757" s="31" t="n">
        <f aca="false">IF(Assumptions!$I$57=1,MAX(G10731,Assumptions!$G$57)+Assumptions!$F$57+$C$10732,Assumptions!$E$57)</f>
        <v>0.0425</v>
      </c>
      <c r="H10757" s="31" t="n">
        <f aca="false">IF(G10889=1,$C$10733,IF(Assumptions!$I$57=1,MAX(H10731,Assumptions!$G$57)+Assumptions!$F$57+$C$10732,Assumptions!$E$57))</f>
        <v>0.0425</v>
      </c>
      <c r="I10757" s="31" t="n">
        <f aca="false">IF(H10889=1,$C$10733,IF(Assumptions!$I$57=1,MAX(I10731,Assumptions!$G$57)+Assumptions!$F$57+$C$10732,Assumptions!$E$57))</f>
        <v>0.0425</v>
      </c>
      <c r="J10757" s="31" t="n">
        <f aca="false">IF(I10889=1,$C$10733,IF(Assumptions!$I$57=1,MAX(J10731,Assumptions!$G$57)+Assumptions!$F$57+$C$10732,Assumptions!$E$57))</f>
        <v>0.11</v>
      </c>
      <c r="K10757" s="31" t="n">
        <f aca="false">IF(J10889=1,$C$10733,IF(Assumptions!$I$57=1,MAX(K10731,Assumptions!$G$57)+Assumptions!$F$57+$C$10732,Assumptions!$E$57))</f>
        <v>0.11</v>
      </c>
    </row>
    <row r="10758" customFormat="false" ht="15" hidden="false" customHeight="false" outlineLevel="0" collapsed="false">
      <c r="A10758" s="3" t="s">
        <v>312</v>
      </c>
      <c r="G10758" s="25" t="n">
        <f aca="false">G10754*G10757</f>
        <v>11.760005</v>
      </c>
      <c r="H10758" s="25" t="n">
        <f aca="false">H10754*H10757</f>
        <v>11.760005</v>
      </c>
      <c r="I10758" s="25" t="n">
        <f aca="false">I10754*I10757</f>
        <v>11.760005</v>
      </c>
      <c r="J10758" s="25" t="n">
        <f aca="false">J10754*J10757</f>
        <v>0</v>
      </c>
      <c r="K10758" s="25" t="n">
        <f aca="false">K10754*K10757</f>
        <v>0</v>
      </c>
    </row>
    <row r="10759" customFormat="false" ht="15" hidden="false" customHeight="false" outlineLevel="0" collapsed="false">
      <c r="A10759" s="3" t="s">
        <v>313</v>
      </c>
      <c r="G10759" s="25" t="n">
        <f aca="false">G10754*Assumptions!$H$57</f>
        <v>0</v>
      </c>
      <c r="H10759" s="25" t="n">
        <f aca="false">H10754*Assumptions!$H$57</f>
        <v>0</v>
      </c>
      <c r="I10759" s="25" t="n">
        <f aca="false">I10754*Assumptions!$H$57</f>
        <v>0</v>
      </c>
      <c r="J10759" s="25" t="n">
        <f aca="false">J10754*Assumptions!$H$57</f>
        <v>0</v>
      </c>
      <c r="K10759" s="25" t="n">
        <f aca="false">K10754*Assumptions!$H$57</f>
        <v>0</v>
      </c>
    </row>
    <row r="10760" customFormat="false" ht="15" hidden="false" customHeight="false" outlineLevel="0" collapsed="false">
      <c r="A10760" s="3" t="s">
        <v>314</v>
      </c>
      <c r="G10760" s="25" t="n">
        <f aca="false">MIN(G10754,Assumptions!$L$57*Assumptions!$C$57)</f>
        <v>0</v>
      </c>
      <c r="H10760" s="25" t="n">
        <f aca="false">MIN(H10754,Assumptions!$L$57*Assumptions!$C$57)</f>
        <v>0</v>
      </c>
      <c r="I10760" s="25" t="n">
        <f aca="false">MIN(I10754,Assumptions!$L$57*Assumptions!$C$57)</f>
        <v>0</v>
      </c>
      <c r="J10760" s="25" t="n">
        <f aca="false">MIN(J10754,Assumptions!$L$57*Assumptions!$C$57)</f>
        <v>0</v>
      </c>
      <c r="K10760" s="25" t="n">
        <f aca="false">MIN(K10754,Assumptions!$L$57*Assumptions!$C$57)</f>
        <v>0</v>
      </c>
    </row>
    <row r="10761" customFormat="false" ht="15" hidden="false" customHeight="false" outlineLevel="0" collapsed="false">
      <c r="A10761" s="3" t="s">
        <v>315</v>
      </c>
      <c r="G10761" s="25" t="n">
        <f aca="false">IF(AND(Assumptions!$P$57=1,G10705&lt;Assumptions!$K$57),MIN(MAX(0,-G10802),MAX(0,Assumptions!$D$57-G10754)),0)</f>
        <v>0</v>
      </c>
      <c r="H10761" s="25" t="n">
        <f aca="false">IF(AND(Assumptions!$P$57=1,OR(H10705&lt;Assumptions!$K$57,G10889=1)),MIN(MAX(0,-H10802),MAX(0,Assumptions!$D$57-H10754)),0)</f>
        <v>0</v>
      </c>
      <c r="I10761" s="25" t="n">
        <f aca="false">IF(AND(Assumptions!$P$57=1,OR(I10705&lt;Assumptions!$K$57,H10889=1)),MIN(MAX(0,-I10802),MAX(0,Assumptions!$D$57-I10754)),0)</f>
        <v>0</v>
      </c>
      <c r="J10761" s="25" t="n">
        <f aca="false">IF(AND(Assumptions!$P$57=1,OR(J10705&lt;Assumptions!$K$57,I10889=1)),MIN(MAX(0,-J10802),MAX(0,Assumptions!$D$57-J10754)),0)</f>
        <v>0</v>
      </c>
      <c r="K10761" s="25" t="n">
        <f aca="false">IF(AND(Assumptions!$P$57=1,OR(K10705&lt;Assumptions!$K$57,J10889=1)),MIN(MAX(0,-K10802),MAX(0,Assumptions!$D$57-K10754)),0)</f>
        <v>0</v>
      </c>
    </row>
    <row r="10762" customFormat="false" ht="15" hidden="false" customHeight="false" outlineLevel="0" collapsed="false">
      <c r="A10762" s="3" t="s">
        <v>316</v>
      </c>
      <c r="G10762" s="25" t="n">
        <f aca="false">G10755*MIN(G10754-G10760+G10759,MAX(0,G10804-Assumptions!$C$12*G10739-G10749))</f>
        <v>0</v>
      </c>
      <c r="H10762" s="25" t="n">
        <f aca="false">H10755*MIN(H10754-H10760+H10759,MAX(0,H10804-Assumptions!$C$12*H10739-H10749))</f>
        <v>0</v>
      </c>
      <c r="I10762" s="25" t="n">
        <f aca="false">I10755*MIN(I10754-I10760+I10759,MAX(0,I10804-Assumptions!$C$12*I10739-I10749))</f>
        <v>276.706</v>
      </c>
      <c r="J10762" s="25" t="n">
        <f aca="false">J10755*MIN(J10754-J10760+J10759,MAX(0,J10804-Assumptions!$C$12*J10739-J10749))</f>
        <v>0</v>
      </c>
      <c r="K10762" s="25" t="n">
        <f aca="false">K10755*MIN(K10754-K10760+K10759,MAX(0,K10804-Assumptions!$C$12*K10739-K10749))</f>
        <v>0</v>
      </c>
    </row>
    <row r="10763" customFormat="false" ht="15" hidden="false" customHeight="false" outlineLevel="0" collapsed="false">
      <c r="A10763" s="3" t="s">
        <v>317</v>
      </c>
      <c r="G10763" s="25" t="n">
        <f aca="false">Assumptions!$N$57*MIN(G10754+G10761+G10759-G10760-G10762,MAX(0,G10808-G10750))</f>
        <v>0</v>
      </c>
      <c r="H10763" s="25" t="n">
        <f aca="false">Assumptions!$N$57*MIN(H10754+H10761+H10759-H10760-H10762,MAX(0,H10808-H10750))</f>
        <v>0</v>
      </c>
      <c r="I10763" s="25" t="n">
        <f aca="false">Assumptions!$N$57*MIN(I10754+I10761+I10759-I10760-I10762,MAX(0,I10808-I10750))</f>
        <v>0</v>
      </c>
      <c r="J10763" s="25" t="n">
        <f aca="false">Assumptions!$N$57*MIN(J10754+J10761+J10759-J10760-J10762,MAX(0,J10808-J10750))</f>
        <v>0</v>
      </c>
      <c r="K10763" s="25" t="n">
        <f aca="false">Assumptions!$N$57*MIN(K10754+K10761+K10759-K10760-K10762,MAX(0,K10808-K10750))</f>
        <v>0</v>
      </c>
    </row>
    <row r="10764" customFormat="false" ht="15" hidden="false" customHeight="false" outlineLevel="0" collapsed="false">
      <c r="A10764" s="3" t="s">
        <v>318</v>
      </c>
      <c r="G10764" s="25" t="n">
        <f aca="false">G10755*(1-G10739)*(G10754-G10760+G10759-G10762)</f>
        <v>0</v>
      </c>
      <c r="H10764" s="25" t="n">
        <f aca="false">H10755*(1-H10739)*(H10754-H10760+H10759-H10762)</f>
        <v>0</v>
      </c>
      <c r="I10764" s="25" t="n">
        <f aca="false">I10755*(1-I10739)*(I10754-I10760+I10759-I10762)</f>
        <v>0</v>
      </c>
      <c r="J10764" s="25" t="n">
        <f aca="false">J10755*(1-J10739)*(J10754-J10760+J10759-J10762)</f>
        <v>0</v>
      </c>
      <c r="K10764" s="25" t="n">
        <f aca="false">K10755*(1-K10739)*(K10754-K10760+K10759-K10762)</f>
        <v>0</v>
      </c>
    </row>
    <row r="10765" customFormat="false" ht="15" hidden="false" customHeight="false" outlineLevel="0" collapsed="false">
      <c r="A10765" s="2" t="s">
        <v>319</v>
      </c>
      <c r="F10765" s="28" t="n">
        <f aca="false">Assumptions!$C$57</f>
        <v>276.706</v>
      </c>
      <c r="G10765" s="16" t="n">
        <f aca="false">G10754+G10761+G10759-G10760-G10762-G10763</f>
        <v>276.706</v>
      </c>
      <c r="H10765" s="16" t="n">
        <f aca="false">H10754+H10761+H10759-H10760-H10762-H10763</f>
        <v>276.706</v>
      </c>
      <c r="I10765" s="16" t="n">
        <f aca="false">I10754+I10761+I10759-I10760-I10762-I10763</f>
        <v>0</v>
      </c>
      <c r="J10765" s="16" t="n">
        <f aca="false">J10754+J10761+J10759-J10760-J10762-J10763</f>
        <v>0</v>
      </c>
      <c r="K10765" s="16" t="n">
        <f aca="false">K10754+K10761+K10759-K10760-K10762-K10763</f>
        <v>0</v>
      </c>
    </row>
    <row r="10766" customFormat="false" ht="15" hidden="false" customHeight="false" outlineLevel="0" collapsed="false">
      <c r="A10766" s="23" t="s">
        <v>321</v>
      </c>
      <c r="B10766" s="24"/>
      <c r="C10766" s="24"/>
      <c r="D10766" s="24"/>
      <c r="E10766" s="24"/>
      <c r="F10766" s="24"/>
      <c r="G10766" s="24"/>
      <c r="H10766" s="24"/>
      <c r="I10766" s="24"/>
      <c r="J10766" s="24"/>
      <c r="K10766" s="24"/>
    </row>
    <row r="10767" customFormat="false" ht="15" hidden="false" customHeight="false" outlineLevel="0" collapsed="false">
      <c r="A10767" s="3" t="s">
        <v>309</v>
      </c>
      <c r="G10767" s="25" t="n">
        <f aca="false">F10778</f>
        <v>143.75</v>
      </c>
      <c r="H10767" s="25" t="n">
        <f aca="false">G10778</f>
        <v>143.75</v>
      </c>
      <c r="I10767" s="25" t="n">
        <f aca="false">H10778</f>
        <v>143.75</v>
      </c>
      <c r="J10767" s="25" t="n">
        <f aca="false">I10778</f>
        <v>0</v>
      </c>
      <c r="K10767" s="25" t="n">
        <f aca="false">J10778</f>
        <v>0</v>
      </c>
    </row>
    <row r="10768" customFormat="false" ht="15" hidden="false" customHeight="false" outlineLevel="0" collapsed="false">
      <c r="A10768" s="3" t="s">
        <v>310</v>
      </c>
      <c r="G10768" s="20" t="n">
        <f aca="false">IF(G10705=Assumptions!$K$58,1,0)</f>
        <v>0</v>
      </c>
      <c r="H10768" s="20" t="n">
        <f aca="false">IF(H10705=Assumptions!$K$58,1,0)</f>
        <v>0</v>
      </c>
      <c r="I10768" s="20" t="n">
        <f aca="false">IF(I10705=Assumptions!$K$58,1,0)</f>
        <v>1</v>
      </c>
      <c r="J10768" s="20" t="n">
        <f aca="false">IF(J10705=Assumptions!$K$58,1,0)</f>
        <v>0</v>
      </c>
      <c r="K10768" s="20" t="n">
        <f aca="false">IF(K10705=Assumptions!$K$58,1,0)</f>
        <v>0</v>
      </c>
    </row>
    <row r="10770" customFormat="false" ht="15" hidden="false" customHeight="false" outlineLevel="0" collapsed="false">
      <c r="A10770" s="3" t="s">
        <v>311</v>
      </c>
      <c r="G10770" s="31" t="n">
        <f aca="false">IF(Assumptions!$I$58=1,MAX(G10731,Assumptions!$G$58)+Assumptions!$F$58+$C$10732,Assumptions!$E$58)</f>
        <v>0.0425</v>
      </c>
      <c r="H10770" s="31" t="n">
        <f aca="false">IF(G10890=1,$C$10733,IF(Assumptions!$I$58=1,MAX(H10731,Assumptions!$G$58)+Assumptions!$F$58+$C$10732,Assumptions!$E$58))</f>
        <v>0.0425</v>
      </c>
      <c r="I10770" s="31" t="n">
        <f aca="false">IF(H10890=1,$C$10733,IF(Assumptions!$I$58=1,MAX(I10731,Assumptions!$G$58)+Assumptions!$F$58+$C$10732,Assumptions!$E$58))</f>
        <v>0.0425</v>
      </c>
      <c r="J10770" s="31" t="n">
        <f aca="false">IF(I10890=1,$C$10733,IF(Assumptions!$I$58=1,MAX(J10731,Assumptions!$G$58)+Assumptions!$F$58+$C$10732,Assumptions!$E$58))</f>
        <v>0.11</v>
      </c>
      <c r="K10770" s="31" t="n">
        <f aca="false">IF(J10890=1,$C$10733,IF(Assumptions!$I$58=1,MAX(K10731,Assumptions!$G$58)+Assumptions!$F$58+$C$10732,Assumptions!$E$58))</f>
        <v>0.11</v>
      </c>
    </row>
    <row r="10771" customFormat="false" ht="15" hidden="false" customHeight="false" outlineLevel="0" collapsed="false">
      <c r="A10771" s="3" t="s">
        <v>312</v>
      </c>
      <c r="G10771" s="25" t="n">
        <f aca="false">G10767*G10770</f>
        <v>6.109375</v>
      </c>
      <c r="H10771" s="25" t="n">
        <f aca="false">H10767*H10770</f>
        <v>6.109375</v>
      </c>
      <c r="I10771" s="25" t="n">
        <f aca="false">I10767*I10770</f>
        <v>6.109375</v>
      </c>
      <c r="J10771" s="25" t="n">
        <f aca="false">J10767*J10770</f>
        <v>0</v>
      </c>
      <c r="K10771" s="25" t="n">
        <f aca="false">K10767*K10770</f>
        <v>0</v>
      </c>
    </row>
    <row r="10772" customFormat="false" ht="15" hidden="false" customHeight="false" outlineLevel="0" collapsed="false">
      <c r="A10772" s="3" t="s">
        <v>313</v>
      </c>
      <c r="G10772" s="25" t="n">
        <f aca="false">G10767*Assumptions!$H$58</f>
        <v>0</v>
      </c>
      <c r="H10772" s="25" t="n">
        <f aca="false">H10767*Assumptions!$H$58</f>
        <v>0</v>
      </c>
      <c r="I10772" s="25" t="n">
        <f aca="false">I10767*Assumptions!$H$58</f>
        <v>0</v>
      </c>
      <c r="J10772" s="25" t="n">
        <f aca="false">J10767*Assumptions!$H$58</f>
        <v>0</v>
      </c>
      <c r="K10772" s="25" t="n">
        <f aca="false">K10767*Assumptions!$H$58</f>
        <v>0</v>
      </c>
    </row>
    <row r="10773" customFormat="false" ht="15" hidden="false" customHeight="false" outlineLevel="0" collapsed="false">
      <c r="A10773" s="3" t="s">
        <v>314</v>
      </c>
      <c r="G10773" s="25" t="n">
        <f aca="false">MIN(G10767,Assumptions!$L$58*Assumptions!$C$58)</f>
        <v>0</v>
      </c>
      <c r="H10773" s="25" t="n">
        <f aca="false">MIN(H10767,Assumptions!$L$58*Assumptions!$C$58)</f>
        <v>0</v>
      </c>
      <c r="I10773" s="25" t="n">
        <f aca="false">MIN(I10767,Assumptions!$L$58*Assumptions!$C$58)</f>
        <v>0</v>
      </c>
      <c r="J10773" s="25" t="n">
        <f aca="false">MIN(J10767,Assumptions!$L$58*Assumptions!$C$58)</f>
        <v>0</v>
      </c>
      <c r="K10773" s="25" t="n">
        <f aca="false">MIN(K10767,Assumptions!$L$58*Assumptions!$C$58)</f>
        <v>0</v>
      </c>
    </row>
    <row r="10774" customFormat="false" ht="15" hidden="false" customHeight="false" outlineLevel="0" collapsed="false">
      <c r="A10774" s="3" t="s">
        <v>315</v>
      </c>
      <c r="G10774" s="25" t="n">
        <f aca="false">IF(AND(Assumptions!$P$58=1,G10705&lt;Assumptions!$K$58),MIN(MAX(0,-G10802),MAX(0,Assumptions!$D$58-G10767)),0)</f>
        <v>0</v>
      </c>
      <c r="H10774" s="25" t="n">
        <f aca="false">IF(AND(Assumptions!$P$58=1,OR(H10705&lt;Assumptions!$K$58,G10890=1)),MIN(MAX(0,-H10802),MAX(0,Assumptions!$D$58-H10767)),0)</f>
        <v>0</v>
      </c>
      <c r="I10774" s="25" t="n">
        <f aca="false">IF(AND(Assumptions!$P$58=1,OR(I10705&lt;Assumptions!$K$58,H10890=1)),MIN(MAX(0,-I10802),MAX(0,Assumptions!$D$58-I10767)),0)</f>
        <v>0</v>
      </c>
      <c r="J10774" s="25" t="n">
        <f aca="false">IF(AND(Assumptions!$P$58=1,OR(J10705&lt;Assumptions!$K$58,I10890=1)),MIN(MAX(0,-J10802),MAX(0,Assumptions!$D$58-J10767)),0)</f>
        <v>0</v>
      </c>
      <c r="K10774" s="25" t="n">
        <f aca="false">IF(AND(Assumptions!$P$58=1,OR(K10705&lt;Assumptions!$K$58,J10890=1)),MIN(MAX(0,-K10802),MAX(0,Assumptions!$D$58-K10767)),0)</f>
        <v>0</v>
      </c>
    </row>
    <row r="10775" customFormat="false" ht="15" hidden="false" customHeight="false" outlineLevel="0" collapsed="false">
      <c r="A10775" s="3" t="s">
        <v>316</v>
      </c>
      <c r="G10775" s="25" t="n">
        <f aca="false">G10768*MIN(G10767-G10773+G10772,MAX(0,G10804-Assumptions!$C$12*G10739-G10749-G10762))</f>
        <v>0</v>
      </c>
      <c r="H10775" s="25" t="n">
        <f aca="false">H10768*MIN(H10767-H10773+H10772,MAX(0,H10804-Assumptions!$C$12*H10739-H10749-H10762))</f>
        <v>0</v>
      </c>
      <c r="I10775" s="25" t="n">
        <f aca="false">I10768*MIN(I10767-I10773+I10772,MAX(0,I10804-Assumptions!$C$12*I10739-I10749-I10762))</f>
        <v>143.75</v>
      </c>
      <c r="J10775" s="25" t="n">
        <f aca="false">J10768*MIN(J10767-J10773+J10772,MAX(0,J10804-Assumptions!$C$12*J10739-J10749-J10762))</f>
        <v>0</v>
      </c>
      <c r="K10775" s="25" t="n">
        <f aca="false">K10768*MIN(K10767-K10773+K10772,MAX(0,K10804-Assumptions!$C$12*K10739-K10749-K10762))</f>
        <v>0</v>
      </c>
    </row>
    <row r="10776" customFormat="false" ht="15" hidden="false" customHeight="false" outlineLevel="0" collapsed="false">
      <c r="A10776" s="3" t="s">
        <v>317</v>
      </c>
      <c r="G10776" s="25" t="n">
        <f aca="false">Assumptions!$N$58*MIN(G10767+G10774+G10772-G10773-G10775,MAX(0,G10808-G10750-G10763))</f>
        <v>0</v>
      </c>
      <c r="H10776" s="25" t="n">
        <f aca="false">Assumptions!$N$58*MIN(H10767+H10774+H10772-H10773-H10775,MAX(0,H10808-H10750-H10763))</f>
        <v>0</v>
      </c>
      <c r="I10776" s="25" t="n">
        <f aca="false">Assumptions!$N$58*MIN(I10767+I10774+I10772-I10773-I10775,MAX(0,I10808-I10750-I10763))</f>
        <v>0</v>
      </c>
      <c r="J10776" s="25" t="n">
        <f aca="false">Assumptions!$N$58*MIN(J10767+J10774+J10772-J10773-J10775,MAX(0,J10808-J10750-J10763))</f>
        <v>0</v>
      </c>
      <c r="K10776" s="25" t="n">
        <f aca="false">Assumptions!$N$58*MIN(K10767+K10774+K10772-K10773-K10775,MAX(0,K10808-K10750-K10763))</f>
        <v>0</v>
      </c>
    </row>
    <row r="10777" customFormat="false" ht="15" hidden="false" customHeight="false" outlineLevel="0" collapsed="false">
      <c r="A10777" s="3" t="s">
        <v>318</v>
      </c>
      <c r="G10777" s="25" t="n">
        <f aca="false">G10768*(1-G10739)*(G10767-G10773+G10772-G10775)</f>
        <v>0</v>
      </c>
      <c r="H10777" s="25" t="n">
        <f aca="false">H10768*(1-H10739)*(H10767-H10773+H10772-H10775)</f>
        <v>0</v>
      </c>
      <c r="I10777" s="25" t="n">
        <f aca="false">I10768*(1-I10739)*(I10767-I10773+I10772-I10775)</f>
        <v>0</v>
      </c>
      <c r="J10777" s="25" t="n">
        <f aca="false">J10768*(1-J10739)*(J10767-J10773+J10772-J10775)</f>
        <v>0</v>
      </c>
      <c r="K10777" s="25" t="n">
        <f aca="false">K10768*(1-K10739)*(K10767-K10773+K10772-K10775)</f>
        <v>0</v>
      </c>
    </row>
    <row r="10778" customFormat="false" ht="15" hidden="false" customHeight="false" outlineLevel="0" collapsed="false">
      <c r="A10778" s="2" t="s">
        <v>319</v>
      </c>
      <c r="F10778" s="28" t="n">
        <f aca="false">Assumptions!$C$58</f>
        <v>143.75</v>
      </c>
      <c r="G10778" s="16" t="n">
        <f aca="false">G10767+G10774+G10772-G10773-G10775-G10776</f>
        <v>143.75</v>
      </c>
      <c r="H10778" s="16" t="n">
        <f aca="false">H10767+H10774+H10772-H10773-H10775-H10776</f>
        <v>143.75</v>
      </c>
      <c r="I10778" s="16" t="n">
        <f aca="false">I10767+I10774+I10772-I10773-I10775-I10776</f>
        <v>0</v>
      </c>
      <c r="J10778" s="16" t="n">
        <f aca="false">J10767+J10774+J10772-J10773-J10775-J10776</f>
        <v>0</v>
      </c>
      <c r="K10778" s="16" t="n">
        <f aca="false">K10767+K10774+K10772-K10773-K10775-K10776</f>
        <v>0</v>
      </c>
    </row>
    <row r="10779" customFormat="false" ht="15" hidden="false" customHeight="false" outlineLevel="0" collapsed="false">
      <c r="A10779" s="23" t="s">
        <v>322</v>
      </c>
      <c r="B10779" s="24"/>
      <c r="C10779" s="24"/>
      <c r="D10779" s="24"/>
      <c r="E10779" s="24"/>
      <c r="F10779" s="24"/>
      <c r="G10779" s="24"/>
      <c r="H10779" s="24"/>
      <c r="I10779" s="24"/>
      <c r="J10779" s="24"/>
      <c r="K10779" s="24"/>
    </row>
    <row r="10780" customFormat="false" ht="15" hidden="false" customHeight="false" outlineLevel="0" collapsed="false">
      <c r="A10780" s="2" t="s">
        <v>323</v>
      </c>
      <c r="F10780" s="16" t="n">
        <f aca="false">F10752+F10765+F10778</f>
        <v>1735.554</v>
      </c>
      <c r="G10780" s="16" t="n">
        <f aca="false">G10752+G10765+G10778</f>
        <v>1735.554</v>
      </c>
      <c r="H10780" s="16" t="n">
        <f aca="false">H10752+H10765+H10778</f>
        <v>1735.554</v>
      </c>
      <c r="I10780" s="16" t="n">
        <f aca="false">I10752+I10765+I10778</f>
        <v>1315.098</v>
      </c>
      <c r="J10780" s="16" t="n">
        <f aca="false">J10752+J10765+J10778</f>
        <v>1315.098</v>
      </c>
      <c r="K10780" s="16" t="n">
        <f aca="false">K10752+K10765+K10778</f>
        <v>1315.098</v>
      </c>
    </row>
    <row r="10781" customFormat="false" ht="15" hidden="false" customHeight="false" outlineLevel="0" collapsed="false">
      <c r="A10781" s="3" t="s">
        <v>324</v>
      </c>
      <c r="G10781" s="25" t="n">
        <f aca="false">G10742*Assumptions!$C$56+G10755*Assumptions!$C$57+G10768*Assumptions!$C$58</f>
        <v>0</v>
      </c>
      <c r="H10781" s="25" t="n">
        <f aca="false">H10742*Assumptions!$C$56+H10755*Assumptions!$C$57+H10768*Assumptions!$C$58</f>
        <v>0</v>
      </c>
      <c r="I10781" s="25" t="n">
        <f aca="false">I10742*Assumptions!$C$56+I10755*Assumptions!$C$57+I10768*Assumptions!$C$58</f>
        <v>420.456</v>
      </c>
      <c r="J10781" s="25" t="n">
        <f aca="false">J10742*Assumptions!$C$56+J10755*Assumptions!$C$57+J10768*Assumptions!$C$58</f>
        <v>0</v>
      </c>
      <c r="K10781" s="25" t="n">
        <f aca="false">K10742*Assumptions!$C$56+K10755*Assumptions!$C$57+K10768*Assumptions!$C$58</f>
        <v>0</v>
      </c>
    </row>
    <row r="10782" customFormat="false" ht="15" hidden="false" customHeight="false" outlineLevel="0" collapsed="false">
      <c r="A10782" s="23" t="s">
        <v>325</v>
      </c>
      <c r="B10782" s="24"/>
      <c r="C10782" s="24"/>
      <c r="D10782" s="24"/>
      <c r="E10782" s="24"/>
      <c r="F10782" s="24"/>
      <c r="G10782" s="24"/>
      <c r="H10782" s="24"/>
      <c r="I10782" s="24"/>
      <c r="J10782" s="24"/>
      <c r="K10782" s="24"/>
    </row>
    <row r="10783" customFormat="false" ht="15" hidden="false" customHeight="false" outlineLevel="0" collapsed="false">
      <c r="A10783" s="3" t="s">
        <v>326</v>
      </c>
      <c r="C10783" s="25" t="n">
        <f aca="false">SUMPRODUCT($G$10742:$K$10742,$G$10741:$K$10741-$G$10747:$K$10747+$G$10746:$K$10746)</f>
        <v>0</v>
      </c>
    </row>
    <row r="10784" customFormat="false" ht="15" hidden="false" customHeight="false" outlineLevel="0" collapsed="false">
      <c r="A10784" s="3" t="s">
        <v>327</v>
      </c>
      <c r="C10784" s="25" t="n">
        <f aca="false">SUMPRODUCT($G$10742:$K$10742,$G$10749:$K$10749)</f>
        <v>0</v>
      </c>
    </row>
    <row r="10785" customFormat="false" ht="15" hidden="false" customHeight="false" outlineLevel="0" collapsed="false">
      <c r="A10785" s="3" t="s">
        <v>328</v>
      </c>
      <c r="C10785" s="3" t="str">
        <f aca="false">IF(SUM($G$10742:$K$10742)=0,"n/a (beyond horizon)",IF(SUMPRODUCT($G$10742:$K$10742,$G$10739:$K$10739)&gt;0,"REFINANCING PASS","REFINANCING FAILURE"))</f>
        <v>n/a (beyond horizon)</v>
      </c>
    </row>
    <row r="10786" customFormat="false" ht="15" hidden="false" customHeight="false" outlineLevel="0" collapsed="false">
      <c r="A10786" s="3" t="s">
        <v>329</v>
      </c>
      <c r="C10786" s="3" t="str">
        <f aca="false">IF(SUM($G$10742:$K$10742)=0,"n/a",IF(C10784&gt;=C10783-0.001,"Repaid from cash",IF(SUMPRODUCT($G$10742:$K$10742,$G$10739:$K$10739)&gt;0,IF(C10784&gt;0,"Partly repaid; remainder refinanced","Refinanced"),IF(SUM($G$10751:$K$10751)&gt;0.001,IF(C10784&gt;0,"Partial repayment; PAYMENT DEFAULT","PAYMENT DEFAULT"),"Repaid from cash"))))</f>
        <v>n/a</v>
      </c>
    </row>
    <row r="10787" customFormat="false" ht="15" hidden="false" customHeight="false" outlineLevel="0" collapsed="false">
      <c r="A10787" s="3" t="s">
        <v>330</v>
      </c>
      <c r="C10787" s="25" t="n">
        <f aca="false">SUMPRODUCT($G$10755:$K$10755,$G$10754:$K$10754-$G$10760:$K$10760+$G$10759:$K$10759)</f>
        <v>276.706</v>
      </c>
    </row>
    <row r="10788" customFormat="false" ht="15" hidden="false" customHeight="false" outlineLevel="0" collapsed="false">
      <c r="A10788" s="3" t="s">
        <v>331</v>
      </c>
      <c r="C10788" s="25" t="n">
        <f aca="false">SUMPRODUCT($G$10755:$K$10755,$G$10762:$K$10762)</f>
        <v>276.706</v>
      </c>
    </row>
    <row r="10789" customFormat="false" ht="15" hidden="false" customHeight="false" outlineLevel="0" collapsed="false">
      <c r="A10789" s="3" t="s">
        <v>332</v>
      </c>
      <c r="C10789" s="3" t="str">
        <f aca="false">IF(SUM($G$10755:$K$10755)=0,"n/a (beyond horizon)",IF(SUMPRODUCT($G$10755:$K$10755,$G$10739:$K$10739)&gt;0,"REFINANCING PASS","REFINANCING FAILURE"))</f>
        <v>REFINANCING PASS</v>
      </c>
    </row>
    <row r="10790" customFormat="false" ht="15" hidden="false" customHeight="false" outlineLevel="0" collapsed="false">
      <c r="A10790" s="3" t="s">
        <v>333</v>
      </c>
      <c r="C10790" s="3" t="str">
        <f aca="false">IF(SUM($G$10755:$K$10755)=0,"n/a",IF(C10788&gt;=C10787-0.001,"Repaid from cash",IF(SUMPRODUCT($G$10755:$K$10755,$G$10739:$K$10739)&gt;0,IF(C10788&gt;0,"Partly repaid; remainder refinanced","Refinanced"),IF(SUM($G$10764:$K$10764)&gt;0.001,IF(C10788&gt;0,"Partial repayment; PAYMENT DEFAULT","PAYMENT DEFAULT"),"Repaid from cash"))))</f>
        <v>Repaid from cash</v>
      </c>
    </row>
    <row r="10791" customFormat="false" ht="15" hidden="false" customHeight="false" outlineLevel="0" collapsed="false">
      <c r="A10791" s="3" t="s">
        <v>334</v>
      </c>
      <c r="C10791" s="25" t="n">
        <f aca="false">SUMPRODUCT($G$10768:$K$10768,$G$10767:$K$10767-$G$10773:$K$10773+$G$10772:$K$10772)</f>
        <v>143.75</v>
      </c>
    </row>
    <row r="10792" customFormat="false" ht="15" hidden="false" customHeight="false" outlineLevel="0" collapsed="false">
      <c r="A10792" s="3" t="s">
        <v>335</v>
      </c>
      <c r="C10792" s="25" t="n">
        <f aca="false">SUMPRODUCT($G$10768:$K$10768,$G$10775:$K$10775)</f>
        <v>143.75</v>
      </c>
    </row>
    <row r="10793" customFormat="false" ht="15" hidden="false" customHeight="false" outlineLevel="0" collapsed="false">
      <c r="A10793" s="3" t="s">
        <v>336</v>
      </c>
      <c r="C10793" s="3" t="str">
        <f aca="false">IF(SUM($G$10768:$K$10768)=0,"n/a (beyond horizon)",IF(SUMPRODUCT($G$10768:$K$10768,$G$10739:$K$10739)&gt;0,"REFINANCING PASS","REFINANCING FAILURE"))</f>
        <v>REFINANCING PASS</v>
      </c>
    </row>
    <row r="10794" customFormat="false" ht="15" hidden="false" customHeight="false" outlineLevel="0" collapsed="false">
      <c r="A10794" s="3" t="s">
        <v>337</v>
      </c>
      <c r="C10794" s="3" t="str">
        <f aca="false">IF(SUM($G$10768:$K$10768)=0,"n/a",IF(C10792&gt;=C10791-0.001,"Repaid from cash",IF(SUMPRODUCT($G$10768:$K$10768,$G$10739:$K$10739)&gt;0,IF(C10792&gt;0,"Partly repaid; remainder refinanced","Refinanced"),IF(SUM($G$10777:$K$10777)&gt;0.001,IF(C10792&gt;0,"Partial repayment; PAYMENT DEFAULT","PAYMENT DEFAULT"),"Repaid from cash"))))</f>
        <v>Repaid from cash</v>
      </c>
    </row>
    <row r="10795" customFormat="false" ht="15" hidden="false" customHeight="false" outlineLevel="0" collapsed="false">
      <c r="A10795" s="3" t="s">
        <v>338</v>
      </c>
      <c r="C10795" s="20" t="n">
        <f aca="false">IF(C10785="REFINANCING FAILURE",1,0)+IF(C10789="REFINANCING FAILURE",1,0)+IF(C10793="REFINANCING FAILURE",1,0)</f>
        <v>0</v>
      </c>
    </row>
    <row r="10797" customFormat="false" ht="15" hidden="false" customHeight="false" outlineLevel="0" collapsed="false">
      <c r="A10797" s="23" t="s">
        <v>340</v>
      </c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</row>
    <row r="10798" customFormat="false" ht="15" hidden="false" customHeight="false" outlineLevel="0" collapsed="false">
      <c r="A10798" s="3" t="s">
        <v>305</v>
      </c>
      <c r="G10798" s="25" t="n">
        <f aca="false">F10810</f>
        <v>463.996</v>
      </c>
      <c r="H10798" s="25" t="n">
        <f aca="false">G10810</f>
        <v>589.86335403</v>
      </c>
      <c r="I10798" s="25" t="n">
        <f aca="false">H10810</f>
        <v>706.0173737988</v>
      </c>
      <c r="J10798" s="25" t="n">
        <f aca="false">I10810</f>
        <v>390.575377766904</v>
      </c>
      <c r="K10798" s="25" t="n">
        <f aca="false">J10810</f>
        <v>499.440625970316</v>
      </c>
    </row>
    <row r="10799" customFormat="false" ht="15" hidden="false" customHeight="false" outlineLevel="0" collapsed="false">
      <c r="A10799" s="3" t="s">
        <v>341</v>
      </c>
      <c r="G10799" s="25" t="n">
        <f aca="false">G10728</f>
        <v>125.86735403</v>
      </c>
      <c r="H10799" s="25" t="n">
        <f aca="false">H10728</f>
        <v>116.1540197688</v>
      </c>
      <c r="I10799" s="25" t="n">
        <f aca="false">I10728</f>
        <v>105.014003968104</v>
      </c>
      <c r="J10799" s="25" t="n">
        <f aca="false">J10728</f>
        <v>108.865248203412</v>
      </c>
      <c r="K10799" s="25" t="n">
        <f aca="false">K10728</f>
        <v>99.6877228787792</v>
      </c>
    </row>
    <row r="10800" customFormat="false" ht="15" hidden="false" customHeight="false" outlineLevel="0" collapsed="false">
      <c r="A10800" s="3" t="s">
        <v>342</v>
      </c>
      <c r="G10800" s="25" t="n">
        <f aca="false">CHOOSE($C$10698,Assumptions!$G$74,Assumptions!$G$93,Assumptions!$G$112)</f>
        <v>0</v>
      </c>
      <c r="H10800" s="25" t="n">
        <f aca="false">CHOOSE($C$10698,Assumptions!$H$74,Assumptions!$H$93,Assumptions!$H$112)</f>
        <v>0</v>
      </c>
      <c r="I10800" s="25" t="n">
        <f aca="false">CHOOSE($C$10698,Assumptions!$I$74,Assumptions!$I$93,Assumptions!$I$112)</f>
        <v>0</v>
      </c>
      <c r="J10800" s="25" t="n">
        <f aca="false">CHOOSE($C$10698,Assumptions!$J$74,Assumptions!$J$93,Assumptions!$J$112)</f>
        <v>0</v>
      </c>
      <c r="K10800" s="25" t="n">
        <f aca="false">CHOOSE($C$10698,Assumptions!$K$74,Assumptions!$K$93,Assumptions!$K$112)</f>
        <v>0</v>
      </c>
    </row>
    <row r="10801" customFormat="false" ht="15" hidden="false" customHeight="false" outlineLevel="0" collapsed="false">
      <c r="A10801" s="3" t="s">
        <v>343</v>
      </c>
      <c r="G10801" s="25" t="n">
        <f aca="false">G10747+G10760+G10773</f>
        <v>0</v>
      </c>
      <c r="H10801" s="25" t="n">
        <f aca="false">H10747+H10760+H10773</f>
        <v>0</v>
      </c>
      <c r="I10801" s="25" t="n">
        <f aca="false">I10747+I10760+I10773</f>
        <v>0</v>
      </c>
      <c r="J10801" s="25" t="n">
        <f aca="false">J10747+J10760+J10773</f>
        <v>0</v>
      </c>
      <c r="K10801" s="25" t="n">
        <f aca="false">K10747+K10760+K10773</f>
        <v>0</v>
      </c>
    </row>
    <row r="10802" customFormat="false" ht="15" hidden="false" customHeight="false" outlineLevel="0" collapsed="false">
      <c r="A10802" s="2" t="s">
        <v>344</v>
      </c>
      <c r="G10802" s="16" t="n">
        <f aca="false">G10798+G10799+G10800-G10801</f>
        <v>589.86335403</v>
      </c>
      <c r="H10802" s="16" t="n">
        <f aca="false">H10798+H10799+H10800-H10801</f>
        <v>706.0173737988</v>
      </c>
      <c r="I10802" s="16" t="n">
        <f aca="false">I10798+I10799+I10800-I10801</f>
        <v>811.031377766904</v>
      </c>
      <c r="J10802" s="16" t="n">
        <f aca="false">J10798+J10799+J10800-J10801</f>
        <v>499.440625970316</v>
      </c>
      <c r="K10802" s="16" t="n">
        <f aca="false">K10798+K10799+K10800-K10801</f>
        <v>599.128348849095</v>
      </c>
    </row>
    <row r="10803" customFormat="false" ht="15" hidden="false" customHeight="false" outlineLevel="0" collapsed="false">
      <c r="A10803" s="3" t="s">
        <v>345</v>
      </c>
      <c r="G10803" s="25" t="n">
        <f aca="false">G10748+G10761+G10774</f>
        <v>0</v>
      </c>
      <c r="H10803" s="25" t="n">
        <f aca="false">H10748+H10761+H10774</f>
        <v>0</v>
      </c>
      <c r="I10803" s="25" t="n">
        <f aca="false">I10748+I10761+I10774</f>
        <v>0</v>
      </c>
      <c r="J10803" s="25" t="n">
        <f aca="false">J10748+J10761+J10774</f>
        <v>0</v>
      </c>
      <c r="K10803" s="25" t="n">
        <f aca="false">K10748+K10761+K10774</f>
        <v>0</v>
      </c>
    </row>
    <row r="10804" customFormat="false" ht="15" hidden="false" customHeight="false" outlineLevel="0" collapsed="false">
      <c r="A10804" s="2" t="s">
        <v>346</v>
      </c>
      <c r="G10804" s="16" t="n">
        <f aca="false">G10802+G10803</f>
        <v>589.86335403</v>
      </c>
      <c r="H10804" s="16" t="n">
        <f aca="false">H10802+H10803</f>
        <v>706.0173737988</v>
      </c>
      <c r="I10804" s="16" t="n">
        <f aca="false">I10802+I10803</f>
        <v>811.031377766904</v>
      </c>
      <c r="J10804" s="16" t="n">
        <f aca="false">J10802+J10803</f>
        <v>499.440625970316</v>
      </c>
      <c r="K10804" s="16" t="n">
        <f aca="false">K10802+K10803</f>
        <v>599.128348849095</v>
      </c>
    </row>
    <row r="10805" customFormat="false" ht="15" hidden="false" customHeight="false" outlineLevel="0" collapsed="false">
      <c r="A10805" s="3" t="s">
        <v>347</v>
      </c>
      <c r="G10805" s="25" t="n">
        <f aca="false">G10749+G10762+G10775</f>
        <v>0</v>
      </c>
      <c r="H10805" s="25" t="n">
        <f aca="false">H10749+H10762+H10775</f>
        <v>0</v>
      </c>
      <c r="I10805" s="25" t="n">
        <f aca="false">I10749+I10762+I10775</f>
        <v>420.456</v>
      </c>
      <c r="J10805" s="25" t="n">
        <f aca="false">J10749+J10762+J10775</f>
        <v>0</v>
      </c>
      <c r="K10805" s="25" t="n">
        <f aca="false">K10749+K10762+K10775</f>
        <v>0</v>
      </c>
    </row>
    <row r="10806" customFormat="false" ht="15" hidden="false" customHeight="false" outlineLevel="0" collapsed="false">
      <c r="A10806" s="2" t="s">
        <v>348</v>
      </c>
      <c r="G10806" s="16" t="n">
        <f aca="false">G10804-G10805</f>
        <v>589.86335403</v>
      </c>
      <c r="H10806" s="16" t="n">
        <f aca="false">H10804-H10805</f>
        <v>706.0173737988</v>
      </c>
      <c r="I10806" s="16" t="n">
        <f aca="false">I10804-I10805</f>
        <v>390.575377766904</v>
      </c>
      <c r="J10806" s="16" t="n">
        <f aca="false">J10804-J10805</f>
        <v>499.440625970316</v>
      </c>
      <c r="K10806" s="16" t="n">
        <f aca="false">K10804-K10805</f>
        <v>599.128348849095</v>
      </c>
    </row>
    <row r="10807" customFormat="false" ht="15" hidden="false" customHeight="false" outlineLevel="0" collapsed="false">
      <c r="A10807" s="3" t="s">
        <v>349</v>
      </c>
      <c r="G10807" s="25" t="n">
        <f aca="false">MAX(0,-G10806)</f>
        <v>0</v>
      </c>
      <c r="H10807" s="25" t="n">
        <f aca="false">MAX(0,-H10806)</f>
        <v>0</v>
      </c>
      <c r="I10807" s="25" t="n">
        <f aca="false">MAX(0,-I10806)</f>
        <v>0</v>
      </c>
      <c r="J10807" s="25" t="n">
        <f aca="false">MAX(0,-J10806)</f>
        <v>0</v>
      </c>
      <c r="K10807" s="25" t="n">
        <f aca="false">MAX(0,-K10806)</f>
        <v>0</v>
      </c>
    </row>
    <row r="10808" customFormat="false" ht="15" hidden="false" customHeight="false" outlineLevel="0" collapsed="false">
      <c r="A10808" s="3" t="s">
        <v>350</v>
      </c>
      <c r="G10808" s="25" t="n">
        <f aca="false">MAX(0,G10806-Assumptions!$C$12)*Assumptions!$C$13</f>
        <v>0</v>
      </c>
      <c r="H10808" s="25" t="n">
        <f aca="false">MAX(0,H10806-Assumptions!$C$12)*Assumptions!$C$13</f>
        <v>0</v>
      </c>
      <c r="I10808" s="25" t="n">
        <f aca="false">MAX(0,I10806-Assumptions!$C$12)*Assumptions!$C$13</f>
        <v>0</v>
      </c>
      <c r="J10808" s="25" t="n">
        <f aca="false">MAX(0,J10806-Assumptions!$C$12)*Assumptions!$C$13</f>
        <v>0</v>
      </c>
      <c r="K10808" s="25" t="n">
        <f aca="false">MAX(0,K10806-Assumptions!$C$12)*Assumptions!$C$13</f>
        <v>0</v>
      </c>
    </row>
    <row r="10809" customFormat="false" ht="15" hidden="false" customHeight="false" outlineLevel="0" collapsed="false">
      <c r="A10809" s="3" t="s">
        <v>351</v>
      </c>
      <c r="G10809" s="25" t="n">
        <f aca="false">G10750+G10763+G10776</f>
        <v>0</v>
      </c>
      <c r="H10809" s="25" t="n">
        <f aca="false">H10750+H10763+H10776</f>
        <v>0</v>
      </c>
      <c r="I10809" s="25" t="n">
        <f aca="false">I10750+I10763+I10776</f>
        <v>0</v>
      </c>
      <c r="J10809" s="25" t="n">
        <f aca="false">J10750+J10763+J10776</f>
        <v>0</v>
      </c>
      <c r="K10809" s="25" t="n">
        <f aca="false">K10750+K10763+K10776</f>
        <v>0</v>
      </c>
    </row>
    <row r="10810" customFormat="false" ht="15" hidden="false" customHeight="false" outlineLevel="0" collapsed="false">
      <c r="A10810" s="2" t="s">
        <v>352</v>
      </c>
      <c r="F10810" s="28" t="n">
        <f aca="false">Assumptions!$C$11</f>
        <v>463.996</v>
      </c>
      <c r="G10810" s="16" t="n">
        <f aca="false">G10806-G10809</f>
        <v>589.86335403</v>
      </c>
      <c r="H10810" s="16" t="n">
        <f aca="false">H10806-H10809</f>
        <v>706.0173737988</v>
      </c>
      <c r="I10810" s="16" t="n">
        <f aca="false">I10806-I10809</f>
        <v>390.575377766904</v>
      </c>
      <c r="J10810" s="16" t="n">
        <f aca="false">J10806-J10809</f>
        <v>499.440625970316</v>
      </c>
      <c r="K10810" s="16" t="n">
        <f aca="false">K10806-K10809</f>
        <v>599.128348849095</v>
      </c>
    </row>
    <row r="10811" customFormat="false" ht="15" hidden="false" customHeight="false" outlineLevel="0" collapsed="false">
      <c r="A10811" s="3" t="s">
        <v>353</v>
      </c>
      <c r="G10811" s="25" t="n">
        <f aca="false">G10751+G10764+G10777</f>
        <v>0</v>
      </c>
      <c r="H10811" s="25" t="n">
        <f aca="false">H10751+H10764+H10777</f>
        <v>0</v>
      </c>
      <c r="I10811" s="25" t="n">
        <f aca="false">I10751+I10764+I10777</f>
        <v>0</v>
      </c>
      <c r="J10811" s="25" t="n">
        <f aca="false">J10751+J10764+J10777</f>
        <v>0</v>
      </c>
      <c r="K10811" s="25" t="n">
        <f aca="false">K10751+K10764+K10777</f>
        <v>0</v>
      </c>
    </row>
    <row r="10812" customFormat="false" ht="15" hidden="false" customHeight="false" outlineLevel="0" collapsed="false">
      <c r="A10812" s="3" t="s">
        <v>354</v>
      </c>
      <c r="G10812" s="20" t="n">
        <f aca="false">IF(OR(G10807&gt;0.001,G10811&gt;0.001),1,0)</f>
        <v>0</v>
      </c>
      <c r="H10812" s="20" t="n">
        <f aca="false">IF(OR(H10807&gt;0.001,H10811&gt;0.001),1,0)</f>
        <v>0</v>
      </c>
      <c r="I10812" s="20" t="n">
        <f aca="false">IF(OR(I10807&gt;0.001,I10811&gt;0.001),1,0)</f>
        <v>0</v>
      </c>
      <c r="J10812" s="20" t="n">
        <f aca="false">IF(OR(J10807&gt;0.001,J10811&gt;0.001),1,0)</f>
        <v>0</v>
      </c>
      <c r="K10812" s="20" t="n">
        <f aca="false">IF(OR(K10807&gt;0.001,K10811&gt;0.001),1,0)</f>
        <v>0</v>
      </c>
    </row>
    <row r="10813" customFormat="false" ht="15" hidden="false" customHeight="false" outlineLevel="0" collapsed="false">
      <c r="A10813" s="3" t="s">
        <v>355</v>
      </c>
      <c r="G10813" s="20" t="n">
        <f aca="false">IF(G10812=1,1,0)</f>
        <v>0</v>
      </c>
      <c r="H10813" s="20" t="n">
        <f aca="false">IF(AND(H10812=1,SUM($G$10812:G10812)=0),1,0)</f>
        <v>0</v>
      </c>
      <c r="I10813" s="20" t="n">
        <f aca="false">IF(AND(I10812=1,SUM($G$10812:H10812)=0),1,0)</f>
        <v>0</v>
      </c>
      <c r="J10813" s="20" t="n">
        <f aca="false">IF(AND(J10812=1,SUM($G$10812:I10812)=0),1,0)</f>
        <v>0</v>
      </c>
      <c r="K10813" s="20" t="n">
        <f aca="false">IF(AND(K10812=1,SUM($G$10812:J10812)=0),1,0)</f>
        <v>0</v>
      </c>
    </row>
    <row r="10814" customFormat="false" ht="15" hidden="false" customHeight="false" outlineLevel="0" collapsed="false">
      <c r="A10814" s="3" t="s">
        <v>356</v>
      </c>
      <c r="G10814" s="25" t="n">
        <f aca="false">(G10780-F10780)-(G10803+G10720-G10801-G10805-G10809)</f>
        <v>0</v>
      </c>
      <c r="H10814" s="25" t="n">
        <f aca="false">(H10780-G10780)-(H10803+H10720-H10801-H10805-H10809)</f>
        <v>0</v>
      </c>
      <c r="I10814" s="25" t="n">
        <f aca="false">(I10780-H10780)-(I10803+I10720-I10801-I10805-I10809)</f>
        <v>0</v>
      </c>
      <c r="J10814" s="25" t="n">
        <f aca="false">(J10780-I10780)-(J10803+J10720-J10801-J10805-J10809)</f>
        <v>0</v>
      </c>
      <c r="K10814" s="25" t="n">
        <f aca="false">(K10780-J10780)-(K10803+K10720-K10801-K10805-K10809)</f>
        <v>0</v>
      </c>
    </row>
    <row r="10816" customFormat="false" ht="15" hidden="false" customHeight="false" outlineLevel="0" collapsed="false">
      <c r="A10816" s="23" t="s">
        <v>358</v>
      </c>
      <c r="B10816" s="24"/>
      <c r="C10816" s="24"/>
      <c r="D10816" s="24"/>
      <c r="E10816" s="24"/>
      <c r="F10816" s="24"/>
      <c r="G10816" s="24"/>
      <c r="H10816" s="24"/>
      <c r="I10816" s="24"/>
      <c r="J10816" s="24"/>
      <c r="K10816" s="24"/>
    </row>
    <row r="10817" customFormat="false" ht="15" hidden="false" customHeight="false" outlineLevel="0" collapsed="false">
      <c r="A10817" s="3" t="s">
        <v>359</v>
      </c>
      <c r="G10817" s="25" t="n">
        <f aca="false">G10780</f>
        <v>1735.554</v>
      </c>
      <c r="H10817" s="25" t="n">
        <f aca="false">H10780</f>
        <v>1735.554</v>
      </c>
      <c r="I10817" s="25" t="n">
        <f aca="false">I10780</f>
        <v>1315.098</v>
      </c>
      <c r="J10817" s="25" t="n">
        <f aca="false">J10780</f>
        <v>1315.098</v>
      </c>
      <c r="K10817" s="25" t="n">
        <f aca="false">K10780</f>
        <v>1315.098</v>
      </c>
    </row>
    <row r="10818" customFormat="false" ht="15" hidden="false" customHeight="false" outlineLevel="0" collapsed="false">
      <c r="A10818" s="3" t="s">
        <v>360</v>
      </c>
      <c r="G10818" s="25" t="n">
        <f aca="false">Assumptions!$O$56*G10752+Assumptions!$O$57*G10765+Assumptions!$O$58*G10778</f>
        <v>1315.098</v>
      </c>
      <c r="H10818" s="25" t="n">
        <f aca="false">Assumptions!$O$56*H10752+Assumptions!$O$57*H10765+Assumptions!$O$58*H10778</f>
        <v>1315.098</v>
      </c>
      <c r="I10818" s="25" t="n">
        <f aca="false">Assumptions!$O$56*I10752+Assumptions!$O$57*I10765+Assumptions!$O$58*I10778</f>
        <v>1315.098</v>
      </c>
      <c r="J10818" s="25" t="n">
        <f aca="false">Assumptions!$O$56*J10752+Assumptions!$O$57*J10765+Assumptions!$O$58*J10778</f>
        <v>1315.098</v>
      </c>
      <c r="K10818" s="25" t="n">
        <f aca="false">Assumptions!$O$56*K10752+Assumptions!$O$57*K10765+Assumptions!$O$58*K10778</f>
        <v>1315.098</v>
      </c>
    </row>
    <row r="10819" customFormat="false" ht="15" hidden="false" customHeight="false" outlineLevel="0" collapsed="false">
      <c r="A10819" s="3" t="s">
        <v>361</v>
      </c>
      <c r="G10819" s="25" t="n">
        <f aca="false">G10817-G10810</f>
        <v>1145.69064597</v>
      </c>
      <c r="H10819" s="25" t="n">
        <f aca="false">H10817-H10810</f>
        <v>1029.5366262012</v>
      </c>
      <c r="I10819" s="25" t="n">
        <f aca="false">I10817-I10810</f>
        <v>924.522622233096</v>
      </c>
      <c r="J10819" s="25" t="n">
        <f aca="false">J10817-J10810</f>
        <v>815.657374029684</v>
      </c>
      <c r="K10819" s="25" t="n">
        <f aca="false">K10817-K10810</f>
        <v>715.969651150905</v>
      </c>
    </row>
    <row r="10820" customFormat="false" ht="15" hidden="false" customHeight="false" outlineLevel="0" collapsed="false">
      <c r="A10820" s="3" t="s">
        <v>362</v>
      </c>
      <c r="G10820" s="32" t="n">
        <f aca="false">IF(G10715&gt;0,G10817/G10715,0)</f>
        <v>5.77916207762031</v>
      </c>
      <c r="H10820" s="32" t="n">
        <f aca="false">IF(H10715&gt;0,H10817/H10715,0)</f>
        <v>6.01996049752115</v>
      </c>
      <c r="I10820" s="32" t="n">
        <f aca="false">IF(I10715&gt;0,I10817/I10715,0)</f>
        <v>4.79551511119407</v>
      </c>
      <c r="J10820" s="32" t="n">
        <f aca="false">IF(J10715&gt;0,J10817/J10715,0)</f>
        <v>5.01653339406293</v>
      </c>
      <c r="K10820" s="32" t="n">
        <f aca="false">IF(K10715&gt;0,K10817/K10715,0)</f>
        <v>5.2488732235156</v>
      </c>
    </row>
    <row r="10821" customFormat="false" ht="15" hidden="false" customHeight="false" outlineLevel="0" collapsed="false">
      <c r="A10821" s="3" t="s">
        <v>363</v>
      </c>
      <c r="G10821" s="32" t="n">
        <f aca="false">IF(G10715&gt;0,G10819/G10715,0)</f>
        <v>3.81499621093561</v>
      </c>
      <c r="H10821" s="32" t="n">
        <f aca="false">IF(H10715&gt;0,H10819/H10715,0)</f>
        <v>3.57106135590274</v>
      </c>
      <c r="I10821" s="32" t="n">
        <f aca="false">IF(I10715&gt;0,I10819/I10715,0)</f>
        <v>3.37127895073947</v>
      </c>
      <c r="J10821" s="32" t="n">
        <f aca="false">IF(J10715&gt;0,J10819/J10715,0)</f>
        <v>3.11138215930188</v>
      </c>
      <c r="K10821" s="32" t="n">
        <f aca="false">IF(K10715&gt;0,K10819/K10715,0)</f>
        <v>2.85760751729209</v>
      </c>
    </row>
    <row r="10822" customFormat="false" ht="15" hidden="false" customHeight="false" outlineLevel="0" collapsed="false">
      <c r="A10822" s="3" t="s">
        <v>364</v>
      </c>
      <c r="G10822" s="32" t="n">
        <f aca="false">IF(G10719&gt;0,G10715/G10719,0)</f>
        <v>1.92563899625449</v>
      </c>
      <c r="H10822" s="32" t="n">
        <f aca="false">IF(H10719&gt;0,H10715/H10719,0)</f>
        <v>1.84861343640431</v>
      </c>
      <c r="I10822" s="32" t="n">
        <f aca="false">IF(I10719&gt;0,I10715/I10719,0)</f>
        <v>1.75842750947116</v>
      </c>
      <c r="J10822" s="32" t="n">
        <f aca="false">IF(J10719&gt;0,J10715/J10719,0)</f>
        <v>1.89848422719182</v>
      </c>
      <c r="K10822" s="32" t="n">
        <f aca="false">IF(K10719&gt;0,K10715/K10719,0)</f>
        <v>1.81444838125289</v>
      </c>
    </row>
    <row r="10823" customFormat="false" ht="15" hidden="false" customHeight="false" outlineLevel="0" collapsed="false">
      <c r="A10823" s="3" t="s">
        <v>365</v>
      </c>
      <c r="G10823" s="32" t="n">
        <f aca="false">IF(G10719&gt;0,G10718/G10719,0)</f>
        <v>1.25417683356324</v>
      </c>
      <c r="H10823" s="32" t="n">
        <f aca="false">IF(H10719&gt;0,H10718/H10719,0)</f>
        <v>1.20400976022071</v>
      </c>
      <c r="I10823" s="32" t="n">
        <f aca="false">IF(I10719&gt;0,I10718/I10719,0)</f>
        <v>1.13638496195398</v>
      </c>
      <c r="J10823" s="32" t="n">
        <f aca="false">IF(J10719&gt;0,J10718/J10719,0)</f>
        <v>1.21702042306555</v>
      </c>
      <c r="K10823" s="32" t="n">
        <f aca="false">IF(K10719&gt;0,K10718/K10719,0)</f>
        <v>1.1534284912504</v>
      </c>
    </row>
    <row r="10824" customFormat="false" ht="15" hidden="false" customHeight="false" outlineLevel="0" collapsed="false">
      <c r="A10824" s="3" t="s">
        <v>198</v>
      </c>
      <c r="G10824" s="21" t="n">
        <f aca="false">IF(G10817&gt;0,G10728/G10817,0)</f>
        <v>0.0725228682196002</v>
      </c>
      <c r="H10824" s="21" t="n">
        <f aca="false">IF(H10817&gt;0,H10728/H10817,0)</f>
        <v>0.0669261917340515</v>
      </c>
      <c r="I10824" s="21" t="n">
        <f aca="false">IF(I10817&gt;0,I10728/I10817,0)</f>
        <v>0.0798526071578726</v>
      </c>
      <c r="J10824" s="21" t="n">
        <f aca="false">IF(J10817&gt;0,J10728/J10817,0)</f>
        <v>0.0827810917539313</v>
      </c>
      <c r="K10824" s="21" t="n">
        <f aca="false">IF(K10817&gt;0,K10728/K10817,0)</f>
        <v>0.0758025051203631</v>
      </c>
    </row>
    <row r="10825" customFormat="false" ht="15" hidden="false" customHeight="false" outlineLevel="0" collapsed="false">
      <c r="A10825" s="3" t="s">
        <v>366</v>
      </c>
      <c r="G10825" s="32" t="n">
        <f aca="false">IF(G10719+G10801&gt;0,(G10715-G10726-G10723)/(G10719+G10801),0)</f>
        <v>1.66953088823823</v>
      </c>
      <c r="H10825" s="32" t="n">
        <f aca="false">IF(H10719+H10801&gt;0,(H10715-H10726-H10723)/(H10719+H10801),0)</f>
        <v>1.6127496527087</v>
      </c>
      <c r="I10825" s="32" t="n">
        <f aca="false">IF(I10719+I10801&gt;0,(I10715-I10726-I10723)/(I10719+I10801),0)</f>
        <v>1.54594007236964</v>
      </c>
      <c r="J10825" s="32" t="n">
        <f aca="false">IF(J10719+J10801&gt;0,(J10715-J10726-J10723)/(J10719+J10801),0)</f>
        <v>1.64879692156745</v>
      </c>
      <c r="K10825" s="32" t="n">
        <f aca="false">IF(K10719+K10801&gt;0,(K10715-K10726-K10723)/(K10719+K10801),0)</f>
        <v>1.58652202457805</v>
      </c>
    </row>
    <row r="10826" customFormat="false" ht="15" hidden="false" customHeight="false" outlineLevel="0" collapsed="false">
      <c r="A10826" s="3" t="s">
        <v>367</v>
      </c>
      <c r="G10826" s="25" t="n">
        <f aca="false">MAX(0,G10810)+Assumptions!$P$56*MAX(0,Assumptions!$D$56-G10752)+Assumptions!$P$57*MAX(0,Assumptions!$D$57-G10765)+Assumptions!$P$58*MAX(0,Assumptions!$D$58-G10778)</f>
        <v>589.86335403</v>
      </c>
      <c r="H10826" s="25" t="n">
        <f aca="false">MAX(0,H10810)+Assumptions!$P$56*MAX(0,Assumptions!$D$56-H10752)+Assumptions!$P$57*MAX(0,Assumptions!$D$57-H10765)+Assumptions!$P$58*MAX(0,Assumptions!$D$58-H10778)</f>
        <v>706.0173737988</v>
      </c>
      <c r="I10826" s="25" t="n">
        <f aca="false">MAX(0,I10810)+Assumptions!$P$56*MAX(0,Assumptions!$D$56-I10752)+Assumptions!$P$57*MAX(0,Assumptions!$D$57-I10765)+Assumptions!$P$58*MAX(0,Assumptions!$D$58-I10778)</f>
        <v>390.575377766904</v>
      </c>
      <c r="J10826" s="25" t="n">
        <f aca="false">MAX(0,J10810)+Assumptions!$P$56*MAX(0,Assumptions!$D$56-J10752)+Assumptions!$P$57*MAX(0,Assumptions!$D$57-J10765)+Assumptions!$P$58*MAX(0,Assumptions!$D$58-J10778)</f>
        <v>499.440625970316</v>
      </c>
      <c r="K10826" s="25" t="n">
        <f aca="false">MAX(0,K10810)+Assumptions!$P$56*MAX(0,Assumptions!$D$56-K10752)+Assumptions!$P$57*MAX(0,Assumptions!$D$57-K10765)+Assumptions!$P$58*MAX(0,Assumptions!$D$58-K10778)</f>
        <v>599.128348849095</v>
      </c>
    </row>
    <row r="10827" customFormat="false" ht="15" hidden="false" customHeight="false" outlineLevel="0" collapsed="false">
      <c r="A10827" s="3" t="s">
        <v>368</v>
      </c>
      <c r="G10827" s="21" t="n">
        <f aca="false">IF(G10817&gt;0,G10817/(G10817+MAX(0,G10715*CHOOSE($C$10698,Assumptions!$C$82,Assumptions!$C$101,Assumptions!$C$120)-G10819)),0)</f>
        <v>0.774254240974845</v>
      </c>
      <c r="H10827" s="21" t="n">
        <f aca="false">IF(H10817&gt;0,H10817/(H10817+MAX(0,H10715*CHOOSE($C$10698,Assumptions!$C$82,Assumptions!$C$101,Assumptions!$C$120)-H10819)),0)</f>
        <v>0.757332605467614</v>
      </c>
      <c r="I10827" s="21" t="n">
        <f aca="false">IF(I10817&gt;0,I10817/(I10817+MAX(0,I10715*CHOOSE($C$10698,Assumptions!$C$82,Assumptions!$C$101,Assumptions!$C$120)-I10819)),0)</f>
        <v>0.692569548476987</v>
      </c>
      <c r="J10827" s="21" t="n">
        <f aca="false">IF(J10817&gt;0,J10817/(J10817+MAX(0,J10715*CHOOSE($C$10698,Assumptions!$C$82,Assumptions!$C$101,Assumptions!$C$120)-J10819)),0)</f>
        <v>0.677438344609961</v>
      </c>
      <c r="K10827" s="21" t="n">
        <f aca="false">IF(K10817&gt;0,K10817/(K10817+MAX(0,K10715*CHOOSE($C$10698,Assumptions!$C$82,Assumptions!$C$101,Assumptions!$C$120)-K10819)),0)</f>
        <v>0.665149726155595</v>
      </c>
    </row>
    <row r="10828" customFormat="false" ht="15" hidden="false" customHeight="false" outlineLevel="0" collapsed="false">
      <c r="A10828" s="3" t="s">
        <v>369</v>
      </c>
      <c r="G10828" s="21" t="n">
        <f aca="false">IF(G10817&gt;0,MAX(0,G10810)/G10817,0)</f>
        <v>0.339870354958705</v>
      </c>
      <c r="H10828" s="21" t="n">
        <f aca="false">IF(H10817&gt;0,MAX(0,H10810)/H10817,0)</f>
        <v>0.406796546692756</v>
      </c>
      <c r="I10828" s="21" t="n">
        <f aca="false">IF(I10817&gt;0,MAX(0,I10810)/I10817,0)</f>
        <v>0.296993363055</v>
      </c>
      <c r="J10828" s="21" t="n">
        <f aca="false">IF(J10817&gt;0,MAX(0,J10810)/J10817,0)</f>
        <v>0.379774454808931</v>
      </c>
      <c r="K10828" s="21" t="n">
        <f aca="false">IF(K10817&gt;0,MAX(0,K10810)/K10817,0)</f>
        <v>0.455576959929294</v>
      </c>
    </row>
    <row r="10829" customFormat="false" ht="15" hidden="false" customHeight="false" outlineLevel="0" collapsed="false">
      <c r="A10829" s="3" t="s">
        <v>370</v>
      </c>
      <c r="G10829" s="25" t="n">
        <f aca="false">Assumptions!$C$30*(1-CHOOSE($C$10698,Assumptions!$C$85,Assumptions!$C$104,Assumptions!$C$123))</f>
        <v>2454.971</v>
      </c>
      <c r="H10829" s="25" t="n">
        <f aca="false">Assumptions!$C$30*(1-CHOOSE($C$10698,Assumptions!$C$85,Assumptions!$C$104,Assumptions!$C$123))</f>
        <v>2454.971</v>
      </c>
      <c r="I10829" s="25" t="n">
        <f aca="false">Assumptions!$C$30*(1-CHOOSE($C$10698,Assumptions!$C$85,Assumptions!$C$104,Assumptions!$C$123))</f>
        <v>2454.971</v>
      </c>
      <c r="J10829" s="25" t="n">
        <f aca="false">Assumptions!$C$30*(1-CHOOSE($C$10698,Assumptions!$C$85,Assumptions!$C$104,Assumptions!$C$123))</f>
        <v>2454.971</v>
      </c>
      <c r="K10829" s="25" t="n">
        <f aca="false">Assumptions!$C$30*(1-CHOOSE($C$10698,Assumptions!$C$85,Assumptions!$C$104,Assumptions!$C$123))</f>
        <v>2454.971</v>
      </c>
    </row>
    <row r="10830" customFormat="false" ht="15" hidden="false" customHeight="false" outlineLevel="0" collapsed="false">
      <c r="A10830" s="23" t="s">
        <v>371</v>
      </c>
      <c r="B10830" s="24"/>
      <c r="C10830" s="24"/>
      <c r="D10830" s="24"/>
      <c r="E10830" s="24"/>
      <c r="F10830" s="24"/>
      <c r="G10830" s="24"/>
      <c r="H10830" s="24"/>
      <c r="I10830" s="24"/>
      <c r="J10830" s="24"/>
      <c r="K10830" s="24"/>
    </row>
    <row r="10831" customFormat="false" ht="15" hidden="false" customHeight="false" outlineLevel="0" collapsed="false">
      <c r="A10831" s="23" t="s">
        <v>372</v>
      </c>
      <c r="B10831" s="24"/>
      <c r="C10831" s="24"/>
      <c r="D10831" s="24"/>
      <c r="E10831" s="24"/>
      <c r="F10831" s="24"/>
      <c r="G10831" s="24"/>
      <c r="H10831" s="24"/>
      <c r="I10831" s="24"/>
      <c r="J10831" s="24"/>
      <c r="K10831" s="24"/>
    </row>
    <row r="10832" customFormat="false" ht="15" hidden="false" customHeight="false" outlineLevel="0" collapsed="false">
      <c r="A10832" s="3" t="s">
        <v>373</v>
      </c>
      <c r="G10832" s="32" t="n">
        <f aca="false">IF(G10715&gt;0,G10819/G10715,99)</f>
        <v>3.81499621093561</v>
      </c>
      <c r="H10832" s="32" t="n">
        <f aca="false">IF(H10715&gt;0,H10819/H10715,99)</f>
        <v>3.57106135590274</v>
      </c>
      <c r="I10832" s="32" t="n">
        <f aca="false">IF(I10715&gt;0,I10819/I10715,99)</f>
        <v>3.37127895073947</v>
      </c>
      <c r="J10832" s="32" t="n">
        <f aca="false">IF(J10715&gt;0,J10819/J10715,99)</f>
        <v>3.11138215930188</v>
      </c>
      <c r="K10832" s="32" t="n">
        <f aca="false">IF(K10715&gt;0,K10819/K10715,99)</f>
        <v>2.85760751729209</v>
      </c>
    </row>
    <row r="10833" customFormat="false" ht="15" hidden="false" customHeight="false" outlineLevel="0" collapsed="false">
      <c r="A10833" s="3" t="s">
        <v>374</v>
      </c>
      <c r="G10833" s="33" t="n">
        <f aca="false">Assumptions!$G$65</f>
        <v>5.25</v>
      </c>
      <c r="H10833" s="33" t="n">
        <f aca="false">Assumptions!$H$65</f>
        <v>5.25</v>
      </c>
      <c r="I10833" s="33" t="n">
        <f aca="false">Assumptions!$I$65</f>
        <v>5</v>
      </c>
      <c r="J10833" s="33" t="n">
        <f aca="false">Assumptions!$J$65</f>
        <v>5</v>
      </c>
      <c r="K10833" s="33" t="n">
        <f aca="false">Assumptions!$K$65</f>
        <v>5</v>
      </c>
    </row>
    <row r="10834" customFormat="false" ht="15" hidden="false" customHeight="false" outlineLevel="0" collapsed="false">
      <c r="A10834" s="3" t="s">
        <v>375</v>
      </c>
      <c r="G10834" s="32" t="n">
        <f aca="false">G10833-G10832</f>
        <v>1.43500378906439</v>
      </c>
      <c r="H10834" s="32" t="n">
        <f aca="false">H10833-H10832</f>
        <v>1.67893864409726</v>
      </c>
      <c r="I10834" s="32" t="n">
        <f aca="false">I10833-I10832</f>
        <v>1.62872104926053</v>
      </c>
      <c r="J10834" s="32" t="n">
        <f aca="false">J10833-J10832</f>
        <v>1.88861784069812</v>
      </c>
      <c r="K10834" s="32" t="n">
        <f aca="false">K10833-K10832</f>
        <v>2.14239248270791</v>
      </c>
    </row>
    <row r="10835" customFormat="false" ht="15" hidden="false" customHeight="false" outlineLevel="0" collapsed="false">
      <c r="A10835" s="3" t="s">
        <v>376</v>
      </c>
      <c r="G10835" s="21" t="n">
        <f aca="false">IF(G10833=0,0,G10834/ABS(G10833))</f>
        <v>0.273334055059884</v>
      </c>
      <c r="H10835" s="21" t="n">
        <f aca="false">IF(H10833=0,0,H10834/ABS(H10833))</f>
        <v>0.319797836970907</v>
      </c>
      <c r="I10835" s="21" t="n">
        <f aca="false">IF(I10833=0,0,I10834/ABS(I10833))</f>
        <v>0.325744209852106</v>
      </c>
      <c r="J10835" s="21" t="n">
        <f aca="false">IF(J10833=0,0,J10834/ABS(J10833))</f>
        <v>0.377723568139623</v>
      </c>
      <c r="K10835" s="21" t="n">
        <f aca="false">IF(K10833=0,0,K10834/ABS(K10833))</f>
        <v>0.428478496541582</v>
      </c>
    </row>
    <row r="10836" customFormat="false" ht="15" hidden="false" customHeight="false" outlineLevel="0" collapsed="false">
      <c r="A10836" s="3" t="s">
        <v>377</v>
      </c>
      <c r="G10836" s="20" t="n">
        <f aca="false">IF(G10834&lt;0,1,0)</f>
        <v>0</v>
      </c>
      <c r="H10836" s="20" t="n">
        <f aca="false">IF(H10834&lt;0,1,0)</f>
        <v>0</v>
      </c>
      <c r="I10836" s="20" t="n">
        <f aca="false">IF(I10834&lt;0,1,0)</f>
        <v>0</v>
      </c>
      <c r="J10836" s="20" t="n">
        <f aca="false">IF(J10834&lt;0,1,0)</f>
        <v>0</v>
      </c>
      <c r="K10836" s="20" t="n">
        <f aca="false">IF(K10834&lt;0,1,0)</f>
        <v>0</v>
      </c>
    </row>
    <row r="10837" customFormat="false" ht="15" hidden="false" customHeight="false" outlineLevel="0" collapsed="false">
      <c r="A10837" s="3" t="s">
        <v>378</v>
      </c>
      <c r="C10837" s="20" t="n">
        <f aca="false">IFERROR(INDEX($G$10705:$K$10705,MATCH(1,$G$10836:$K$10836,0)),0)</f>
        <v>0</v>
      </c>
    </row>
    <row r="10838" customFormat="false" ht="15" hidden="false" customHeight="false" outlineLevel="0" collapsed="false">
      <c r="A10838" s="3" t="s">
        <v>379</v>
      </c>
      <c r="C10838" s="21" t="n">
        <f aca="false">MIN($G$10835:$K$10835)</f>
        <v>0.273334055059884</v>
      </c>
    </row>
    <row r="10839" customFormat="false" ht="15" hidden="false" customHeight="false" outlineLevel="0" collapsed="false">
      <c r="A10839" s="23" t="s">
        <v>380</v>
      </c>
      <c r="B10839" s="24"/>
      <c r="C10839" s="24"/>
      <c r="D10839" s="24"/>
      <c r="E10839" s="24"/>
      <c r="F10839" s="24"/>
      <c r="G10839" s="24"/>
      <c r="H10839" s="24"/>
      <c r="I10839" s="24"/>
      <c r="J10839" s="24"/>
      <c r="K10839" s="24"/>
    </row>
    <row r="10840" customFormat="false" ht="15" hidden="false" customHeight="false" outlineLevel="0" collapsed="false">
      <c r="A10840" s="3" t="s">
        <v>373</v>
      </c>
      <c r="G10840" s="32" t="n">
        <f aca="false">IF(G10719&gt;0,G10715/G10719,99)</f>
        <v>1.92563899625449</v>
      </c>
      <c r="H10840" s="32" t="n">
        <f aca="false">IF(H10719&gt;0,H10715/H10719,99)</f>
        <v>1.84861343640431</v>
      </c>
      <c r="I10840" s="32" t="n">
        <f aca="false">IF(I10719&gt;0,I10715/I10719,99)</f>
        <v>1.75842750947116</v>
      </c>
      <c r="J10840" s="32" t="n">
        <f aca="false">IF(J10719&gt;0,J10715/J10719,99)</f>
        <v>1.89848422719182</v>
      </c>
      <c r="K10840" s="32" t="n">
        <f aca="false">IF(K10719&gt;0,K10715/K10719,99)</f>
        <v>1.81444838125289</v>
      </c>
    </row>
    <row r="10841" customFormat="false" ht="15" hidden="false" customHeight="false" outlineLevel="0" collapsed="false">
      <c r="A10841" s="3" t="s">
        <v>374</v>
      </c>
      <c r="G10841" s="33" t="n">
        <f aca="false">Assumptions!$G$66</f>
        <v>1.4</v>
      </c>
      <c r="H10841" s="33" t="n">
        <f aca="false">Assumptions!$H$66</f>
        <v>1.4</v>
      </c>
      <c r="I10841" s="33" t="n">
        <f aca="false">Assumptions!$I$66</f>
        <v>1.4</v>
      </c>
      <c r="J10841" s="33" t="n">
        <f aca="false">Assumptions!$J$66</f>
        <v>1.5</v>
      </c>
      <c r="K10841" s="33" t="n">
        <f aca="false">Assumptions!$K$66</f>
        <v>1.5</v>
      </c>
    </row>
    <row r="10842" customFormat="false" ht="15" hidden="false" customHeight="false" outlineLevel="0" collapsed="false">
      <c r="A10842" s="3" t="s">
        <v>375</v>
      </c>
      <c r="G10842" s="32" t="n">
        <f aca="false">G10840-G10841</f>
        <v>0.525638996254489</v>
      </c>
      <c r="H10842" s="32" t="n">
        <f aca="false">H10840-H10841</f>
        <v>0.448613436404309</v>
      </c>
      <c r="I10842" s="32" t="n">
        <f aca="false">I10840-I10841</f>
        <v>0.358427509471156</v>
      </c>
      <c r="J10842" s="32" t="n">
        <f aca="false">J10840-J10841</f>
        <v>0.398484227191822</v>
      </c>
      <c r="K10842" s="32" t="n">
        <f aca="false">K10840-K10841</f>
        <v>0.31444838125289</v>
      </c>
    </row>
    <row r="10843" customFormat="false" ht="15" hidden="false" customHeight="false" outlineLevel="0" collapsed="false">
      <c r="A10843" s="3" t="s">
        <v>376</v>
      </c>
      <c r="G10843" s="21" t="n">
        <f aca="false">IF(G10841=0,0,G10842/ABS(G10841))</f>
        <v>0.375456425896063</v>
      </c>
      <c r="H10843" s="21" t="n">
        <f aca="false">IF(H10841=0,0,H10842/ABS(H10841))</f>
        <v>0.320438168860221</v>
      </c>
      <c r="I10843" s="21" t="n">
        <f aca="false">IF(I10841=0,0,I10842/ABS(I10841))</f>
        <v>0.256019649622254</v>
      </c>
      <c r="J10843" s="21" t="n">
        <f aca="false">IF(J10841=0,0,J10842/ABS(J10841))</f>
        <v>0.265656151461215</v>
      </c>
      <c r="K10843" s="21" t="n">
        <f aca="false">IF(K10841=0,0,K10842/ABS(K10841))</f>
        <v>0.209632254168593</v>
      </c>
    </row>
    <row r="10844" customFormat="false" ht="15" hidden="false" customHeight="false" outlineLevel="0" collapsed="false">
      <c r="A10844" s="3" t="s">
        <v>377</v>
      </c>
      <c r="G10844" s="20" t="n">
        <f aca="false">IF(G10842&lt;0,1,0)</f>
        <v>0</v>
      </c>
      <c r="H10844" s="20" t="n">
        <f aca="false">IF(H10842&lt;0,1,0)</f>
        <v>0</v>
      </c>
      <c r="I10844" s="20" t="n">
        <f aca="false">IF(I10842&lt;0,1,0)</f>
        <v>0</v>
      </c>
      <c r="J10844" s="20" t="n">
        <f aca="false">IF(J10842&lt;0,1,0)</f>
        <v>0</v>
      </c>
      <c r="K10844" s="20" t="n">
        <f aca="false">IF(K10842&lt;0,1,0)</f>
        <v>0</v>
      </c>
    </row>
    <row r="10845" customFormat="false" ht="15" hidden="false" customHeight="false" outlineLevel="0" collapsed="false">
      <c r="A10845" s="3" t="s">
        <v>378</v>
      </c>
      <c r="C10845" s="20" t="n">
        <f aca="false">IFERROR(INDEX($G$10705:$K$10705,MATCH(1,$G$10844:$K$10844,0)),0)</f>
        <v>0</v>
      </c>
    </row>
    <row r="10846" customFormat="false" ht="15" hidden="false" customHeight="false" outlineLevel="0" collapsed="false">
      <c r="A10846" s="3" t="s">
        <v>379</v>
      </c>
      <c r="C10846" s="21" t="n">
        <f aca="false">MIN($G$10843:$K$10843)</f>
        <v>0.209632254168593</v>
      </c>
    </row>
    <row r="10847" customFormat="false" ht="15" hidden="false" customHeight="false" outlineLevel="0" collapsed="false">
      <c r="A10847" s="23" t="s">
        <v>381</v>
      </c>
      <c r="B10847" s="24"/>
      <c r="C10847" s="24"/>
      <c r="D10847" s="24"/>
      <c r="E10847" s="24"/>
      <c r="F10847" s="24"/>
      <c r="G10847" s="24"/>
      <c r="H10847" s="24"/>
      <c r="I10847" s="24"/>
      <c r="J10847" s="24"/>
      <c r="K10847" s="24"/>
    </row>
    <row r="10848" customFormat="false" ht="15" hidden="false" customHeight="false" outlineLevel="0" collapsed="false">
      <c r="A10848" s="3" t="s">
        <v>373</v>
      </c>
      <c r="G10848" s="25" t="n">
        <f aca="false">G10826</f>
        <v>589.86335403</v>
      </c>
      <c r="H10848" s="25" t="n">
        <f aca="false">H10826</f>
        <v>706.0173737988</v>
      </c>
      <c r="I10848" s="25" t="n">
        <f aca="false">I10826</f>
        <v>390.575377766904</v>
      </c>
      <c r="J10848" s="25" t="n">
        <f aca="false">J10826</f>
        <v>499.440625970316</v>
      </c>
      <c r="K10848" s="25" t="n">
        <f aca="false">K10826</f>
        <v>599.128348849095</v>
      </c>
    </row>
    <row r="10849" customFormat="false" ht="15" hidden="false" customHeight="false" outlineLevel="0" collapsed="false">
      <c r="A10849" s="3" t="s">
        <v>374</v>
      </c>
      <c r="G10849" s="29" t="n">
        <f aca="false">Assumptions!$G$67</f>
        <v>200</v>
      </c>
      <c r="H10849" s="29" t="n">
        <f aca="false">Assumptions!$H$67</f>
        <v>200</v>
      </c>
      <c r="I10849" s="29" t="n">
        <f aca="false">Assumptions!$I$67</f>
        <v>200</v>
      </c>
      <c r="J10849" s="29" t="n">
        <f aca="false">Assumptions!$J$67</f>
        <v>200</v>
      </c>
      <c r="K10849" s="29" t="n">
        <f aca="false">Assumptions!$K$67</f>
        <v>200</v>
      </c>
    </row>
    <row r="10850" customFormat="false" ht="15" hidden="false" customHeight="false" outlineLevel="0" collapsed="false">
      <c r="A10850" s="3" t="s">
        <v>375</v>
      </c>
      <c r="G10850" s="25" t="n">
        <f aca="false">G10848-G10849</f>
        <v>389.86335403</v>
      </c>
      <c r="H10850" s="25" t="n">
        <f aca="false">H10848-H10849</f>
        <v>506.0173737988</v>
      </c>
      <c r="I10850" s="25" t="n">
        <f aca="false">I10848-I10849</f>
        <v>190.575377766904</v>
      </c>
      <c r="J10850" s="25" t="n">
        <f aca="false">J10848-J10849</f>
        <v>299.440625970316</v>
      </c>
      <c r="K10850" s="25" t="n">
        <f aca="false">K10848-K10849</f>
        <v>399.128348849095</v>
      </c>
    </row>
    <row r="10851" customFormat="false" ht="15" hidden="false" customHeight="false" outlineLevel="0" collapsed="false">
      <c r="A10851" s="3" t="s">
        <v>376</v>
      </c>
      <c r="G10851" s="21" t="n">
        <f aca="false">IF(G10849=0,0,G10850/ABS(G10849))</f>
        <v>1.94931677015</v>
      </c>
      <c r="H10851" s="21" t="n">
        <f aca="false">IF(H10849=0,0,H10850/ABS(H10849))</f>
        <v>2.530086868994</v>
      </c>
      <c r="I10851" s="21" t="n">
        <f aca="false">IF(I10849=0,0,I10850/ABS(I10849))</f>
        <v>0.95287688883452</v>
      </c>
      <c r="J10851" s="21" t="n">
        <f aca="false">IF(J10849=0,0,J10850/ABS(J10849))</f>
        <v>1.49720312985158</v>
      </c>
      <c r="K10851" s="21" t="n">
        <f aca="false">IF(K10849=0,0,K10850/ABS(K10849))</f>
        <v>1.99564174424547</v>
      </c>
    </row>
    <row r="10852" customFormat="false" ht="15" hidden="false" customHeight="false" outlineLevel="0" collapsed="false">
      <c r="A10852" s="3" t="s">
        <v>377</v>
      </c>
      <c r="G10852" s="20" t="n">
        <f aca="false">IF(G10850&lt;0,1,0)</f>
        <v>0</v>
      </c>
      <c r="H10852" s="20" t="n">
        <f aca="false">IF(H10850&lt;0,1,0)</f>
        <v>0</v>
      </c>
      <c r="I10852" s="20" t="n">
        <f aca="false">IF(I10850&lt;0,1,0)</f>
        <v>0</v>
      </c>
      <c r="J10852" s="20" t="n">
        <f aca="false">IF(J10850&lt;0,1,0)</f>
        <v>0</v>
      </c>
      <c r="K10852" s="20" t="n">
        <f aca="false">IF(K10850&lt;0,1,0)</f>
        <v>0</v>
      </c>
    </row>
    <row r="10853" customFormat="false" ht="15" hidden="false" customHeight="false" outlineLevel="0" collapsed="false">
      <c r="A10853" s="3" t="s">
        <v>378</v>
      </c>
      <c r="C10853" s="20" t="n">
        <f aca="false">IFERROR(INDEX($G$10705:$K$10705,MATCH(1,$G$10852:$K$10852,0)),0)</f>
        <v>0</v>
      </c>
    </row>
    <row r="10854" customFormat="false" ht="15" hidden="false" customHeight="false" outlineLevel="0" collapsed="false">
      <c r="A10854" s="3" t="s">
        <v>379</v>
      </c>
      <c r="C10854" s="21" t="n">
        <f aca="false">MIN($G$10851:$K$10851)</f>
        <v>0.95287688883452</v>
      </c>
    </row>
    <row r="10855" customFormat="false" ht="15" hidden="false" customHeight="false" outlineLevel="0" collapsed="false">
      <c r="A10855" s="3" t="s">
        <v>382</v>
      </c>
      <c r="G10855" s="20" t="n">
        <f aca="false">G10836+G10844+G10852</f>
        <v>0</v>
      </c>
      <c r="H10855" s="20" t="n">
        <f aca="false">H10836+H10844+H10852</f>
        <v>0</v>
      </c>
      <c r="I10855" s="20" t="n">
        <f aca="false">I10836+I10844+I10852</f>
        <v>0</v>
      </c>
      <c r="J10855" s="20" t="n">
        <f aca="false">J10836+J10844+J10852</f>
        <v>0</v>
      </c>
      <c r="K10855" s="20" t="n">
        <f aca="false">K10836+K10844+K10852</f>
        <v>0</v>
      </c>
    </row>
    <row r="10856" customFormat="false" ht="15" hidden="false" customHeight="false" outlineLevel="0" collapsed="false">
      <c r="A10856" s="3" t="s">
        <v>383</v>
      </c>
      <c r="C10856" s="20" t="n">
        <f aca="false">SUM($G$10855:$K$10855)</f>
        <v>0</v>
      </c>
    </row>
    <row r="10857" customFormat="false" ht="15" hidden="false" customHeight="false" outlineLevel="0" collapsed="false">
      <c r="A10857" s="3" t="s">
        <v>384</v>
      </c>
      <c r="C10857" s="21" t="n">
        <f aca="false">MIN(C10838,C10846,C10854)</f>
        <v>0.209632254168593</v>
      </c>
    </row>
    <row r="10859" customFormat="false" ht="15" hidden="false" customHeight="false" outlineLevel="0" collapsed="false">
      <c r="A10859" s="23" t="s">
        <v>486</v>
      </c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</row>
    <row r="10860" customFormat="false" ht="15" hidden="false" customHeight="false" outlineLevel="0" collapsed="false">
      <c r="A10860" s="3" t="s">
        <v>487</v>
      </c>
      <c r="G10860" s="20" t="n">
        <f aca="false">IF($C$10861=1,G10813,IF(G10715=MIN($G$10715:$K$10715),1,0))</f>
        <v>0</v>
      </c>
      <c r="H10860" s="20" t="n">
        <f aca="false">IF($C$10861=1,H10813,IF(AND(H10715=MIN($G$10715:$K$10715),SUM($G$10860:G10860)=0),1,0))</f>
        <v>0</v>
      </c>
      <c r="I10860" s="20" t="n">
        <f aca="false">IF($C$10861=1,I10813,IF(AND(I10715=MIN($G$10715:$K$10715),SUM($G$10860:H10860)=0),1,0))</f>
        <v>0</v>
      </c>
      <c r="J10860" s="20" t="n">
        <f aca="false">IF($C$10861=1,J10813,IF(AND(J10715=MIN($G$10715:$K$10715),SUM($G$10860:I10860)=0),1,0))</f>
        <v>0</v>
      </c>
      <c r="K10860" s="20" t="n">
        <f aca="false">IF($C$10861=1,K10813,IF(AND(K10715=MIN($G$10715:$K$10715),SUM($G$10860:J10860)=0),1,0))</f>
        <v>1</v>
      </c>
    </row>
    <row r="10861" customFormat="false" ht="15" hidden="false" customHeight="false" outlineLevel="0" collapsed="false">
      <c r="A10861" s="3" t="s">
        <v>488</v>
      </c>
      <c r="C10861" s="20" t="n">
        <f aca="false">IF(SUM($G$10813:$K$10813)&gt;0,1,0)</f>
        <v>0</v>
      </c>
    </row>
    <row r="10862" customFormat="false" ht="15" hidden="false" customHeight="false" outlineLevel="0" collapsed="false">
      <c r="A10862" s="3" t="s">
        <v>489</v>
      </c>
      <c r="C10862" s="20" t="n">
        <f aca="false">SUMPRODUCT($G$10860:$K$10860,$G$10705:$K$10705)</f>
        <v>2031</v>
      </c>
    </row>
    <row r="10863" customFormat="false" ht="15" hidden="false" customHeight="false" outlineLevel="0" collapsed="false">
      <c r="A10863" s="3" t="s">
        <v>490</v>
      </c>
      <c r="C10863" s="25" t="n">
        <f aca="false">SUMPRODUCT($G$10860:$K$10860,$G$10715:$K$10715)</f>
        <v>250.548630915336</v>
      </c>
    </row>
    <row r="10864" customFormat="false" ht="15" hidden="false" customHeight="false" outlineLevel="0" collapsed="false">
      <c r="A10864" s="3" t="s">
        <v>491</v>
      </c>
      <c r="C10864" s="25" t="n">
        <f aca="false">MAX(0,SUMPRODUCT($G$10860:$K$10860,$G$10810:$K$10810))</f>
        <v>599.128348849095</v>
      </c>
    </row>
    <row r="10865" customFormat="false" ht="15" hidden="false" customHeight="false" outlineLevel="0" collapsed="false">
      <c r="A10865" s="3" t="s">
        <v>492</v>
      </c>
      <c r="C10865" s="25" t="n">
        <f aca="false">(CHOOSE($C$10698,Assumptions!$C$84,Assumptions!$C$103,Assumptions!$C$122)+$C$10702)*C10863</f>
        <v>1252.74315457668</v>
      </c>
    </row>
    <row r="10866" customFormat="false" ht="15" hidden="false" customHeight="false" outlineLevel="0" collapsed="false">
      <c r="A10866" s="3" t="s">
        <v>493</v>
      </c>
      <c r="C10866" s="25" t="n">
        <f aca="false">Assumptions!$C$30*(1-CHOOSE($C$10698,Assumptions!$C$85,Assumptions!$C$104,Assumptions!$C$123))*CHOOSE($C$10698,Assumptions!$C$86,Assumptions!$C$105,Assumptions!$C$124)</f>
        <v>736.4913</v>
      </c>
    </row>
    <row r="10867" customFormat="false" ht="15" hidden="false" customHeight="false" outlineLevel="0" collapsed="false">
      <c r="A10867" s="3" t="s">
        <v>494</v>
      </c>
      <c r="C10867" s="25" t="n">
        <f aca="false">MAX(C10865,C10866)+C10864</f>
        <v>1851.87150342577</v>
      </c>
    </row>
    <row r="10868" customFormat="false" ht="15" hidden="false" customHeight="false" outlineLevel="0" collapsed="false">
      <c r="A10868" s="2" t="s">
        <v>495</v>
      </c>
      <c r="C10868" s="16" t="n">
        <f aca="false">IF(ISNUMBER(Assumptions!$C$14),Assumptions!$C$14,C10867)</f>
        <v>1851.87150342577</v>
      </c>
    </row>
    <row r="10869" customFormat="false" ht="15" hidden="false" customHeight="false" outlineLevel="0" collapsed="false">
      <c r="A10869" s="3" t="s">
        <v>496</v>
      </c>
      <c r="C10869" s="25" t="n">
        <f aca="false">C10868*Assumptions!$C$15</f>
        <v>74.074860137031</v>
      </c>
    </row>
    <row r="10870" customFormat="false" ht="15" hidden="false" customHeight="false" outlineLevel="0" collapsed="false">
      <c r="A10870" s="2" t="s">
        <v>497</v>
      </c>
      <c r="C10870" s="16" t="n">
        <f aca="false">C10868-C10869</f>
        <v>1777.79664328874</v>
      </c>
    </row>
    <row r="10871" customFormat="false" ht="15" hidden="false" customHeight="false" outlineLevel="0" collapsed="false">
      <c r="A10871" s="23" t="s">
        <v>498</v>
      </c>
      <c r="B10871" s="24"/>
      <c r="C10871" s="24"/>
      <c r="D10871" s="24"/>
      <c r="E10871" s="24"/>
      <c r="F10871" s="24"/>
      <c r="G10871" s="24"/>
      <c r="H10871" s="24"/>
      <c r="I10871" s="24"/>
      <c r="J10871" s="24"/>
      <c r="K10871" s="24"/>
    </row>
    <row r="10872" customFormat="false" ht="15" hidden="false" customHeight="false" outlineLevel="0" collapsed="false">
      <c r="A10872" s="3" t="s">
        <v>499</v>
      </c>
      <c r="C10872" s="25" t="n">
        <f aca="false">SUMPRODUCT($G$10860:$K$10860,$G$10752:$K$10752)*(1+SUMPRODUCT($G$10860:$K$10860,$G$10744:$K$10744)*Assumptions!$C$16/12)</f>
        <v>1349.6193225</v>
      </c>
    </row>
    <row r="10873" customFormat="false" ht="15" hidden="false" customHeight="false" outlineLevel="0" collapsed="false">
      <c r="A10873" s="3" t="s">
        <v>500</v>
      </c>
      <c r="C10873" s="25" t="n">
        <f aca="false">SUMPRODUCT($G$10860:$K$10860,$G$10765:$K$10765)*(1+SUMPRODUCT($G$10860:$K$10860,$G$10757:$K$10757)*Assumptions!$C$16/12)</f>
        <v>0</v>
      </c>
    </row>
    <row r="10874" customFormat="false" ht="15" hidden="false" customHeight="false" outlineLevel="0" collapsed="false">
      <c r="A10874" s="3" t="s">
        <v>501</v>
      </c>
      <c r="C10874" s="25" t="n">
        <f aca="false">SUMPRODUCT($G$10860:$K$10860,$G$10778:$K$10778)*(1+SUMPRODUCT($G$10860:$K$10860,$G$10770:$K$10770)*Assumptions!$C$16/12)</f>
        <v>0</v>
      </c>
    </row>
    <row r="10875" customFormat="false" ht="15" hidden="false" customHeight="false" outlineLevel="0" collapsed="false">
      <c r="A10875" s="23" t="s">
        <v>502</v>
      </c>
      <c r="B10875" s="24"/>
      <c r="C10875" s="24"/>
      <c r="D10875" s="24"/>
      <c r="E10875" s="24"/>
      <c r="F10875" s="24"/>
      <c r="G10875" s="24"/>
      <c r="H10875" s="24"/>
      <c r="I10875" s="24"/>
      <c r="J10875" s="24"/>
      <c r="K10875" s="24"/>
    </row>
    <row r="10876" customFormat="false" ht="15" hidden="false" customHeight="false" outlineLevel="0" collapsed="false">
      <c r="A10876" s="3" t="s">
        <v>499</v>
      </c>
      <c r="C10876" s="27" t="n">
        <f aca="false">Assumptions!$M$56</f>
        <v>1</v>
      </c>
    </row>
    <row r="10877" customFormat="false" ht="15" hidden="false" customHeight="false" outlineLevel="0" collapsed="false">
      <c r="A10877" s="3" t="s">
        <v>500</v>
      </c>
      <c r="C10877" s="27" t="n">
        <f aca="false">Assumptions!$M$57</f>
        <v>2</v>
      </c>
    </row>
    <row r="10878" customFormat="false" ht="15" hidden="false" customHeight="false" outlineLevel="0" collapsed="false">
      <c r="A10878" s="3" t="s">
        <v>501</v>
      </c>
      <c r="C10878" s="27" t="n">
        <f aca="false">Assumptions!$M$58</f>
        <v>2</v>
      </c>
    </row>
    <row r="10879" customFormat="false" ht="15" hidden="false" customHeight="false" outlineLevel="0" collapsed="false">
      <c r="A10879" s="23" t="s">
        <v>503</v>
      </c>
      <c r="B10879" s="24"/>
      <c r="C10879" s="24"/>
      <c r="D10879" s="24"/>
      <c r="E10879" s="24"/>
      <c r="F10879" s="24"/>
      <c r="G10879" s="24"/>
      <c r="H10879" s="24"/>
      <c r="I10879" s="24"/>
      <c r="J10879" s="24"/>
      <c r="K10879" s="24"/>
    </row>
    <row r="10880" customFormat="false" ht="15" hidden="false" customHeight="false" outlineLevel="0" collapsed="false">
      <c r="A10880" s="3" t="s">
        <v>499</v>
      </c>
      <c r="C10880" s="35" t="n">
        <f aca="false">Assumptions!$Q$56</f>
        <v>0</v>
      </c>
    </row>
    <row r="10881" customFormat="false" ht="15" hidden="false" customHeight="false" outlineLevel="0" collapsed="false">
      <c r="A10881" s="3" t="s">
        <v>500</v>
      </c>
      <c r="C10881" s="35" t="n">
        <f aca="false">Assumptions!$Q$57</f>
        <v>0</v>
      </c>
    </row>
    <row r="10882" customFormat="false" ht="15" hidden="false" customHeight="false" outlineLevel="0" collapsed="false">
      <c r="A10882" s="3" t="s">
        <v>501</v>
      </c>
      <c r="C10882" s="35" t="n">
        <f aca="false">Assumptions!$Q$58</f>
        <v>0</v>
      </c>
    </row>
    <row r="10883" customFormat="false" ht="15" hidden="false" customHeight="false" outlineLevel="0" collapsed="false">
      <c r="A10883" s="23" t="s">
        <v>504</v>
      </c>
      <c r="B10883" s="24"/>
      <c r="C10883" s="24"/>
      <c r="D10883" s="24"/>
      <c r="E10883" s="24"/>
      <c r="F10883" s="24"/>
      <c r="G10883" s="24"/>
      <c r="H10883" s="24"/>
      <c r="I10883" s="24"/>
      <c r="J10883" s="24"/>
      <c r="K10883" s="24"/>
    </row>
    <row r="10884" customFormat="false" ht="15" hidden="false" customHeight="false" outlineLevel="0" collapsed="false">
      <c r="A10884" s="3" t="s">
        <v>499</v>
      </c>
      <c r="C10884" s="25" t="n">
        <f aca="false">IF(C10880&gt;0,MIN(C10872,C10880*$C$10870),0)</f>
        <v>0</v>
      </c>
    </row>
    <row r="10885" customFormat="false" ht="15" hidden="false" customHeight="false" outlineLevel="0" collapsed="false">
      <c r="A10885" s="3" t="s">
        <v>500</v>
      </c>
      <c r="C10885" s="25" t="n">
        <f aca="false">IF(C10881&gt;0,MIN(C10873,C10881*$C$10870),0)</f>
        <v>0</v>
      </c>
    </row>
    <row r="10886" customFormat="false" ht="15" hidden="false" customHeight="false" outlineLevel="0" collapsed="false">
      <c r="A10886" s="3" t="s">
        <v>501</v>
      </c>
      <c r="C10886" s="25" t="n">
        <f aca="false">IF(C10882&gt;0,MIN(C10874,C10882*$C$10870),0)</f>
        <v>0</v>
      </c>
    </row>
    <row r="10887" customFormat="false" ht="15" hidden="false" customHeight="false" outlineLevel="0" collapsed="false">
      <c r="A10887" s="23" t="s">
        <v>505</v>
      </c>
      <c r="B10887" s="24"/>
      <c r="C10887" s="24"/>
      <c r="D10887" s="24"/>
      <c r="E10887" s="24"/>
      <c r="F10887" s="24"/>
      <c r="G10887" s="24"/>
      <c r="H10887" s="24"/>
      <c r="I10887" s="24"/>
      <c r="J10887" s="24"/>
      <c r="K10887" s="24"/>
    </row>
    <row r="10888" customFormat="false" ht="15" hidden="false" customHeight="false" outlineLevel="0" collapsed="false">
      <c r="A10888" s="3" t="s">
        <v>499</v>
      </c>
      <c r="C10888" s="25" t="n">
        <f aca="false">IF(C10880&gt;0,C10872-C10884,0)</f>
        <v>0</v>
      </c>
      <c r="G10888" s="20" t="n">
        <f aca="false">IF(AND(G10742=1,G10739=1),1,0)</f>
        <v>0</v>
      </c>
      <c r="H10888" s="20" t="n">
        <f aca="false">IF(G10888=1,1,IF(AND(H10742=1,H10739=1),1,0))</f>
        <v>0</v>
      </c>
      <c r="I10888" s="20" t="n">
        <f aca="false">IF(H10888=1,1,IF(AND(I10742=1,I10739=1),1,0))</f>
        <v>0</v>
      </c>
      <c r="J10888" s="20" t="n">
        <f aca="false">IF(I10888=1,1,IF(AND(J10742=1,J10739=1),1,0))</f>
        <v>0</v>
      </c>
      <c r="K10888" s="20" t="n">
        <f aca="false">IF(J10888=1,1,IF(AND(K10742=1,K10739=1),1,0))</f>
        <v>0</v>
      </c>
    </row>
    <row r="10889" customFormat="false" ht="15" hidden="false" customHeight="false" outlineLevel="0" collapsed="false">
      <c r="A10889" s="3" t="s">
        <v>500</v>
      </c>
      <c r="C10889" s="25" t="n">
        <f aca="false">IF(C10881&gt;0,C10873-C10885,0)</f>
        <v>0</v>
      </c>
      <c r="G10889" s="20" t="n">
        <f aca="false">IF(AND(G10755=1,G10739=1),1,0)</f>
        <v>0</v>
      </c>
      <c r="H10889" s="20" t="n">
        <f aca="false">IF(G10889=1,1,IF(AND(H10755=1,H10739=1),1,0))</f>
        <v>0</v>
      </c>
      <c r="I10889" s="20" t="n">
        <f aca="false">IF(H10889=1,1,IF(AND(I10755=1,I10739=1),1,0))</f>
        <v>1</v>
      </c>
      <c r="J10889" s="20" t="n">
        <f aca="false">IF(I10889=1,1,IF(AND(J10755=1,J10739=1),1,0))</f>
        <v>1</v>
      </c>
      <c r="K10889" s="20" t="n">
        <f aca="false">IF(J10889=1,1,IF(AND(K10755=1,K10739=1),1,0))</f>
        <v>1</v>
      </c>
    </row>
    <row r="10890" customFormat="false" ht="15" hidden="false" customHeight="false" outlineLevel="0" collapsed="false">
      <c r="A10890" s="3" t="s">
        <v>501</v>
      </c>
      <c r="C10890" s="25" t="n">
        <f aca="false">IF(C10882&gt;0,C10874-C10886,0)</f>
        <v>0</v>
      </c>
      <c r="G10890" s="20" t="n">
        <f aca="false">IF(AND(G10768=1,G10739=1),1,0)</f>
        <v>0</v>
      </c>
      <c r="H10890" s="20" t="n">
        <f aca="false">IF(G10890=1,1,IF(AND(H10768=1,H10739=1),1,0))</f>
        <v>0</v>
      </c>
      <c r="I10890" s="20" t="n">
        <f aca="false">IF(H10890=1,1,IF(AND(I10768=1,I10739=1),1,0))</f>
        <v>1</v>
      </c>
      <c r="J10890" s="20" t="n">
        <f aca="false">IF(I10890=1,1,IF(AND(J10768=1,J10739=1),1,0))</f>
        <v>1</v>
      </c>
      <c r="K10890" s="20" t="n">
        <f aca="false">IF(J10890=1,1,IF(AND(K10768=1,K10739=1),1,0))</f>
        <v>1</v>
      </c>
    </row>
    <row r="10891" customFormat="false" ht="15" hidden="false" customHeight="false" outlineLevel="0" collapsed="false">
      <c r="A10891" s="23" t="s">
        <v>506</v>
      </c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</row>
    <row r="10892" customFormat="false" ht="15" hidden="false" customHeight="false" outlineLevel="0" collapsed="false">
      <c r="A10892" s="3" t="s">
        <v>499</v>
      </c>
      <c r="C10892" s="25" t="n">
        <f aca="false">IF(C10880&gt;0,C10888,C10872)</f>
        <v>1349.6193225</v>
      </c>
    </row>
    <row r="10893" customFormat="false" ht="15" hidden="false" customHeight="false" outlineLevel="0" collapsed="false">
      <c r="A10893" s="3" t="s">
        <v>500</v>
      </c>
      <c r="C10893" s="25" t="n">
        <f aca="false">IF(C10881&gt;0,C10889,C10873)</f>
        <v>0</v>
      </c>
    </row>
    <row r="10894" customFormat="false" ht="15" hidden="false" customHeight="false" outlineLevel="0" collapsed="false">
      <c r="A10894" s="3" t="s">
        <v>501</v>
      </c>
      <c r="C10894" s="25" t="n">
        <f aca="false">IF(C10882&gt;0,C10890,C10874)</f>
        <v>0</v>
      </c>
    </row>
    <row r="10895" customFormat="false" ht="15" hidden="false" customHeight="false" outlineLevel="0" collapsed="false">
      <c r="A10895" s="23" t="s">
        <v>507</v>
      </c>
      <c r="B10895" s="24"/>
      <c r="C10895" s="24"/>
      <c r="D10895" s="24"/>
      <c r="E10895" s="24"/>
      <c r="F10895" s="24"/>
      <c r="G10895" s="24"/>
      <c r="H10895" s="24"/>
      <c r="I10895" s="24"/>
      <c r="J10895" s="24"/>
      <c r="K10895" s="24"/>
    </row>
    <row r="10896" customFormat="false" ht="15" hidden="false" customHeight="false" outlineLevel="0" collapsed="false">
      <c r="A10896" s="3" t="s">
        <v>499</v>
      </c>
      <c r="C10896" s="20" t="n">
        <f aca="false">IF(C10880&gt;0,Assumptions!$C$17,C10876)</f>
        <v>1</v>
      </c>
    </row>
    <row r="10897" customFormat="false" ht="15" hidden="false" customHeight="false" outlineLevel="0" collapsed="false">
      <c r="A10897" s="3" t="s">
        <v>500</v>
      </c>
      <c r="C10897" s="20" t="n">
        <f aca="false">IF(C10881&gt;0,Assumptions!$C$17,C10877)</f>
        <v>2</v>
      </c>
    </row>
    <row r="10898" customFormat="false" ht="15" hidden="false" customHeight="false" outlineLevel="0" collapsed="false">
      <c r="A10898" s="3" t="s">
        <v>501</v>
      </c>
      <c r="C10898" s="20" t="n">
        <f aca="false">IF(C10882&gt;0,Assumptions!$C$17,C10878)</f>
        <v>2</v>
      </c>
    </row>
    <row r="10899" customFormat="false" ht="15" hidden="false" customHeight="false" outlineLevel="0" collapsed="false">
      <c r="A10899" s="23" t="s">
        <v>508</v>
      </c>
      <c r="B10899" s="24"/>
      <c r="C10899" s="24"/>
      <c r="D10899" s="24"/>
      <c r="E10899" s="24"/>
      <c r="F10899" s="24"/>
      <c r="G10899" s="24"/>
      <c r="H10899" s="24"/>
      <c r="I10899" s="24"/>
      <c r="J10899" s="24"/>
      <c r="K10899" s="24"/>
    </row>
    <row r="10900" customFormat="false" ht="15" hidden="false" customHeight="false" outlineLevel="0" collapsed="false">
      <c r="A10900" s="3" t="s">
        <v>499</v>
      </c>
      <c r="C10900" s="25" t="n">
        <f aca="false">SUMPRODUCT(($C$10896:$C$10898&lt;C10896)*$C$10892:$C$10894)</f>
        <v>0</v>
      </c>
    </row>
    <row r="10901" customFormat="false" ht="15" hidden="false" customHeight="false" outlineLevel="0" collapsed="false">
      <c r="A10901" s="3" t="s">
        <v>500</v>
      </c>
      <c r="C10901" s="25" t="n">
        <f aca="false">SUMPRODUCT(($C$10896:$C$10898&lt;C10897)*$C$10892:$C$10894)</f>
        <v>1349.6193225</v>
      </c>
    </row>
    <row r="10902" customFormat="false" ht="15" hidden="false" customHeight="false" outlineLevel="0" collapsed="false">
      <c r="A10902" s="3" t="s">
        <v>501</v>
      </c>
      <c r="C10902" s="25" t="n">
        <f aca="false">SUMPRODUCT(($C$10896:$C$10898&lt;C10898)*$C$10892:$C$10894)</f>
        <v>1349.6193225</v>
      </c>
    </row>
    <row r="10903" customFormat="false" ht="15" hidden="false" customHeight="false" outlineLevel="0" collapsed="false">
      <c r="A10903" s="23" t="s">
        <v>509</v>
      </c>
      <c r="B10903" s="24"/>
      <c r="C10903" s="24"/>
      <c r="D10903" s="24"/>
      <c r="E10903" s="24"/>
      <c r="F10903" s="24"/>
      <c r="G10903" s="24"/>
      <c r="H10903" s="24"/>
      <c r="I10903" s="24"/>
      <c r="J10903" s="24"/>
      <c r="K10903" s="24"/>
    </row>
    <row r="10904" customFormat="false" ht="15" hidden="false" customHeight="false" outlineLevel="0" collapsed="false">
      <c r="A10904" s="3" t="s">
        <v>499</v>
      </c>
      <c r="C10904" s="25" t="n">
        <f aca="false">SUMPRODUCT(($C$10896:$C$10898=C10896)*$C$10892:$C$10894)</f>
        <v>1349.6193225</v>
      </c>
    </row>
    <row r="10905" customFormat="false" ht="15" hidden="false" customHeight="false" outlineLevel="0" collapsed="false">
      <c r="A10905" s="3" t="s">
        <v>500</v>
      </c>
      <c r="C10905" s="25" t="n">
        <f aca="false">SUMPRODUCT(($C$10896:$C$10898=C10897)*$C$10892:$C$10894)</f>
        <v>0</v>
      </c>
    </row>
    <row r="10906" customFormat="false" ht="15" hidden="false" customHeight="false" outlineLevel="0" collapsed="false">
      <c r="A10906" s="3" t="s">
        <v>501</v>
      </c>
      <c r="C10906" s="25" t="n">
        <f aca="false">SUMPRODUCT(($C$10896:$C$10898=C10898)*$C$10892:$C$10894)</f>
        <v>0</v>
      </c>
    </row>
    <row r="10907" customFormat="false" ht="15" hidden="false" customHeight="false" outlineLevel="0" collapsed="false">
      <c r="A10907" s="23" t="s">
        <v>510</v>
      </c>
      <c r="B10907" s="24"/>
      <c r="C10907" s="24"/>
      <c r="D10907" s="24"/>
      <c r="E10907" s="24"/>
      <c r="F10907" s="24"/>
      <c r="G10907" s="24"/>
      <c r="H10907" s="24"/>
      <c r="I10907" s="24"/>
      <c r="J10907" s="24"/>
      <c r="K10907" s="24"/>
    </row>
    <row r="10908" customFormat="false" ht="15" hidden="false" customHeight="false" outlineLevel="0" collapsed="false">
      <c r="A10908" s="3" t="s">
        <v>499</v>
      </c>
      <c r="C10908" s="25" t="n">
        <f aca="false">IF(C10904=0,0,C10892/C10904*MAX(0,MIN(C10904,$C$10870-SUM($C$10884:$C$10886)-C10900)))</f>
        <v>1349.6193225</v>
      </c>
    </row>
    <row r="10909" customFormat="false" ht="15" hidden="false" customHeight="false" outlineLevel="0" collapsed="false">
      <c r="A10909" s="3" t="s">
        <v>500</v>
      </c>
      <c r="C10909" s="25" t="n">
        <f aca="false">IF(C10905=0,0,C10893/C10905*MAX(0,MIN(C10905,$C$10870-SUM($C$10884:$C$10886)-C10901)))</f>
        <v>0</v>
      </c>
    </row>
    <row r="10910" customFormat="false" ht="15" hidden="false" customHeight="false" outlineLevel="0" collapsed="false">
      <c r="A10910" s="3" t="s">
        <v>501</v>
      </c>
      <c r="C10910" s="25" t="n">
        <f aca="false">IF(C10906=0,0,C10894/C10906*MAX(0,MIN(C10906,$C$10870-SUM($C$10884:$C$10886)-C10902)))</f>
        <v>0</v>
      </c>
    </row>
    <row r="10911" customFormat="false" ht="15" hidden="false" customHeight="false" outlineLevel="0" collapsed="false">
      <c r="A10911" s="23" t="s">
        <v>511</v>
      </c>
      <c r="B10911" s="24"/>
      <c r="C10911" s="24"/>
      <c r="D10911" s="24"/>
      <c r="E10911" s="24"/>
      <c r="F10911" s="24"/>
      <c r="G10911" s="24"/>
      <c r="H10911" s="24"/>
      <c r="I10911" s="24"/>
      <c r="J10911" s="24"/>
      <c r="K10911" s="24"/>
    </row>
    <row r="10912" customFormat="false" ht="15" hidden="false" customHeight="false" outlineLevel="0" collapsed="false">
      <c r="A10912" s="2" t="s">
        <v>499</v>
      </c>
      <c r="C10912" s="16" t="n">
        <f aca="false">C10884+C10908</f>
        <v>1349.6193225</v>
      </c>
    </row>
    <row r="10913" customFormat="false" ht="15" hidden="false" customHeight="false" outlineLevel="0" collapsed="false">
      <c r="A10913" s="2" t="s">
        <v>500</v>
      </c>
      <c r="C10913" s="16" t="n">
        <f aca="false">C10885+C10909</f>
        <v>0</v>
      </c>
    </row>
    <row r="10914" customFormat="false" ht="15" hidden="false" customHeight="false" outlineLevel="0" collapsed="false">
      <c r="A10914" s="2" t="s">
        <v>501</v>
      </c>
      <c r="C10914" s="16" t="n">
        <f aca="false">C10886+C10910</f>
        <v>0</v>
      </c>
    </row>
    <row r="10915" customFormat="false" ht="15" hidden="false" customHeight="false" outlineLevel="0" collapsed="false">
      <c r="A10915" s="23" t="s">
        <v>512</v>
      </c>
      <c r="B10915" s="24"/>
      <c r="C10915" s="24"/>
      <c r="D10915" s="24"/>
      <c r="E10915" s="24"/>
      <c r="F10915" s="24"/>
      <c r="G10915" s="24"/>
      <c r="H10915" s="24"/>
      <c r="I10915" s="24"/>
      <c r="J10915" s="24"/>
      <c r="K10915" s="24"/>
    </row>
    <row r="10916" customFormat="false" ht="15" hidden="false" customHeight="false" outlineLevel="0" collapsed="false">
      <c r="A10916" s="3" t="s">
        <v>499</v>
      </c>
      <c r="C10916" s="21" t="n">
        <f aca="false">IF(C10872=0,1,C10912/C10872)</f>
        <v>1</v>
      </c>
    </row>
    <row r="10917" customFormat="false" ht="15" hidden="false" customHeight="false" outlineLevel="0" collapsed="false">
      <c r="A10917" s="3" t="s">
        <v>500</v>
      </c>
      <c r="C10917" s="21" t="n">
        <f aca="false">IF(C10873=0,1,C10913/C10873)</f>
        <v>1</v>
      </c>
    </row>
    <row r="10918" customFormat="false" ht="15" hidden="false" customHeight="false" outlineLevel="0" collapsed="false">
      <c r="A10918" s="3" t="s">
        <v>501</v>
      </c>
      <c r="C10918" s="21" t="n">
        <f aca="false">IF(C10874=0,1,C10914/C10874)</f>
        <v>1</v>
      </c>
    </row>
    <row r="10919" customFormat="false" ht="15" hidden="false" customHeight="false" outlineLevel="0" collapsed="false">
      <c r="A10919" s="23" t="s">
        <v>513</v>
      </c>
      <c r="B10919" s="24"/>
      <c r="C10919" s="24"/>
      <c r="D10919" s="24"/>
      <c r="E10919" s="24"/>
      <c r="F10919" s="24"/>
      <c r="G10919" s="24"/>
      <c r="H10919" s="24"/>
      <c r="I10919" s="24"/>
      <c r="J10919" s="24"/>
      <c r="K10919" s="24"/>
    </row>
    <row r="10920" customFormat="false" ht="15" hidden="false" customHeight="false" outlineLevel="0" collapsed="false">
      <c r="A10920" s="3" t="s">
        <v>499</v>
      </c>
      <c r="C10920" s="25" t="n">
        <f aca="false">C10872-C10912</f>
        <v>0</v>
      </c>
    </row>
    <row r="10921" customFormat="false" ht="15" hidden="false" customHeight="false" outlineLevel="0" collapsed="false">
      <c r="A10921" s="3" t="s">
        <v>500</v>
      </c>
      <c r="C10921" s="25" t="n">
        <f aca="false">C10873-C10913</f>
        <v>0</v>
      </c>
    </row>
    <row r="10922" customFormat="false" ht="15" hidden="false" customHeight="false" outlineLevel="0" collapsed="false">
      <c r="A10922" s="3" t="s">
        <v>501</v>
      </c>
      <c r="C10922" s="25" t="n">
        <f aca="false">C10874-C10914</f>
        <v>0</v>
      </c>
    </row>
    <row r="10923" customFormat="false" ht="15" hidden="false" customHeight="false" outlineLevel="0" collapsed="false">
      <c r="A10923" s="23" t="s">
        <v>514</v>
      </c>
      <c r="B10923" s="24"/>
      <c r="C10923" s="24"/>
      <c r="D10923" s="24"/>
      <c r="E10923" s="24"/>
      <c r="F10923" s="24"/>
      <c r="G10923" s="24"/>
      <c r="H10923" s="24"/>
      <c r="I10923" s="24"/>
      <c r="J10923" s="24"/>
      <c r="K10923" s="24"/>
    </row>
    <row r="10924" customFormat="false" ht="15" hidden="false" customHeight="false" outlineLevel="0" collapsed="false">
      <c r="A10924" s="3" t="s">
        <v>499</v>
      </c>
      <c r="C10924" s="21" t="n">
        <f aca="false">IF(C10872=0,0,C10920/C10872)</f>
        <v>0</v>
      </c>
    </row>
    <row r="10925" customFormat="false" ht="15" hidden="false" customHeight="false" outlineLevel="0" collapsed="false">
      <c r="A10925" s="3" t="s">
        <v>500</v>
      </c>
      <c r="C10925" s="21" t="n">
        <f aca="false">IF(C10873=0,0,C10921/C10873)</f>
        <v>0</v>
      </c>
    </row>
    <row r="10926" customFormat="false" ht="15" hidden="false" customHeight="false" outlineLevel="0" collapsed="false">
      <c r="A10926" s="3" t="s">
        <v>501</v>
      </c>
      <c r="C10926" s="21" t="n">
        <f aca="false">IF(C10874=0,0,C10922/C10874)</f>
        <v>0</v>
      </c>
    </row>
    <row r="10927" customFormat="false" ht="15" hidden="false" customHeight="false" outlineLevel="0" collapsed="false">
      <c r="A10927" s="2" t="s">
        <v>515</v>
      </c>
      <c r="C10927" s="16" t="n">
        <f aca="false">MAX(0,$C$10870-SUM($C$10884:$C$10886)-SUM($C$10892:$C$10894))</f>
        <v>428.177320788743</v>
      </c>
    </row>
    <row r="10928" customFormat="false" ht="15" hidden="false" customHeight="false" outlineLevel="0" collapsed="false">
      <c r="A10928" s="3" t="s">
        <v>516</v>
      </c>
      <c r="C10928" s="25" t="n">
        <f aca="false">SUM($C$10912:$C$10914)+C10927+C10869-C10868</f>
        <v>0</v>
      </c>
    </row>
    <row r="10930" customFormat="false" ht="15" hidden="false" customHeight="false" outlineLevel="0" collapsed="false">
      <c r="A10930" s="23" t="s">
        <v>519</v>
      </c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</row>
    <row r="10931" customFormat="false" ht="15" hidden="false" customHeight="false" outlineLevel="0" collapsed="false">
      <c r="A10931" s="3" t="s">
        <v>520</v>
      </c>
      <c r="C10931" s="27" t="n">
        <f aca="false">Assumptions!$C$33</f>
        <v>1</v>
      </c>
    </row>
    <row r="10932" customFormat="false" ht="15" hidden="false" customHeight="false" outlineLevel="0" collapsed="false">
      <c r="A10932" s="3" t="s">
        <v>521</v>
      </c>
      <c r="C10932" s="29" t="n">
        <f aca="false">Assumptions!$C$34</f>
        <v>100</v>
      </c>
    </row>
    <row r="10933" customFormat="false" ht="15" hidden="false" customHeight="false" outlineLevel="0" collapsed="false">
      <c r="A10933" s="3" t="s">
        <v>522</v>
      </c>
      <c r="C10933" s="40" t="n">
        <f aca="false">Assumptions!$C$35</f>
        <v>95</v>
      </c>
    </row>
    <row r="10934" customFormat="false" ht="15" hidden="false" customHeight="false" outlineLevel="0" collapsed="false">
      <c r="A10934" s="3" t="s">
        <v>523</v>
      </c>
      <c r="C10934" s="25" t="n">
        <f aca="false">C10932*C10933/100*(1+Assumptions!$C$36)</f>
        <v>95</v>
      </c>
    </row>
    <row r="10935" customFormat="false" ht="15" hidden="false" customHeight="false" outlineLevel="0" collapsed="false">
      <c r="A10935" s="3" t="s">
        <v>524</v>
      </c>
      <c r="C10935" s="27" t="n">
        <f aca="false">Assumptions!$C$37</f>
        <v>3</v>
      </c>
    </row>
    <row r="10936" customFormat="false" ht="15" hidden="false" customHeight="false" outlineLevel="0" collapsed="false">
      <c r="A10936" s="3" t="s">
        <v>525</v>
      </c>
      <c r="C10936" s="20" t="n">
        <f aca="false">IF(C10861=1,SUMPRODUCT($G$10813:$K$10813,$G$10706:$K$10706),0)</f>
        <v>0</v>
      </c>
    </row>
    <row r="10937" customFormat="false" ht="15" hidden="false" customHeight="false" outlineLevel="0" collapsed="false">
      <c r="A10937" s="3" t="s">
        <v>526</v>
      </c>
      <c r="C10937" s="21" t="n">
        <f aca="false">IFERROR(C10932/CHOOSE(C10931,SUMPRODUCT($G$10860:$K$10860,$G$10752:$K$10752),SUMPRODUCT($G$10860:$K$10860,$G$10765:$K$10765),SUMPRODUCT($G$10860:$K$10860,$G$10778:$K$10778)),0)</f>
        <v>0.0760399605200525</v>
      </c>
    </row>
    <row r="10938" customFormat="false" ht="15" hidden="false" customHeight="false" outlineLevel="0" collapsed="false">
      <c r="A10938" s="3" t="s">
        <v>527</v>
      </c>
      <c r="C10938" s="25" t="n">
        <f aca="false">CHOOSE(C10931,C10912,C10913,C10914)*C10937</f>
        <v>102.625</v>
      </c>
    </row>
    <row r="10939" customFormat="false" ht="15" hidden="false" customHeight="false" outlineLevel="0" collapsed="false">
      <c r="A10939" s="3" t="s">
        <v>528</v>
      </c>
      <c r="C10939" s="21" t="n">
        <f aca="false">CHOOSE(C10931,C10916,C10917,C10918)</f>
        <v>1</v>
      </c>
    </row>
    <row r="10940" customFormat="false" ht="15" hidden="false" customHeight="false" outlineLevel="0" collapsed="false">
      <c r="A10940" s="3" t="s">
        <v>529</v>
      </c>
      <c r="C10940" s="20" t="n">
        <f aca="false">IF(C10861=1,C10936,C10935)</f>
        <v>3</v>
      </c>
    </row>
    <row r="10941" customFormat="false" ht="15" hidden="false" customHeight="false" outlineLevel="0" collapsed="false">
      <c r="A10941" s="3" t="s">
        <v>530</v>
      </c>
      <c r="C10941" s="34" t="n">
        <f aca="false">CHOOSE($C$10698,Assumptions!$C$83,Assumptions!$C$102,Assumptions!$C$121)</f>
        <v>100</v>
      </c>
    </row>
    <row r="10942" customFormat="false" ht="15" hidden="false" customHeight="false" outlineLevel="0" collapsed="false">
      <c r="A10942" s="3" t="s">
        <v>531</v>
      </c>
      <c r="C10942" s="25" t="n">
        <f aca="false">INDEX($G$10715:$K$10715,C10935)*CHOOSE($C$10698,Assumptions!$C$82,Assumptions!$C$101,Assumptions!$C$120)+MAX(0,INDEX($G$10810:$K$10810,C10935))</f>
        <v>1898.86777853863</v>
      </c>
    </row>
    <row r="10943" customFormat="false" ht="15" hidden="false" customHeight="false" outlineLevel="0" collapsed="false">
      <c r="A10943" s="23" t="s">
        <v>532</v>
      </c>
      <c r="B10943" s="24"/>
      <c r="C10943" s="24"/>
      <c r="D10943" s="24"/>
      <c r="E10943" s="24"/>
      <c r="F10943" s="24"/>
      <c r="G10943" s="24"/>
      <c r="H10943" s="24"/>
      <c r="I10943" s="24"/>
      <c r="J10943" s="24"/>
      <c r="K10943" s="24"/>
    </row>
    <row r="10944" customFormat="false" ht="15" hidden="false" customHeight="false" outlineLevel="0" collapsed="false">
      <c r="A10944" s="3" t="s">
        <v>499</v>
      </c>
      <c r="C10944" s="25" t="n">
        <f aca="false">INDEX($G$10752:$K$10752,C10935)</f>
        <v>1315.098</v>
      </c>
    </row>
    <row r="10945" customFormat="false" ht="15" hidden="false" customHeight="false" outlineLevel="0" collapsed="false">
      <c r="A10945" s="3" t="s">
        <v>500</v>
      </c>
      <c r="C10945" s="25" t="n">
        <f aca="false">INDEX($G$10765:$K$10765,C10935)</f>
        <v>0</v>
      </c>
    </row>
    <row r="10946" customFormat="false" ht="15" hidden="false" customHeight="false" outlineLevel="0" collapsed="false">
      <c r="A10946" s="3" t="s">
        <v>501</v>
      </c>
      <c r="C10946" s="25" t="n">
        <f aca="false">INDEX($G$10778:$K$10778,C10935)</f>
        <v>0</v>
      </c>
    </row>
    <row r="10947" customFormat="false" ht="15" hidden="false" customHeight="false" outlineLevel="0" collapsed="false">
      <c r="A10947" s="23" t="s">
        <v>502</v>
      </c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</row>
    <row r="10948" customFormat="false" ht="15" hidden="false" customHeight="false" outlineLevel="0" collapsed="false">
      <c r="A10948" s="3" t="s">
        <v>499</v>
      </c>
      <c r="C10948" s="27" t="n">
        <f aca="false">Assumptions!$M$56</f>
        <v>1</v>
      </c>
    </row>
    <row r="10949" customFormat="false" ht="15" hidden="false" customHeight="false" outlineLevel="0" collapsed="false">
      <c r="A10949" s="3" t="s">
        <v>500</v>
      </c>
      <c r="C10949" s="27" t="n">
        <f aca="false">Assumptions!$M$57</f>
        <v>2</v>
      </c>
    </row>
    <row r="10950" customFormat="false" ht="15" hidden="false" customHeight="false" outlineLevel="0" collapsed="false">
      <c r="A10950" s="3" t="s">
        <v>501</v>
      </c>
      <c r="C10950" s="27" t="n">
        <f aca="false">Assumptions!$M$58</f>
        <v>2</v>
      </c>
    </row>
    <row r="10951" customFormat="false" ht="15" hidden="false" customHeight="false" outlineLevel="0" collapsed="false">
      <c r="A10951" s="23" t="s">
        <v>503</v>
      </c>
      <c r="B10951" s="24"/>
      <c r="C10951" s="24"/>
      <c r="D10951" s="24"/>
      <c r="E10951" s="24"/>
      <c r="F10951" s="24"/>
      <c r="G10951" s="24"/>
      <c r="H10951" s="24"/>
      <c r="I10951" s="24"/>
      <c r="J10951" s="24"/>
      <c r="K10951" s="24"/>
    </row>
    <row r="10952" customFormat="false" ht="15" hidden="false" customHeight="false" outlineLevel="0" collapsed="false">
      <c r="A10952" s="3" t="s">
        <v>499</v>
      </c>
      <c r="C10952" s="35" t="n">
        <f aca="false">Assumptions!$Q$56</f>
        <v>0</v>
      </c>
    </row>
    <row r="10953" customFormat="false" ht="15" hidden="false" customHeight="false" outlineLevel="0" collapsed="false">
      <c r="A10953" s="3" t="s">
        <v>500</v>
      </c>
      <c r="C10953" s="35" t="n">
        <f aca="false">Assumptions!$Q$57</f>
        <v>0</v>
      </c>
    </row>
    <row r="10954" customFormat="false" ht="15" hidden="false" customHeight="false" outlineLevel="0" collapsed="false">
      <c r="A10954" s="3" t="s">
        <v>501</v>
      </c>
      <c r="C10954" s="35" t="n">
        <f aca="false">Assumptions!$Q$58</f>
        <v>0</v>
      </c>
    </row>
    <row r="10955" customFormat="false" ht="15" hidden="false" customHeight="false" outlineLevel="0" collapsed="false">
      <c r="A10955" s="23" t="s">
        <v>504</v>
      </c>
      <c r="B10955" s="24"/>
      <c r="C10955" s="24"/>
      <c r="D10955" s="24"/>
      <c r="E10955" s="24"/>
      <c r="F10955" s="24"/>
      <c r="G10955" s="24"/>
      <c r="H10955" s="24"/>
      <c r="I10955" s="24"/>
      <c r="J10955" s="24"/>
      <c r="K10955" s="24"/>
    </row>
    <row r="10956" customFormat="false" ht="15" hidden="false" customHeight="false" outlineLevel="0" collapsed="false">
      <c r="A10956" s="3" t="s">
        <v>499</v>
      </c>
      <c r="C10956" s="25" t="n">
        <f aca="false">IF(C10952&gt;0,MIN(C10944,C10952*$C$10942),0)</f>
        <v>0</v>
      </c>
    </row>
    <row r="10957" customFormat="false" ht="15" hidden="false" customHeight="false" outlineLevel="0" collapsed="false">
      <c r="A10957" s="3" t="s">
        <v>500</v>
      </c>
      <c r="C10957" s="25" t="n">
        <f aca="false">IF(C10953&gt;0,MIN(C10945,C10953*$C$10942),0)</f>
        <v>0</v>
      </c>
    </row>
    <row r="10958" customFormat="false" ht="15" hidden="false" customHeight="false" outlineLevel="0" collapsed="false">
      <c r="A10958" s="3" t="s">
        <v>501</v>
      </c>
      <c r="C10958" s="25" t="n">
        <f aca="false">IF(C10954&gt;0,MIN(C10946,C10954*$C$10942),0)</f>
        <v>0</v>
      </c>
    </row>
    <row r="10959" customFormat="false" ht="15" hidden="false" customHeight="false" outlineLevel="0" collapsed="false">
      <c r="A10959" s="23" t="s">
        <v>505</v>
      </c>
      <c r="B10959" s="24"/>
      <c r="C10959" s="24"/>
      <c r="D10959" s="24"/>
      <c r="E10959" s="24"/>
      <c r="F10959" s="24"/>
      <c r="G10959" s="24"/>
      <c r="H10959" s="24"/>
      <c r="I10959" s="24"/>
      <c r="J10959" s="24"/>
      <c r="K10959" s="24"/>
    </row>
    <row r="10960" customFormat="false" ht="15" hidden="false" customHeight="false" outlineLevel="0" collapsed="false">
      <c r="A10960" s="3" t="s">
        <v>499</v>
      </c>
      <c r="C10960" s="25" t="n">
        <f aca="false">IF(C10952&gt;0,C10944-C10956,0)</f>
        <v>0</v>
      </c>
    </row>
    <row r="10961" customFormat="false" ht="15" hidden="false" customHeight="false" outlineLevel="0" collapsed="false">
      <c r="A10961" s="3" t="s">
        <v>500</v>
      </c>
      <c r="C10961" s="25" t="n">
        <f aca="false">IF(C10953&gt;0,C10945-C10957,0)</f>
        <v>0</v>
      </c>
    </row>
    <row r="10962" customFormat="false" ht="15" hidden="false" customHeight="false" outlineLevel="0" collapsed="false">
      <c r="A10962" s="3" t="s">
        <v>501</v>
      </c>
      <c r="C10962" s="25" t="n">
        <f aca="false">IF(C10954&gt;0,C10946-C10958,0)</f>
        <v>0</v>
      </c>
    </row>
    <row r="10963" customFormat="false" ht="15" hidden="false" customHeight="false" outlineLevel="0" collapsed="false">
      <c r="A10963" s="23" t="s">
        <v>506</v>
      </c>
      <c r="B10963" s="24"/>
      <c r="C10963" s="24"/>
      <c r="D10963" s="24"/>
      <c r="E10963" s="24"/>
      <c r="F10963" s="24"/>
      <c r="G10963" s="24"/>
      <c r="H10963" s="24"/>
      <c r="I10963" s="24"/>
      <c r="J10963" s="24"/>
      <c r="K10963" s="24"/>
    </row>
    <row r="10964" customFormat="false" ht="15" hidden="false" customHeight="false" outlineLevel="0" collapsed="false">
      <c r="A10964" s="3" t="s">
        <v>499</v>
      </c>
      <c r="C10964" s="25" t="n">
        <f aca="false">IF(C10952&gt;0,C10960,C10944)</f>
        <v>1315.098</v>
      </c>
    </row>
    <row r="10965" customFormat="false" ht="15" hidden="false" customHeight="false" outlineLevel="0" collapsed="false">
      <c r="A10965" s="3" t="s">
        <v>500</v>
      </c>
      <c r="C10965" s="25" t="n">
        <f aca="false">IF(C10953&gt;0,C10961,C10945)</f>
        <v>0</v>
      </c>
    </row>
    <row r="10966" customFormat="false" ht="15" hidden="false" customHeight="false" outlineLevel="0" collapsed="false">
      <c r="A10966" s="3" t="s">
        <v>501</v>
      </c>
      <c r="C10966" s="25" t="n">
        <f aca="false">IF(C10954&gt;0,C10962,C10946)</f>
        <v>0</v>
      </c>
    </row>
    <row r="10967" customFormat="false" ht="15" hidden="false" customHeight="false" outlineLevel="0" collapsed="false">
      <c r="A10967" s="23" t="s">
        <v>507</v>
      </c>
      <c r="B10967" s="24"/>
      <c r="C10967" s="24"/>
      <c r="D10967" s="24"/>
      <c r="E10967" s="24"/>
      <c r="F10967" s="24"/>
      <c r="G10967" s="24"/>
      <c r="H10967" s="24"/>
      <c r="I10967" s="24"/>
      <c r="J10967" s="24"/>
      <c r="K10967" s="24"/>
    </row>
    <row r="10968" customFormat="false" ht="15" hidden="false" customHeight="false" outlineLevel="0" collapsed="false">
      <c r="A10968" s="3" t="s">
        <v>499</v>
      </c>
      <c r="C10968" s="20" t="n">
        <f aca="false">IF(C10952&gt;0,Assumptions!$C$17,C10948)</f>
        <v>1</v>
      </c>
    </row>
    <row r="10969" customFormat="false" ht="15" hidden="false" customHeight="false" outlineLevel="0" collapsed="false">
      <c r="A10969" s="3" t="s">
        <v>500</v>
      </c>
      <c r="C10969" s="20" t="n">
        <f aca="false">IF(C10953&gt;0,Assumptions!$C$17,C10949)</f>
        <v>2</v>
      </c>
    </row>
    <row r="10970" customFormat="false" ht="15" hidden="false" customHeight="false" outlineLevel="0" collapsed="false">
      <c r="A10970" s="3" t="s">
        <v>501</v>
      </c>
      <c r="C10970" s="20" t="n">
        <f aca="false">IF(C10954&gt;0,Assumptions!$C$17,C10950)</f>
        <v>2</v>
      </c>
    </row>
    <row r="10971" customFormat="false" ht="15" hidden="false" customHeight="false" outlineLevel="0" collapsed="false">
      <c r="A10971" s="23" t="s">
        <v>508</v>
      </c>
      <c r="B10971" s="24"/>
      <c r="C10971" s="24"/>
      <c r="D10971" s="24"/>
      <c r="E10971" s="24"/>
      <c r="F10971" s="24"/>
      <c r="G10971" s="24"/>
      <c r="H10971" s="24"/>
      <c r="I10971" s="24"/>
      <c r="J10971" s="24"/>
      <c r="K10971" s="24"/>
    </row>
    <row r="10972" customFormat="false" ht="15" hidden="false" customHeight="false" outlineLevel="0" collapsed="false">
      <c r="A10972" s="3" t="s">
        <v>499</v>
      </c>
      <c r="C10972" s="25" t="n">
        <f aca="false">SUMPRODUCT(($C$10968:$C$10970&lt;C10968)*$C$10964:$C$10966)</f>
        <v>0</v>
      </c>
    </row>
    <row r="10973" customFormat="false" ht="15" hidden="false" customHeight="false" outlineLevel="0" collapsed="false">
      <c r="A10973" s="3" t="s">
        <v>500</v>
      </c>
      <c r="C10973" s="25" t="n">
        <f aca="false">SUMPRODUCT(($C$10968:$C$10970&lt;C10969)*$C$10964:$C$10966)</f>
        <v>1315.098</v>
      </c>
    </row>
    <row r="10974" customFormat="false" ht="15" hidden="false" customHeight="false" outlineLevel="0" collapsed="false">
      <c r="A10974" s="3" t="s">
        <v>501</v>
      </c>
      <c r="C10974" s="25" t="n">
        <f aca="false">SUMPRODUCT(($C$10968:$C$10970&lt;C10970)*$C$10964:$C$10966)</f>
        <v>1315.098</v>
      </c>
    </row>
    <row r="10975" customFormat="false" ht="15" hidden="false" customHeight="false" outlineLevel="0" collapsed="false">
      <c r="A10975" s="23" t="s">
        <v>509</v>
      </c>
      <c r="B10975" s="24"/>
      <c r="C10975" s="24"/>
      <c r="D10975" s="24"/>
      <c r="E10975" s="24"/>
      <c r="F10975" s="24"/>
      <c r="G10975" s="24"/>
      <c r="H10975" s="24"/>
      <c r="I10975" s="24"/>
      <c r="J10975" s="24"/>
      <c r="K10975" s="24"/>
    </row>
    <row r="10976" customFormat="false" ht="15" hidden="false" customHeight="false" outlineLevel="0" collapsed="false">
      <c r="A10976" s="3" t="s">
        <v>499</v>
      </c>
      <c r="C10976" s="25" t="n">
        <f aca="false">SUMPRODUCT(($C$10968:$C$10970=C10968)*$C$10964:$C$10966)</f>
        <v>1315.098</v>
      </c>
    </row>
    <row r="10977" customFormat="false" ht="15" hidden="false" customHeight="false" outlineLevel="0" collapsed="false">
      <c r="A10977" s="3" t="s">
        <v>500</v>
      </c>
      <c r="C10977" s="25" t="n">
        <f aca="false">SUMPRODUCT(($C$10968:$C$10970=C10969)*$C$10964:$C$10966)</f>
        <v>0</v>
      </c>
    </row>
    <row r="10978" customFormat="false" ht="15" hidden="false" customHeight="false" outlineLevel="0" collapsed="false">
      <c r="A10978" s="3" t="s">
        <v>501</v>
      </c>
      <c r="C10978" s="25" t="n">
        <f aca="false">SUMPRODUCT(($C$10968:$C$10970=C10970)*$C$10964:$C$10966)</f>
        <v>0</v>
      </c>
    </row>
    <row r="10979" customFormat="false" ht="15" hidden="false" customHeight="false" outlineLevel="0" collapsed="false">
      <c r="A10979" s="23" t="s">
        <v>510</v>
      </c>
      <c r="B10979" s="24"/>
      <c r="C10979" s="24"/>
      <c r="D10979" s="24"/>
      <c r="E10979" s="24"/>
      <c r="F10979" s="24"/>
      <c r="G10979" s="24"/>
      <c r="H10979" s="24"/>
      <c r="I10979" s="24"/>
      <c r="J10979" s="24"/>
      <c r="K10979" s="24"/>
    </row>
    <row r="10980" customFormat="false" ht="15" hidden="false" customHeight="false" outlineLevel="0" collapsed="false">
      <c r="A10980" s="3" t="s">
        <v>499</v>
      </c>
      <c r="C10980" s="25" t="n">
        <f aca="false">IF(C10976=0,0,C10964/C10976*MAX(0,MIN(C10976,$C$10942-SUM($C$10956:$C$10958)-C10972)))</f>
        <v>1315.098</v>
      </c>
    </row>
    <row r="10981" customFormat="false" ht="15" hidden="false" customHeight="false" outlineLevel="0" collapsed="false">
      <c r="A10981" s="3" t="s">
        <v>500</v>
      </c>
      <c r="C10981" s="25" t="n">
        <f aca="false">IF(C10977=0,0,C10965/C10977*MAX(0,MIN(C10977,$C$10942-SUM($C$10956:$C$10958)-C10973)))</f>
        <v>0</v>
      </c>
    </row>
    <row r="10982" customFormat="false" ht="15" hidden="false" customHeight="false" outlineLevel="0" collapsed="false">
      <c r="A10982" s="3" t="s">
        <v>501</v>
      </c>
      <c r="C10982" s="25" t="n">
        <f aca="false">IF(C10978=0,0,C10966/C10978*MAX(0,MIN(C10978,$C$10942-SUM($C$10956:$C$10958)-C10974)))</f>
        <v>0</v>
      </c>
    </row>
    <row r="10983" customFormat="false" ht="15" hidden="false" customHeight="false" outlineLevel="0" collapsed="false">
      <c r="A10983" s="23" t="s">
        <v>511</v>
      </c>
      <c r="B10983" s="24"/>
      <c r="C10983" s="24"/>
      <c r="D10983" s="24"/>
      <c r="E10983" s="24"/>
      <c r="F10983" s="24"/>
      <c r="G10983" s="24"/>
      <c r="H10983" s="24"/>
      <c r="I10983" s="24"/>
      <c r="J10983" s="24"/>
      <c r="K10983" s="24"/>
    </row>
    <row r="10984" customFormat="false" ht="15" hidden="false" customHeight="false" outlineLevel="0" collapsed="false">
      <c r="A10984" s="2" t="s">
        <v>499</v>
      </c>
      <c r="C10984" s="16" t="n">
        <f aca="false">C10956+C10980</f>
        <v>1315.098</v>
      </c>
    </row>
    <row r="10985" customFormat="false" ht="15" hidden="false" customHeight="false" outlineLevel="0" collapsed="false">
      <c r="A10985" s="2" t="s">
        <v>500</v>
      </c>
      <c r="C10985" s="16" t="n">
        <f aca="false">C10957+C10981</f>
        <v>0</v>
      </c>
    </row>
    <row r="10986" customFormat="false" ht="15" hidden="false" customHeight="false" outlineLevel="0" collapsed="false">
      <c r="A10986" s="2" t="s">
        <v>501</v>
      </c>
      <c r="C10986" s="16" t="n">
        <f aca="false">C10958+C10982</f>
        <v>0</v>
      </c>
    </row>
    <row r="10987" customFormat="false" ht="15" hidden="false" customHeight="false" outlineLevel="0" collapsed="false">
      <c r="A10987" s="23" t="s">
        <v>512</v>
      </c>
      <c r="B10987" s="24"/>
      <c r="C10987" s="24"/>
      <c r="D10987" s="24"/>
      <c r="E10987" s="24"/>
      <c r="F10987" s="24"/>
      <c r="G10987" s="24"/>
      <c r="H10987" s="24"/>
      <c r="I10987" s="24"/>
      <c r="J10987" s="24"/>
      <c r="K10987" s="24"/>
    </row>
    <row r="10988" customFormat="false" ht="15" hidden="false" customHeight="false" outlineLevel="0" collapsed="false">
      <c r="A10988" s="3" t="s">
        <v>499</v>
      </c>
      <c r="C10988" s="21" t="n">
        <f aca="false">IF(C10944=0,1,C10984/C10944)</f>
        <v>1</v>
      </c>
    </row>
    <row r="10989" customFormat="false" ht="15" hidden="false" customHeight="false" outlineLevel="0" collapsed="false">
      <c r="A10989" s="3" t="s">
        <v>500</v>
      </c>
      <c r="C10989" s="21" t="n">
        <f aca="false">IF(C10945=0,1,C10985/C10945)</f>
        <v>1</v>
      </c>
    </row>
    <row r="10990" customFormat="false" ht="15" hidden="false" customHeight="false" outlineLevel="0" collapsed="false">
      <c r="A10990" s="3" t="s">
        <v>501</v>
      </c>
      <c r="C10990" s="21" t="n">
        <f aca="false">IF(C10946=0,1,C10986/C10946)</f>
        <v>1</v>
      </c>
    </row>
    <row r="10991" customFormat="false" ht="15" hidden="false" customHeight="false" outlineLevel="0" collapsed="false">
      <c r="A10991" s="23" t="s">
        <v>513</v>
      </c>
      <c r="B10991" s="24"/>
      <c r="C10991" s="24"/>
      <c r="D10991" s="24"/>
      <c r="E10991" s="24"/>
      <c r="F10991" s="24"/>
      <c r="G10991" s="24"/>
      <c r="H10991" s="24"/>
      <c r="I10991" s="24"/>
      <c r="J10991" s="24"/>
      <c r="K10991" s="24"/>
    </row>
    <row r="10992" customFormat="false" ht="15" hidden="false" customHeight="false" outlineLevel="0" collapsed="false">
      <c r="A10992" s="3" t="s">
        <v>499</v>
      </c>
      <c r="C10992" s="25" t="n">
        <f aca="false">C10944-C10984</f>
        <v>0</v>
      </c>
    </row>
    <row r="10993" customFormat="false" ht="15" hidden="false" customHeight="false" outlineLevel="0" collapsed="false">
      <c r="A10993" s="3" t="s">
        <v>500</v>
      </c>
      <c r="C10993" s="25" t="n">
        <f aca="false">C10945-C10985</f>
        <v>0</v>
      </c>
    </row>
    <row r="10994" customFormat="false" ht="15" hidden="false" customHeight="false" outlineLevel="0" collapsed="false">
      <c r="A10994" s="3" t="s">
        <v>501</v>
      </c>
      <c r="C10994" s="25" t="n">
        <f aca="false">C10946-C10986</f>
        <v>0</v>
      </c>
    </row>
    <row r="10995" customFormat="false" ht="15" hidden="false" customHeight="false" outlineLevel="0" collapsed="false">
      <c r="A10995" s="23" t="s">
        <v>514</v>
      </c>
      <c r="B10995" s="24"/>
      <c r="C10995" s="24"/>
      <c r="D10995" s="24"/>
      <c r="E10995" s="24"/>
      <c r="F10995" s="24"/>
      <c r="G10995" s="24"/>
      <c r="H10995" s="24"/>
      <c r="I10995" s="24"/>
      <c r="J10995" s="24"/>
      <c r="K10995" s="24"/>
    </row>
    <row r="10996" customFormat="false" ht="15" hidden="false" customHeight="false" outlineLevel="0" collapsed="false">
      <c r="A10996" s="3" t="s">
        <v>499</v>
      </c>
      <c r="C10996" s="21" t="n">
        <f aca="false">IF(C10944=0,0,C10992/C10944)</f>
        <v>0</v>
      </c>
    </row>
    <row r="10997" customFormat="false" ht="15" hidden="false" customHeight="false" outlineLevel="0" collapsed="false">
      <c r="A10997" s="3" t="s">
        <v>500</v>
      </c>
      <c r="C10997" s="21" t="n">
        <f aca="false">IF(C10945=0,0,C10993/C10945)</f>
        <v>0</v>
      </c>
    </row>
    <row r="10998" customFormat="false" ht="15" hidden="false" customHeight="false" outlineLevel="0" collapsed="false">
      <c r="A10998" s="3" t="s">
        <v>501</v>
      </c>
      <c r="C10998" s="21" t="n">
        <f aca="false">IF(C10946=0,0,C10994/C10946)</f>
        <v>0</v>
      </c>
    </row>
    <row r="10999" customFormat="false" ht="15" hidden="false" customHeight="false" outlineLevel="0" collapsed="false">
      <c r="A10999" s="2" t="s">
        <v>515</v>
      </c>
      <c r="C10999" s="16" t="n">
        <f aca="false">MAX(0,$C$10942-SUM($C$10956:$C$10958)-SUM($C$10964:$C$10966))</f>
        <v>583.769778538632</v>
      </c>
    </row>
    <row r="11000" customFormat="false" ht="15" hidden="false" customHeight="false" outlineLevel="0" collapsed="false">
      <c r="A11000" s="3" t="s">
        <v>533</v>
      </c>
      <c r="C11000" s="34" t="n">
        <f aca="false">MIN(C10941,100*CHOOSE(C10931,C10988,C10989,C10990))</f>
        <v>100</v>
      </c>
    </row>
    <row r="11001" customFormat="false" ht="15" hidden="false" customHeight="false" outlineLevel="0" collapsed="false">
      <c r="A11001" s="3" t="s">
        <v>534</v>
      </c>
      <c r="C11001" s="20" t="n">
        <f aca="false">IF(C10861=1,C10936+Assumptions!$C$39,C10935)</f>
        <v>3</v>
      </c>
    </row>
    <row r="11002" customFormat="false" ht="15" hidden="false" customHeight="false" outlineLevel="0" collapsed="false">
      <c r="A11002" s="23" t="s">
        <v>535</v>
      </c>
      <c r="B11002" s="24"/>
      <c r="C11002" s="24"/>
      <c r="D11002" s="24"/>
      <c r="E11002" s="24"/>
      <c r="F11002" s="24"/>
      <c r="G11002" s="24"/>
      <c r="H11002" s="24"/>
      <c r="I11002" s="24"/>
      <c r="J11002" s="24"/>
      <c r="K11002" s="24"/>
    </row>
    <row r="11003" customFormat="false" ht="15" hidden="false" customHeight="false" outlineLevel="0" collapsed="false">
      <c r="A11003" s="3" t="s">
        <v>536</v>
      </c>
      <c r="C11003" s="20" t="n">
        <f aca="false">COLUMN()-COLUMN($C$1)</f>
        <v>0</v>
      </c>
      <c r="D11003" s="20" t="n">
        <f aca="false">COLUMN()-COLUMN($C$1)</f>
        <v>1</v>
      </c>
      <c r="E11003" s="20" t="n">
        <f aca="false">COLUMN()-COLUMN($C$1)</f>
        <v>2</v>
      </c>
      <c r="F11003" s="20" t="n">
        <f aca="false">COLUMN()-COLUMN($C$1)</f>
        <v>3</v>
      </c>
      <c r="G11003" s="20" t="n">
        <f aca="false">COLUMN()-COLUMN($C$1)</f>
        <v>4</v>
      </c>
      <c r="H11003" s="20" t="n">
        <f aca="false">COLUMN()-COLUMN($C$1)</f>
        <v>5</v>
      </c>
      <c r="I11003" s="20" t="n">
        <f aca="false">COLUMN()-COLUMN($C$1)</f>
        <v>6</v>
      </c>
    </row>
    <row r="11004" customFormat="false" ht="15" hidden="false" customHeight="false" outlineLevel="0" collapsed="false">
      <c r="A11004" s="3" t="s">
        <v>537</v>
      </c>
      <c r="D11004" s="31" t="n">
        <f aca="false">CHOOSE($C$10931,G10744,G10757,G10770)</f>
        <v>0.105</v>
      </c>
      <c r="E11004" s="31" t="n">
        <f aca="false">CHOOSE($C$10931,H10744,H10757,H10770)</f>
        <v>0.105</v>
      </c>
      <c r="F11004" s="31" t="n">
        <f aca="false">CHOOSE($C$10931,I10744,I10757,I10770)</f>
        <v>0.105</v>
      </c>
      <c r="G11004" s="31" t="n">
        <f aca="false">CHOOSE($C$10931,J10744,J10757,J10770)</f>
        <v>0.105</v>
      </c>
      <c r="H11004" s="31" t="n">
        <f aca="false">CHOOSE($C$10931,K10744,K10757,K10770)</f>
        <v>0.105</v>
      </c>
    </row>
    <row r="11005" customFormat="false" ht="15" hidden="false" customHeight="false" outlineLevel="0" collapsed="false">
      <c r="A11005" s="3" t="s">
        <v>538</v>
      </c>
      <c r="D11005" s="25" t="n">
        <f aca="false">IF(D11003&lt;=$C$10940,$C$10932*D11004,0)</f>
        <v>10.5</v>
      </c>
      <c r="E11005" s="25" t="n">
        <f aca="false">IF(E11003&lt;=$C$10940,$C$10932*E11004,0)</f>
        <v>10.5</v>
      </c>
      <c r="F11005" s="25" t="n">
        <f aca="false">IF(F11003&lt;=$C$10940,$C$10932*F11004,0)</f>
        <v>10.5</v>
      </c>
      <c r="G11005" s="25" t="n">
        <f aca="false">IF(G11003&lt;=$C$10940,$C$10932*G11004,0)</f>
        <v>0</v>
      </c>
      <c r="H11005" s="25" t="n">
        <f aca="false">IF(H11003&lt;=$C$10940,$C$10932*H11004,0)</f>
        <v>0</v>
      </c>
    </row>
    <row r="11006" customFormat="false" ht="15" hidden="false" customHeight="false" outlineLevel="0" collapsed="false">
      <c r="A11006" s="3" t="s">
        <v>539</v>
      </c>
      <c r="D11006" s="25" t="n">
        <f aca="false">IF(AND($C$10861=0,D11003=$C$10935),$C$10932*$C$11000/100,0)+IF(AND($C$10861=1,D11003=$C$11001),$C$10938,0)</f>
        <v>0</v>
      </c>
      <c r="E11006" s="25" t="n">
        <f aca="false">IF(AND($C$10861=0,E11003=$C$10935),$C$10932*$C$11000/100,0)+IF(AND($C$10861=1,E11003=$C$11001),$C$10938,0)</f>
        <v>0</v>
      </c>
      <c r="F11006" s="25" t="n">
        <f aca="false">IF(AND($C$10861=0,F11003=$C$10935),$C$10932*$C$11000/100,0)+IF(AND($C$10861=1,F11003=$C$11001),$C$10938,0)</f>
        <v>100</v>
      </c>
      <c r="G11006" s="25" t="n">
        <f aca="false">IF(AND($C$10861=0,G11003=$C$10935),$C$10932*$C$11000/100,0)+IF(AND($C$10861=1,G11003=$C$11001),$C$10938,0)</f>
        <v>0</v>
      </c>
      <c r="H11006" s="25" t="n">
        <f aca="false">IF(AND($C$10861=0,H11003=$C$10935),$C$10932*$C$11000/100,0)+IF(AND($C$10861=1,H11003=$C$11001),$C$10938,0)</f>
        <v>0</v>
      </c>
      <c r="I11006" s="25" t="n">
        <f aca="false">IF(AND($C$10861=0,I11003=$C$10935),$C$10932*$C$11000/100,0)+IF(AND($C$10861=1,I11003=$C$11001),$C$10938,0)</f>
        <v>0</v>
      </c>
    </row>
    <row r="11007" customFormat="false" ht="15" hidden="false" customHeight="false" outlineLevel="0" collapsed="false">
      <c r="A11007" s="2" t="s">
        <v>540</v>
      </c>
      <c r="C11007" s="16" t="n">
        <f aca="false">-$C$10934</f>
        <v>-95</v>
      </c>
      <c r="D11007" s="16" t="n">
        <f aca="false">D11005+D11006</f>
        <v>10.5</v>
      </c>
      <c r="E11007" s="16" t="n">
        <f aca="false">E11005+E11006</f>
        <v>10.5</v>
      </c>
      <c r="F11007" s="16" t="n">
        <f aca="false">F11005+F11006</f>
        <v>110.5</v>
      </c>
      <c r="G11007" s="16" t="n">
        <f aca="false">G11005+G11006</f>
        <v>0</v>
      </c>
      <c r="H11007" s="16" t="n">
        <f aca="false">H11005+H11006</f>
        <v>0</v>
      </c>
      <c r="I11007" s="16" t="n">
        <f aca="false">I11005+I11006</f>
        <v>0</v>
      </c>
    </row>
    <row r="11008" customFormat="false" ht="15" hidden="false" customHeight="false" outlineLevel="0" collapsed="false">
      <c r="A11008" s="3" t="s">
        <v>541</v>
      </c>
      <c r="C11008" s="25" t="n">
        <f aca="false">SUM($C$11005:$I$11005)</f>
        <v>31.5</v>
      </c>
    </row>
    <row r="11009" customFormat="false" ht="15" hidden="false" customHeight="false" outlineLevel="0" collapsed="false">
      <c r="A11009" s="3" t="s">
        <v>542</v>
      </c>
      <c r="C11009" s="25" t="n">
        <f aca="false">SUM($C$11006:$I$11006)</f>
        <v>100</v>
      </c>
    </row>
    <row r="11010" customFormat="false" ht="15" hidden="false" customHeight="false" outlineLevel="0" collapsed="false">
      <c r="A11010" s="3" t="s">
        <v>543</v>
      </c>
      <c r="C11010" s="25" t="n">
        <f aca="false">C11008+C11009</f>
        <v>131.5</v>
      </c>
    </row>
    <row r="11011" customFormat="false" ht="15" hidden="false" customHeight="false" outlineLevel="0" collapsed="false">
      <c r="A11011" s="3" t="s">
        <v>544</v>
      </c>
      <c r="C11011" s="25" t="n">
        <f aca="false">C11009-C10932*C10933/100</f>
        <v>5</v>
      </c>
    </row>
    <row r="11012" customFormat="false" ht="15" hidden="false" customHeight="false" outlineLevel="0" collapsed="false">
      <c r="A11012" s="3" t="s">
        <v>545</v>
      </c>
      <c r="C11012" s="25" t="n">
        <f aca="false">C11010-C10934</f>
        <v>36.5</v>
      </c>
    </row>
    <row r="11013" customFormat="false" ht="15" hidden="false" customHeight="false" outlineLevel="0" collapsed="false">
      <c r="A11013" s="2" t="s">
        <v>427</v>
      </c>
      <c r="C11013" s="44" t="n">
        <f aca="false">C11010/C10934</f>
        <v>1.38421052631579</v>
      </c>
    </row>
    <row r="11014" customFormat="false" ht="15" hidden="false" customHeight="false" outlineLevel="0" collapsed="false">
      <c r="A11014" s="2" t="s">
        <v>426</v>
      </c>
      <c r="C11014" s="42" t="n">
        <f aca="false">IF(C11010&lt;=0,-1,IFERROR(IRR($C$11007:$I$11007,MAX(-0.9,C11013^(1/C11001)-1)),IRR($C$11007:$I$11007,0.1)))</f>
        <v>0.126033624615204</v>
      </c>
    </row>
    <row r="11015" customFormat="false" ht="15" hidden="false" customHeight="false" outlineLevel="0" collapsed="false">
      <c r="A11015" s="3" t="s">
        <v>546</v>
      </c>
      <c r="C11015" s="32" t="n">
        <f aca="false">MAX($G$10821:$K$10821)</f>
        <v>3.81499621093561</v>
      </c>
    </row>
    <row r="11016" customFormat="false" ht="15" hidden="false" customHeight="false" outlineLevel="0" collapsed="false">
      <c r="A11016" s="3" t="s">
        <v>547</v>
      </c>
      <c r="C11016" s="32" t="n">
        <f aca="false">MIN($G$10822:$K$10822)</f>
        <v>1.75842750947116</v>
      </c>
    </row>
    <row r="11017" customFormat="false" ht="15" hidden="false" customHeight="false" outlineLevel="0" collapsed="false">
      <c r="A11017" s="3" t="s">
        <v>548</v>
      </c>
      <c r="C11017" s="25" t="n">
        <f aca="false">SUM($G$10728:$K$10728)</f>
        <v>555.588348849095</v>
      </c>
    </row>
    <row r="11021" customFormat="false" ht="15" hidden="false" customHeight="false" outlineLevel="0" collapsed="false">
      <c r="A11021" s="9" t="s">
        <v>1048</v>
      </c>
      <c r="B11021" s="10"/>
      <c r="C11021" s="10"/>
      <c r="D11021" s="10"/>
      <c r="E11021" s="10"/>
      <c r="F11021" s="10"/>
      <c r="G11021" s="10"/>
      <c r="H11021" s="10"/>
      <c r="I11021" s="10"/>
      <c r="J11021" s="10"/>
      <c r="K11021" s="10"/>
    </row>
    <row r="11022" customFormat="false" ht="15" hidden="false" customHeight="false" outlineLevel="0" collapsed="false">
      <c r="A11022" s="3" t="s">
        <v>1010</v>
      </c>
      <c r="C11022" s="11" t="n">
        <v>1</v>
      </c>
    </row>
    <row r="11023" customFormat="false" ht="15" hidden="false" customHeight="false" outlineLevel="0" collapsed="false">
      <c r="A11023" s="3" t="s">
        <v>1011</v>
      </c>
      <c r="C11023" s="18" t="n">
        <v>0</v>
      </c>
    </row>
    <row r="11024" customFormat="false" ht="15" hidden="false" customHeight="false" outlineLevel="0" collapsed="false">
      <c r="A11024" s="3" t="s">
        <v>1012</v>
      </c>
      <c r="C11024" s="18" t="n">
        <v>0</v>
      </c>
    </row>
    <row r="11025" customFormat="false" ht="15" hidden="false" customHeight="false" outlineLevel="0" collapsed="false">
      <c r="A11025" s="3" t="s">
        <v>1013</v>
      </c>
      <c r="C11025" s="30" t="n">
        <f aca="false">Sensitivities!$A$51</f>
        <v>-0.005</v>
      </c>
    </row>
    <row r="11026" customFormat="false" ht="15" hidden="false" customHeight="false" outlineLevel="0" collapsed="false">
      <c r="A11026" s="3" t="s">
        <v>1014</v>
      </c>
      <c r="C11026" s="15" t="n">
        <v>0</v>
      </c>
    </row>
    <row r="11028" customFormat="false" ht="15" hidden="false" customHeight="false" outlineLevel="0" collapsed="false">
      <c r="A11028" s="23" t="s">
        <v>281</v>
      </c>
      <c r="B11028" s="24"/>
      <c r="C11028" s="24"/>
      <c r="D11028" s="24"/>
      <c r="E11028" s="24"/>
      <c r="F11028" s="24"/>
      <c r="G11028" s="24"/>
      <c r="H11028" s="24"/>
      <c r="I11028" s="24"/>
      <c r="J11028" s="24"/>
      <c r="K11028" s="24"/>
    </row>
    <row r="11029" customFormat="false" ht="15" hidden="false" customHeight="false" outlineLevel="0" collapsed="false">
      <c r="A11029" s="3" t="s">
        <v>282</v>
      </c>
      <c r="F11029" s="27" t="n">
        <f aca="false">Assumptions!$C$6</f>
        <v>2026</v>
      </c>
      <c r="G11029" s="20" t="n">
        <f aca="false">F11029+1</f>
        <v>2027</v>
      </c>
      <c r="H11029" s="20" t="n">
        <f aca="false">G11029+1</f>
        <v>2028</v>
      </c>
      <c r="I11029" s="20" t="n">
        <f aca="false">H11029+1</f>
        <v>2029</v>
      </c>
      <c r="J11029" s="20" t="n">
        <f aca="false">I11029+1</f>
        <v>2030</v>
      </c>
      <c r="K11029" s="20" t="n">
        <f aca="false">J11029+1</f>
        <v>2031</v>
      </c>
    </row>
    <row r="11030" customFormat="false" ht="15" hidden="false" customHeight="false" outlineLevel="0" collapsed="false">
      <c r="A11030" s="3" t="s">
        <v>283</v>
      </c>
      <c r="G11030" s="20" t="n">
        <f aca="false">G11029-Assumptions!$C$6</f>
        <v>1</v>
      </c>
      <c r="H11030" s="20" t="n">
        <f aca="false">H11029-Assumptions!$C$6</f>
        <v>2</v>
      </c>
      <c r="I11030" s="20" t="n">
        <f aca="false">I11029-Assumptions!$C$6</f>
        <v>3</v>
      </c>
      <c r="J11030" s="20" t="n">
        <f aca="false">J11029-Assumptions!$C$6</f>
        <v>4</v>
      </c>
      <c r="K11030" s="20" t="n">
        <f aca="false">K11029-Assumptions!$C$6</f>
        <v>5</v>
      </c>
    </row>
    <row r="11031" customFormat="false" ht="15" hidden="false" customHeight="false" outlineLevel="0" collapsed="false">
      <c r="A11031" s="3" t="s">
        <v>165</v>
      </c>
      <c r="G11031" s="21" t="n">
        <f aca="false">CHOOSE($C$11022,Assumptions!$G$71,Assumptions!$G$90,Assumptions!$G$109)+$C$11023</f>
        <v>-0.045</v>
      </c>
      <c r="H11031" s="21" t="n">
        <f aca="false">CHOOSE($C$11022,Assumptions!$H$71,Assumptions!$H$90,Assumptions!$H$109)+$C$11023</f>
        <v>-0.04</v>
      </c>
      <c r="I11031" s="21" t="n">
        <f aca="false">CHOOSE($C$11022,Assumptions!$I$71,Assumptions!$I$90,Assumptions!$I$109)+$C$11023</f>
        <v>-0.035</v>
      </c>
      <c r="J11031" s="21" t="n">
        <f aca="false">CHOOSE($C$11022,Assumptions!$J$71,Assumptions!$J$90,Assumptions!$J$109)+$C$11023</f>
        <v>-0.03</v>
      </c>
      <c r="K11031" s="21" t="n">
        <f aca="false">CHOOSE($C$11022,Assumptions!$K$71,Assumptions!$K$90,Assumptions!$K$109)+$C$11023</f>
        <v>-0.03</v>
      </c>
    </row>
    <row r="11032" customFormat="false" ht="15" hidden="false" customHeight="false" outlineLevel="0" collapsed="false">
      <c r="A11032" s="3" t="s">
        <v>166</v>
      </c>
      <c r="G11032" s="21" t="n">
        <f aca="false">CHOOSE($C$11022,Assumptions!$G$72,Assumptions!$G$91,Assumptions!$G$110)</f>
        <v>0.483246670103635</v>
      </c>
      <c r="H11032" s="21" t="n">
        <f aca="false">CHOOSE($C$11022,Assumptions!$H$72,Assumptions!$H$91,Assumptions!$H$110)</f>
        <v>0.483246670103635</v>
      </c>
      <c r="I11032" s="21" t="n">
        <f aca="false">CHOOSE($C$11022,Assumptions!$I$72,Assumptions!$I$91,Assumptions!$I$110)</f>
        <v>0.481246670103635</v>
      </c>
      <c r="J11032" s="21" t="n">
        <f aca="false">CHOOSE($C$11022,Assumptions!$J$72,Assumptions!$J$91,Assumptions!$J$110)</f>
        <v>0.479246670103635</v>
      </c>
      <c r="K11032" s="21" t="n">
        <f aca="false">CHOOSE($C$11022,Assumptions!$K$72,Assumptions!$K$91,Assumptions!$K$110)</f>
        <v>0.477246670103635</v>
      </c>
    </row>
    <row r="11033" customFormat="false" ht="15" hidden="false" customHeight="false" outlineLevel="0" collapsed="false">
      <c r="A11033" s="3" t="s">
        <v>167</v>
      </c>
      <c r="G11033" s="21" t="n">
        <f aca="false">CHOOSE($C$11022,Assumptions!$G$73,Assumptions!$G$92,Assumptions!$G$111)+$C$11024</f>
        <v>0.14</v>
      </c>
      <c r="H11033" s="21" t="n">
        <f aca="false">CHOOSE($C$11022,Assumptions!$H$73,Assumptions!$H$92,Assumptions!$H$111)+$C$11024</f>
        <v>0.14</v>
      </c>
      <c r="I11033" s="21" t="n">
        <f aca="false">CHOOSE($C$11022,Assumptions!$I$73,Assumptions!$I$92,Assumptions!$I$111)+$C$11024</f>
        <v>0.138</v>
      </c>
      <c r="J11033" s="21" t="n">
        <f aca="false">CHOOSE($C$11022,Assumptions!$J$73,Assumptions!$J$92,Assumptions!$J$111)+$C$11024</f>
        <v>0.136</v>
      </c>
      <c r="K11033" s="21" t="n">
        <f aca="false">CHOOSE($C$11022,Assumptions!$K$73,Assumptions!$K$92,Assumptions!$K$111)+$C$11024</f>
        <v>0.134</v>
      </c>
    </row>
    <row r="11034" customFormat="false" ht="15" hidden="false" customHeight="false" outlineLevel="0" collapsed="false">
      <c r="A11034" s="23" t="s">
        <v>284</v>
      </c>
      <c r="B11034" s="24"/>
      <c r="C11034" s="24"/>
      <c r="D11034" s="24"/>
      <c r="E11034" s="24"/>
      <c r="F11034" s="24"/>
      <c r="G11034" s="24"/>
      <c r="H11034" s="24"/>
      <c r="I11034" s="24"/>
      <c r="J11034" s="24"/>
      <c r="K11034" s="24"/>
    </row>
    <row r="11035" customFormat="false" ht="15" hidden="false" customHeight="false" outlineLevel="0" collapsed="false">
      <c r="A11035" s="2" t="s">
        <v>256</v>
      </c>
      <c r="F11035" s="28" t="n">
        <f aca="false">'Historical Financials'!G23</f>
        <v>2246.166</v>
      </c>
      <c r="G11035" s="16" t="n">
        <f aca="false">F11035*(1+G11031)</f>
        <v>2145.08853</v>
      </c>
      <c r="H11035" s="16" t="n">
        <f aca="false">G11035*(1+H11031)</f>
        <v>2059.2849888</v>
      </c>
      <c r="I11035" s="16" t="n">
        <f aca="false">H11035*(1+I11031)</f>
        <v>1987.210014192</v>
      </c>
      <c r="J11035" s="16" t="n">
        <f aca="false">I11035*(1+J11031)</f>
        <v>1927.59371376624</v>
      </c>
      <c r="K11035" s="16" t="n">
        <f aca="false">J11035*(1+K11031)</f>
        <v>1869.76590235325</v>
      </c>
    </row>
    <row r="11036" customFormat="false" ht="15" hidden="false" customHeight="false" outlineLevel="0" collapsed="false">
      <c r="A11036" s="3" t="s">
        <v>257</v>
      </c>
      <c r="G11036" s="25" t="n">
        <f aca="false">G11035*(1-G11032)</f>
        <v>1108.4816408</v>
      </c>
      <c r="H11036" s="25" t="n">
        <f aca="false">H11035*(1-H11032)</f>
        <v>1064.142375168</v>
      </c>
      <c r="I11036" s="25" t="n">
        <f aca="false">I11035*(1-I11032)</f>
        <v>1030.8718120655</v>
      </c>
      <c r="J11036" s="25" t="n">
        <f aca="false">J11035*(1-J11032)</f>
        <v>1003.80084513107</v>
      </c>
      <c r="K11036" s="25" t="n">
        <f aca="false">K11035*(1-K11032)</f>
        <v>977.426351581845</v>
      </c>
    </row>
    <row r="11037" customFormat="false" ht="15" hidden="false" customHeight="false" outlineLevel="0" collapsed="false">
      <c r="A11037" s="2" t="s">
        <v>258</v>
      </c>
      <c r="G11037" s="16" t="n">
        <f aca="false">G11035-G11036</f>
        <v>1036.6068892</v>
      </c>
      <c r="H11037" s="16" t="n">
        <f aca="false">H11035-H11036</f>
        <v>995.142613632</v>
      </c>
      <c r="I11037" s="16" t="n">
        <f aca="false">I11035-I11036</f>
        <v>956.338202126496</v>
      </c>
      <c r="J11037" s="16" t="n">
        <f aca="false">J11035-J11036</f>
        <v>923.792868635169</v>
      </c>
      <c r="K11037" s="16" t="n">
        <f aca="false">K11035-K11036</f>
        <v>892.339550771407</v>
      </c>
    </row>
    <row r="11038" customFormat="false" ht="15" hidden="false" customHeight="false" outlineLevel="0" collapsed="false">
      <c r="A11038" s="3" t="s">
        <v>285</v>
      </c>
      <c r="G11038" s="25" t="n">
        <f aca="false">G11037-G11039</f>
        <v>736.294495</v>
      </c>
      <c r="H11038" s="25" t="n">
        <f aca="false">H11037-H11039</f>
        <v>706.8427152</v>
      </c>
      <c r="I11038" s="25" t="n">
        <f aca="false">I11037-I11039</f>
        <v>682.103220168</v>
      </c>
      <c r="J11038" s="25" t="n">
        <f aca="false">J11037-J11039</f>
        <v>661.64012356296</v>
      </c>
      <c r="K11038" s="25" t="n">
        <f aca="false">K11037-K11039</f>
        <v>641.790919856071</v>
      </c>
    </row>
    <row r="11039" customFormat="false" ht="15" hidden="false" customHeight="false" outlineLevel="0" collapsed="false">
      <c r="A11039" s="2" t="s">
        <v>286</v>
      </c>
      <c r="G11039" s="16" t="n">
        <f aca="false">G11035*G11033</f>
        <v>300.3123942</v>
      </c>
      <c r="H11039" s="16" t="n">
        <f aca="false">H11035*H11033</f>
        <v>288.299898432</v>
      </c>
      <c r="I11039" s="16" t="n">
        <f aca="false">I11035*I11033</f>
        <v>274.234981958496</v>
      </c>
      <c r="J11039" s="16" t="n">
        <f aca="false">J11035*J11033</f>
        <v>262.152745072209</v>
      </c>
      <c r="K11039" s="16" t="n">
        <f aca="false">K11035*K11033</f>
        <v>250.548630915336</v>
      </c>
    </row>
    <row r="11040" customFormat="false" ht="15" hidden="false" customHeight="false" outlineLevel="0" collapsed="false">
      <c r="A11040" s="3" t="s">
        <v>287</v>
      </c>
      <c r="G11040" s="25" t="n">
        <f aca="false">G11035*'Historical Financials'!G28/'Historical Financials'!G23</f>
        <v>81.45768</v>
      </c>
      <c r="H11040" s="25" t="n">
        <f aca="false">H11035*'Historical Financials'!G28/'Historical Financials'!G23</f>
        <v>78.1993728</v>
      </c>
      <c r="I11040" s="25" t="n">
        <f aca="false">I11035*'Historical Financials'!G28/'Historical Financials'!G23</f>
        <v>75.462394752</v>
      </c>
      <c r="J11040" s="25" t="n">
        <f aca="false">J11035*'Historical Financials'!G28/'Historical Financials'!G23</f>
        <v>73.19852290944</v>
      </c>
      <c r="K11040" s="25" t="n">
        <f aca="false">K11035*'Historical Financials'!G28/'Historical Financials'!G23</f>
        <v>71.0025672221568</v>
      </c>
    </row>
    <row r="11041" customFormat="false" ht="15" hidden="false" customHeight="false" outlineLevel="0" collapsed="false">
      <c r="A11041" s="3" t="s">
        <v>288</v>
      </c>
      <c r="G11041" s="25" t="n">
        <f aca="false">G11035*'Historical Financials'!G29/'Historical Financials'!G23</f>
        <v>23.25998</v>
      </c>
      <c r="H11041" s="25" t="n">
        <f aca="false">H11035*'Historical Financials'!G29/'Historical Financials'!G23</f>
        <v>22.3295808</v>
      </c>
      <c r="I11041" s="25" t="n">
        <f aca="false">I11035*'Historical Financials'!G29/'Historical Financials'!G23</f>
        <v>21.548045472</v>
      </c>
      <c r="J11041" s="25" t="n">
        <f aca="false">J11035*'Historical Financials'!G29/'Historical Financials'!G23</f>
        <v>20.90160410784</v>
      </c>
      <c r="K11041" s="25" t="n">
        <f aca="false">K11035*'Historical Financials'!G29/'Historical Financials'!G23</f>
        <v>20.2745559846048</v>
      </c>
    </row>
    <row r="11042" customFormat="false" ht="15" hidden="false" customHeight="false" outlineLevel="0" collapsed="false">
      <c r="A11042" s="2" t="s">
        <v>289</v>
      </c>
      <c r="G11042" s="16" t="n">
        <f aca="false">G11039-G11040-G11041</f>
        <v>195.5947342</v>
      </c>
      <c r="H11042" s="16" t="n">
        <f aca="false">H11039-H11040-H11041</f>
        <v>187.770944832</v>
      </c>
      <c r="I11042" s="16" t="n">
        <f aca="false">I11039-I11040-I11041</f>
        <v>177.224541734496</v>
      </c>
      <c r="J11042" s="16" t="n">
        <f aca="false">J11039-J11040-J11041</f>
        <v>168.052618054929</v>
      </c>
      <c r="K11042" s="16" t="n">
        <f aca="false">K11039-K11040-K11041</f>
        <v>159.271507708574</v>
      </c>
    </row>
    <row r="11043" customFormat="false" ht="15" hidden="false" customHeight="false" outlineLevel="0" collapsed="false">
      <c r="A11043" s="3" t="s">
        <v>290</v>
      </c>
      <c r="G11043" s="25" t="n">
        <f aca="false">G11069+G11082+G11095</f>
        <v>155.95467</v>
      </c>
      <c r="H11043" s="25" t="n">
        <f aca="false">H11069+H11082+H11095</f>
        <v>155.95467</v>
      </c>
      <c r="I11043" s="25" t="n">
        <f aca="false">I11069+I11082+I11095</f>
        <v>155.95467</v>
      </c>
      <c r="J11043" s="25" t="n">
        <f aca="false">J11069+J11082+J11095</f>
        <v>138.08529</v>
      </c>
      <c r="K11043" s="25" t="n">
        <f aca="false">K11069+K11082+K11095</f>
        <v>138.08529</v>
      </c>
    </row>
    <row r="11044" customFormat="false" ht="15" hidden="false" customHeight="false" outlineLevel="0" collapsed="false">
      <c r="A11044" s="3" t="s">
        <v>291</v>
      </c>
      <c r="G11044" s="25" t="n">
        <f aca="false">G11070+G11083+G11096</f>
        <v>0</v>
      </c>
      <c r="H11044" s="25" t="n">
        <f aca="false">H11070+H11083+H11096</f>
        <v>0</v>
      </c>
      <c r="I11044" s="25" t="n">
        <f aca="false">I11070+I11083+I11096</f>
        <v>0</v>
      </c>
      <c r="J11044" s="25" t="n">
        <f aca="false">J11070+J11083+J11096</f>
        <v>0</v>
      </c>
      <c r="K11044" s="25" t="n">
        <f aca="false">K11070+K11083+K11096</f>
        <v>0</v>
      </c>
    </row>
    <row r="11045" customFormat="false" ht="15" hidden="false" customHeight="false" outlineLevel="0" collapsed="false">
      <c r="A11045" s="3" t="s">
        <v>239</v>
      </c>
      <c r="G11045" s="25" t="n">
        <f aca="false">G11043+G11044</f>
        <v>155.95467</v>
      </c>
      <c r="H11045" s="25" t="n">
        <f aca="false">H11043+H11044</f>
        <v>155.95467</v>
      </c>
      <c r="I11045" s="25" t="n">
        <f aca="false">I11043+I11044</f>
        <v>155.95467</v>
      </c>
      <c r="J11045" s="25" t="n">
        <f aca="false">J11043+J11044</f>
        <v>138.08529</v>
      </c>
      <c r="K11045" s="25" t="n">
        <f aca="false">K11043+K11044</f>
        <v>138.08529</v>
      </c>
    </row>
    <row r="11046" customFormat="false" ht="15" hidden="false" customHeight="false" outlineLevel="0" collapsed="false">
      <c r="A11046" s="2" t="s">
        <v>264</v>
      </c>
      <c r="G11046" s="16" t="n">
        <f aca="false">G11042-G11045</f>
        <v>39.6400642</v>
      </c>
      <c r="H11046" s="16" t="n">
        <f aca="false">H11042-H11045</f>
        <v>31.816274832</v>
      </c>
      <c r="I11046" s="16" t="n">
        <f aca="false">I11042-I11045</f>
        <v>21.269871734496</v>
      </c>
      <c r="J11046" s="16" t="n">
        <f aca="false">J11042-J11045</f>
        <v>29.9673280549286</v>
      </c>
      <c r="K11046" s="16" t="n">
        <f aca="false">K11042-K11045</f>
        <v>21.1862177085742</v>
      </c>
    </row>
    <row r="11047" customFormat="false" ht="15" hidden="false" customHeight="false" outlineLevel="0" collapsed="false">
      <c r="A11047" s="3" t="s">
        <v>292</v>
      </c>
      <c r="G11047" s="25" t="n">
        <f aca="false">MAX(0,G11046)*Assumptions!$C$9</f>
        <v>9.91001604999999</v>
      </c>
      <c r="H11047" s="25" t="n">
        <f aca="false">MAX(0,H11046)*Assumptions!$C$9</f>
        <v>7.95406870799999</v>
      </c>
      <c r="I11047" s="25" t="n">
        <f aca="false">MAX(0,I11046)*Assumptions!$C$9</f>
        <v>5.317467933624</v>
      </c>
      <c r="J11047" s="25" t="n">
        <f aca="false">MAX(0,J11046)*Assumptions!$C$9</f>
        <v>7.49183201373215</v>
      </c>
      <c r="K11047" s="25" t="n">
        <f aca="false">MAX(0,K11046)*Assumptions!$C$9</f>
        <v>5.29655442714356</v>
      </c>
    </row>
    <row r="11048" customFormat="false" ht="15" hidden="false" customHeight="false" outlineLevel="0" collapsed="false">
      <c r="A11048" s="2" t="s">
        <v>293</v>
      </c>
      <c r="G11048" s="16" t="n">
        <f aca="false">G11046-G11047</f>
        <v>29.73004815</v>
      </c>
      <c r="H11048" s="16" t="n">
        <f aca="false">H11046-H11047</f>
        <v>23.862206124</v>
      </c>
      <c r="I11048" s="16" t="n">
        <f aca="false">I11046-I11047</f>
        <v>15.952403800872</v>
      </c>
      <c r="J11048" s="16" t="n">
        <f aca="false">J11046-J11047</f>
        <v>22.4754960411965</v>
      </c>
      <c r="K11048" s="16" t="n">
        <f aca="false">K11046-K11047</f>
        <v>15.8896632814307</v>
      </c>
    </row>
    <row r="11049" customFormat="false" ht="15" hidden="false" customHeight="false" outlineLevel="0" collapsed="false">
      <c r="A11049" s="23" t="s">
        <v>294</v>
      </c>
      <c r="B11049" s="24"/>
      <c r="C11049" s="24"/>
      <c r="D11049" s="24"/>
      <c r="E11049" s="24"/>
      <c r="F11049" s="24"/>
      <c r="G11049" s="24"/>
      <c r="H11049" s="24"/>
      <c r="I11049" s="24"/>
      <c r="J11049" s="24"/>
      <c r="K11049" s="24"/>
    </row>
    <row r="11050" customFormat="false" ht="15" hidden="false" customHeight="false" outlineLevel="0" collapsed="false">
      <c r="A11050" s="3" t="s">
        <v>169</v>
      </c>
      <c r="G11050" s="25" t="n">
        <f aca="false">G11035*CHOOSE($C$11022,Assumptions!$C$75,Assumptions!$C$94,Assumptions!$C$113)</f>
        <v>30.03123942</v>
      </c>
      <c r="H11050" s="25" t="n">
        <f aca="false">H11035*CHOOSE($C$11022,Assumptions!$C$75,Assumptions!$C$94,Assumptions!$C$113)</f>
        <v>28.8299898432</v>
      </c>
      <c r="I11050" s="25" t="n">
        <f aca="false">I11035*CHOOSE($C$11022,Assumptions!$C$75,Assumptions!$C$94,Assumptions!$C$113)</f>
        <v>27.820940198688</v>
      </c>
      <c r="J11050" s="25" t="n">
        <f aca="false">J11035*CHOOSE($C$11022,Assumptions!$C$75,Assumptions!$C$94,Assumptions!$C$113)</f>
        <v>26.9863119927274</v>
      </c>
      <c r="K11050" s="25" t="n">
        <f aca="false">K11035*CHOOSE($C$11022,Assumptions!$C$75,Assumptions!$C$94,Assumptions!$C$113)</f>
        <v>26.1767226329455</v>
      </c>
    </row>
    <row r="11051" customFormat="false" ht="15" hidden="false" customHeight="false" outlineLevel="0" collapsed="false">
      <c r="A11051" s="3" t="s">
        <v>295</v>
      </c>
      <c r="G11051" s="25" t="n">
        <f aca="false">CHOOSE($C$11022,Assumptions!$C$76,Assumptions!$C$95,Assumptions!$C$114)*(G11035-F11035)+CHOOSE($C$11022,Assumptions!$C$77,Assumptions!$C$96,Assumptions!$C$115)*G11035</f>
        <v>-21.4508853</v>
      </c>
      <c r="H11051" s="25" t="n">
        <f aca="false">CHOOSE($C$11022,Assumptions!$C$76,Assumptions!$C$95,Assumptions!$C$114)*(H11035-G11035)+CHOOSE($C$11022,Assumptions!$C$77,Assumptions!$C$96,Assumptions!$C$115)*H11035</f>
        <v>-20.592849888</v>
      </c>
      <c r="I11051" s="25" t="n">
        <f aca="false">CHOOSE($C$11022,Assumptions!$C$76,Assumptions!$C$95,Assumptions!$C$114)*(I11035-H11035)+CHOOSE($C$11022,Assumptions!$C$77,Assumptions!$C$96,Assumptions!$C$115)*I11035</f>
        <v>-19.87210014192</v>
      </c>
      <c r="J11051" s="25" t="n">
        <f aca="false">CHOOSE($C$11022,Assumptions!$C$76,Assumptions!$C$95,Assumptions!$C$114)*(J11035-I11035)+CHOOSE($C$11022,Assumptions!$C$77,Assumptions!$C$96,Assumptions!$C$115)*J11035</f>
        <v>-19.2759371376624</v>
      </c>
      <c r="K11051" s="25" t="n">
        <f aca="false">CHOOSE($C$11022,Assumptions!$C$76,Assumptions!$C$95,Assumptions!$C$114)*(K11035-J11035)+CHOOSE($C$11022,Assumptions!$C$77,Assumptions!$C$96,Assumptions!$C$115)*K11035</f>
        <v>-18.6976590235325</v>
      </c>
    </row>
    <row r="11052" customFormat="false" ht="15" hidden="false" customHeight="false" outlineLevel="0" collapsed="false">
      <c r="A11052" s="2" t="s">
        <v>296</v>
      </c>
      <c r="G11052" s="16" t="n">
        <f aca="false">G11048+G11040+G11041+G11044-G11050-G11051</f>
        <v>125.86735403</v>
      </c>
      <c r="H11052" s="16" t="n">
        <f aca="false">H11048+H11040+H11041+H11044-H11050-H11051</f>
        <v>116.1540197688</v>
      </c>
      <c r="I11052" s="16" t="n">
        <f aca="false">I11048+I11040+I11041+I11044-I11050-I11051</f>
        <v>105.014003968104</v>
      </c>
      <c r="J11052" s="16" t="n">
        <f aca="false">J11048+J11040+J11041+J11044-J11050-J11051</f>
        <v>108.865248203412</v>
      </c>
      <c r="K11052" s="16" t="n">
        <f aca="false">K11048+K11040+K11041+K11044-K11050-K11051</f>
        <v>99.6877228787792</v>
      </c>
    </row>
    <row r="11054" customFormat="false" ht="15" hidden="false" customHeight="false" outlineLevel="0" collapsed="false">
      <c r="A11054" s="23" t="s">
        <v>298</v>
      </c>
      <c r="B11054" s="24"/>
      <c r="C11054" s="24"/>
      <c r="D11054" s="24"/>
      <c r="E11054" s="24"/>
      <c r="F11054" s="24"/>
      <c r="G11054" s="24"/>
      <c r="H11054" s="24"/>
      <c r="I11054" s="24"/>
      <c r="J11054" s="24"/>
      <c r="K11054" s="24"/>
    </row>
    <row r="11055" customFormat="false" ht="15" hidden="false" customHeight="false" outlineLevel="0" collapsed="false">
      <c r="A11055" s="3" t="s">
        <v>299</v>
      </c>
      <c r="G11055" s="30" t="n">
        <f aca="false">Assumptions!$G$52</f>
        <v>0.039</v>
      </c>
      <c r="H11055" s="30" t="n">
        <f aca="false">Assumptions!$H$52</f>
        <v>0.0375</v>
      </c>
      <c r="I11055" s="30" t="n">
        <f aca="false">Assumptions!$I$52</f>
        <v>0.035</v>
      </c>
      <c r="J11055" s="30" t="n">
        <f aca="false">Assumptions!$J$52</f>
        <v>0.035</v>
      </c>
      <c r="K11055" s="30" t="n">
        <f aca="false">Assumptions!$K$52</f>
        <v>0.035</v>
      </c>
    </row>
    <row r="11056" customFormat="false" ht="15" hidden="false" customHeight="false" outlineLevel="0" collapsed="false">
      <c r="A11056" s="3" t="s">
        <v>300</v>
      </c>
      <c r="C11056" s="31" t="n">
        <f aca="false">CHOOSE($C$11022,Assumptions!$C$78,Assumptions!$C$97,Assumptions!$C$116)+$C$11025</f>
        <v>-0.005</v>
      </c>
    </row>
    <row r="11057" customFormat="false" ht="15" hidden="false" customHeight="false" outlineLevel="0" collapsed="false">
      <c r="A11057" s="3" t="s">
        <v>301</v>
      </c>
      <c r="C11057" s="31" t="n">
        <f aca="false">CHOOSE($C$11022,Assumptions!$C$79,Assumptions!$C$98,Assumptions!$C$117)</f>
        <v>0.11</v>
      </c>
    </row>
    <row r="11058" customFormat="false" ht="15" hidden="false" customHeight="false" outlineLevel="0" collapsed="false">
      <c r="A11058" s="3" t="s">
        <v>302</v>
      </c>
      <c r="C11058" s="32" t="n">
        <f aca="false">CHOOSE($C$11022,Assumptions!$C$80,Assumptions!$C$99,Assumptions!$C$118)</f>
        <v>6</v>
      </c>
    </row>
    <row r="11059" customFormat="false" ht="15" hidden="false" customHeight="false" outlineLevel="0" collapsed="false">
      <c r="A11059" s="3" t="s">
        <v>303</v>
      </c>
      <c r="C11059" s="32" t="n">
        <f aca="false">CHOOSE($C$11022,Assumptions!$C$81,Assumptions!$C$100,Assumptions!$C$119)</f>
        <v>1.25</v>
      </c>
    </row>
    <row r="11060" customFormat="false" ht="15" hidden="false" customHeight="false" outlineLevel="0" collapsed="false">
      <c r="A11060" s="3" t="s">
        <v>304</v>
      </c>
      <c r="G11060" s="25" t="n">
        <f aca="false">G11065+G11078+G11091</f>
        <v>1735.554</v>
      </c>
      <c r="H11060" s="25" t="n">
        <f aca="false">H11065+H11078+H11091</f>
        <v>1735.554</v>
      </c>
      <c r="I11060" s="25" t="n">
        <f aca="false">I11065+I11078+I11091</f>
        <v>1735.554</v>
      </c>
      <c r="J11060" s="25" t="n">
        <f aca="false">J11065+J11078+J11091</f>
        <v>1315.098</v>
      </c>
      <c r="K11060" s="25" t="n">
        <f aca="false">K11065+K11078+K11091</f>
        <v>1315.098</v>
      </c>
    </row>
    <row r="11061" customFormat="false" ht="15" hidden="false" customHeight="false" outlineLevel="0" collapsed="false">
      <c r="A11061" s="3" t="s">
        <v>305</v>
      </c>
      <c r="G11061" s="25" t="n">
        <f aca="false">F11134</f>
        <v>463.996</v>
      </c>
      <c r="H11061" s="25" t="n">
        <f aca="false">G11134</f>
        <v>589.86335403</v>
      </c>
      <c r="I11061" s="25" t="n">
        <f aca="false">H11134</f>
        <v>706.0173737988</v>
      </c>
      <c r="J11061" s="25" t="n">
        <f aca="false">I11134</f>
        <v>390.575377766904</v>
      </c>
      <c r="K11061" s="25" t="n">
        <f aca="false">J11134</f>
        <v>499.440625970316</v>
      </c>
    </row>
    <row r="11062" customFormat="false" ht="15" hidden="false" customHeight="false" outlineLevel="0" collapsed="false">
      <c r="A11062" s="3" t="s">
        <v>306</v>
      </c>
      <c r="G11062" s="25" t="n">
        <f aca="false">G11065*IF(G11066=1,$C$11057,IF(Assumptions!$I$56=1,MAX(G11055,Assumptions!$G$56)+Assumptions!$F$56+$C$11056,Assumptions!$E$56))+G11078*IF(G11079=1,$C$11057,IF(Assumptions!$I$57=1,MAX(G11055,Assumptions!$G$57)+Assumptions!$F$57+$C$11056,Assumptions!$E$57))+G11091*IF(G11092=1,$C$11057,IF(Assumptions!$I$58=1,MAX(G11055,Assumptions!$G$58)+Assumptions!$F$58+$C$11056,Assumptions!$E$58))</f>
        <v>155.95467</v>
      </c>
      <c r="H11062" s="25" t="n">
        <f aca="false">H11065*IF(OR(H11066=1,G11212=1),$C$11057,IF(Assumptions!$I$56=1,MAX(H11055,Assumptions!$G$56)+Assumptions!$F$56+$C$11056,Assumptions!$E$56))+H11078*IF(OR(H11079=1,G11213=1),$C$11057,IF(Assumptions!$I$57=1,MAX(H11055,Assumptions!$G$57)+Assumptions!$F$57+$C$11056,Assumptions!$E$57))+H11091*IF(OR(H11092=1,G11214=1),$C$11057,IF(Assumptions!$I$58=1,MAX(H11055,Assumptions!$G$58)+Assumptions!$F$58+$C$11056,Assumptions!$E$58))</f>
        <v>155.95467</v>
      </c>
      <c r="I11062" s="25" t="n">
        <f aca="false">I11065*IF(OR(I11066=1,H11212=1),$C$11057,IF(Assumptions!$I$56=1,MAX(I11055,Assumptions!$G$56)+Assumptions!$F$56+$C$11056,Assumptions!$E$56))+I11078*IF(OR(I11079=1,H11213=1),$C$11057,IF(Assumptions!$I$57=1,MAX(I11055,Assumptions!$G$57)+Assumptions!$F$57+$C$11056,Assumptions!$E$57))+I11091*IF(OR(I11092=1,H11214=1),$C$11057,IF(Assumptions!$I$58=1,MAX(I11055,Assumptions!$G$58)+Assumptions!$F$58+$C$11056,Assumptions!$E$58))</f>
        <v>184.33545</v>
      </c>
      <c r="J11062" s="25" t="n">
        <f aca="false">J11065*IF(OR(J11066=1,I11212=1),$C$11057,IF(Assumptions!$I$56=1,MAX(J11055,Assumptions!$G$56)+Assumptions!$F$56+$C$11056,Assumptions!$E$56))+J11078*IF(OR(J11079=1,I11213=1),$C$11057,IF(Assumptions!$I$57=1,MAX(J11055,Assumptions!$G$57)+Assumptions!$F$57+$C$11056,Assumptions!$E$57))+J11091*IF(OR(J11092=1,I11214=1),$C$11057,IF(Assumptions!$I$58=1,MAX(J11055,Assumptions!$G$58)+Assumptions!$F$58+$C$11056,Assumptions!$E$58))</f>
        <v>138.08529</v>
      </c>
      <c r="K11062" s="25" t="n">
        <f aca="false">K11065*IF(OR(K11066=1,J11212=1),$C$11057,IF(Assumptions!$I$56=1,MAX(K11055,Assumptions!$G$56)+Assumptions!$F$56+$C$11056,Assumptions!$E$56))+K11078*IF(OR(K11079=1,J11213=1),$C$11057,IF(Assumptions!$I$57=1,MAX(K11055,Assumptions!$G$57)+Assumptions!$F$57+$C$11056,Assumptions!$E$57))+K11091*IF(OR(K11092=1,J11214=1),$C$11057,IF(Assumptions!$I$58=1,MAX(K11055,Assumptions!$G$58)+Assumptions!$F$58+$C$11056,Assumptions!$E$58))</f>
        <v>138.08529</v>
      </c>
    </row>
    <row r="11063" customFormat="false" ht="15" hidden="false" customHeight="false" outlineLevel="0" collapsed="false">
      <c r="A11063" s="3" t="s">
        <v>307</v>
      </c>
      <c r="G11063" s="20" t="n">
        <f aca="false">IF(G11039&lt;=0,0,IF(AND((G11060-G11061)/G11039&lt;=$C$11058,G11039/G11062&gt;=$C$11059),1,0))</f>
        <v>1</v>
      </c>
      <c r="H11063" s="20" t="n">
        <f aca="false">IF(H11039&lt;=0,0,IF(AND((H11060-H11061)/H11039&lt;=$C$11058,H11039/H11062&gt;=$C$11059),1,0))</f>
        <v>1</v>
      </c>
      <c r="I11063" s="20" t="n">
        <f aca="false">IF(I11039&lt;=0,0,IF(AND((I11060-I11061)/I11039&lt;=$C$11058,I11039/I11062&gt;=$C$11059),1,0))</f>
        <v>1</v>
      </c>
      <c r="J11063" s="20" t="n">
        <f aca="false">IF(J11039&lt;=0,0,IF(AND((J11060-J11061)/J11039&lt;=$C$11058,J11039/J11062&gt;=$C$11059),1,0))</f>
        <v>1</v>
      </c>
      <c r="K11063" s="20" t="n">
        <f aca="false">IF(K11039&lt;=0,0,IF(AND((K11060-K11061)/K11039&lt;=$C$11058,K11039/K11062&gt;=$C$11059),1,0))</f>
        <v>1</v>
      </c>
    </row>
    <row r="11064" customFormat="false" ht="15" hidden="false" customHeight="false" outlineLevel="0" collapsed="false">
      <c r="A11064" s="23" t="s">
        <v>308</v>
      </c>
      <c r="B11064" s="24"/>
      <c r="C11064" s="24"/>
      <c r="D11064" s="24"/>
      <c r="E11064" s="24"/>
      <c r="F11064" s="24"/>
      <c r="G11064" s="24"/>
      <c r="H11064" s="24"/>
      <c r="I11064" s="24"/>
      <c r="J11064" s="24"/>
      <c r="K11064" s="24"/>
    </row>
    <row r="11065" customFormat="false" ht="15" hidden="false" customHeight="false" outlineLevel="0" collapsed="false">
      <c r="A11065" s="3" t="s">
        <v>309</v>
      </c>
      <c r="G11065" s="25" t="n">
        <f aca="false">F11076</f>
        <v>1315.098</v>
      </c>
      <c r="H11065" s="25" t="n">
        <f aca="false">G11076</f>
        <v>1315.098</v>
      </c>
      <c r="I11065" s="25" t="n">
        <f aca="false">H11076</f>
        <v>1315.098</v>
      </c>
      <c r="J11065" s="25" t="n">
        <f aca="false">I11076</f>
        <v>1315.098</v>
      </c>
      <c r="K11065" s="25" t="n">
        <f aca="false">J11076</f>
        <v>1315.098</v>
      </c>
    </row>
    <row r="11066" customFormat="false" ht="15" hidden="false" customHeight="false" outlineLevel="0" collapsed="false">
      <c r="A11066" s="3" t="s">
        <v>310</v>
      </c>
      <c r="G11066" s="20" t="n">
        <f aca="false">IF(G11029=Assumptions!$K$56,1,0)</f>
        <v>0</v>
      </c>
      <c r="H11066" s="20" t="n">
        <f aca="false">IF(H11029=Assumptions!$K$56,1,0)</f>
        <v>0</v>
      </c>
      <c r="I11066" s="20" t="n">
        <f aca="false">IF(I11029=Assumptions!$K$56,1,0)</f>
        <v>0</v>
      </c>
      <c r="J11066" s="20" t="n">
        <f aca="false">IF(J11029=Assumptions!$K$56,1,0)</f>
        <v>0</v>
      </c>
      <c r="K11066" s="20" t="n">
        <f aca="false">IF(K11029=Assumptions!$K$56,1,0)</f>
        <v>0</v>
      </c>
    </row>
    <row r="11068" customFormat="false" ht="15" hidden="false" customHeight="false" outlineLevel="0" collapsed="false">
      <c r="A11068" s="3" t="s">
        <v>311</v>
      </c>
      <c r="G11068" s="31" t="n">
        <f aca="false">IF(Assumptions!$I$56=1,MAX(G11055,Assumptions!$G$56)+Assumptions!$F$56+$C$11056,Assumptions!$E$56)</f>
        <v>0.105</v>
      </c>
      <c r="H11068" s="31" t="n">
        <f aca="false">IF(G11212=1,$C$11057,IF(Assumptions!$I$56=1,MAX(H11055,Assumptions!$G$56)+Assumptions!$F$56+$C$11056,Assumptions!$E$56))</f>
        <v>0.105</v>
      </c>
      <c r="I11068" s="31" t="n">
        <f aca="false">IF(H11212=1,$C$11057,IF(Assumptions!$I$56=1,MAX(I11055,Assumptions!$G$56)+Assumptions!$F$56+$C$11056,Assumptions!$E$56))</f>
        <v>0.105</v>
      </c>
      <c r="J11068" s="31" t="n">
        <f aca="false">IF(I11212=1,$C$11057,IF(Assumptions!$I$56=1,MAX(J11055,Assumptions!$G$56)+Assumptions!$F$56+$C$11056,Assumptions!$E$56))</f>
        <v>0.105</v>
      </c>
      <c r="K11068" s="31" t="n">
        <f aca="false">IF(J11212=1,$C$11057,IF(Assumptions!$I$56=1,MAX(K11055,Assumptions!$G$56)+Assumptions!$F$56+$C$11056,Assumptions!$E$56))</f>
        <v>0.105</v>
      </c>
    </row>
    <row r="11069" customFormat="false" ht="15" hidden="false" customHeight="false" outlineLevel="0" collapsed="false">
      <c r="A11069" s="3" t="s">
        <v>312</v>
      </c>
      <c r="G11069" s="25" t="n">
        <f aca="false">G11065*G11068</f>
        <v>138.08529</v>
      </c>
      <c r="H11069" s="25" t="n">
        <f aca="false">H11065*H11068</f>
        <v>138.08529</v>
      </c>
      <c r="I11069" s="25" t="n">
        <f aca="false">I11065*I11068</f>
        <v>138.08529</v>
      </c>
      <c r="J11069" s="25" t="n">
        <f aca="false">J11065*J11068</f>
        <v>138.08529</v>
      </c>
      <c r="K11069" s="25" t="n">
        <f aca="false">K11065*K11068</f>
        <v>138.08529</v>
      </c>
    </row>
    <row r="11070" customFormat="false" ht="15" hidden="false" customHeight="false" outlineLevel="0" collapsed="false">
      <c r="A11070" s="3" t="s">
        <v>313</v>
      </c>
      <c r="G11070" s="25" t="n">
        <f aca="false">G11065*Assumptions!$H$56</f>
        <v>0</v>
      </c>
      <c r="H11070" s="25" t="n">
        <f aca="false">H11065*Assumptions!$H$56</f>
        <v>0</v>
      </c>
      <c r="I11070" s="25" t="n">
        <f aca="false">I11065*Assumptions!$H$56</f>
        <v>0</v>
      </c>
      <c r="J11070" s="25" t="n">
        <f aca="false">J11065*Assumptions!$H$56</f>
        <v>0</v>
      </c>
      <c r="K11070" s="25" t="n">
        <f aca="false">K11065*Assumptions!$H$56</f>
        <v>0</v>
      </c>
    </row>
    <row r="11071" customFormat="false" ht="15" hidden="false" customHeight="false" outlineLevel="0" collapsed="false">
      <c r="A11071" s="3" t="s">
        <v>314</v>
      </c>
      <c r="G11071" s="25" t="n">
        <f aca="false">MIN(G11065,Assumptions!$L$56*Assumptions!$C$56)</f>
        <v>0</v>
      </c>
      <c r="H11071" s="25" t="n">
        <f aca="false">MIN(H11065,Assumptions!$L$56*Assumptions!$C$56)</f>
        <v>0</v>
      </c>
      <c r="I11071" s="25" t="n">
        <f aca="false">MIN(I11065,Assumptions!$L$56*Assumptions!$C$56)</f>
        <v>0</v>
      </c>
      <c r="J11071" s="25" t="n">
        <f aca="false">MIN(J11065,Assumptions!$L$56*Assumptions!$C$56)</f>
        <v>0</v>
      </c>
      <c r="K11071" s="25" t="n">
        <f aca="false">MIN(K11065,Assumptions!$L$56*Assumptions!$C$56)</f>
        <v>0</v>
      </c>
    </row>
    <row r="11072" customFormat="false" ht="15" hidden="false" customHeight="false" outlineLevel="0" collapsed="false">
      <c r="A11072" s="3" t="s">
        <v>315</v>
      </c>
      <c r="G11072" s="25" t="n">
        <f aca="false">IF(AND(Assumptions!$P$56=1,G11029&lt;Assumptions!$K$56),MIN(MAX(0,-G11126),MAX(0,Assumptions!$D$56-G11065)),0)</f>
        <v>0</v>
      </c>
      <c r="H11072" s="25" t="n">
        <f aca="false">IF(AND(Assumptions!$P$56=1,OR(H11029&lt;Assumptions!$K$56,G11212=1)),MIN(MAX(0,-H11126),MAX(0,Assumptions!$D$56-H11065)),0)</f>
        <v>0</v>
      </c>
      <c r="I11072" s="25" t="n">
        <f aca="false">IF(AND(Assumptions!$P$56=1,OR(I11029&lt;Assumptions!$K$56,H11212=1)),MIN(MAX(0,-I11126),MAX(0,Assumptions!$D$56-I11065)),0)</f>
        <v>0</v>
      </c>
      <c r="J11072" s="25" t="n">
        <f aca="false">IF(AND(Assumptions!$P$56=1,OR(J11029&lt;Assumptions!$K$56,I11212=1)),MIN(MAX(0,-J11126),MAX(0,Assumptions!$D$56-J11065)),0)</f>
        <v>0</v>
      </c>
      <c r="K11072" s="25" t="n">
        <f aca="false">IF(AND(Assumptions!$P$56=1,OR(K11029&lt;Assumptions!$K$56,J11212=1)),MIN(MAX(0,-K11126),MAX(0,Assumptions!$D$56-K11065)),0)</f>
        <v>0</v>
      </c>
    </row>
    <row r="11073" customFormat="false" ht="15" hidden="false" customHeight="false" outlineLevel="0" collapsed="false">
      <c r="A11073" s="3" t="s">
        <v>316</v>
      </c>
      <c r="G11073" s="25" t="n">
        <f aca="false">G11066*MIN(G11065-G11071+G11070,MAX(0,G11128-Assumptions!$C$12*G11063))</f>
        <v>0</v>
      </c>
      <c r="H11073" s="25" t="n">
        <f aca="false">H11066*MIN(H11065-H11071+H11070,MAX(0,H11128-Assumptions!$C$12*H11063))</f>
        <v>0</v>
      </c>
      <c r="I11073" s="25" t="n">
        <f aca="false">I11066*MIN(I11065-I11071+I11070,MAX(0,I11128-Assumptions!$C$12*I11063))</f>
        <v>0</v>
      </c>
      <c r="J11073" s="25" t="n">
        <f aca="false">J11066*MIN(J11065-J11071+J11070,MAX(0,J11128-Assumptions!$C$12*J11063))</f>
        <v>0</v>
      </c>
      <c r="K11073" s="25" t="n">
        <f aca="false">K11066*MIN(K11065-K11071+K11070,MAX(0,K11128-Assumptions!$C$12*K11063))</f>
        <v>0</v>
      </c>
    </row>
    <row r="11074" customFormat="false" ht="15" hidden="false" customHeight="false" outlineLevel="0" collapsed="false">
      <c r="A11074" s="3" t="s">
        <v>317</v>
      </c>
      <c r="G11074" s="25" t="n">
        <f aca="false">Assumptions!$N$56*MIN(G11065+G11072+G11070-G11071-G11073,MAX(0,G11132))</f>
        <v>0</v>
      </c>
      <c r="H11074" s="25" t="n">
        <f aca="false">Assumptions!$N$56*MIN(H11065+H11072+H11070-H11071-H11073,MAX(0,H11132))</f>
        <v>0</v>
      </c>
      <c r="I11074" s="25" t="n">
        <f aca="false">Assumptions!$N$56*MIN(I11065+I11072+I11070-I11071-I11073,MAX(0,I11132))</f>
        <v>0</v>
      </c>
      <c r="J11074" s="25" t="n">
        <f aca="false">Assumptions!$N$56*MIN(J11065+J11072+J11070-J11071-J11073,MAX(0,J11132))</f>
        <v>0</v>
      </c>
      <c r="K11074" s="25" t="n">
        <f aca="false">Assumptions!$N$56*MIN(K11065+K11072+K11070-K11071-K11073,MAX(0,K11132))</f>
        <v>0</v>
      </c>
    </row>
    <row r="11075" customFormat="false" ht="15" hidden="false" customHeight="false" outlineLevel="0" collapsed="false">
      <c r="A11075" s="3" t="s">
        <v>318</v>
      </c>
      <c r="G11075" s="25" t="n">
        <f aca="false">G11066*(1-G11063)*(G11065-G11071+G11070-G11073)</f>
        <v>0</v>
      </c>
      <c r="H11075" s="25" t="n">
        <f aca="false">H11066*(1-H11063)*(H11065-H11071+H11070-H11073)</f>
        <v>0</v>
      </c>
      <c r="I11075" s="25" t="n">
        <f aca="false">I11066*(1-I11063)*(I11065-I11071+I11070-I11073)</f>
        <v>0</v>
      </c>
      <c r="J11075" s="25" t="n">
        <f aca="false">J11066*(1-J11063)*(J11065-J11071+J11070-J11073)</f>
        <v>0</v>
      </c>
      <c r="K11075" s="25" t="n">
        <f aca="false">K11066*(1-K11063)*(K11065-K11071+K11070-K11073)</f>
        <v>0</v>
      </c>
    </row>
    <row r="11076" customFormat="false" ht="15" hidden="false" customHeight="false" outlineLevel="0" collapsed="false">
      <c r="A11076" s="2" t="s">
        <v>319</v>
      </c>
      <c r="F11076" s="28" t="n">
        <f aca="false">Assumptions!$C$56</f>
        <v>1315.098</v>
      </c>
      <c r="G11076" s="16" t="n">
        <f aca="false">G11065+G11072+G11070-G11071-G11073-G11074</f>
        <v>1315.098</v>
      </c>
      <c r="H11076" s="16" t="n">
        <f aca="false">H11065+H11072+H11070-H11071-H11073-H11074</f>
        <v>1315.098</v>
      </c>
      <c r="I11076" s="16" t="n">
        <f aca="false">I11065+I11072+I11070-I11071-I11073-I11074</f>
        <v>1315.098</v>
      </c>
      <c r="J11076" s="16" t="n">
        <f aca="false">J11065+J11072+J11070-J11071-J11073-J11074</f>
        <v>1315.098</v>
      </c>
      <c r="K11076" s="16" t="n">
        <f aca="false">K11065+K11072+K11070-K11071-K11073-K11074</f>
        <v>1315.098</v>
      </c>
    </row>
    <row r="11077" customFormat="false" ht="15" hidden="false" customHeight="false" outlineLevel="0" collapsed="false">
      <c r="A11077" s="23" t="s">
        <v>320</v>
      </c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</row>
    <row r="11078" customFormat="false" ht="15" hidden="false" customHeight="false" outlineLevel="0" collapsed="false">
      <c r="A11078" s="3" t="s">
        <v>309</v>
      </c>
      <c r="G11078" s="25" t="n">
        <f aca="false">F11089</f>
        <v>276.706</v>
      </c>
      <c r="H11078" s="25" t="n">
        <f aca="false">G11089</f>
        <v>276.706</v>
      </c>
      <c r="I11078" s="25" t="n">
        <f aca="false">H11089</f>
        <v>276.706</v>
      </c>
      <c r="J11078" s="25" t="n">
        <f aca="false">I11089</f>
        <v>0</v>
      </c>
      <c r="K11078" s="25" t="n">
        <f aca="false">J11089</f>
        <v>0</v>
      </c>
    </row>
    <row r="11079" customFormat="false" ht="15" hidden="false" customHeight="false" outlineLevel="0" collapsed="false">
      <c r="A11079" s="3" t="s">
        <v>310</v>
      </c>
      <c r="G11079" s="20" t="n">
        <f aca="false">IF(G11029=Assumptions!$K$57,1,0)</f>
        <v>0</v>
      </c>
      <c r="H11079" s="20" t="n">
        <f aca="false">IF(H11029=Assumptions!$K$57,1,0)</f>
        <v>0</v>
      </c>
      <c r="I11079" s="20" t="n">
        <f aca="false">IF(I11029=Assumptions!$K$57,1,0)</f>
        <v>1</v>
      </c>
      <c r="J11079" s="20" t="n">
        <f aca="false">IF(J11029=Assumptions!$K$57,1,0)</f>
        <v>0</v>
      </c>
      <c r="K11079" s="20" t="n">
        <f aca="false">IF(K11029=Assumptions!$K$57,1,0)</f>
        <v>0</v>
      </c>
    </row>
    <row r="11081" customFormat="false" ht="15" hidden="false" customHeight="false" outlineLevel="0" collapsed="false">
      <c r="A11081" s="3" t="s">
        <v>311</v>
      </c>
      <c r="G11081" s="31" t="n">
        <f aca="false">IF(Assumptions!$I$57=1,MAX(G11055,Assumptions!$G$57)+Assumptions!$F$57+$C$11056,Assumptions!$E$57)</f>
        <v>0.0425</v>
      </c>
      <c r="H11081" s="31" t="n">
        <f aca="false">IF(G11213=1,$C$11057,IF(Assumptions!$I$57=1,MAX(H11055,Assumptions!$G$57)+Assumptions!$F$57+$C$11056,Assumptions!$E$57))</f>
        <v>0.0425</v>
      </c>
      <c r="I11081" s="31" t="n">
        <f aca="false">IF(H11213=1,$C$11057,IF(Assumptions!$I$57=1,MAX(I11055,Assumptions!$G$57)+Assumptions!$F$57+$C$11056,Assumptions!$E$57))</f>
        <v>0.0425</v>
      </c>
      <c r="J11081" s="31" t="n">
        <f aca="false">IF(I11213=1,$C$11057,IF(Assumptions!$I$57=1,MAX(J11055,Assumptions!$G$57)+Assumptions!$F$57+$C$11056,Assumptions!$E$57))</f>
        <v>0.11</v>
      </c>
      <c r="K11081" s="31" t="n">
        <f aca="false">IF(J11213=1,$C$11057,IF(Assumptions!$I$57=1,MAX(K11055,Assumptions!$G$57)+Assumptions!$F$57+$C$11056,Assumptions!$E$57))</f>
        <v>0.11</v>
      </c>
    </row>
    <row r="11082" customFormat="false" ht="15" hidden="false" customHeight="false" outlineLevel="0" collapsed="false">
      <c r="A11082" s="3" t="s">
        <v>312</v>
      </c>
      <c r="G11082" s="25" t="n">
        <f aca="false">G11078*G11081</f>
        <v>11.760005</v>
      </c>
      <c r="H11082" s="25" t="n">
        <f aca="false">H11078*H11081</f>
        <v>11.760005</v>
      </c>
      <c r="I11082" s="25" t="n">
        <f aca="false">I11078*I11081</f>
        <v>11.760005</v>
      </c>
      <c r="J11082" s="25" t="n">
        <f aca="false">J11078*J11081</f>
        <v>0</v>
      </c>
      <c r="K11082" s="25" t="n">
        <f aca="false">K11078*K11081</f>
        <v>0</v>
      </c>
    </row>
    <row r="11083" customFormat="false" ht="15" hidden="false" customHeight="false" outlineLevel="0" collapsed="false">
      <c r="A11083" s="3" t="s">
        <v>313</v>
      </c>
      <c r="G11083" s="25" t="n">
        <f aca="false">G11078*Assumptions!$H$57</f>
        <v>0</v>
      </c>
      <c r="H11083" s="25" t="n">
        <f aca="false">H11078*Assumptions!$H$57</f>
        <v>0</v>
      </c>
      <c r="I11083" s="25" t="n">
        <f aca="false">I11078*Assumptions!$H$57</f>
        <v>0</v>
      </c>
      <c r="J11083" s="25" t="n">
        <f aca="false">J11078*Assumptions!$H$57</f>
        <v>0</v>
      </c>
      <c r="K11083" s="25" t="n">
        <f aca="false">K11078*Assumptions!$H$57</f>
        <v>0</v>
      </c>
    </row>
    <row r="11084" customFormat="false" ht="15" hidden="false" customHeight="false" outlineLevel="0" collapsed="false">
      <c r="A11084" s="3" t="s">
        <v>314</v>
      </c>
      <c r="G11084" s="25" t="n">
        <f aca="false">MIN(G11078,Assumptions!$L$57*Assumptions!$C$57)</f>
        <v>0</v>
      </c>
      <c r="H11084" s="25" t="n">
        <f aca="false">MIN(H11078,Assumptions!$L$57*Assumptions!$C$57)</f>
        <v>0</v>
      </c>
      <c r="I11084" s="25" t="n">
        <f aca="false">MIN(I11078,Assumptions!$L$57*Assumptions!$C$57)</f>
        <v>0</v>
      </c>
      <c r="J11084" s="25" t="n">
        <f aca="false">MIN(J11078,Assumptions!$L$57*Assumptions!$C$57)</f>
        <v>0</v>
      </c>
      <c r="K11084" s="25" t="n">
        <f aca="false">MIN(K11078,Assumptions!$L$57*Assumptions!$C$57)</f>
        <v>0</v>
      </c>
    </row>
    <row r="11085" customFormat="false" ht="15" hidden="false" customHeight="false" outlineLevel="0" collapsed="false">
      <c r="A11085" s="3" t="s">
        <v>315</v>
      </c>
      <c r="G11085" s="25" t="n">
        <f aca="false">IF(AND(Assumptions!$P$57=1,G11029&lt;Assumptions!$K$57),MIN(MAX(0,-G11126),MAX(0,Assumptions!$D$57-G11078)),0)</f>
        <v>0</v>
      </c>
      <c r="H11085" s="25" t="n">
        <f aca="false">IF(AND(Assumptions!$P$57=1,OR(H11029&lt;Assumptions!$K$57,G11213=1)),MIN(MAX(0,-H11126),MAX(0,Assumptions!$D$57-H11078)),0)</f>
        <v>0</v>
      </c>
      <c r="I11085" s="25" t="n">
        <f aca="false">IF(AND(Assumptions!$P$57=1,OR(I11029&lt;Assumptions!$K$57,H11213=1)),MIN(MAX(0,-I11126),MAX(0,Assumptions!$D$57-I11078)),0)</f>
        <v>0</v>
      </c>
      <c r="J11085" s="25" t="n">
        <f aca="false">IF(AND(Assumptions!$P$57=1,OR(J11029&lt;Assumptions!$K$57,I11213=1)),MIN(MAX(0,-J11126),MAX(0,Assumptions!$D$57-J11078)),0)</f>
        <v>0</v>
      </c>
      <c r="K11085" s="25" t="n">
        <f aca="false">IF(AND(Assumptions!$P$57=1,OR(K11029&lt;Assumptions!$K$57,J11213=1)),MIN(MAX(0,-K11126),MAX(0,Assumptions!$D$57-K11078)),0)</f>
        <v>0</v>
      </c>
    </row>
    <row r="11086" customFormat="false" ht="15" hidden="false" customHeight="false" outlineLevel="0" collapsed="false">
      <c r="A11086" s="3" t="s">
        <v>316</v>
      </c>
      <c r="G11086" s="25" t="n">
        <f aca="false">G11079*MIN(G11078-G11084+G11083,MAX(0,G11128-Assumptions!$C$12*G11063-G11073))</f>
        <v>0</v>
      </c>
      <c r="H11086" s="25" t="n">
        <f aca="false">H11079*MIN(H11078-H11084+H11083,MAX(0,H11128-Assumptions!$C$12*H11063-H11073))</f>
        <v>0</v>
      </c>
      <c r="I11086" s="25" t="n">
        <f aca="false">I11079*MIN(I11078-I11084+I11083,MAX(0,I11128-Assumptions!$C$12*I11063-I11073))</f>
        <v>276.706</v>
      </c>
      <c r="J11086" s="25" t="n">
        <f aca="false">J11079*MIN(J11078-J11084+J11083,MAX(0,J11128-Assumptions!$C$12*J11063-J11073))</f>
        <v>0</v>
      </c>
      <c r="K11086" s="25" t="n">
        <f aca="false">K11079*MIN(K11078-K11084+K11083,MAX(0,K11128-Assumptions!$C$12*K11063-K11073))</f>
        <v>0</v>
      </c>
    </row>
    <row r="11087" customFormat="false" ht="15" hidden="false" customHeight="false" outlineLevel="0" collapsed="false">
      <c r="A11087" s="3" t="s">
        <v>317</v>
      </c>
      <c r="G11087" s="25" t="n">
        <f aca="false">Assumptions!$N$57*MIN(G11078+G11085+G11083-G11084-G11086,MAX(0,G11132-G11074))</f>
        <v>0</v>
      </c>
      <c r="H11087" s="25" t="n">
        <f aca="false">Assumptions!$N$57*MIN(H11078+H11085+H11083-H11084-H11086,MAX(0,H11132-H11074))</f>
        <v>0</v>
      </c>
      <c r="I11087" s="25" t="n">
        <f aca="false">Assumptions!$N$57*MIN(I11078+I11085+I11083-I11084-I11086,MAX(0,I11132-I11074))</f>
        <v>0</v>
      </c>
      <c r="J11087" s="25" t="n">
        <f aca="false">Assumptions!$N$57*MIN(J11078+J11085+J11083-J11084-J11086,MAX(0,J11132-J11074))</f>
        <v>0</v>
      </c>
      <c r="K11087" s="25" t="n">
        <f aca="false">Assumptions!$N$57*MIN(K11078+K11085+K11083-K11084-K11086,MAX(0,K11132-K11074))</f>
        <v>0</v>
      </c>
    </row>
    <row r="11088" customFormat="false" ht="15" hidden="false" customHeight="false" outlineLevel="0" collapsed="false">
      <c r="A11088" s="3" t="s">
        <v>318</v>
      </c>
      <c r="G11088" s="25" t="n">
        <f aca="false">G11079*(1-G11063)*(G11078-G11084+G11083-G11086)</f>
        <v>0</v>
      </c>
      <c r="H11088" s="25" t="n">
        <f aca="false">H11079*(1-H11063)*(H11078-H11084+H11083-H11086)</f>
        <v>0</v>
      </c>
      <c r="I11088" s="25" t="n">
        <f aca="false">I11079*(1-I11063)*(I11078-I11084+I11083-I11086)</f>
        <v>0</v>
      </c>
      <c r="J11088" s="25" t="n">
        <f aca="false">J11079*(1-J11063)*(J11078-J11084+J11083-J11086)</f>
        <v>0</v>
      </c>
      <c r="K11088" s="25" t="n">
        <f aca="false">K11079*(1-K11063)*(K11078-K11084+K11083-K11086)</f>
        <v>0</v>
      </c>
    </row>
    <row r="11089" customFormat="false" ht="15" hidden="false" customHeight="false" outlineLevel="0" collapsed="false">
      <c r="A11089" s="2" t="s">
        <v>319</v>
      </c>
      <c r="F11089" s="28" t="n">
        <f aca="false">Assumptions!$C$57</f>
        <v>276.706</v>
      </c>
      <c r="G11089" s="16" t="n">
        <f aca="false">G11078+G11085+G11083-G11084-G11086-G11087</f>
        <v>276.706</v>
      </c>
      <c r="H11089" s="16" t="n">
        <f aca="false">H11078+H11085+H11083-H11084-H11086-H11087</f>
        <v>276.706</v>
      </c>
      <c r="I11089" s="16" t="n">
        <f aca="false">I11078+I11085+I11083-I11084-I11086-I11087</f>
        <v>0</v>
      </c>
      <c r="J11089" s="16" t="n">
        <f aca="false">J11078+J11085+J11083-J11084-J11086-J11087</f>
        <v>0</v>
      </c>
      <c r="K11089" s="16" t="n">
        <f aca="false">K11078+K11085+K11083-K11084-K11086-K11087</f>
        <v>0</v>
      </c>
    </row>
    <row r="11090" customFormat="false" ht="15" hidden="false" customHeight="false" outlineLevel="0" collapsed="false">
      <c r="A11090" s="23" t="s">
        <v>321</v>
      </c>
      <c r="B11090" s="24"/>
      <c r="C11090" s="24"/>
      <c r="D11090" s="24"/>
      <c r="E11090" s="24"/>
      <c r="F11090" s="24"/>
      <c r="G11090" s="24"/>
      <c r="H11090" s="24"/>
      <c r="I11090" s="24"/>
      <c r="J11090" s="24"/>
      <c r="K11090" s="24"/>
    </row>
    <row r="11091" customFormat="false" ht="15" hidden="false" customHeight="false" outlineLevel="0" collapsed="false">
      <c r="A11091" s="3" t="s">
        <v>309</v>
      </c>
      <c r="G11091" s="25" t="n">
        <f aca="false">F11102</f>
        <v>143.75</v>
      </c>
      <c r="H11091" s="25" t="n">
        <f aca="false">G11102</f>
        <v>143.75</v>
      </c>
      <c r="I11091" s="25" t="n">
        <f aca="false">H11102</f>
        <v>143.75</v>
      </c>
      <c r="J11091" s="25" t="n">
        <f aca="false">I11102</f>
        <v>0</v>
      </c>
      <c r="K11091" s="25" t="n">
        <f aca="false">J11102</f>
        <v>0</v>
      </c>
    </row>
    <row r="11092" customFormat="false" ht="15" hidden="false" customHeight="false" outlineLevel="0" collapsed="false">
      <c r="A11092" s="3" t="s">
        <v>310</v>
      </c>
      <c r="G11092" s="20" t="n">
        <f aca="false">IF(G11029=Assumptions!$K$58,1,0)</f>
        <v>0</v>
      </c>
      <c r="H11092" s="20" t="n">
        <f aca="false">IF(H11029=Assumptions!$K$58,1,0)</f>
        <v>0</v>
      </c>
      <c r="I11092" s="20" t="n">
        <f aca="false">IF(I11029=Assumptions!$K$58,1,0)</f>
        <v>1</v>
      </c>
      <c r="J11092" s="20" t="n">
        <f aca="false">IF(J11029=Assumptions!$K$58,1,0)</f>
        <v>0</v>
      </c>
      <c r="K11092" s="20" t="n">
        <f aca="false">IF(K11029=Assumptions!$K$58,1,0)</f>
        <v>0</v>
      </c>
    </row>
    <row r="11094" customFormat="false" ht="15" hidden="false" customHeight="false" outlineLevel="0" collapsed="false">
      <c r="A11094" s="3" t="s">
        <v>311</v>
      </c>
      <c r="G11094" s="31" t="n">
        <f aca="false">IF(Assumptions!$I$58=1,MAX(G11055,Assumptions!$G$58)+Assumptions!$F$58+$C$11056,Assumptions!$E$58)</f>
        <v>0.0425</v>
      </c>
      <c r="H11094" s="31" t="n">
        <f aca="false">IF(G11214=1,$C$11057,IF(Assumptions!$I$58=1,MAX(H11055,Assumptions!$G$58)+Assumptions!$F$58+$C$11056,Assumptions!$E$58))</f>
        <v>0.0425</v>
      </c>
      <c r="I11094" s="31" t="n">
        <f aca="false">IF(H11214=1,$C$11057,IF(Assumptions!$I$58=1,MAX(I11055,Assumptions!$G$58)+Assumptions!$F$58+$C$11056,Assumptions!$E$58))</f>
        <v>0.0425</v>
      </c>
      <c r="J11094" s="31" t="n">
        <f aca="false">IF(I11214=1,$C$11057,IF(Assumptions!$I$58=1,MAX(J11055,Assumptions!$G$58)+Assumptions!$F$58+$C$11056,Assumptions!$E$58))</f>
        <v>0.11</v>
      </c>
      <c r="K11094" s="31" t="n">
        <f aca="false">IF(J11214=1,$C$11057,IF(Assumptions!$I$58=1,MAX(K11055,Assumptions!$G$58)+Assumptions!$F$58+$C$11056,Assumptions!$E$58))</f>
        <v>0.11</v>
      </c>
    </row>
    <row r="11095" customFormat="false" ht="15" hidden="false" customHeight="false" outlineLevel="0" collapsed="false">
      <c r="A11095" s="3" t="s">
        <v>312</v>
      </c>
      <c r="G11095" s="25" t="n">
        <f aca="false">G11091*G11094</f>
        <v>6.109375</v>
      </c>
      <c r="H11095" s="25" t="n">
        <f aca="false">H11091*H11094</f>
        <v>6.109375</v>
      </c>
      <c r="I11095" s="25" t="n">
        <f aca="false">I11091*I11094</f>
        <v>6.109375</v>
      </c>
      <c r="J11095" s="25" t="n">
        <f aca="false">J11091*J11094</f>
        <v>0</v>
      </c>
      <c r="K11095" s="25" t="n">
        <f aca="false">K11091*K11094</f>
        <v>0</v>
      </c>
    </row>
    <row r="11096" customFormat="false" ht="15" hidden="false" customHeight="false" outlineLevel="0" collapsed="false">
      <c r="A11096" s="3" t="s">
        <v>313</v>
      </c>
      <c r="G11096" s="25" t="n">
        <f aca="false">G11091*Assumptions!$H$58</f>
        <v>0</v>
      </c>
      <c r="H11096" s="25" t="n">
        <f aca="false">H11091*Assumptions!$H$58</f>
        <v>0</v>
      </c>
      <c r="I11096" s="25" t="n">
        <f aca="false">I11091*Assumptions!$H$58</f>
        <v>0</v>
      </c>
      <c r="J11096" s="25" t="n">
        <f aca="false">J11091*Assumptions!$H$58</f>
        <v>0</v>
      </c>
      <c r="K11096" s="25" t="n">
        <f aca="false">K11091*Assumptions!$H$58</f>
        <v>0</v>
      </c>
    </row>
    <row r="11097" customFormat="false" ht="15" hidden="false" customHeight="false" outlineLevel="0" collapsed="false">
      <c r="A11097" s="3" t="s">
        <v>314</v>
      </c>
      <c r="G11097" s="25" t="n">
        <f aca="false">MIN(G11091,Assumptions!$L$58*Assumptions!$C$58)</f>
        <v>0</v>
      </c>
      <c r="H11097" s="25" t="n">
        <f aca="false">MIN(H11091,Assumptions!$L$58*Assumptions!$C$58)</f>
        <v>0</v>
      </c>
      <c r="I11097" s="25" t="n">
        <f aca="false">MIN(I11091,Assumptions!$L$58*Assumptions!$C$58)</f>
        <v>0</v>
      </c>
      <c r="J11097" s="25" t="n">
        <f aca="false">MIN(J11091,Assumptions!$L$58*Assumptions!$C$58)</f>
        <v>0</v>
      </c>
      <c r="K11097" s="25" t="n">
        <f aca="false">MIN(K11091,Assumptions!$L$58*Assumptions!$C$58)</f>
        <v>0</v>
      </c>
    </row>
    <row r="11098" customFormat="false" ht="15" hidden="false" customHeight="false" outlineLevel="0" collapsed="false">
      <c r="A11098" s="3" t="s">
        <v>315</v>
      </c>
      <c r="G11098" s="25" t="n">
        <f aca="false">IF(AND(Assumptions!$P$58=1,G11029&lt;Assumptions!$K$58),MIN(MAX(0,-G11126),MAX(0,Assumptions!$D$58-G11091)),0)</f>
        <v>0</v>
      </c>
      <c r="H11098" s="25" t="n">
        <f aca="false">IF(AND(Assumptions!$P$58=1,OR(H11029&lt;Assumptions!$K$58,G11214=1)),MIN(MAX(0,-H11126),MAX(0,Assumptions!$D$58-H11091)),0)</f>
        <v>0</v>
      </c>
      <c r="I11098" s="25" t="n">
        <f aca="false">IF(AND(Assumptions!$P$58=1,OR(I11029&lt;Assumptions!$K$58,H11214=1)),MIN(MAX(0,-I11126),MAX(0,Assumptions!$D$58-I11091)),0)</f>
        <v>0</v>
      </c>
      <c r="J11098" s="25" t="n">
        <f aca="false">IF(AND(Assumptions!$P$58=1,OR(J11029&lt;Assumptions!$K$58,I11214=1)),MIN(MAX(0,-J11126),MAX(0,Assumptions!$D$58-J11091)),0)</f>
        <v>0</v>
      </c>
      <c r="K11098" s="25" t="n">
        <f aca="false">IF(AND(Assumptions!$P$58=1,OR(K11029&lt;Assumptions!$K$58,J11214=1)),MIN(MAX(0,-K11126),MAX(0,Assumptions!$D$58-K11091)),0)</f>
        <v>0</v>
      </c>
    </row>
    <row r="11099" customFormat="false" ht="15" hidden="false" customHeight="false" outlineLevel="0" collapsed="false">
      <c r="A11099" s="3" t="s">
        <v>316</v>
      </c>
      <c r="G11099" s="25" t="n">
        <f aca="false">G11092*MIN(G11091-G11097+G11096,MAX(0,G11128-Assumptions!$C$12*G11063-G11073-G11086))</f>
        <v>0</v>
      </c>
      <c r="H11099" s="25" t="n">
        <f aca="false">H11092*MIN(H11091-H11097+H11096,MAX(0,H11128-Assumptions!$C$12*H11063-H11073-H11086))</f>
        <v>0</v>
      </c>
      <c r="I11099" s="25" t="n">
        <f aca="false">I11092*MIN(I11091-I11097+I11096,MAX(0,I11128-Assumptions!$C$12*I11063-I11073-I11086))</f>
        <v>143.75</v>
      </c>
      <c r="J11099" s="25" t="n">
        <f aca="false">J11092*MIN(J11091-J11097+J11096,MAX(0,J11128-Assumptions!$C$12*J11063-J11073-J11086))</f>
        <v>0</v>
      </c>
      <c r="K11099" s="25" t="n">
        <f aca="false">K11092*MIN(K11091-K11097+K11096,MAX(0,K11128-Assumptions!$C$12*K11063-K11073-K11086))</f>
        <v>0</v>
      </c>
    </row>
    <row r="11100" customFormat="false" ht="15" hidden="false" customHeight="false" outlineLevel="0" collapsed="false">
      <c r="A11100" s="3" t="s">
        <v>317</v>
      </c>
      <c r="G11100" s="25" t="n">
        <f aca="false">Assumptions!$N$58*MIN(G11091+G11098+G11096-G11097-G11099,MAX(0,G11132-G11074-G11087))</f>
        <v>0</v>
      </c>
      <c r="H11100" s="25" t="n">
        <f aca="false">Assumptions!$N$58*MIN(H11091+H11098+H11096-H11097-H11099,MAX(0,H11132-H11074-H11087))</f>
        <v>0</v>
      </c>
      <c r="I11100" s="25" t="n">
        <f aca="false">Assumptions!$N$58*MIN(I11091+I11098+I11096-I11097-I11099,MAX(0,I11132-I11074-I11087))</f>
        <v>0</v>
      </c>
      <c r="J11100" s="25" t="n">
        <f aca="false">Assumptions!$N$58*MIN(J11091+J11098+J11096-J11097-J11099,MAX(0,J11132-J11074-J11087))</f>
        <v>0</v>
      </c>
      <c r="K11100" s="25" t="n">
        <f aca="false">Assumptions!$N$58*MIN(K11091+K11098+K11096-K11097-K11099,MAX(0,K11132-K11074-K11087))</f>
        <v>0</v>
      </c>
    </row>
    <row r="11101" customFormat="false" ht="15" hidden="false" customHeight="false" outlineLevel="0" collapsed="false">
      <c r="A11101" s="3" t="s">
        <v>318</v>
      </c>
      <c r="G11101" s="25" t="n">
        <f aca="false">G11092*(1-G11063)*(G11091-G11097+G11096-G11099)</f>
        <v>0</v>
      </c>
      <c r="H11101" s="25" t="n">
        <f aca="false">H11092*(1-H11063)*(H11091-H11097+H11096-H11099)</f>
        <v>0</v>
      </c>
      <c r="I11101" s="25" t="n">
        <f aca="false">I11092*(1-I11063)*(I11091-I11097+I11096-I11099)</f>
        <v>0</v>
      </c>
      <c r="J11101" s="25" t="n">
        <f aca="false">J11092*(1-J11063)*(J11091-J11097+J11096-J11099)</f>
        <v>0</v>
      </c>
      <c r="K11101" s="25" t="n">
        <f aca="false">K11092*(1-K11063)*(K11091-K11097+K11096-K11099)</f>
        <v>0</v>
      </c>
    </row>
    <row r="11102" customFormat="false" ht="15" hidden="false" customHeight="false" outlineLevel="0" collapsed="false">
      <c r="A11102" s="2" t="s">
        <v>319</v>
      </c>
      <c r="F11102" s="28" t="n">
        <f aca="false">Assumptions!$C$58</f>
        <v>143.75</v>
      </c>
      <c r="G11102" s="16" t="n">
        <f aca="false">G11091+G11098+G11096-G11097-G11099-G11100</f>
        <v>143.75</v>
      </c>
      <c r="H11102" s="16" t="n">
        <f aca="false">H11091+H11098+H11096-H11097-H11099-H11100</f>
        <v>143.75</v>
      </c>
      <c r="I11102" s="16" t="n">
        <f aca="false">I11091+I11098+I11096-I11097-I11099-I11100</f>
        <v>0</v>
      </c>
      <c r="J11102" s="16" t="n">
        <f aca="false">J11091+J11098+J11096-J11097-J11099-J11100</f>
        <v>0</v>
      </c>
      <c r="K11102" s="16" t="n">
        <f aca="false">K11091+K11098+K11096-K11097-K11099-K11100</f>
        <v>0</v>
      </c>
    </row>
    <row r="11103" customFormat="false" ht="15" hidden="false" customHeight="false" outlineLevel="0" collapsed="false">
      <c r="A11103" s="23" t="s">
        <v>322</v>
      </c>
      <c r="B11103" s="24"/>
      <c r="C11103" s="24"/>
      <c r="D11103" s="24"/>
      <c r="E11103" s="24"/>
      <c r="F11103" s="24"/>
      <c r="G11103" s="24"/>
      <c r="H11103" s="24"/>
      <c r="I11103" s="24"/>
      <c r="J11103" s="24"/>
      <c r="K11103" s="24"/>
    </row>
    <row r="11104" customFormat="false" ht="15" hidden="false" customHeight="false" outlineLevel="0" collapsed="false">
      <c r="A11104" s="2" t="s">
        <v>323</v>
      </c>
      <c r="F11104" s="16" t="n">
        <f aca="false">F11076+F11089+F11102</f>
        <v>1735.554</v>
      </c>
      <c r="G11104" s="16" t="n">
        <f aca="false">G11076+G11089+G11102</f>
        <v>1735.554</v>
      </c>
      <c r="H11104" s="16" t="n">
        <f aca="false">H11076+H11089+H11102</f>
        <v>1735.554</v>
      </c>
      <c r="I11104" s="16" t="n">
        <f aca="false">I11076+I11089+I11102</f>
        <v>1315.098</v>
      </c>
      <c r="J11104" s="16" t="n">
        <f aca="false">J11076+J11089+J11102</f>
        <v>1315.098</v>
      </c>
      <c r="K11104" s="16" t="n">
        <f aca="false">K11076+K11089+K11102</f>
        <v>1315.098</v>
      </c>
    </row>
    <row r="11105" customFormat="false" ht="15" hidden="false" customHeight="false" outlineLevel="0" collapsed="false">
      <c r="A11105" s="3" t="s">
        <v>324</v>
      </c>
      <c r="G11105" s="25" t="n">
        <f aca="false">G11066*Assumptions!$C$56+G11079*Assumptions!$C$57+G11092*Assumptions!$C$58</f>
        <v>0</v>
      </c>
      <c r="H11105" s="25" t="n">
        <f aca="false">H11066*Assumptions!$C$56+H11079*Assumptions!$C$57+H11092*Assumptions!$C$58</f>
        <v>0</v>
      </c>
      <c r="I11105" s="25" t="n">
        <f aca="false">I11066*Assumptions!$C$56+I11079*Assumptions!$C$57+I11092*Assumptions!$C$58</f>
        <v>420.456</v>
      </c>
      <c r="J11105" s="25" t="n">
        <f aca="false">J11066*Assumptions!$C$56+J11079*Assumptions!$C$57+J11092*Assumptions!$C$58</f>
        <v>0</v>
      </c>
      <c r="K11105" s="25" t="n">
        <f aca="false">K11066*Assumptions!$C$56+K11079*Assumptions!$C$57+K11092*Assumptions!$C$58</f>
        <v>0</v>
      </c>
    </row>
    <row r="11106" customFormat="false" ht="15" hidden="false" customHeight="false" outlineLevel="0" collapsed="false">
      <c r="A11106" s="23" t="s">
        <v>325</v>
      </c>
      <c r="B11106" s="24"/>
      <c r="C11106" s="24"/>
      <c r="D11106" s="24"/>
      <c r="E11106" s="24"/>
      <c r="F11106" s="24"/>
      <c r="G11106" s="24"/>
      <c r="H11106" s="24"/>
      <c r="I11106" s="24"/>
      <c r="J11106" s="24"/>
      <c r="K11106" s="24"/>
    </row>
    <row r="11107" customFormat="false" ht="15" hidden="false" customHeight="false" outlineLevel="0" collapsed="false">
      <c r="A11107" s="3" t="s">
        <v>326</v>
      </c>
      <c r="C11107" s="25" t="n">
        <f aca="false">SUMPRODUCT($G$11066:$K$11066,$G$11065:$K$11065-$G$11071:$K$11071+$G$11070:$K$11070)</f>
        <v>0</v>
      </c>
    </row>
    <row r="11108" customFormat="false" ht="15" hidden="false" customHeight="false" outlineLevel="0" collapsed="false">
      <c r="A11108" s="3" t="s">
        <v>327</v>
      </c>
      <c r="C11108" s="25" t="n">
        <f aca="false">SUMPRODUCT($G$11066:$K$11066,$G$11073:$K$11073)</f>
        <v>0</v>
      </c>
    </row>
    <row r="11109" customFormat="false" ht="15" hidden="false" customHeight="false" outlineLevel="0" collapsed="false">
      <c r="A11109" s="3" t="s">
        <v>328</v>
      </c>
      <c r="C11109" s="3" t="str">
        <f aca="false">IF(SUM($G$11066:$K$11066)=0,"n/a (beyond horizon)",IF(SUMPRODUCT($G$11066:$K$11066,$G$11063:$K$11063)&gt;0,"REFINANCING PASS","REFINANCING FAILURE"))</f>
        <v>n/a (beyond horizon)</v>
      </c>
    </row>
    <row r="11110" customFormat="false" ht="15" hidden="false" customHeight="false" outlineLevel="0" collapsed="false">
      <c r="A11110" s="3" t="s">
        <v>329</v>
      </c>
      <c r="C11110" s="3" t="str">
        <f aca="false">IF(SUM($G$11066:$K$11066)=0,"n/a",IF(C11108&gt;=C11107-0.001,"Repaid from cash",IF(SUMPRODUCT($G$11066:$K$11066,$G$11063:$K$11063)&gt;0,IF(C11108&gt;0,"Partly repaid; remainder refinanced","Refinanced"),IF(SUM($G$11075:$K$11075)&gt;0.001,IF(C11108&gt;0,"Partial repayment; PAYMENT DEFAULT","PAYMENT DEFAULT"),"Repaid from cash"))))</f>
        <v>n/a</v>
      </c>
    </row>
    <row r="11111" customFormat="false" ht="15" hidden="false" customHeight="false" outlineLevel="0" collapsed="false">
      <c r="A11111" s="3" t="s">
        <v>330</v>
      </c>
      <c r="C11111" s="25" t="n">
        <f aca="false">SUMPRODUCT($G$11079:$K$11079,$G$11078:$K$11078-$G$11084:$K$11084+$G$11083:$K$11083)</f>
        <v>276.706</v>
      </c>
    </row>
    <row r="11112" customFormat="false" ht="15" hidden="false" customHeight="false" outlineLevel="0" collapsed="false">
      <c r="A11112" s="3" t="s">
        <v>331</v>
      </c>
      <c r="C11112" s="25" t="n">
        <f aca="false">SUMPRODUCT($G$11079:$K$11079,$G$11086:$K$11086)</f>
        <v>276.706</v>
      </c>
    </row>
    <row r="11113" customFormat="false" ht="15" hidden="false" customHeight="false" outlineLevel="0" collapsed="false">
      <c r="A11113" s="3" t="s">
        <v>332</v>
      </c>
      <c r="C11113" s="3" t="str">
        <f aca="false">IF(SUM($G$11079:$K$11079)=0,"n/a (beyond horizon)",IF(SUMPRODUCT($G$11079:$K$11079,$G$11063:$K$11063)&gt;0,"REFINANCING PASS","REFINANCING FAILURE"))</f>
        <v>REFINANCING PASS</v>
      </c>
    </row>
    <row r="11114" customFormat="false" ht="15" hidden="false" customHeight="false" outlineLevel="0" collapsed="false">
      <c r="A11114" s="3" t="s">
        <v>333</v>
      </c>
      <c r="C11114" s="3" t="str">
        <f aca="false">IF(SUM($G$11079:$K$11079)=0,"n/a",IF(C11112&gt;=C11111-0.001,"Repaid from cash",IF(SUMPRODUCT($G$11079:$K$11079,$G$11063:$K$11063)&gt;0,IF(C11112&gt;0,"Partly repaid; remainder refinanced","Refinanced"),IF(SUM($G$11088:$K$11088)&gt;0.001,IF(C11112&gt;0,"Partial repayment; PAYMENT DEFAULT","PAYMENT DEFAULT"),"Repaid from cash"))))</f>
        <v>Repaid from cash</v>
      </c>
    </row>
    <row r="11115" customFormat="false" ht="15" hidden="false" customHeight="false" outlineLevel="0" collapsed="false">
      <c r="A11115" s="3" t="s">
        <v>334</v>
      </c>
      <c r="C11115" s="25" t="n">
        <f aca="false">SUMPRODUCT($G$11092:$K$11092,$G$11091:$K$11091-$G$11097:$K$11097+$G$11096:$K$11096)</f>
        <v>143.75</v>
      </c>
    </row>
    <row r="11116" customFormat="false" ht="15" hidden="false" customHeight="false" outlineLevel="0" collapsed="false">
      <c r="A11116" s="3" t="s">
        <v>335</v>
      </c>
      <c r="C11116" s="25" t="n">
        <f aca="false">SUMPRODUCT($G$11092:$K$11092,$G$11099:$K$11099)</f>
        <v>143.75</v>
      </c>
    </row>
    <row r="11117" customFormat="false" ht="15" hidden="false" customHeight="false" outlineLevel="0" collapsed="false">
      <c r="A11117" s="3" t="s">
        <v>336</v>
      </c>
      <c r="C11117" s="3" t="str">
        <f aca="false">IF(SUM($G$11092:$K$11092)=0,"n/a (beyond horizon)",IF(SUMPRODUCT($G$11092:$K$11092,$G$11063:$K$11063)&gt;0,"REFINANCING PASS","REFINANCING FAILURE"))</f>
        <v>REFINANCING PASS</v>
      </c>
    </row>
    <row r="11118" customFormat="false" ht="15" hidden="false" customHeight="false" outlineLevel="0" collapsed="false">
      <c r="A11118" s="3" t="s">
        <v>337</v>
      </c>
      <c r="C11118" s="3" t="str">
        <f aca="false">IF(SUM($G$11092:$K$11092)=0,"n/a",IF(C11116&gt;=C11115-0.001,"Repaid from cash",IF(SUMPRODUCT($G$11092:$K$11092,$G$11063:$K$11063)&gt;0,IF(C11116&gt;0,"Partly repaid; remainder refinanced","Refinanced"),IF(SUM($G$11101:$K$11101)&gt;0.001,IF(C11116&gt;0,"Partial repayment; PAYMENT DEFAULT","PAYMENT DEFAULT"),"Repaid from cash"))))</f>
        <v>Repaid from cash</v>
      </c>
    </row>
    <row r="11119" customFormat="false" ht="15" hidden="false" customHeight="false" outlineLevel="0" collapsed="false">
      <c r="A11119" s="3" t="s">
        <v>338</v>
      </c>
      <c r="C11119" s="20" t="n">
        <f aca="false">IF(C11109="REFINANCING FAILURE",1,0)+IF(C11113="REFINANCING FAILURE",1,0)+IF(C11117="REFINANCING FAILURE",1,0)</f>
        <v>0</v>
      </c>
    </row>
    <row r="11121" customFormat="false" ht="15" hidden="false" customHeight="false" outlineLevel="0" collapsed="false">
      <c r="A11121" s="23" t="s">
        <v>340</v>
      </c>
      <c r="B11121" s="24"/>
      <c r="C11121" s="24"/>
      <c r="D11121" s="24"/>
      <c r="E11121" s="24"/>
      <c r="F11121" s="24"/>
      <c r="G11121" s="24"/>
      <c r="H11121" s="24"/>
      <c r="I11121" s="24"/>
      <c r="J11121" s="24"/>
      <c r="K11121" s="24"/>
    </row>
    <row r="11122" customFormat="false" ht="15" hidden="false" customHeight="false" outlineLevel="0" collapsed="false">
      <c r="A11122" s="3" t="s">
        <v>305</v>
      </c>
      <c r="G11122" s="25" t="n">
        <f aca="false">F11134</f>
        <v>463.996</v>
      </c>
      <c r="H11122" s="25" t="n">
        <f aca="false">G11134</f>
        <v>589.86335403</v>
      </c>
      <c r="I11122" s="25" t="n">
        <f aca="false">H11134</f>
        <v>706.0173737988</v>
      </c>
      <c r="J11122" s="25" t="n">
        <f aca="false">I11134</f>
        <v>390.575377766904</v>
      </c>
      <c r="K11122" s="25" t="n">
        <f aca="false">J11134</f>
        <v>499.440625970316</v>
      </c>
    </row>
    <row r="11123" customFormat="false" ht="15" hidden="false" customHeight="false" outlineLevel="0" collapsed="false">
      <c r="A11123" s="3" t="s">
        <v>341</v>
      </c>
      <c r="G11123" s="25" t="n">
        <f aca="false">G11052</f>
        <v>125.86735403</v>
      </c>
      <c r="H11123" s="25" t="n">
        <f aca="false">H11052</f>
        <v>116.1540197688</v>
      </c>
      <c r="I11123" s="25" t="n">
        <f aca="false">I11052</f>
        <v>105.014003968104</v>
      </c>
      <c r="J11123" s="25" t="n">
        <f aca="false">J11052</f>
        <v>108.865248203412</v>
      </c>
      <c r="K11123" s="25" t="n">
        <f aca="false">K11052</f>
        <v>99.6877228787792</v>
      </c>
    </row>
    <row r="11124" customFormat="false" ht="15" hidden="false" customHeight="false" outlineLevel="0" collapsed="false">
      <c r="A11124" s="3" t="s">
        <v>342</v>
      </c>
      <c r="G11124" s="25" t="n">
        <f aca="false">CHOOSE($C$11022,Assumptions!$G$74,Assumptions!$G$93,Assumptions!$G$112)</f>
        <v>0</v>
      </c>
      <c r="H11124" s="25" t="n">
        <f aca="false">CHOOSE($C$11022,Assumptions!$H$74,Assumptions!$H$93,Assumptions!$H$112)</f>
        <v>0</v>
      </c>
      <c r="I11124" s="25" t="n">
        <f aca="false">CHOOSE($C$11022,Assumptions!$I$74,Assumptions!$I$93,Assumptions!$I$112)</f>
        <v>0</v>
      </c>
      <c r="J11124" s="25" t="n">
        <f aca="false">CHOOSE($C$11022,Assumptions!$J$74,Assumptions!$J$93,Assumptions!$J$112)</f>
        <v>0</v>
      </c>
      <c r="K11124" s="25" t="n">
        <f aca="false">CHOOSE($C$11022,Assumptions!$K$74,Assumptions!$K$93,Assumptions!$K$112)</f>
        <v>0</v>
      </c>
    </row>
    <row r="11125" customFormat="false" ht="15" hidden="false" customHeight="false" outlineLevel="0" collapsed="false">
      <c r="A11125" s="3" t="s">
        <v>343</v>
      </c>
      <c r="G11125" s="25" t="n">
        <f aca="false">G11071+G11084+G11097</f>
        <v>0</v>
      </c>
      <c r="H11125" s="25" t="n">
        <f aca="false">H11071+H11084+H11097</f>
        <v>0</v>
      </c>
      <c r="I11125" s="25" t="n">
        <f aca="false">I11071+I11084+I11097</f>
        <v>0</v>
      </c>
      <c r="J11125" s="25" t="n">
        <f aca="false">J11071+J11084+J11097</f>
        <v>0</v>
      </c>
      <c r="K11125" s="25" t="n">
        <f aca="false">K11071+K11084+K11097</f>
        <v>0</v>
      </c>
    </row>
    <row r="11126" customFormat="false" ht="15" hidden="false" customHeight="false" outlineLevel="0" collapsed="false">
      <c r="A11126" s="2" t="s">
        <v>344</v>
      </c>
      <c r="G11126" s="16" t="n">
        <f aca="false">G11122+G11123+G11124-G11125</f>
        <v>589.86335403</v>
      </c>
      <c r="H11126" s="16" t="n">
        <f aca="false">H11122+H11123+H11124-H11125</f>
        <v>706.0173737988</v>
      </c>
      <c r="I11126" s="16" t="n">
        <f aca="false">I11122+I11123+I11124-I11125</f>
        <v>811.031377766904</v>
      </c>
      <c r="J11126" s="16" t="n">
        <f aca="false">J11122+J11123+J11124-J11125</f>
        <v>499.440625970316</v>
      </c>
      <c r="K11126" s="16" t="n">
        <f aca="false">K11122+K11123+K11124-K11125</f>
        <v>599.128348849095</v>
      </c>
    </row>
    <row r="11127" customFormat="false" ht="15" hidden="false" customHeight="false" outlineLevel="0" collapsed="false">
      <c r="A11127" s="3" t="s">
        <v>345</v>
      </c>
      <c r="G11127" s="25" t="n">
        <f aca="false">G11072+G11085+G11098</f>
        <v>0</v>
      </c>
      <c r="H11127" s="25" t="n">
        <f aca="false">H11072+H11085+H11098</f>
        <v>0</v>
      </c>
      <c r="I11127" s="25" t="n">
        <f aca="false">I11072+I11085+I11098</f>
        <v>0</v>
      </c>
      <c r="J11127" s="25" t="n">
        <f aca="false">J11072+J11085+J11098</f>
        <v>0</v>
      </c>
      <c r="K11127" s="25" t="n">
        <f aca="false">K11072+K11085+K11098</f>
        <v>0</v>
      </c>
    </row>
    <row r="11128" customFormat="false" ht="15" hidden="false" customHeight="false" outlineLevel="0" collapsed="false">
      <c r="A11128" s="2" t="s">
        <v>346</v>
      </c>
      <c r="G11128" s="16" t="n">
        <f aca="false">G11126+G11127</f>
        <v>589.86335403</v>
      </c>
      <c r="H11128" s="16" t="n">
        <f aca="false">H11126+H11127</f>
        <v>706.0173737988</v>
      </c>
      <c r="I11128" s="16" t="n">
        <f aca="false">I11126+I11127</f>
        <v>811.031377766904</v>
      </c>
      <c r="J11128" s="16" t="n">
        <f aca="false">J11126+J11127</f>
        <v>499.440625970316</v>
      </c>
      <c r="K11128" s="16" t="n">
        <f aca="false">K11126+K11127</f>
        <v>599.128348849095</v>
      </c>
    </row>
    <row r="11129" customFormat="false" ht="15" hidden="false" customHeight="false" outlineLevel="0" collapsed="false">
      <c r="A11129" s="3" t="s">
        <v>347</v>
      </c>
      <c r="G11129" s="25" t="n">
        <f aca="false">G11073+G11086+G11099</f>
        <v>0</v>
      </c>
      <c r="H11129" s="25" t="n">
        <f aca="false">H11073+H11086+H11099</f>
        <v>0</v>
      </c>
      <c r="I11129" s="25" t="n">
        <f aca="false">I11073+I11086+I11099</f>
        <v>420.456</v>
      </c>
      <c r="J11129" s="25" t="n">
        <f aca="false">J11073+J11086+J11099</f>
        <v>0</v>
      </c>
      <c r="K11129" s="25" t="n">
        <f aca="false">K11073+K11086+K11099</f>
        <v>0</v>
      </c>
    </row>
    <row r="11130" customFormat="false" ht="15" hidden="false" customHeight="false" outlineLevel="0" collapsed="false">
      <c r="A11130" s="2" t="s">
        <v>348</v>
      </c>
      <c r="G11130" s="16" t="n">
        <f aca="false">G11128-G11129</f>
        <v>589.86335403</v>
      </c>
      <c r="H11130" s="16" t="n">
        <f aca="false">H11128-H11129</f>
        <v>706.0173737988</v>
      </c>
      <c r="I11130" s="16" t="n">
        <f aca="false">I11128-I11129</f>
        <v>390.575377766904</v>
      </c>
      <c r="J11130" s="16" t="n">
        <f aca="false">J11128-J11129</f>
        <v>499.440625970316</v>
      </c>
      <c r="K11130" s="16" t="n">
        <f aca="false">K11128-K11129</f>
        <v>599.128348849095</v>
      </c>
    </row>
    <row r="11131" customFormat="false" ht="15" hidden="false" customHeight="false" outlineLevel="0" collapsed="false">
      <c r="A11131" s="3" t="s">
        <v>349</v>
      </c>
      <c r="G11131" s="25" t="n">
        <f aca="false">MAX(0,-G11130)</f>
        <v>0</v>
      </c>
      <c r="H11131" s="25" t="n">
        <f aca="false">MAX(0,-H11130)</f>
        <v>0</v>
      </c>
      <c r="I11131" s="25" t="n">
        <f aca="false">MAX(0,-I11130)</f>
        <v>0</v>
      </c>
      <c r="J11131" s="25" t="n">
        <f aca="false">MAX(0,-J11130)</f>
        <v>0</v>
      </c>
      <c r="K11131" s="25" t="n">
        <f aca="false">MAX(0,-K11130)</f>
        <v>0</v>
      </c>
    </row>
    <row r="11132" customFormat="false" ht="15" hidden="false" customHeight="false" outlineLevel="0" collapsed="false">
      <c r="A11132" s="3" t="s">
        <v>350</v>
      </c>
      <c r="G11132" s="25" t="n">
        <f aca="false">MAX(0,G11130-Assumptions!$C$12)*Assumptions!$C$13</f>
        <v>0</v>
      </c>
      <c r="H11132" s="25" t="n">
        <f aca="false">MAX(0,H11130-Assumptions!$C$12)*Assumptions!$C$13</f>
        <v>0</v>
      </c>
      <c r="I11132" s="25" t="n">
        <f aca="false">MAX(0,I11130-Assumptions!$C$12)*Assumptions!$C$13</f>
        <v>0</v>
      </c>
      <c r="J11132" s="25" t="n">
        <f aca="false">MAX(0,J11130-Assumptions!$C$12)*Assumptions!$C$13</f>
        <v>0</v>
      </c>
      <c r="K11132" s="25" t="n">
        <f aca="false">MAX(0,K11130-Assumptions!$C$12)*Assumptions!$C$13</f>
        <v>0</v>
      </c>
    </row>
    <row r="11133" customFormat="false" ht="15" hidden="false" customHeight="false" outlineLevel="0" collapsed="false">
      <c r="A11133" s="3" t="s">
        <v>351</v>
      </c>
      <c r="G11133" s="25" t="n">
        <f aca="false">G11074+G11087+G11100</f>
        <v>0</v>
      </c>
      <c r="H11133" s="25" t="n">
        <f aca="false">H11074+H11087+H11100</f>
        <v>0</v>
      </c>
      <c r="I11133" s="25" t="n">
        <f aca="false">I11074+I11087+I11100</f>
        <v>0</v>
      </c>
      <c r="J11133" s="25" t="n">
        <f aca="false">J11074+J11087+J11100</f>
        <v>0</v>
      </c>
      <c r="K11133" s="25" t="n">
        <f aca="false">K11074+K11087+K11100</f>
        <v>0</v>
      </c>
    </row>
    <row r="11134" customFormat="false" ht="15" hidden="false" customHeight="false" outlineLevel="0" collapsed="false">
      <c r="A11134" s="2" t="s">
        <v>352</v>
      </c>
      <c r="F11134" s="28" t="n">
        <f aca="false">Assumptions!$C$11</f>
        <v>463.996</v>
      </c>
      <c r="G11134" s="16" t="n">
        <f aca="false">G11130-G11133</f>
        <v>589.86335403</v>
      </c>
      <c r="H11134" s="16" t="n">
        <f aca="false">H11130-H11133</f>
        <v>706.0173737988</v>
      </c>
      <c r="I11134" s="16" t="n">
        <f aca="false">I11130-I11133</f>
        <v>390.575377766904</v>
      </c>
      <c r="J11134" s="16" t="n">
        <f aca="false">J11130-J11133</f>
        <v>499.440625970316</v>
      </c>
      <c r="K11134" s="16" t="n">
        <f aca="false">K11130-K11133</f>
        <v>599.128348849095</v>
      </c>
    </row>
    <row r="11135" customFormat="false" ht="15" hidden="false" customHeight="false" outlineLevel="0" collapsed="false">
      <c r="A11135" s="3" t="s">
        <v>353</v>
      </c>
      <c r="G11135" s="25" t="n">
        <f aca="false">G11075+G11088+G11101</f>
        <v>0</v>
      </c>
      <c r="H11135" s="25" t="n">
        <f aca="false">H11075+H11088+H11101</f>
        <v>0</v>
      </c>
      <c r="I11135" s="25" t="n">
        <f aca="false">I11075+I11088+I11101</f>
        <v>0</v>
      </c>
      <c r="J11135" s="25" t="n">
        <f aca="false">J11075+J11088+J11101</f>
        <v>0</v>
      </c>
      <c r="K11135" s="25" t="n">
        <f aca="false">K11075+K11088+K11101</f>
        <v>0</v>
      </c>
    </row>
    <row r="11136" customFormat="false" ht="15" hidden="false" customHeight="false" outlineLevel="0" collapsed="false">
      <c r="A11136" s="3" t="s">
        <v>354</v>
      </c>
      <c r="G11136" s="20" t="n">
        <f aca="false">IF(OR(G11131&gt;0.001,G11135&gt;0.001),1,0)</f>
        <v>0</v>
      </c>
      <c r="H11136" s="20" t="n">
        <f aca="false">IF(OR(H11131&gt;0.001,H11135&gt;0.001),1,0)</f>
        <v>0</v>
      </c>
      <c r="I11136" s="20" t="n">
        <f aca="false">IF(OR(I11131&gt;0.001,I11135&gt;0.001),1,0)</f>
        <v>0</v>
      </c>
      <c r="J11136" s="20" t="n">
        <f aca="false">IF(OR(J11131&gt;0.001,J11135&gt;0.001),1,0)</f>
        <v>0</v>
      </c>
      <c r="K11136" s="20" t="n">
        <f aca="false">IF(OR(K11131&gt;0.001,K11135&gt;0.001),1,0)</f>
        <v>0</v>
      </c>
    </row>
    <row r="11137" customFormat="false" ht="15" hidden="false" customHeight="false" outlineLevel="0" collapsed="false">
      <c r="A11137" s="3" t="s">
        <v>355</v>
      </c>
      <c r="G11137" s="20" t="n">
        <f aca="false">IF(G11136=1,1,0)</f>
        <v>0</v>
      </c>
      <c r="H11137" s="20" t="n">
        <f aca="false">IF(AND(H11136=1,SUM($G$11136:G11136)=0),1,0)</f>
        <v>0</v>
      </c>
      <c r="I11137" s="20" t="n">
        <f aca="false">IF(AND(I11136=1,SUM($G$11136:H11136)=0),1,0)</f>
        <v>0</v>
      </c>
      <c r="J11137" s="20" t="n">
        <f aca="false">IF(AND(J11136=1,SUM($G$11136:I11136)=0),1,0)</f>
        <v>0</v>
      </c>
      <c r="K11137" s="20" t="n">
        <f aca="false">IF(AND(K11136=1,SUM($G$11136:J11136)=0),1,0)</f>
        <v>0</v>
      </c>
    </row>
    <row r="11138" customFormat="false" ht="15" hidden="false" customHeight="false" outlineLevel="0" collapsed="false">
      <c r="A11138" s="3" t="s">
        <v>356</v>
      </c>
      <c r="G11138" s="25" t="n">
        <f aca="false">(G11104-F11104)-(G11127+G11044-G11125-G11129-G11133)</f>
        <v>0</v>
      </c>
      <c r="H11138" s="25" t="n">
        <f aca="false">(H11104-G11104)-(H11127+H11044-H11125-H11129-H11133)</f>
        <v>0</v>
      </c>
      <c r="I11138" s="25" t="n">
        <f aca="false">(I11104-H11104)-(I11127+I11044-I11125-I11129-I11133)</f>
        <v>0</v>
      </c>
      <c r="J11138" s="25" t="n">
        <f aca="false">(J11104-I11104)-(J11127+J11044-J11125-J11129-J11133)</f>
        <v>0</v>
      </c>
      <c r="K11138" s="25" t="n">
        <f aca="false">(K11104-J11104)-(K11127+K11044-K11125-K11129-K11133)</f>
        <v>0</v>
      </c>
    </row>
    <row r="11140" customFormat="false" ht="15" hidden="false" customHeight="false" outlineLevel="0" collapsed="false">
      <c r="A11140" s="23" t="s">
        <v>358</v>
      </c>
      <c r="B11140" s="24"/>
      <c r="C11140" s="24"/>
      <c r="D11140" s="24"/>
      <c r="E11140" s="24"/>
      <c r="F11140" s="24"/>
      <c r="G11140" s="24"/>
      <c r="H11140" s="24"/>
      <c r="I11140" s="24"/>
      <c r="J11140" s="24"/>
      <c r="K11140" s="24"/>
    </row>
    <row r="11141" customFormat="false" ht="15" hidden="false" customHeight="false" outlineLevel="0" collapsed="false">
      <c r="A11141" s="3" t="s">
        <v>359</v>
      </c>
      <c r="G11141" s="25" t="n">
        <f aca="false">G11104</f>
        <v>1735.554</v>
      </c>
      <c r="H11141" s="25" t="n">
        <f aca="false">H11104</f>
        <v>1735.554</v>
      </c>
      <c r="I11141" s="25" t="n">
        <f aca="false">I11104</f>
        <v>1315.098</v>
      </c>
      <c r="J11141" s="25" t="n">
        <f aca="false">J11104</f>
        <v>1315.098</v>
      </c>
      <c r="K11141" s="25" t="n">
        <f aca="false">K11104</f>
        <v>1315.098</v>
      </c>
    </row>
    <row r="11142" customFormat="false" ht="15" hidden="false" customHeight="false" outlineLevel="0" collapsed="false">
      <c r="A11142" s="3" t="s">
        <v>360</v>
      </c>
      <c r="G11142" s="25" t="n">
        <f aca="false">Assumptions!$O$56*G11076+Assumptions!$O$57*G11089+Assumptions!$O$58*G11102</f>
        <v>1315.098</v>
      </c>
      <c r="H11142" s="25" t="n">
        <f aca="false">Assumptions!$O$56*H11076+Assumptions!$O$57*H11089+Assumptions!$O$58*H11102</f>
        <v>1315.098</v>
      </c>
      <c r="I11142" s="25" t="n">
        <f aca="false">Assumptions!$O$56*I11076+Assumptions!$O$57*I11089+Assumptions!$O$58*I11102</f>
        <v>1315.098</v>
      </c>
      <c r="J11142" s="25" t="n">
        <f aca="false">Assumptions!$O$56*J11076+Assumptions!$O$57*J11089+Assumptions!$O$58*J11102</f>
        <v>1315.098</v>
      </c>
      <c r="K11142" s="25" t="n">
        <f aca="false">Assumptions!$O$56*K11076+Assumptions!$O$57*K11089+Assumptions!$O$58*K11102</f>
        <v>1315.098</v>
      </c>
    </row>
    <row r="11143" customFormat="false" ht="15" hidden="false" customHeight="false" outlineLevel="0" collapsed="false">
      <c r="A11143" s="3" t="s">
        <v>361</v>
      </c>
      <c r="G11143" s="25" t="n">
        <f aca="false">G11141-G11134</f>
        <v>1145.69064597</v>
      </c>
      <c r="H11143" s="25" t="n">
        <f aca="false">H11141-H11134</f>
        <v>1029.5366262012</v>
      </c>
      <c r="I11143" s="25" t="n">
        <f aca="false">I11141-I11134</f>
        <v>924.522622233096</v>
      </c>
      <c r="J11143" s="25" t="n">
        <f aca="false">J11141-J11134</f>
        <v>815.657374029684</v>
      </c>
      <c r="K11143" s="25" t="n">
        <f aca="false">K11141-K11134</f>
        <v>715.969651150905</v>
      </c>
    </row>
    <row r="11144" customFormat="false" ht="15" hidden="false" customHeight="false" outlineLevel="0" collapsed="false">
      <c r="A11144" s="3" t="s">
        <v>362</v>
      </c>
      <c r="G11144" s="32" t="n">
        <f aca="false">IF(G11039&gt;0,G11141/G11039,0)</f>
        <v>5.77916207762031</v>
      </c>
      <c r="H11144" s="32" t="n">
        <f aca="false">IF(H11039&gt;0,H11141/H11039,0)</f>
        <v>6.01996049752115</v>
      </c>
      <c r="I11144" s="32" t="n">
        <f aca="false">IF(I11039&gt;0,I11141/I11039,0)</f>
        <v>4.79551511119407</v>
      </c>
      <c r="J11144" s="32" t="n">
        <f aca="false">IF(J11039&gt;0,J11141/J11039,0)</f>
        <v>5.01653339406293</v>
      </c>
      <c r="K11144" s="32" t="n">
        <f aca="false">IF(K11039&gt;0,K11141/K11039,0)</f>
        <v>5.2488732235156</v>
      </c>
    </row>
    <row r="11145" customFormat="false" ht="15" hidden="false" customHeight="false" outlineLevel="0" collapsed="false">
      <c r="A11145" s="3" t="s">
        <v>363</v>
      </c>
      <c r="G11145" s="32" t="n">
        <f aca="false">IF(G11039&gt;0,G11143/G11039,0)</f>
        <v>3.81499621093561</v>
      </c>
      <c r="H11145" s="32" t="n">
        <f aca="false">IF(H11039&gt;0,H11143/H11039,0)</f>
        <v>3.57106135590274</v>
      </c>
      <c r="I11145" s="32" t="n">
        <f aca="false">IF(I11039&gt;0,I11143/I11039,0)</f>
        <v>3.37127895073947</v>
      </c>
      <c r="J11145" s="32" t="n">
        <f aca="false">IF(J11039&gt;0,J11143/J11039,0)</f>
        <v>3.11138215930188</v>
      </c>
      <c r="K11145" s="32" t="n">
        <f aca="false">IF(K11039&gt;0,K11143/K11039,0)</f>
        <v>2.85760751729209</v>
      </c>
    </row>
    <row r="11146" customFormat="false" ht="15" hidden="false" customHeight="false" outlineLevel="0" collapsed="false">
      <c r="A11146" s="3" t="s">
        <v>364</v>
      </c>
      <c r="G11146" s="32" t="n">
        <f aca="false">IF(G11043&gt;0,G11039/G11043,0)</f>
        <v>1.92563899625449</v>
      </c>
      <c r="H11146" s="32" t="n">
        <f aca="false">IF(H11043&gt;0,H11039/H11043,0)</f>
        <v>1.84861343640431</v>
      </c>
      <c r="I11146" s="32" t="n">
        <f aca="false">IF(I11043&gt;0,I11039/I11043,0)</f>
        <v>1.75842750947116</v>
      </c>
      <c r="J11146" s="32" t="n">
        <f aca="false">IF(J11043&gt;0,J11039/J11043,0)</f>
        <v>1.89848422719182</v>
      </c>
      <c r="K11146" s="32" t="n">
        <f aca="false">IF(K11043&gt;0,K11039/K11043,0)</f>
        <v>1.81444838125289</v>
      </c>
    </row>
    <row r="11147" customFormat="false" ht="15" hidden="false" customHeight="false" outlineLevel="0" collapsed="false">
      <c r="A11147" s="3" t="s">
        <v>365</v>
      </c>
      <c r="G11147" s="32" t="n">
        <f aca="false">IF(G11043&gt;0,G11042/G11043,0)</f>
        <v>1.25417683356324</v>
      </c>
      <c r="H11147" s="32" t="n">
        <f aca="false">IF(H11043&gt;0,H11042/H11043,0)</f>
        <v>1.20400976022071</v>
      </c>
      <c r="I11147" s="32" t="n">
        <f aca="false">IF(I11043&gt;0,I11042/I11043,0)</f>
        <v>1.13638496195398</v>
      </c>
      <c r="J11147" s="32" t="n">
        <f aca="false">IF(J11043&gt;0,J11042/J11043,0)</f>
        <v>1.21702042306555</v>
      </c>
      <c r="K11147" s="32" t="n">
        <f aca="false">IF(K11043&gt;0,K11042/K11043,0)</f>
        <v>1.1534284912504</v>
      </c>
    </row>
    <row r="11148" customFormat="false" ht="15" hidden="false" customHeight="false" outlineLevel="0" collapsed="false">
      <c r="A11148" s="3" t="s">
        <v>198</v>
      </c>
      <c r="G11148" s="21" t="n">
        <f aca="false">IF(G11141&gt;0,G11052/G11141,0)</f>
        <v>0.0725228682196002</v>
      </c>
      <c r="H11148" s="21" t="n">
        <f aca="false">IF(H11141&gt;0,H11052/H11141,0)</f>
        <v>0.0669261917340515</v>
      </c>
      <c r="I11148" s="21" t="n">
        <f aca="false">IF(I11141&gt;0,I11052/I11141,0)</f>
        <v>0.0798526071578726</v>
      </c>
      <c r="J11148" s="21" t="n">
        <f aca="false">IF(J11141&gt;0,J11052/J11141,0)</f>
        <v>0.0827810917539313</v>
      </c>
      <c r="K11148" s="21" t="n">
        <f aca="false">IF(K11141&gt;0,K11052/K11141,0)</f>
        <v>0.0758025051203631</v>
      </c>
    </row>
    <row r="11149" customFormat="false" ht="15" hidden="false" customHeight="false" outlineLevel="0" collapsed="false">
      <c r="A11149" s="3" t="s">
        <v>366</v>
      </c>
      <c r="G11149" s="32" t="n">
        <f aca="false">IF(G11043+G11125&gt;0,(G11039-G11050-G11047)/(G11043+G11125),0)</f>
        <v>1.66953088823823</v>
      </c>
      <c r="H11149" s="32" t="n">
        <f aca="false">IF(H11043+H11125&gt;0,(H11039-H11050-H11047)/(H11043+H11125),0)</f>
        <v>1.6127496527087</v>
      </c>
      <c r="I11149" s="32" t="n">
        <f aca="false">IF(I11043+I11125&gt;0,(I11039-I11050-I11047)/(I11043+I11125),0)</f>
        <v>1.54594007236964</v>
      </c>
      <c r="J11149" s="32" t="n">
        <f aca="false">IF(J11043+J11125&gt;0,(J11039-J11050-J11047)/(J11043+J11125),0)</f>
        <v>1.64879692156745</v>
      </c>
      <c r="K11149" s="32" t="n">
        <f aca="false">IF(K11043+K11125&gt;0,(K11039-K11050-K11047)/(K11043+K11125),0)</f>
        <v>1.58652202457805</v>
      </c>
    </row>
    <row r="11150" customFormat="false" ht="15" hidden="false" customHeight="false" outlineLevel="0" collapsed="false">
      <c r="A11150" s="3" t="s">
        <v>367</v>
      </c>
      <c r="G11150" s="25" t="n">
        <f aca="false">MAX(0,G11134)+Assumptions!$P$56*MAX(0,Assumptions!$D$56-G11076)+Assumptions!$P$57*MAX(0,Assumptions!$D$57-G11089)+Assumptions!$P$58*MAX(0,Assumptions!$D$58-G11102)</f>
        <v>589.86335403</v>
      </c>
      <c r="H11150" s="25" t="n">
        <f aca="false">MAX(0,H11134)+Assumptions!$P$56*MAX(0,Assumptions!$D$56-H11076)+Assumptions!$P$57*MAX(0,Assumptions!$D$57-H11089)+Assumptions!$P$58*MAX(0,Assumptions!$D$58-H11102)</f>
        <v>706.0173737988</v>
      </c>
      <c r="I11150" s="25" t="n">
        <f aca="false">MAX(0,I11134)+Assumptions!$P$56*MAX(0,Assumptions!$D$56-I11076)+Assumptions!$P$57*MAX(0,Assumptions!$D$57-I11089)+Assumptions!$P$58*MAX(0,Assumptions!$D$58-I11102)</f>
        <v>390.575377766904</v>
      </c>
      <c r="J11150" s="25" t="n">
        <f aca="false">MAX(0,J11134)+Assumptions!$P$56*MAX(0,Assumptions!$D$56-J11076)+Assumptions!$P$57*MAX(0,Assumptions!$D$57-J11089)+Assumptions!$P$58*MAX(0,Assumptions!$D$58-J11102)</f>
        <v>499.440625970316</v>
      </c>
      <c r="K11150" s="25" t="n">
        <f aca="false">MAX(0,K11134)+Assumptions!$P$56*MAX(0,Assumptions!$D$56-K11076)+Assumptions!$P$57*MAX(0,Assumptions!$D$57-K11089)+Assumptions!$P$58*MAX(0,Assumptions!$D$58-K11102)</f>
        <v>599.128348849095</v>
      </c>
    </row>
    <row r="11151" customFormat="false" ht="15" hidden="false" customHeight="false" outlineLevel="0" collapsed="false">
      <c r="A11151" s="3" t="s">
        <v>368</v>
      </c>
      <c r="G11151" s="21" t="n">
        <f aca="false">IF(G11141&gt;0,G11141/(G11141+MAX(0,G11039*CHOOSE($C$11022,Assumptions!$C$82,Assumptions!$C$101,Assumptions!$C$120)-G11143)),0)</f>
        <v>0.774254240974845</v>
      </c>
      <c r="H11151" s="21" t="n">
        <f aca="false">IF(H11141&gt;0,H11141/(H11141+MAX(0,H11039*CHOOSE($C$11022,Assumptions!$C$82,Assumptions!$C$101,Assumptions!$C$120)-H11143)),0)</f>
        <v>0.757332605467614</v>
      </c>
      <c r="I11151" s="21" t="n">
        <f aca="false">IF(I11141&gt;0,I11141/(I11141+MAX(0,I11039*CHOOSE($C$11022,Assumptions!$C$82,Assumptions!$C$101,Assumptions!$C$120)-I11143)),0)</f>
        <v>0.692569548476987</v>
      </c>
      <c r="J11151" s="21" t="n">
        <f aca="false">IF(J11141&gt;0,J11141/(J11141+MAX(0,J11039*CHOOSE($C$11022,Assumptions!$C$82,Assumptions!$C$101,Assumptions!$C$120)-J11143)),0)</f>
        <v>0.677438344609961</v>
      </c>
      <c r="K11151" s="21" t="n">
        <f aca="false">IF(K11141&gt;0,K11141/(K11141+MAX(0,K11039*CHOOSE($C$11022,Assumptions!$C$82,Assumptions!$C$101,Assumptions!$C$120)-K11143)),0)</f>
        <v>0.665149726155595</v>
      </c>
    </row>
    <row r="11152" customFormat="false" ht="15" hidden="false" customHeight="false" outlineLevel="0" collapsed="false">
      <c r="A11152" s="3" t="s">
        <v>369</v>
      </c>
      <c r="G11152" s="21" t="n">
        <f aca="false">IF(G11141&gt;0,MAX(0,G11134)/G11141,0)</f>
        <v>0.339870354958705</v>
      </c>
      <c r="H11152" s="21" t="n">
        <f aca="false">IF(H11141&gt;0,MAX(0,H11134)/H11141,0)</f>
        <v>0.406796546692756</v>
      </c>
      <c r="I11152" s="21" t="n">
        <f aca="false">IF(I11141&gt;0,MAX(0,I11134)/I11141,0)</f>
        <v>0.296993363055</v>
      </c>
      <c r="J11152" s="21" t="n">
        <f aca="false">IF(J11141&gt;0,MAX(0,J11134)/J11141,0)</f>
        <v>0.379774454808931</v>
      </c>
      <c r="K11152" s="21" t="n">
        <f aca="false">IF(K11141&gt;0,MAX(0,K11134)/K11141,0)</f>
        <v>0.455576959929294</v>
      </c>
    </row>
    <row r="11153" customFormat="false" ht="15" hidden="false" customHeight="false" outlineLevel="0" collapsed="false">
      <c r="A11153" s="3" t="s">
        <v>370</v>
      </c>
      <c r="G11153" s="25" t="n">
        <f aca="false">Assumptions!$C$30*(1-CHOOSE($C$11022,Assumptions!$C$85,Assumptions!$C$104,Assumptions!$C$123))</f>
        <v>2454.971</v>
      </c>
      <c r="H11153" s="25" t="n">
        <f aca="false">Assumptions!$C$30*(1-CHOOSE($C$11022,Assumptions!$C$85,Assumptions!$C$104,Assumptions!$C$123))</f>
        <v>2454.971</v>
      </c>
      <c r="I11153" s="25" t="n">
        <f aca="false">Assumptions!$C$30*(1-CHOOSE($C$11022,Assumptions!$C$85,Assumptions!$C$104,Assumptions!$C$123))</f>
        <v>2454.971</v>
      </c>
      <c r="J11153" s="25" t="n">
        <f aca="false">Assumptions!$C$30*(1-CHOOSE($C$11022,Assumptions!$C$85,Assumptions!$C$104,Assumptions!$C$123))</f>
        <v>2454.971</v>
      </c>
      <c r="K11153" s="25" t="n">
        <f aca="false">Assumptions!$C$30*(1-CHOOSE($C$11022,Assumptions!$C$85,Assumptions!$C$104,Assumptions!$C$123))</f>
        <v>2454.971</v>
      </c>
    </row>
    <row r="11154" customFormat="false" ht="15" hidden="false" customHeight="false" outlineLevel="0" collapsed="false">
      <c r="A11154" s="23" t="s">
        <v>371</v>
      </c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</row>
    <row r="11155" customFormat="false" ht="15" hidden="false" customHeight="false" outlineLevel="0" collapsed="false">
      <c r="A11155" s="23" t="s">
        <v>372</v>
      </c>
      <c r="B11155" s="24"/>
      <c r="C11155" s="24"/>
      <c r="D11155" s="24"/>
      <c r="E11155" s="24"/>
      <c r="F11155" s="24"/>
      <c r="G11155" s="24"/>
      <c r="H11155" s="24"/>
      <c r="I11155" s="24"/>
      <c r="J11155" s="24"/>
      <c r="K11155" s="24"/>
    </row>
    <row r="11156" customFormat="false" ht="15" hidden="false" customHeight="false" outlineLevel="0" collapsed="false">
      <c r="A11156" s="3" t="s">
        <v>373</v>
      </c>
      <c r="G11156" s="32" t="n">
        <f aca="false">IF(G11039&gt;0,G11143/G11039,99)</f>
        <v>3.81499621093561</v>
      </c>
      <c r="H11156" s="32" t="n">
        <f aca="false">IF(H11039&gt;0,H11143/H11039,99)</f>
        <v>3.57106135590274</v>
      </c>
      <c r="I11156" s="32" t="n">
        <f aca="false">IF(I11039&gt;0,I11143/I11039,99)</f>
        <v>3.37127895073947</v>
      </c>
      <c r="J11156" s="32" t="n">
        <f aca="false">IF(J11039&gt;0,J11143/J11039,99)</f>
        <v>3.11138215930188</v>
      </c>
      <c r="K11156" s="32" t="n">
        <f aca="false">IF(K11039&gt;0,K11143/K11039,99)</f>
        <v>2.85760751729209</v>
      </c>
    </row>
    <row r="11157" customFormat="false" ht="15" hidden="false" customHeight="false" outlineLevel="0" collapsed="false">
      <c r="A11157" s="3" t="s">
        <v>374</v>
      </c>
      <c r="G11157" s="33" t="n">
        <f aca="false">Assumptions!$G$65</f>
        <v>5.25</v>
      </c>
      <c r="H11157" s="33" t="n">
        <f aca="false">Assumptions!$H$65</f>
        <v>5.25</v>
      </c>
      <c r="I11157" s="33" t="n">
        <f aca="false">Assumptions!$I$65</f>
        <v>5</v>
      </c>
      <c r="J11157" s="33" t="n">
        <f aca="false">Assumptions!$J$65</f>
        <v>5</v>
      </c>
      <c r="K11157" s="33" t="n">
        <f aca="false">Assumptions!$K$65</f>
        <v>5</v>
      </c>
    </row>
    <row r="11158" customFormat="false" ht="15" hidden="false" customHeight="false" outlineLevel="0" collapsed="false">
      <c r="A11158" s="3" t="s">
        <v>375</v>
      </c>
      <c r="G11158" s="32" t="n">
        <f aca="false">G11157-G11156</f>
        <v>1.43500378906439</v>
      </c>
      <c r="H11158" s="32" t="n">
        <f aca="false">H11157-H11156</f>
        <v>1.67893864409726</v>
      </c>
      <c r="I11158" s="32" t="n">
        <f aca="false">I11157-I11156</f>
        <v>1.62872104926053</v>
      </c>
      <c r="J11158" s="32" t="n">
        <f aca="false">J11157-J11156</f>
        <v>1.88861784069812</v>
      </c>
      <c r="K11158" s="32" t="n">
        <f aca="false">K11157-K11156</f>
        <v>2.14239248270791</v>
      </c>
    </row>
    <row r="11159" customFormat="false" ht="15" hidden="false" customHeight="false" outlineLevel="0" collapsed="false">
      <c r="A11159" s="3" t="s">
        <v>376</v>
      </c>
      <c r="G11159" s="21" t="n">
        <f aca="false">IF(G11157=0,0,G11158/ABS(G11157))</f>
        <v>0.273334055059884</v>
      </c>
      <c r="H11159" s="21" t="n">
        <f aca="false">IF(H11157=0,0,H11158/ABS(H11157))</f>
        <v>0.319797836970907</v>
      </c>
      <c r="I11159" s="21" t="n">
        <f aca="false">IF(I11157=0,0,I11158/ABS(I11157))</f>
        <v>0.325744209852106</v>
      </c>
      <c r="J11159" s="21" t="n">
        <f aca="false">IF(J11157=0,0,J11158/ABS(J11157))</f>
        <v>0.377723568139623</v>
      </c>
      <c r="K11159" s="21" t="n">
        <f aca="false">IF(K11157=0,0,K11158/ABS(K11157))</f>
        <v>0.428478496541582</v>
      </c>
    </row>
    <row r="11160" customFormat="false" ht="15" hidden="false" customHeight="false" outlineLevel="0" collapsed="false">
      <c r="A11160" s="3" t="s">
        <v>377</v>
      </c>
      <c r="G11160" s="20" t="n">
        <f aca="false">IF(G11158&lt;0,1,0)</f>
        <v>0</v>
      </c>
      <c r="H11160" s="20" t="n">
        <f aca="false">IF(H11158&lt;0,1,0)</f>
        <v>0</v>
      </c>
      <c r="I11160" s="20" t="n">
        <f aca="false">IF(I11158&lt;0,1,0)</f>
        <v>0</v>
      </c>
      <c r="J11160" s="20" t="n">
        <f aca="false">IF(J11158&lt;0,1,0)</f>
        <v>0</v>
      </c>
      <c r="K11160" s="20" t="n">
        <f aca="false">IF(K11158&lt;0,1,0)</f>
        <v>0</v>
      </c>
    </row>
    <row r="11161" customFormat="false" ht="15" hidden="false" customHeight="false" outlineLevel="0" collapsed="false">
      <c r="A11161" s="3" t="s">
        <v>378</v>
      </c>
      <c r="C11161" s="20" t="n">
        <f aca="false">IFERROR(INDEX($G$11029:$K$11029,MATCH(1,$G$11160:$K$11160,0)),0)</f>
        <v>0</v>
      </c>
    </row>
    <row r="11162" customFormat="false" ht="15" hidden="false" customHeight="false" outlineLevel="0" collapsed="false">
      <c r="A11162" s="3" t="s">
        <v>379</v>
      </c>
      <c r="C11162" s="21" t="n">
        <f aca="false">MIN($G$11159:$K$11159)</f>
        <v>0.273334055059884</v>
      </c>
    </row>
    <row r="11163" customFormat="false" ht="15" hidden="false" customHeight="false" outlineLevel="0" collapsed="false">
      <c r="A11163" s="23" t="s">
        <v>380</v>
      </c>
      <c r="B11163" s="24"/>
      <c r="C11163" s="24"/>
      <c r="D11163" s="24"/>
      <c r="E11163" s="24"/>
      <c r="F11163" s="24"/>
      <c r="G11163" s="24"/>
      <c r="H11163" s="24"/>
      <c r="I11163" s="24"/>
      <c r="J11163" s="24"/>
      <c r="K11163" s="24"/>
    </row>
    <row r="11164" customFormat="false" ht="15" hidden="false" customHeight="false" outlineLevel="0" collapsed="false">
      <c r="A11164" s="3" t="s">
        <v>373</v>
      </c>
      <c r="G11164" s="32" t="n">
        <f aca="false">IF(G11043&gt;0,G11039/G11043,99)</f>
        <v>1.92563899625449</v>
      </c>
      <c r="H11164" s="32" t="n">
        <f aca="false">IF(H11043&gt;0,H11039/H11043,99)</f>
        <v>1.84861343640431</v>
      </c>
      <c r="I11164" s="32" t="n">
        <f aca="false">IF(I11043&gt;0,I11039/I11043,99)</f>
        <v>1.75842750947116</v>
      </c>
      <c r="J11164" s="32" t="n">
        <f aca="false">IF(J11043&gt;0,J11039/J11043,99)</f>
        <v>1.89848422719182</v>
      </c>
      <c r="K11164" s="32" t="n">
        <f aca="false">IF(K11043&gt;0,K11039/K11043,99)</f>
        <v>1.81444838125289</v>
      </c>
    </row>
    <row r="11165" customFormat="false" ht="15" hidden="false" customHeight="false" outlineLevel="0" collapsed="false">
      <c r="A11165" s="3" t="s">
        <v>374</v>
      </c>
      <c r="G11165" s="33" t="n">
        <f aca="false">Assumptions!$G$66</f>
        <v>1.4</v>
      </c>
      <c r="H11165" s="33" t="n">
        <f aca="false">Assumptions!$H$66</f>
        <v>1.4</v>
      </c>
      <c r="I11165" s="33" t="n">
        <f aca="false">Assumptions!$I$66</f>
        <v>1.4</v>
      </c>
      <c r="J11165" s="33" t="n">
        <f aca="false">Assumptions!$J$66</f>
        <v>1.5</v>
      </c>
      <c r="K11165" s="33" t="n">
        <f aca="false">Assumptions!$K$66</f>
        <v>1.5</v>
      </c>
    </row>
    <row r="11166" customFormat="false" ht="15" hidden="false" customHeight="false" outlineLevel="0" collapsed="false">
      <c r="A11166" s="3" t="s">
        <v>375</v>
      </c>
      <c r="G11166" s="32" t="n">
        <f aca="false">G11164-G11165</f>
        <v>0.525638996254489</v>
      </c>
      <c r="H11166" s="32" t="n">
        <f aca="false">H11164-H11165</f>
        <v>0.448613436404309</v>
      </c>
      <c r="I11166" s="32" t="n">
        <f aca="false">I11164-I11165</f>
        <v>0.358427509471156</v>
      </c>
      <c r="J11166" s="32" t="n">
        <f aca="false">J11164-J11165</f>
        <v>0.398484227191822</v>
      </c>
      <c r="K11166" s="32" t="n">
        <f aca="false">K11164-K11165</f>
        <v>0.31444838125289</v>
      </c>
    </row>
    <row r="11167" customFormat="false" ht="15" hidden="false" customHeight="false" outlineLevel="0" collapsed="false">
      <c r="A11167" s="3" t="s">
        <v>376</v>
      </c>
      <c r="G11167" s="21" t="n">
        <f aca="false">IF(G11165=0,0,G11166/ABS(G11165))</f>
        <v>0.375456425896063</v>
      </c>
      <c r="H11167" s="21" t="n">
        <f aca="false">IF(H11165=0,0,H11166/ABS(H11165))</f>
        <v>0.320438168860221</v>
      </c>
      <c r="I11167" s="21" t="n">
        <f aca="false">IF(I11165=0,0,I11166/ABS(I11165))</f>
        <v>0.256019649622254</v>
      </c>
      <c r="J11167" s="21" t="n">
        <f aca="false">IF(J11165=0,0,J11166/ABS(J11165))</f>
        <v>0.265656151461215</v>
      </c>
      <c r="K11167" s="21" t="n">
        <f aca="false">IF(K11165=0,0,K11166/ABS(K11165))</f>
        <v>0.209632254168593</v>
      </c>
    </row>
    <row r="11168" customFormat="false" ht="15" hidden="false" customHeight="false" outlineLevel="0" collapsed="false">
      <c r="A11168" s="3" t="s">
        <v>377</v>
      </c>
      <c r="G11168" s="20" t="n">
        <f aca="false">IF(G11166&lt;0,1,0)</f>
        <v>0</v>
      </c>
      <c r="H11168" s="20" t="n">
        <f aca="false">IF(H11166&lt;0,1,0)</f>
        <v>0</v>
      </c>
      <c r="I11168" s="20" t="n">
        <f aca="false">IF(I11166&lt;0,1,0)</f>
        <v>0</v>
      </c>
      <c r="J11168" s="20" t="n">
        <f aca="false">IF(J11166&lt;0,1,0)</f>
        <v>0</v>
      </c>
      <c r="K11168" s="20" t="n">
        <f aca="false">IF(K11166&lt;0,1,0)</f>
        <v>0</v>
      </c>
    </row>
    <row r="11169" customFormat="false" ht="15" hidden="false" customHeight="false" outlineLevel="0" collapsed="false">
      <c r="A11169" s="3" t="s">
        <v>378</v>
      </c>
      <c r="C11169" s="20" t="n">
        <f aca="false">IFERROR(INDEX($G$11029:$K$11029,MATCH(1,$G$11168:$K$11168,0)),0)</f>
        <v>0</v>
      </c>
    </row>
    <row r="11170" customFormat="false" ht="15" hidden="false" customHeight="false" outlineLevel="0" collapsed="false">
      <c r="A11170" s="3" t="s">
        <v>379</v>
      </c>
      <c r="C11170" s="21" t="n">
        <f aca="false">MIN($G$11167:$K$11167)</f>
        <v>0.209632254168593</v>
      </c>
    </row>
    <row r="11171" customFormat="false" ht="15" hidden="false" customHeight="false" outlineLevel="0" collapsed="false">
      <c r="A11171" s="23" t="s">
        <v>381</v>
      </c>
      <c r="B11171" s="24"/>
      <c r="C11171" s="24"/>
      <c r="D11171" s="24"/>
      <c r="E11171" s="24"/>
      <c r="F11171" s="24"/>
      <c r="G11171" s="24"/>
      <c r="H11171" s="24"/>
      <c r="I11171" s="24"/>
      <c r="J11171" s="24"/>
      <c r="K11171" s="24"/>
    </row>
    <row r="11172" customFormat="false" ht="15" hidden="false" customHeight="false" outlineLevel="0" collapsed="false">
      <c r="A11172" s="3" t="s">
        <v>373</v>
      </c>
      <c r="G11172" s="25" t="n">
        <f aca="false">G11150</f>
        <v>589.86335403</v>
      </c>
      <c r="H11172" s="25" t="n">
        <f aca="false">H11150</f>
        <v>706.0173737988</v>
      </c>
      <c r="I11172" s="25" t="n">
        <f aca="false">I11150</f>
        <v>390.575377766904</v>
      </c>
      <c r="J11172" s="25" t="n">
        <f aca="false">J11150</f>
        <v>499.440625970316</v>
      </c>
      <c r="K11172" s="25" t="n">
        <f aca="false">K11150</f>
        <v>599.128348849095</v>
      </c>
    </row>
    <row r="11173" customFormat="false" ht="15" hidden="false" customHeight="false" outlineLevel="0" collapsed="false">
      <c r="A11173" s="3" t="s">
        <v>374</v>
      </c>
      <c r="G11173" s="29" t="n">
        <f aca="false">Assumptions!$G$67</f>
        <v>200</v>
      </c>
      <c r="H11173" s="29" t="n">
        <f aca="false">Assumptions!$H$67</f>
        <v>200</v>
      </c>
      <c r="I11173" s="29" t="n">
        <f aca="false">Assumptions!$I$67</f>
        <v>200</v>
      </c>
      <c r="J11173" s="29" t="n">
        <f aca="false">Assumptions!$J$67</f>
        <v>200</v>
      </c>
      <c r="K11173" s="29" t="n">
        <f aca="false">Assumptions!$K$67</f>
        <v>200</v>
      </c>
    </row>
    <row r="11174" customFormat="false" ht="15" hidden="false" customHeight="false" outlineLevel="0" collapsed="false">
      <c r="A11174" s="3" t="s">
        <v>375</v>
      </c>
      <c r="G11174" s="25" t="n">
        <f aca="false">G11172-G11173</f>
        <v>389.86335403</v>
      </c>
      <c r="H11174" s="25" t="n">
        <f aca="false">H11172-H11173</f>
        <v>506.0173737988</v>
      </c>
      <c r="I11174" s="25" t="n">
        <f aca="false">I11172-I11173</f>
        <v>190.575377766904</v>
      </c>
      <c r="J11174" s="25" t="n">
        <f aca="false">J11172-J11173</f>
        <v>299.440625970316</v>
      </c>
      <c r="K11174" s="25" t="n">
        <f aca="false">K11172-K11173</f>
        <v>399.128348849095</v>
      </c>
    </row>
    <row r="11175" customFormat="false" ht="15" hidden="false" customHeight="false" outlineLevel="0" collapsed="false">
      <c r="A11175" s="3" t="s">
        <v>376</v>
      </c>
      <c r="G11175" s="21" t="n">
        <f aca="false">IF(G11173=0,0,G11174/ABS(G11173))</f>
        <v>1.94931677015</v>
      </c>
      <c r="H11175" s="21" t="n">
        <f aca="false">IF(H11173=0,0,H11174/ABS(H11173))</f>
        <v>2.530086868994</v>
      </c>
      <c r="I11175" s="21" t="n">
        <f aca="false">IF(I11173=0,0,I11174/ABS(I11173))</f>
        <v>0.95287688883452</v>
      </c>
      <c r="J11175" s="21" t="n">
        <f aca="false">IF(J11173=0,0,J11174/ABS(J11173))</f>
        <v>1.49720312985158</v>
      </c>
      <c r="K11175" s="21" t="n">
        <f aca="false">IF(K11173=0,0,K11174/ABS(K11173))</f>
        <v>1.99564174424547</v>
      </c>
    </row>
    <row r="11176" customFormat="false" ht="15" hidden="false" customHeight="false" outlineLevel="0" collapsed="false">
      <c r="A11176" s="3" t="s">
        <v>377</v>
      </c>
      <c r="G11176" s="20" t="n">
        <f aca="false">IF(G11174&lt;0,1,0)</f>
        <v>0</v>
      </c>
      <c r="H11176" s="20" t="n">
        <f aca="false">IF(H11174&lt;0,1,0)</f>
        <v>0</v>
      </c>
      <c r="I11176" s="20" t="n">
        <f aca="false">IF(I11174&lt;0,1,0)</f>
        <v>0</v>
      </c>
      <c r="J11176" s="20" t="n">
        <f aca="false">IF(J11174&lt;0,1,0)</f>
        <v>0</v>
      </c>
      <c r="K11176" s="20" t="n">
        <f aca="false">IF(K11174&lt;0,1,0)</f>
        <v>0</v>
      </c>
    </row>
    <row r="11177" customFormat="false" ht="15" hidden="false" customHeight="false" outlineLevel="0" collapsed="false">
      <c r="A11177" s="3" t="s">
        <v>378</v>
      </c>
      <c r="C11177" s="20" t="n">
        <f aca="false">IFERROR(INDEX($G$11029:$K$11029,MATCH(1,$G$11176:$K$11176,0)),0)</f>
        <v>0</v>
      </c>
    </row>
    <row r="11178" customFormat="false" ht="15" hidden="false" customHeight="false" outlineLevel="0" collapsed="false">
      <c r="A11178" s="3" t="s">
        <v>379</v>
      </c>
      <c r="C11178" s="21" t="n">
        <f aca="false">MIN($G$11175:$K$11175)</f>
        <v>0.95287688883452</v>
      </c>
    </row>
    <row r="11179" customFormat="false" ht="15" hidden="false" customHeight="false" outlineLevel="0" collapsed="false">
      <c r="A11179" s="3" t="s">
        <v>382</v>
      </c>
      <c r="G11179" s="20" t="n">
        <f aca="false">G11160+G11168+G11176</f>
        <v>0</v>
      </c>
      <c r="H11179" s="20" t="n">
        <f aca="false">H11160+H11168+H11176</f>
        <v>0</v>
      </c>
      <c r="I11179" s="20" t="n">
        <f aca="false">I11160+I11168+I11176</f>
        <v>0</v>
      </c>
      <c r="J11179" s="20" t="n">
        <f aca="false">J11160+J11168+J11176</f>
        <v>0</v>
      </c>
      <c r="K11179" s="20" t="n">
        <f aca="false">K11160+K11168+K11176</f>
        <v>0</v>
      </c>
    </row>
    <row r="11180" customFormat="false" ht="15" hidden="false" customHeight="false" outlineLevel="0" collapsed="false">
      <c r="A11180" s="3" t="s">
        <v>383</v>
      </c>
      <c r="C11180" s="20" t="n">
        <f aca="false">SUM($G$11179:$K$11179)</f>
        <v>0</v>
      </c>
    </row>
    <row r="11181" customFormat="false" ht="15" hidden="false" customHeight="false" outlineLevel="0" collapsed="false">
      <c r="A11181" s="3" t="s">
        <v>384</v>
      </c>
      <c r="C11181" s="21" t="n">
        <f aca="false">MIN(C11162,C11170,C11178)</f>
        <v>0.209632254168593</v>
      </c>
    </row>
    <row r="11183" customFormat="false" ht="15" hidden="false" customHeight="false" outlineLevel="0" collapsed="false">
      <c r="A11183" s="23" t="s">
        <v>486</v>
      </c>
      <c r="B11183" s="24"/>
      <c r="C11183" s="24"/>
      <c r="D11183" s="24"/>
      <c r="E11183" s="24"/>
      <c r="F11183" s="24"/>
      <c r="G11183" s="24"/>
      <c r="H11183" s="24"/>
      <c r="I11183" s="24"/>
      <c r="J11183" s="24"/>
      <c r="K11183" s="24"/>
    </row>
    <row r="11184" customFormat="false" ht="15" hidden="false" customHeight="false" outlineLevel="0" collapsed="false">
      <c r="A11184" s="3" t="s">
        <v>487</v>
      </c>
      <c r="G11184" s="20" t="n">
        <f aca="false">IF($C$11185=1,G11137,IF(G11039=MIN($G$11039:$K$11039),1,0))</f>
        <v>0</v>
      </c>
      <c r="H11184" s="20" t="n">
        <f aca="false">IF($C$11185=1,H11137,IF(AND(H11039=MIN($G$11039:$K$11039),SUM($G$11184:G11184)=0),1,0))</f>
        <v>0</v>
      </c>
      <c r="I11184" s="20" t="n">
        <f aca="false">IF($C$11185=1,I11137,IF(AND(I11039=MIN($G$11039:$K$11039),SUM($G$11184:H11184)=0),1,0))</f>
        <v>0</v>
      </c>
      <c r="J11184" s="20" t="n">
        <f aca="false">IF($C$11185=1,J11137,IF(AND(J11039=MIN($G$11039:$K$11039),SUM($G$11184:I11184)=0),1,0))</f>
        <v>0</v>
      </c>
      <c r="K11184" s="20" t="n">
        <f aca="false">IF($C$11185=1,K11137,IF(AND(K11039=MIN($G$11039:$K$11039),SUM($G$11184:J11184)=0),1,0))</f>
        <v>1</v>
      </c>
    </row>
    <row r="11185" customFormat="false" ht="15" hidden="false" customHeight="false" outlineLevel="0" collapsed="false">
      <c r="A11185" s="3" t="s">
        <v>488</v>
      </c>
      <c r="C11185" s="20" t="n">
        <f aca="false">IF(SUM($G$11137:$K$11137)&gt;0,1,0)</f>
        <v>0</v>
      </c>
    </row>
    <row r="11186" customFormat="false" ht="15" hidden="false" customHeight="false" outlineLevel="0" collapsed="false">
      <c r="A11186" s="3" t="s">
        <v>489</v>
      </c>
      <c r="C11186" s="20" t="n">
        <f aca="false">SUMPRODUCT($G$11184:$K$11184,$G$11029:$K$11029)</f>
        <v>2031</v>
      </c>
    </row>
    <row r="11187" customFormat="false" ht="15" hidden="false" customHeight="false" outlineLevel="0" collapsed="false">
      <c r="A11187" s="3" t="s">
        <v>490</v>
      </c>
      <c r="C11187" s="25" t="n">
        <f aca="false">SUMPRODUCT($G$11184:$K$11184,$G$11039:$K$11039)</f>
        <v>250.548630915336</v>
      </c>
    </row>
    <row r="11188" customFormat="false" ht="15" hidden="false" customHeight="false" outlineLevel="0" collapsed="false">
      <c r="A11188" s="3" t="s">
        <v>491</v>
      </c>
      <c r="C11188" s="25" t="n">
        <f aca="false">MAX(0,SUMPRODUCT($G$11184:$K$11184,$G$11134:$K$11134))</f>
        <v>599.128348849095</v>
      </c>
    </row>
    <row r="11189" customFormat="false" ht="15" hidden="false" customHeight="false" outlineLevel="0" collapsed="false">
      <c r="A11189" s="3" t="s">
        <v>492</v>
      </c>
      <c r="C11189" s="25" t="n">
        <f aca="false">(CHOOSE($C$11022,Assumptions!$C$84,Assumptions!$C$103,Assumptions!$C$122)+$C$11026)*C11187</f>
        <v>1252.74315457668</v>
      </c>
    </row>
    <row r="11190" customFormat="false" ht="15" hidden="false" customHeight="false" outlineLevel="0" collapsed="false">
      <c r="A11190" s="3" t="s">
        <v>493</v>
      </c>
      <c r="C11190" s="25" t="n">
        <f aca="false">Assumptions!$C$30*(1-CHOOSE($C$11022,Assumptions!$C$85,Assumptions!$C$104,Assumptions!$C$123))*CHOOSE($C$11022,Assumptions!$C$86,Assumptions!$C$105,Assumptions!$C$124)</f>
        <v>736.4913</v>
      </c>
    </row>
    <row r="11191" customFormat="false" ht="15" hidden="false" customHeight="false" outlineLevel="0" collapsed="false">
      <c r="A11191" s="3" t="s">
        <v>494</v>
      </c>
      <c r="C11191" s="25" t="n">
        <f aca="false">MAX(C11189,C11190)+C11188</f>
        <v>1851.87150342577</v>
      </c>
    </row>
    <row r="11192" customFormat="false" ht="15" hidden="false" customHeight="false" outlineLevel="0" collapsed="false">
      <c r="A11192" s="2" t="s">
        <v>495</v>
      </c>
      <c r="C11192" s="16" t="n">
        <f aca="false">IF(ISNUMBER(Assumptions!$C$14),Assumptions!$C$14,C11191)</f>
        <v>1851.87150342577</v>
      </c>
    </row>
    <row r="11193" customFormat="false" ht="15" hidden="false" customHeight="false" outlineLevel="0" collapsed="false">
      <c r="A11193" s="3" t="s">
        <v>496</v>
      </c>
      <c r="C11193" s="25" t="n">
        <f aca="false">C11192*Assumptions!$C$15</f>
        <v>74.074860137031</v>
      </c>
    </row>
    <row r="11194" customFormat="false" ht="15" hidden="false" customHeight="false" outlineLevel="0" collapsed="false">
      <c r="A11194" s="2" t="s">
        <v>497</v>
      </c>
      <c r="C11194" s="16" t="n">
        <f aca="false">C11192-C11193</f>
        <v>1777.79664328874</v>
      </c>
    </row>
    <row r="11195" customFormat="false" ht="15" hidden="false" customHeight="false" outlineLevel="0" collapsed="false">
      <c r="A11195" s="23" t="s">
        <v>498</v>
      </c>
      <c r="B11195" s="24"/>
      <c r="C11195" s="24"/>
      <c r="D11195" s="24"/>
      <c r="E11195" s="24"/>
      <c r="F11195" s="24"/>
      <c r="G11195" s="24"/>
      <c r="H11195" s="24"/>
      <c r="I11195" s="24"/>
      <c r="J11195" s="24"/>
      <c r="K11195" s="24"/>
    </row>
    <row r="11196" customFormat="false" ht="15" hidden="false" customHeight="false" outlineLevel="0" collapsed="false">
      <c r="A11196" s="3" t="s">
        <v>499</v>
      </c>
      <c r="C11196" s="25" t="n">
        <f aca="false">SUMPRODUCT($G$11184:$K$11184,$G$11076:$K$11076)*(1+SUMPRODUCT($G$11184:$K$11184,$G$11068:$K$11068)*Assumptions!$C$16/12)</f>
        <v>1349.6193225</v>
      </c>
    </row>
    <row r="11197" customFormat="false" ht="15" hidden="false" customHeight="false" outlineLevel="0" collapsed="false">
      <c r="A11197" s="3" t="s">
        <v>500</v>
      </c>
      <c r="C11197" s="25" t="n">
        <f aca="false">SUMPRODUCT($G$11184:$K$11184,$G$11089:$K$11089)*(1+SUMPRODUCT($G$11184:$K$11184,$G$11081:$K$11081)*Assumptions!$C$16/12)</f>
        <v>0</v>
      </c>
    </row>
    <row r="11198" customFormat="false" ht="15" hidden="false" customHeight="false" outlineLevel="0" collapsed="false">
      <c r="A11198" s="3" t="s">
        <v>501</v>
      </c>
      <c r="C11198" s="25" t="n">
        <f aca="false">SUMPRODUCT($G$11184:$K$11184,$G$11102:$K$11102)*(1+SUMPRODUCT($G$11184:$K$11184,$G$11094:$K$11094)*Assumptions!$C$16/12)</f>
        <v>0</v>
      </c>
    </row>
    <row r="11199" customFormat="false" ht="15" hidden="false" customHeight="false" outlineLevel="0" collapsed="false">
      <c r="A11199" s="23" t="s">
        <v>502</v>
      </c>
      <c r="B11199" s="24"/>
      <c r="C11199" s="24"/>
      <c r="D11199" s="24"/>
      <c r="E11199" s="24"/>
      <c r="F11199" s="24"/>
      <c r="G11199" s="24"/>
      <c r="H11199" s="24"/>
      <c r="I11199" s="24"/>
      <c r="J11199" s="24"/>
      <c r="K11199" s="24"/>
    </row>
    <row r="11200" customFormat="false" ht="15" hidden="false" customHeight="false" outlineLevel="0" collapsed="false">
      <c r="A11200" s="3" t="s">
        <v>499</v>
      </c>
      <c r="C11200" s="27" t="n">
        <f aca="false">Assumptions!$M$56</f>
        <v>1</v>
      </c>
    </row>
    <row r="11201" customFormat="false" ht="15" hidden="false" customHeight="false" outlineLevel="0" collapsed="false">
      <c r="A11201" s="3" t="s">
        <v>500</v>
      </c>
      <c r="C11201" s="27" t="n">
        <f aca="false">Assumptions!$M$57</f>
        <v>2</v>
      </c>
    </row>
    <row r="11202" customFormat="false" ht="15" hidden="false" customHeight="false" outlineLevel="0" collapsed="false">
      <c r="A11202" s="3" t="s">
        <v>501</v>
      </c>
      <c r="C11202" s="27" t="n">
        <f aca="false">Assumptions!$M$58</f>
        <v>2</v>
      </c>
    </row>
    <row r="11203" customFormat="false" ht="15" hidden="false" customHeight="false" outlineLevel="0" collapsed="false">
      <c r="A11203" s="23" t="s">
        <v>503</v>
      </c>
      <c r="B11203" s="24"/>
      <c r="C11203" s="24"/>
      <c r="D11203" s="24"/>
      <c r="E11203" s="24"/>
      <c r="F11203" s="24"/>
      <c r="G11203" s="24"/>
      <c r="H11203" s="24"/>
      <c r="I11203" s="24"/>
      <c r="J11203" s="24"/>
      <c r="K11203" s="24"/>
    </row>
    <row r="11204" customFormat="false" ht="15" hidden="false" customHeight="false" outlineLevel="0" collapsed="false">
      <c r="A11204" s="3" t="s">
        <v>499</v>
      </c>
      <c r="C11204" s="35" t="n">
        <f aca="false">Assumptions!$Q$56</f>
        <v>0</v>
      </c>
    </row>
    <row r="11205" customFormat="false" ht="15" hidden="false" customHeight="false" outlineLevel="0" collapsed="false">
      <c r="A11205" s="3" t="s">
        <v>500</v>
      </c>
      <c r="C11205" s="35" t="n">
        <f aca="false">Assumptions!$Q$57</f>
        <v>0</v>
      </c>
    </row>
    <row r="11206" customFormat="false" ht="15" hidden="false" customHeight="false" outlineLevel="0" collapsed="false">
      <c r="A11206" s="3" t="s">
        <v>501</v>
      </c>
      <c r="C11206" s="35" t="n">
        <f aca="false">Assumptions!$Q$58</f>
        <v>0</v>
      </c>
    </row>
    <row r="11207" customFormat="false" ht="15" hidden="false" customHeight="false" outlineLevel="0" collapsed="false">
      <c r="A11207" s="23" t="s">
        <v>504</v>
      </c>
      <c r="B11207" s="24"/>
      <c r="C11207" s="24"/>
      <c r="D11207" s="24"/>
      <c r="E11207" s="24"/>
      <c r="F11207" s="24"/>
      <c r="G11207" s="24"/>
      <c r="H11207" s="24"/>
      <c r="I11207" s="24"/>
      <c r="J11207" s="24"/>
      <c r="K11207" s="24"/>
    </row>
    <row r="11208" customFormat="false" ht="15" hidden="false" customHeight="false" outlineLevel="0" collapsed="false">
      <c r="A11208" s="3" t="s">
        <v>499</v>
      </c>
      <c r="C11208" s="25" t="n">
        <f aca="false">IF(C11204&gt;0,MIN(C11196,C11204*$C$11194),0)</f>
        <v>0</v>
      </c>
    </row>
    <row r="11209" customFormat="false" ht="15" hidden="false" customHeight="false" outlineLevel="0" collapsed="false">
      <c r="A11209" s="3" t="s">
        <v>500</v>
      </c>
      <c r="C11209" s="25" t="n">
        <f aca="false">IF(C11205&gt;0,MIN(C11197,C11205*$C$11194),0)</f>
        <v>0</v>
      </c>
    </row>
    <row r="11210" customFormat="false" ht="15" hidden="false" customHeight="false" outlineLevel="0" collapsed="false">
      <c r="A11210" s="3" t="s">
        <v>501</v>
      </c>
      <c r="C11210" s="25" t="n">
        <f aca="false">IF(C11206&gt;0,MIN(C11198,C11206*$C$11194),0)</f>
        <v>0</v>
      </c>
    </row>
    <row r="11211" customFormat="false" ht="15" hidden="false" customHeight="false" outlineLevel="0" collapsed="false">
      <c r="A11211" s="23" t="s">
        <v>505</v>
      </c>
      <c r="B11211" s="24"/>
      <c r="C11211" s="24"/>
      <c r="D11211" s="24"/>
      <c r="E11211" s="24"/>
      <c r="F11211" s="24"/>
      <c r="G11211" s="24"/>
      <c r="H11211" s="24"/>
      <c r="I11211" s="24"/>
      <c r="J11211" s="24"/>
      <c r="K11211" s="24"/>
    </row>
    <row r="11212" customFormat="false" ht="15" hidden="false" customHeight="false" outlineLevel="0" collapsed="false">
      <c r="A11212" s="3" t="s">
        <v>499</v>
      </c>
      <c r="C11212" s="25" t="n">
        <f aca="false">IF(C11204&gt;0,C11196-C11208,0)</f>
        <v>0</v>
      </c>
      <c r="G11212" s="20" t="n">
        <f aca="false">IF(AND(G11066=1,G11063=1),1,0)</f>
        <v>0</v>
      </c>
      <c r="H11212" s="20" t="n">
        <f aca="false">IF(G11212=1,1,IF(AND(H11066=1,H11063=1),1,0))</f>
        <v>0</v>
      </c>
      <c r="I11212" s="20" t="n">
        <f aca="false">IF(H11212=1,1,IF(AND(I11066=1,I11063=1),1,0))</f>
        <v>0</v>
      </c>
      <c r="J11212" s="20" t="n">
        <f aca="false">IF(I11212=1,1,IF(AND(J11066=1,J11063=1),1,0))</f>
        <v>0</v>
      </c>
      <c r="K11212" s="20" t="n">
        <f aca="false">IF(J11212=1,1,IF(AND(K11066=1,K11063=1),1,0))</f>
        <v>0</v>
      </c>
    </row>
    <row r="11213" customFormat="false" ht="15" hidden="false" customHeight="false" outlineLevel="0" collapsed="false">
      <c r="A11213" s="3" t="s">
        <v>500</v>
      </c>
      <c r="C11213" s="25" t="n">
        <f aca="false">IF(C11205&gt;0,C11197-C11209,0)</f>
        <v>0</v>
      </c>
      <c r="G11213" s="20" t="n">
        <f aca="false">IF(AND(G11079=1,G11063=1),1,0)</f>
        <v>0</v>
      </c>
      <c r="H11213" s="20" t="n">
        <f aca="false">IF(G11213=1,1,IF(AND(H11079=1,H11063=1),1,0))</f>
        <v>0</v>
      </c>
      <c r="I11213" s="20" t="n">
        <f aca="false">IF(H11213=1,1,IF(AND(I11079=1,I11063=1),1,0))</f>
        <v>1</v>
      </c>
      <c r="J11213" s="20" t="n">
        <f aca="false">IF(I11213=1,1,IF(AND(J11079=1,J11063=1),1,0))</f>
        <v>1</v>
      </c>
      <c r="K11213" s="20" t="n">
        <f aca="false">IF(J11213=1,1,IF(AND(K11079=1,K11063=1),1,0))</f>
        <v>1</v>
      </c>
    </row>
    <row r="11214" customFormat="false" ht="15" hidden="false" customHeight="false" outlineLevel="0" collapsed="false">
      <c r="A11214" s="3" t="s">
        <v>501</v>
      </c>
      <c r="C11214" s="25" t="n">
        <f aca="false">IF(C11206&gt;0,C11198-C11210,0)</f>
        <v>0</v>
      </c>
      <c r="G11214" s="20" t="n">
        <f aca="false">IF(AND(G11092=1,G11063=1),1,0)</f>
        <v>0</v>
      </c>
      <c r="H11214" s="20" t="n">
        <f aca="false">IF(G11214=1,1,IF(AND(H11092=1,H11063=1),1,0))</f>
        <v>0</v>
      </c>
      <c r="I11214" s="20" t="n">
        <f aca="false">IF(H11214=1,1,IF(AND(I11092=1,I11063=1),1,0))</f>
        <v>1</v>
      </c>
      <c r="J11214" s="20" t="n">
        <f aca="false">IF(I11214=1,1,IF(AND(J11092=1,J11063=1),1,0))</f>
        <v>1</v>
      </c>
      <c r="K11214" s="20" t="n">
        <f aca="false">IF(J11214=1,1,IF(AND(K11092=1,K11063=1),1,0))</f>
        <v>1</v>
      </c>
    </row>
    <row r="11215" customFormat="false" ht="15" hidden="false" customHeight="false" outlineLevel="0" collapsed="false">
      <c r="A11215" s="23" t="s">
        <v>506</v>
      </c>
      <c r="B11215" s="24"/>
      <c r="C11215" s="24"/>
      <c r="D11215" s="24"/>
      <c r="E11215" s="24"/>
      <c r="F11215" s="24"/>
      <c r="G11215" s="24"/>
      <c r="H11215" s="24"/>
      <c r="I11215" s="24"/>
      <c r="J11215" s="24"/>
      <c r="K11215" s="24"/>
    </row>
    <row r="11216" customFormat="false" ht="15" hidden="false" customHeight="false" outlineLevel="0" collapsed="false">
      <c r="A11216" s="3" t="s">
        <v>499</v>
      </c>
      <c r="C11216" s="25" t="n">
        <f aca="false">IF(C11204&gt;0,C11212,C11196)</f>
        <v>1349.6193225</v>
      </c>
    </row>
    <row r="11217" customFormat="false" ht="15" hidden="false" customHeight="false" outlineLevel="0" collapsed="false">
      <c r="A11217" s="3" t="s">
        <v>500</v>
      </c>
      <c r="C11217" s="25" t="n">
        <f aca="false">IF(C11205&gt;0,C11213,C11197)</f>
        <v>0</v>
      </c>
    </row>
    <row r="11218" customFormat="false" ht="15" hidden="false" customHeight="false" outlineLevel="0" collapsed="false">
      <c r="A11218" s="3" t="s">
        <v>501</v>
      </c>
      <c r="C11218" s="25" t="n">
        <f aca="false">IF(C11206&gt;0,C11214,C11198)</f>
        <v>0</v>
      </c>
    </row>
    <row r="11219" customFormat="false" ht="15" hidden="false" customHeight="false" outlineLevel="0" collapsed="false">
      <c r="A11219" s="23" t="s">
        <v>507</v>
      </c>
      <c r="B11219" s="24"/>
      <c r="C11219" s="24"/>
      <c r="D11219" s="24"/>
      <c r="E11219" s="24"/>
      <c r="F11219" s="24"/>
      <c r="G11219" s="24"/>
      <c r="H11219" s="24"/>
      <c r="I11219" s="24"/>
      <c r="J11219" s="24"/>
      <c r="K11219" s="24"/>
    </row>
    <row r="11220" customFormat="false" ht="15" hidden="false" customHeight="false" outlineLevel="0" collapsed="false">
      <c r="A11220" s="3" t="s">
        <v>499</v>
      </c>
      <c r="C11220" s="20" t="n">
        <f aca="false">IF(C11204&gt;0,Assumptions!$C$17,C11200)</f>
        <v>1</v>
      </c>
    </row>
    <row r="11221" customFormat="false" ht="15" hidden="false" customHeight="false" outlineLevel="0" collapsed="false">
      <c r="A11221" s="3" t="s">
        <v>500</v>
      </c>
      <c r="C11221" s="20" t="n">
        <f aca="false">IF(C11205&gt;0,Assumptions!$C$17,C11201)</f>
        <v>2</v>
      </c>
    </row>
    <row r="11222" customFormat="false" ht="15" hidden="false" customHeight="false" outlineLevel="0" collapsed="false">
      <c r="A11222" s="3" t="s">
        <v>501</v>
      </c>
      <c r="C11222" s="20" t="n">
        <f aca="false">IF(C11206&gt;0,Assumptions!$C$17,C11202)</f>
        <v>2</v>
      </c>
    </row>
    <row r="11223" customFormat="false" ht="15" hidden="false" customHeight="false" outlineLevel="0" collapsed="false">
      <c r="A11223" s="23" t="s">
        <v>508</v>
      </c>
      <c r="B11223" s="24"/>
      <c r="C11223" s="24"/>
      <c r="D11223" s="24"/>
      <c r="E11223" s="24"/>
      <c r="F11223" s="24"/>
      <c r="G11223" s="24"/>
      <c r="H11223" s="24"/>
      <c r="I11223" s="24"/>
      <c r="J11223" s="24"/>
      <c r="K11223" s="24"/>
    </row>
    <row r="11224" customFormat="false" ht="15" hidden="false" customHeight="false" outlineLevel="0" collapsed="false">
      <c r="A11224" s="3" t="s">
        <v>499</v>
      </c>
      <c r="C11224" s="25" t="n">
        <f aca="false">SUMPRODUCT(($C$11220:$C$11222&lt;C11220)*$C$11216:$C$11218)</f>
        <v>0</v>
      </c>
    </row>
    <row r="11225" customFormat="false" ht="15" hidden="false" customHeight="false" outlineLevel="0" collapsed="false">
      <c r="A11225" s="3" t="s">
        <v>500</v>
      </c>
      <c r="C11225" s="25" t="n">
        <f aca="false">SUMPRODUCT(($C$11220:$C$11222&lt;C11221)*$C$11216:$C$11218)</f>
        <v>1349.6193225</v>
      </c>
    </row>
    <row r="11226" customFormat="false" ht="15" hidden="false" customHeight="false" outlineLevel="0" collapsed="false">
      <c r="A11226" s="3" t="s">
        <v>501</v>
      </c>
      <c r="C11226" s="25" t="n">
        <f aca="false">SUMPRODUCT(($C$11220:$C$11222&lt;C11222)*$C$11216:$C$11218)</f>
        <v>1349.6193225</v>
      </c>
    </row>
    <row r="11227" customFormat="false" ht="15" hidden="false" customHeight="false" outlineLevel="0" collapsed="false">
      <c r="A11227" s="23" t="s">
        <v>509</v>
      </c>
      <c r="B11227" s="24"/>
      <c r="C11227" s="24"/>
      <c r="D11227" s="24"/>
      <c r="E11227" s="24"/>
      <c r="F11227" s="24"/>
      <c r="G11227" s="24"/>
      <c r="H11227" s="24"/>
      <c r="I11227" s="24"/>
      <c r="J11227" s="24"/>
      <c r="K11227" s="24"/>
    </row>
    <row r="11228" customFormat="false" ht="15" hidden="false" customHeight="false" outlineLevel="0" collapsed="false">
      <c r="A11228" s="3" t="s">
        <v>499</v>
      </c>
      <c r="C11228" s="25" t="n">
        <f aca="false">SUMPRODUCT(($C$11220:$C$11222=C11220)*$C$11216:$C$11218)</f>
        <v>1349.6193225</v>
      </c>
    </row>
    <row r="11229" customFormat="false" ht="15" hidden="false" customHeight="false" outlineLevel="0" collapsed="false">
      <c r="A11229" s="3" t="s">
        <v>500</v>
      </c>
      <c r="C11229" s="25" t="n">
        <f aca="false">SUMPRODUCT(($C$11220:$C$11222=C11221)*$C$11216:$C$11218)</f>
        <v>0</v>
      </c>
    </row>
    <row r="11230" customFormat="false" ht="15" hidden="false" customHeight="false" outlineLevel="0" collapsed="false">
      <c r="A11230" s="3" t="s">
        <v>501</v>
      </c>
      <c r="C11230" s="25" t="n">
        <f aca="false">SUMPRODUCT(($C$11220:$C$11222=C11222)*$C$11216:$C$11218)</f>
        <v>0</v>
      </c>
    </row>
    <row r="11231" customFormat="false" ht="15" hidden="false" customHeight="false" outlineLevel="0" collapsed="false">
      <c r="A11231" s="23" t="s">
        <v>510</v>
      </c>
      <c r="B11231" s="24"/>
      <c r="C11231" s="24"/>
      <c r="D11231" s="24"/>
      <c r="E11231" s="24"/>
      <c r="F11231" s="24"/>
      <c r="G11231" s="24"/>
      <c r="H11231" s="24"/>
      <c r="I11231" s="24"/>
      <c r="J11231" s="24"/>
      <c r="K11231" s="24"/>
    </row>
    <row r="11232" customFormat="false" ht="15" hidden="false" customHeight="false" outlineLevel="0" collapsed="false">
      <c r="A11232" s="3" t="s">
        <v>499</v>
      </c>
      <c r="C11232" s="25" t="n">
        <f aca="false">IF(C11228=0,0,C11216/C11228*MAX(0,MIN(C11228,$C$11194-SUM($C$11208:$C$11210)-C11224)))</f>
        <v>1349.6193225</v>
      </c>
    </row>
    <row r="11233" customFormat="false" ht="15" hidden="false" customHeight="false" outlineLevel="0" collapsed="false">
      <c r="A11233" s="3" t="s">
        <v>500</v>
      </c>
      <c r="C11233" s="25" t="n">
        <f aca="false">IF(C11229=0,0,C11217/C11229*MAX(0,MIN(C11229,$C$11194-SUM($C$11208:$C$11210)-C11225)))</f>
        <v>0</v>
      </c>
    </row>
    <row r="11234" customFormat="false" ht="15" hidden="false" customHeight="false" outlineLevel="0" collapsed="false">
      <c r="A11234" s="3" t="s">
        <v>501</v>
      </c>
      <c r="C11234" s="25" t="n">
        <f aca="false">IF(C11230=0,0,C11218/C11230*MAX(0,MIN(C11230,$C$11194-SUM($C$11208:$C$11210)-C11226)))</f>
        <v>0</v>
      </c>
    </row>
    <row r="11235" customFormat="false" ht="15" hidden="false" customHeight="false" outlineLevel="0" collapsed="false">
      <c r="A11235" s="23" t="s">
        <v>511</v>
      </c>
      <c r="B11235" s="24"/>
      <c r="C11235" s="24"/>
      <c r="D11235" s="24"/>
      <c r="E11235" s="24"/>
      <c r="F11235" s="24"/>
      <c r="G11235" s="24"/>
      <c r="H11235" s="24"/>
      <c r="I11235" s="24"/>
      <c r="J11235" s="24"/>
      <c r="K11235" s="24"/>
    </row>
    <row r="11236" customFormat="false" ht="15" hidden="false" customHeight="false" outlineLevel="0" collapsed="false">
      <c r="A11236" s="2" t="s">
        <v>499</v>
      </c>
      <c r="C11236" s="16" t="n">
        <f aca="false">C11208+C11232</f>
        <v>1349.6193225</v>
      </c>
    </row>
    <row r="11237" customFormat="false" ht="15" hidden="false" customHeight="false" outlineLevel="0" collapsed="false">
      <c r="A11237" s="2" t="s">
        <v>500</v>
      </c>
      <c r="C11237" s="16" t="n">
        <f aca="false">C11209+C11233</f>
        <v>0</v>
      </c>
    </row>
    <row r="11238" customFormat="false" ht="15" hidden="false" customHeight="false" outlineLevel="0" collapsed="false">
      <c r="A11238" s="2" t="s">
        <v>501</v>
      </c>
      <c r="C11238" s="16" t="n">
        <f aca="false">C11210+C11234</f>
        <v>0</v>
      </c>
    </row>
    <row r="11239" customFormat="false" ht="15" hidden="false" customHeight="false" outlineLevel="0" collapsed="false">
      <c r="A11239" s="23" t="s">
        <v>512</v>
      </c>
      <c r="B11239" s="24"/>
      <c r="C11239" s="24"/>
      <c r="D11239" s="24"/>
      <c r="E11239" s="24"/>
      <c r="F11239" s="24"/>
      <c r="G11239" s="24"/>
      <c r="H11239" s="24"/>
      <c r="I11239" s="24"/>
      <c r="J11239" s="24"/>
      <c r="K11239" s="24"/>
    </row>
    <row r="11240" customFormat="false" ht="15" hidden="false" customHeight="false" outlineLevel="0" collapsed="false">
      <c r="A11240" s="3" t="s">
        <v>499</v>
      </c>
      <c r="C11240" s="21" t="n">
        <f aca="false">IF(C11196=0,1,C11236/C11196)</f>
        <v>1</v>
      </c>
    </row>
    <row r="11241" customFormat="false" ht="15" hidden="false" customHeight="false" outlineLevel="0" collapsed="false">
      <c r="A11241" s="3" t="s">
        <v>500</v>
      </c>
      <c r="C11241" s="21" t="n">
        <f aca="false">IF(C11197=0,1,C11237/C11197)</f>
        <v>1</v>
      </c>
    </row>
    <row r="11242" customFormat="false" ht="15" hidden="false" customHeight="false" outlineLevel="0" collapsed="false">
      <c r="A11242" s="3" t="s">
        <v>501</v>
      </c>
      <c r="C11242" s="21" t="n">
        <f aca="false">IF(C11198=0,1,C11238/C11198)</f>
        <v>1</v>
      </c>
    </row>
    <row r="11243" customFormat="false" ht="15" hidden="false" customHeight="false" outlineLevel="0" collapsed="false">
      <c r="A11243" s="23" t="s">
        <v>513</v>
      </c>
      <c r="B11243" s="24"/>
      <c r="C11243" s="24"/>
      <c r="D11243" s="24"/>
      <c r="E11243" s="24"/>
      <c r="F11243" s="24"/>
      <c r="G11243" s="24"/>
      <c r="H11243" s="24"/>
      <c r="I11243" s="24"/>
      <c r="J11243" s="24"/>
      <c r="K11243" s="24"/>
    </row>
    <row r="11244" customFormat="false" ht="15" hidden="false" customHeight="false" outlineLevel="0" collapsed="false">
      <c r="A11244" s="3" t="s">
        <v>499</v>
      </c>
      <c r="C11244" s="25" t="n">
        <f aca="false">C11196-C11236</f>
        <v>0</v>
      </c>
    </row>
    <row r="11245" customFormat="false" ht="15" hidden="false" customHeight="false" outlineLevel="0" collapsed="false">
      <c r="A11245" s="3" t="s">
        <v>500</v>
      </c>
      <c r="C11245" s="25" t="n">
        <f aca="false">C11197-C11237</f>
        <v>0</v>
      </c>
    </row>
    <row r="11246" customFormat="false" ht="15" hidden="false" customHeight="false" outlineLevel="0" collapsed="false">
      <c r="A11246" s="3" t="s">
        <v>501</v>
      </c>
      <c r="C11246" s="25" t="n">
        <f aca="false">C11198-C11238</f>
        <v>0</v>
      </c>
    </row>
    <row r="11247" customFormat="false" ht="15" hidden="false" customHeight="false" outlineLevel="0" collapsed="false">
      <c r="A11247" s="23" t="s">
        <v>514</v>
      </c>
      <c r="B11247" s="24"/>
      <c r="C11247" s="24"/>
      <c r="D11247" s="24"/>
      <c r="E11247" s="24"/>
      <c r="F11247" s="24"/>
      <c r="G11247" s="24"/>
      <c r="H11247" s="24"/>
      <c r="I11247" s="24"/>
      <c r="J11247" s="24"/>
      <c r="K11247" s="24"/>
    </row>
    <row r="11248" customFormat="false" ht="15" hidden="false" customHeight="false" outlineLevel="0" collapsed="false">
      <c r="A11248" s="3" t="s">
        <v>499</v>
      </c>
      <c r="C11248" s="21" t="n">
        <f aca="false">IF(C11196=0,0,C11244/C11196)</f>
        <v>0</v>
      </c>
    </row>
    <row r="11249" customFormat="false" ht="15" hidden="false" customHeight="false" outlineLevel="0" collapsed="false">
      <c r="A11249" s="3" t="s">
        <v>500</v>
      </c>
      <c r="C11249" s="21" t="n">
        <f aca="false">IF(C11197=0,0,C11245/C11197)</f>
        <v>0</v>
      </c>
    </row>
    <row r="11250" customFormat="false" ht="15" hidden="false" customHeight="false" outlineLevel="0" collapsed="false">
      <c r="A11250" s="3" t="s">
        <v>501</v>
      </c>
      <c r="C11250" s="21" t="n">
        <f aca="false">IF(C11198=0,0,C11246/C11198)</f>
        <v>0</v>
      </c>
    </row>
    <row r="11251" customFormat="false" ht="15" hidden="false" customHeight="false" outlineLevel="0" collapsed="false">
      <c r="A11251" s="2" t="s">
        <v>515</v>
      </c>
      <c r="C11251" s="16" t="n">
        <f aca="false">MAX(0,$C$11194-SUM($C$11208:$C$11210)-SUM($C$11216:$C$11218))</f>
        <v>428.177320788743</v>
      </c>
    </row>
    <row r="11252" customFormat="false" ht="15" hidden="false" customHeight="false" outlineLevel="0" collapsed="false">
      <c r="A11252" s="3" t="s">
        <v>516</v>
      </c>
      <c r="C11252" s="25" t="n">
        <f aca="false">SUM($C$11236:$C$11238)+C11251+C11193-C11192</f>
        <v>0</v>
      </c>
    </row>
    <row r="11254" customFormat="false" ht="15" hidden="false" customHeight="false" outlineLevel="0" collapsed="false">
      <c r="A11254" s="23" t="s">
        <v>519</v>
      </c>
      <c r="B11254" s="24"/>
      <c r="C11254" s="24"/>
      <c r="D11254" s="24"/>
      <c r="E11254" s="24"/>
      <c r="F11254" s="24"/>
      <c r="G11254" s="24"/>
      <c r="H11254" s="24"/>
      <c r="I11254" s="24"/>
      <c r="J11254" s="24"/>
      <c r="K11254" s="24"/>
    </row>
    <row r="11255" customFormat="false" ht="15" hidden="false" customHeight="false" outlineLevel="0" collapsed="false">
      <c r="A11255" s="3" t="s">
        <v>520</v>
      </c>
      <c r="C11255" s="27" t="n">
        <f aca="false">Assumptions!$C$33</f>
        <v>1</v>
      </c>
    </row>
    <row r="11256" customFormat="false" ht="15" hidden="false" customHeight="false" outlineLevel="0" collapsed="false">
      <c r="A11256" s="3" t="s">
        <v>521</v>
      </c>
      <c r="C11256" s="29" t="n">
        <f aca="false">Assumptions!$C$34</f>
        <v>100</v>
      </c>
    </row>
    <row r="11257" customFormat="false" ht="15" hidden="false" customHeight="false" outlineLevel="0" collapsed="false">
      <c r="A11257" s="3" t="s">
        <v>522</v>
      </c>
      <c r="C11257" s="40" t="n">
        <f aca="false">Assumptions!$C$35</f>
        <v>95</v>
      </c>
    </row>
    <row r="11258" customFormat="false" ht="15" hidden="false" customHeight="false" outlineLevel="0" collapsed="false">
      <c r="A11258" s="3" t="s">
        <v>523</v>
      </c>
      <c r="C11258" s="25" t="n">
        <f aca="false">C11256*C11257/100*(1+Assumptions!$C$36)</f>
        <v>95</v>
      </c>
    </row>
    <row r="11259" customFormat="false" ht="15" hidden="false" customHeight="false" outlineLevel="0" collapsed="false">
      <c r="A11259" s="3" t="s">
        <v>524</v>
      </c>
      <c r="C11259" s="27" t="n">
        <f aca="false">Assumptions!$C$37</f>
        <v>3</v>
      </c>
    </row>
    <row r="11260" customFormat="false" ht="15" hidden="false" customHeight="false" outlineLevel="0" collapsed="false">
      <c r="A11260" s="3" t="s">
        <v>525</v>
      </c>
      <c r="C11260" s="20" t="n">
        <f aca="false">IF(C11185=1,SUMPRODUCT($G$11137:$K$11137,$G$11030:$K$11030),0)</f>
        <v>0</v>
      </c>
    </row>
    <row r="11261" customFormat="false" ht="15" hidden="false" customHeight="false" outlineLevel="0" collapsed="false">
      <c r="A11261" s="3" t="s">
        <v>526</v>
      </c>
      <c r="C11261" s="21" t="n">
        <f aca="false">IFERROR(C11256/CHOOSE(C11255,SUMPRODUCT($G$11184:$K$11184,$G$11076:$K$11076),SUMPRODUCT($G$11184:$K$11184,$G$11089:$K$11089),SUMPRODUCT($G$11184:$K$11184,$G$11102:$K$11102)),0)</f>
        <v>0.0760399605200525</v>
      </c>
    </row>
    <row r="11262" customFormat="false" ht="15" hidden="false" customHeight="false" outlineLevel="0" collapsed="false">
      <c r="A11262" s="3" t="s">
        <v>527</v>
      </c>
      <c r="C11262" s="25" t="n">
        <f aca="false">CHOOSE(C11255,C11236,C11237,C11238)*C11261</f>
        <v>102.625</v>
      </c>
    </row>
    <row r="11263" customFormat="false" ht="15" hidden="false" customHeight="false" outlineLevel="0" collapsed="false">
      <c r="A11263" s="3" t="s">
        <v>528</v>
      </c>
      <c r="C11263" s="21" t="n">
        <f aca="false">CHOOSE(C11255,C11240,C11241,C11242)</f>
        <v>1</v>
      </c>
    </row>
    <row r="11264" customFormat="false" ht="15" hidden="false" customHeight="false" outlineLevel="0" collapsed="false">
      <c r="A11264" s="3" t="s">
        <v>529</v>
      </c>
      <c r="C11264" s="20" t="n">
        <f aca="false">IF(C11185=1,C11260,C11259)</f>
        <v>3</v>
      </c>
    </row>
    <row r="11265" customFormat="false" ht="15" hidden="false" customHeight="false" outlineLevel="0" collapsed="false">
      <c r="A11265" s="3" t="s">
        <v>530</v>
      </c>
      <c r="C11265" s="34" t="n">
        <f aca="false">CHOOSE($C$11022,Assumptions!$C$83,Assumptions!$C$102,Assumptions!$C$121)</f>
        <v>100</v>
      </c>
    </row>
    <row r="11266" customFormat="false" ht="15" hidden="false" customHeight="false" outlineLevel="0" collapsed="false">
      <c r="A11266" s="3" t="s">
        <v>531</v>
      </c>
      <c r="C11266" s="25" t="n">
        <f aca="false">INDEX($G$11039:$K$11039,C11259)*CHOOSE($C$11022,Assumptions!$C$82,Assumptions!$C$101,Assumptions!$C$120)+MAX(0,INDEX($G$11134:$K$11134,C11259))</f>
        <v>1898.86777853863</v>
      </c>
    </row>
    <row r="11267" customFormat="false" ht="15" hidden="false" customHeight="false" outlineLevel="0" collapsed="false">
      <c r="A11267" s="23" t="s">
        <v>532</v>
      </c>
      <c r="B11267" s="24"/>
      <c r="C11267" s="24"/>
      <c r="D11267" s="24"/>
      <c r="E11267" s="24"/>
      <c r="F11267" s="24"/>
      <c r="G11267" s="24"/>
      <c r="H11267" s="24"/>
      <c r="I11267" s="24"/>
      <c r="J11267" s="24"/>
      <c r="K11267" s="24"/>
    </row>
    <row r="11268" customFormat="false" ht="15" hidden="false" customHeight="false" outlineLevel="0" collapsed="false">
      <c r="A11268" s="3" t="s">
        <v>499</v>
      </c>
      <c r="C11268" s="25" t="n">
        <f aca="false">INDEX($G$11076:$K$11076,C11259)</f>
        <v>1315.098</v>
      </c>
    </row>
    <row r="11269" customFormat="false" ht="15" hidden="false" customHeight="false" outlineLevel="0" collapsed="false">
      <c r="A11269" s="3" t="s">
        <v>500</v>
      </c>
      <c r="C11269" s="25" t="n">
        <f aca="false">INDEX($G$11089:$K$11089,C11259)</f>
        <v>0</v>
      </c>
    </row>
    <row r="11270" customFormat="false" ht="15" hidden="false" customHeight="false" outlineLevel="0" collapsed="false">
      <c r="A11270" s="3" t="s">
        <v>501</v>
      </c>
      <c r="C11270" s="25" t="n">
        <f aca="false">INDEX($G$11102:$K$11102,C11259)</f>
        <v>0</v>
      </c>
    </row>
    <row r="11271" customFormat="false" ht="15" hidden="false" customHeight="false" outlineLevel="0" collapsed="false">
      <c r="A11271" s="23" t="s">
        <v>502</v>
      </c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</row>
    <row r="11272" customFormat="false" ht="15" hidden="false" customHeight="false" outlineLevel="0" collapsed="false">
      <c r="A11272" s="3" t="s">
        <v>499</v>
      </c>
      <c r="C11272" s="27" t="n">
        <f aca="false">Assumptions!$M$56</f>
        <v>1</v>
      </c>
    </row>
    <row r="11273" customFormat="false" ht="15" hidden="false" customHeight="false" outlineLevel="0" collapsed="false">
      <c r="A11273" s="3" t="s">
        <v>500</v>
      </c>
      <c r="C11273" s="27" t="n">
        <f aca="false">Assumptions!$M$57</f>
        <v>2</v>
      </c>
    </row>
    <row r="11274" customFormat="false" ht="15" hidden="false" customHeight="false" outlineLevel="0" collapsed="false">
      <c r="A11274" s="3" t="s">
        <v>501</v>
      </c>
      <c r="C11274" s="27" t="n">
        <f aca="false">Assumptions!$M$58</f>
        <v>2</v>
      </c>
    </row>
    <row r="11275" customFormat="false" ht="15" hidden="false" customHeight="false" outlineLevel="0" collapsed="false">
      <c r="A11275" s="23" t="s">
        <v>503</v>
      </c>
      <c r="B11275" s="24"/>
      <c r="C11275" s="24"/>
      <c r="D11275" s="24"/>
      <c r="E11275" s="24"/>
      <c r="F11275" s="24"/>
      <c r="G11275" s="24"/>
      <c r="H11275" s="24"/>
      <c r="I11275" s="24"/>
      <c r="J11275" s="24"/>
      <c r="K11275" s="24"/>
    </row>
    <row r="11276" customFormat="false" ht="15" hidden="false" customHeight="false" outlineLevel="0" collapsed="false">
      <c r="A11276" s="3" t="s">
        <v>499</v>
      </c>
      <c r="C11276" s="35" t="n">
        <f aca="false">Assumptions!$Q$56</f>
        <v>0</v>
      </c>
    </row>
    <row r="11277" customFormat="false" ht="15" hidden="false" customHeight="false" outlineLevel="0" collapsed="false">
      <c r="A11277" s="3" t="s">
        <v>500</v>
      </c>
      <c r="C11277" s="35" t="n">
        <f aca="false">Assumptions!$Q$57</f>
        <v>0</v>
      </c>
    </row>
    <row r="11278" customFormat="false" ht="15" hidden="false" customHeight="false" outlineLevel="0" collapsed="false">
      <c r="A11278" s="3" t="s">
        <v>501</v>
      </c>
      <c r="C11278" s="35" t="n">
        <f aca="false">Assumptions!$Q$58</f>
        <v>0</v>
      </c>
    </row>
    <row r="11279" customFormat="false" ht="15" hidden="false" customHeight="false" outlineLevel="0" collapsed="false">
      <c r="A11279" s="23" t="s">
        <v>504</v>
      </c>
      <c r="B11279" s="24"/>
      <c r="C11279" s="24"/>
      <c r="D11279" s="24"/>
      <c r="E11279" s="24"/>
      <c r="F11279" s="24"/>
      <c r="G11279" s="24"/>
      <c r="H11279" s="24"/>
      <c r="I11279" s="24"/>
      <c r="J11279" s="24"/>
      <c r="K11279" s="24"/>
    </row>
    <row r="11280" customFormat="false" ht="15" hidden="false" customHeight="false" outlineLevel="0" collapsed="false">
      <c r="A11280" s="3" t="s">
        <v>499</v>
      </c>
      <c r="C11280" s="25" t="n">
        <f aca="false">IF(C11276&gt;0,MIN(C11268,C11276*$C$11266),0)</f>
        <v>0</v>
      </c>
    </row>
    <row r="11281" customFormat="false" ht="15" hidden="false" customHeight="false" outlineLevel="0" collapsed="false">
      <c r="A11281" s="3" t="s">
        <v>500</v>
      </c>
      <c r="C11281" s="25" t="n">
        <f aca="false">IF(C11277&gt;0,MIN(C11269,C11277*$C$11266),0)</f>
        <v>0</v>
      </c>
    </row>
    <row r="11282" customFormat="false" ht="15" hidden="false" customHeight="false" outlineLevel="0" collapsed="false">
      <c r="A11282" s="3" t="s">
        <v>501</v>
      </c>
      <c r="C11282" s="25" t="n">
        <f aca="false">IF(C11278&gt;0,MIN(C11270,C11278*$C$11266),0)</f>
        <v>0</v>
      </c>
    </row>
    <row r="11283" customFormat="false" ht="15" hidden="false" customHeight="false" outlineLevel="0" collapsed="false">
      <c r="A11283" s="23" t="s">
        <v>505</v>
      </c>
      <c r="B11283" s="24"/>
      <c r="C11283" s="24"/>
      <c r="D11283" s="24"/>
      <c r="E11283" s="24"/>
      <c r="F11283" s="24"/>
      <c r="G11283" s="24"/>
      <c r="H11283" s="24"/>
      <c r="I11283" s="24"/>
      <c r="J11283" s="24"/>
      <c r="K11283" s="24"/>
    </row>
    <row r="11284" customFormat="false" ht="15" hidden="false" customHeight="false" outlineLevel="0" collapsed="false">
      <c r="A11284" s="3" t="s">
        <v>499</v>
      </c>
      <c r="C11284" s="25" t="n">
        <f aca="false">IF(C11276&gt;0,C11268-C11280,0)</f>
        <v>0</v>
      </c>
    </row>
    <row r="11285" customFormat="false" ht="15" hidden="false" customHeight="false" outlineLevel="0" collapsed="false">
      <c r="A11285" s="3" t="s">
        <v>500</v>
      </c>
      <c r="C11285" s="25" t="n">
        <f aca="false">IF(C11277&gt;0,C11269-C11281,0)</f>
        <v>0</v>
      </c>
    </row>
    <row r="11286" customFormat="false" ht="15" hidden="false" customHeight="false" outlineLevel="0" collapsed="false">
      <c r="A11286" s="3" t="s">
        <v>501</v>
      </c>
      <c r="C11286" s="25" t="n">
        <f aca="false">IF(C11278&gt;0,C11270-C11282,0)</f>
        <v>0</v>
      </c>
    </row>
    <row r="11287" customFormat="false" ht="15" hidden="false" customHeight="false" outlineLevel="0" collapsed="false">
      <c r="A11287" s="23" t="s">
        <v>506</v>
      </c>
      <c r="B11287" s="24"/>
      <c r="C11287" s="24"/>
      <c r="D11287" s="24"/>
      <c r="E11287" s="24"/>
      <c r="F11287" s="24"/>
      <c r="G11287" s="24"/>
      <c r="H11287" s="24"/>
      <c r="I11287" s="24"/>
      <c r="J11287" s="24"/>
      <c r="K11287" s="24"/>
    </row>
    <row r="11288" customFormat="false" ht="15" hidden="false" customHeight="false" outlineLevel="0" collapsed="false">
      <c r="A11288" s="3" t="s">
        <v>499</v>
      </c>
      <c r="C11288" s="25" t="n">
        <f aca="false">IF(C11276&gt;0,C11284,C11268)</f>
        <v>1315.098</v>
      </c>
    </row>
    <row r="11289" customFormat="false" ht="15" hidden="false" customHeight="false" outlineLevel="0" collapsed="false">
      <c r="A11289" s="3" t="s">
        <v>500</v>
      </c>
      <c r="C11289" s="25" t="n">
        <f aca="false">IF(C11277&gt;0,C11285,C11269)</f>
        <v>0</v>
      </c>
    </row>
    <row r="11290" customFormat="false" ht="15" hidden="false" customHeight="false" outlineLevel="0" collapsed="false">
      <c r="A11290" s="3" t="s">
        <v>501</v>
      </c>
      <c r="C11290" s="25" t="n">
        <f aca="false">IF(C11278&gt;0,C11286,C11270)</f>
        <v>0</v>
      </c>
    </row>
    <row r="11291" customFormat="false" ht="15" hidden="false" customHeight="false" outlineLevel="0" collapsed="false">
      <c r="A11291" s="23" t="s">
        <v>507</v>
      </c>
      <c r="B11291" s="24"/>
      <c r="C11291" s="24"/>
      <c r="D11291" s="24"/>
      <c r="E11291" s="24"/>
      <c r="F11291" s="24"/>
      <c r="G11291" s="24"/>
      <c r="H11291" s="24"/>
      <c r="I11291" s="24"/>
      <c r="J11291" s="24"/>
      <c r="K11291" s="24"/>
    </row>
    <row r="11292" customFormat="false" ht="15" hidden="false" customHeight="false" outlineLevel="0" collapsed="false">
      <c r="A11292" s="3" t="s">
        <v>499</v>
      </c>
      <c r="C11292" s="20" t="n">
        <f aca="false">IF(C11276&gt;0,Assumptions!$C$17,C11272)</f>
        <v>1</v>
      </c>
    </row>
    <row r="11293" customFormat="false" ht="15" hidden="false" customHeight="false" outlineLevel="0" collapsed="false">
      <c r="A11293" s="3" t="s">
        <v>500</v>
      </c>
      <c r="C11293" s="20" t="n">
        <f aca="false">IF(C11277&gt;0,Assumptions!$C$17,C11273)</f>
        <v>2</v>
      </c>
    </row>
    <row r="11294" customFormat="false" ht="15" hidden="false" customHeight="false" outlineLevel="0" collapsed="false">
      <c r="A11294" s="3" t="s">
        <v>501</v>
      </c>
      <c r="C11294" s="20" t="n">
        <f aca="false">IF(C11278&gt;0,Assumptions!$C$17,C11274)</f>
        <v>2</v>
      </c>
    </row>
    <row r="11295" customFormat="false" ht="15" hidden="false" customHeight="false" outlineLevel="0" collapsed="false">
      <c r="A11295" s="23" t="s">
        <v>508</v>
      </c>
      <c r="B11295" s="24"/>
      <c r="C11295" s="24"/>
      <c r="D11295" s="24"/>
      <c r="E11295" s="24"/>
      <c r="F11295" s="24"/>
      <c r="G11295" s="24"/>
      <c r="H11295" s="24"/>
      <c r="I11295" s="24"/>
      <c r="J11295" s="24"/>
      <c r="K11295" s="24"/>
    </row>
    <row r="11296" customFormat="false" ht="15" hidden="false" customHeight="false" outlineLevel="0" collapsed="false">
      <c r="A11296" s="3" t="s">
        <v>499</v>
      </c>
      <c r="C11296" s="25" t="n">
        <f aca="false">SUMPRODUCT(($C$11292:$C$11294&lt;C11292)*$C$11288:$C$11290)</f>
        <v>0</v>
      </c>
    </row>
    <row r="11297" customFormat="false" ht="15" hidden="false" customHeight="false" outlineLevel="0" collapsed="false">
      <c r="A11297" s="3" t="s">
        <v>500</v>
      </c>
      <c r="C11297" s="25" t="n">
        <f aca="false">SUMPRODUCT(($C$11292:$C$11294&lt;C11293)*$C$11288:$C$11290)</f>
        <v>1315.098</v>
      </c>
    </row>
    <row r="11298" customFormat="false" ht="15" hidden="false" customHeight="false" outlineLevel="0" collapsed="false">
      <c r="A11298" s="3" t="s">
        <v>501</v>
      </c>
      <c r="C11298" s="25" t="n">
        <f aca="false">SUMPRODUCT(($C$11292:$C$11294&lt;C11294)*$C$11288:$C$11290)</f>
        <v>1315.098</v>
      </c>
    </row>
    <row r="11299" customFormat="false" ht="15" hidden="false" customHeight="false" outlineLevel="0" collapsed="false">
      <c r="A11299" s="23" t="s">
        <v>509</v>
      </c>
      <c r="B11299" s="24"/>
      <c r="C11299" s="24"/>
      <c r="D11299" s="24"/>
      <c r="E11299" s="24"/>
      <c r="F11299" s="24"/>
      <c r="G11299" s="24"/>
      <c r="H11299" s="24"/>
      <c r="I11299" s="24"/>
      <c r="J11299" s="24"/>
      <c r="K11299" s="24"/>
    </row>
    <row r="11300" customFormat="false" ht="15" hidden="false" customHeight="false" outlineLevel="0" collapsed="false">
      <c r="A11300" s="3" t="s">
        <v>499</v>
      </c>
      <c r="C11300" s="25" t="n">
        <f aca="false">SUMPRODUCT(($C$11292:$C$11294=C11292)*$C$11288:$C$11290)</f>
        <v>1315.098</v>
      </c>
    </row>
    <row r="11301" customFormat="false" ht="15" hidden="false" customHeight="false" outlineLevel="0" collapsed="false">
      <c r="A11301" s="3" t="s">
        <v>500</v>
      </c>
      <c r="C11301" s="25" t="n">
        <f aca="false">SUMPRODUCT(($C$11292:$C$11294=C11293)*$C$11288:$C$11290)</f>
        <v>0</v>
      </c>
    </row>
    <row r="11302" customFormat="false" ht="15" hidden="false" customHeight="false" outlineLevel="0" collapsed="false">
      <c r="A11302" s="3" t="s">
        <v>501</v>
      </c>
      <c r="C11302" s="25" t="n">
        <f aca="false">SUMPRODUCT(($C$11292:$C$11294=C11294)*$C$11288:$C$11290)</f>
        <v>0</v>
      </c>
    </row>
    <row r="11303" customFormat="false" ht="15" hidden="false" customHeight="false" outlineLevel="0" collapsed="false">
      <c r="A11303" s="23" t="s">
        <v>510</v>
      </c>
      <c r="B11303" s="24"/>
      <c r="C11303" s="24"/>
      <c r="D11303" s="24"/>
      <c r="E11303" s="24"/>
      <c r="F11303" s="24"/>
      <c r="G11303" s="24"/>
      <c r="H11303" s="24"/>
      <c r="I11303" s="24"/>
      <c r="J11303" s="24"/>
      <c r="K11303" s="24"/>
    </row>
    <row r="11304" customFormat="false" ht="15" hidden="false" customHeight="false" outlineLevel="0" collapsed="false">
      <c r="A11304" s="3" t="s">
        <v>499</v>
      </c>
      <c r="C11304" s="25" t="n">
        <f aca="false">IF(C11300=0,0,C11288/C11300*MAX(0,MIN(C11300,$C$11266-SUM($C$11280:$C$11282)-C11296)))</f>
        <v>1315.098</v>
      </c>
    </row>
    <row r="11305" customFormat="false" ht="15" hidden="false" customHeight="false" outlineLevel="0" collapsed="false">
      <c r="A11305" s="3" t="s">
        <v>500</v>
      </c>
      <c r="C11305" s="25" t="n">
        <f aca="false">IF(C11301=0,0,C11289/C11301*MAX(0,MIN(C11301,$C$11266-SUM($C$11280:$C$11282)-C11297)))</f>
        <v>0</v>
      </c>
    </row>
    <row r="11306" customFormat="false" ht="15" hidden="false" customHeight="false" outlineLevel="0" collapsed="false">
      <c r="A11306" s="3" t="s">
        <v>501</v>
      </c>
      <c r="C11306" s="25" t="n">
        <f aca="false">IF(C11302=0,0,C11290/C11302*MAX(0,MIN(C11302,$C$11266-SUM($C$11280:$C$11282)-C11298)))</f>
        <v>0</v>
      </c>
    </row>
    <row r="11307" customFormat="false" ht="15" hidden="false" customHeight="false" outlineLevel="0" collapsed="false">
      <c r="A11307" s="23" t="s">
        <v>511</v>
      </c>
      <c r="B11307" s="24"/>
      <c r="C11307" s="24"/>
      <c r="D11307" s="24"/>
      <c r="E11307" s="24"/>
      <c r="F11307" s="24"/>
      <c r="G11307" s="24"/>
      <c r="H11307" s="24"/>
      <c r="I11307" s="24"/>
      <c r="J11307" s="24"/>
      <c r="K11307" s="24"/>
    </row>
    <row r="11308" customFormat="false" ht="15" hidden="false" customHeight="false" outlineLevel="0" collapsed="false">
      <c r="A11308" s="2" t="s">
        <v>499</v>
      </c>
      <c r="C11308" s="16" t="n">
        <f aca="false">C11280+C11304</f>
        <v>1315.098</v>
      </c>
    </row>
    <row r="11309" customFormat="false" ht="15" hidden="false" customHeight="false" outlineLevel="0" collapsed="false">
      <c r="A11309" s="2" t="s">
        <v>500</v>
      </c>
      <c r="C11309" s="16" t="n">
        <f aca="false">C11281+C11305</f>
        <v>0</v>
      </c>
    </row>
    <row r="11310" customFormat="false" ht="15" hidden="false" customHeight="false" outlineLevel="0" collapsed="false">
      <c r="A11310" s="2" t="s">
        <v>501</v>
      </c>
      <c r="C11310" s="16" t="n">
        <f aca="false">C11282+C11306</f>
        <v>0</v>
      </c>
    </row>
    <row r="11311" customFormat="false" ht="15" hidden="false" customHeight="false" outlineLevel="0" collapsed="false">
      <c r="A11311" s="23" t="s">
        <v>512</v>
      </c>
      <c r="B11311" s="24"/>
      <c r="C11311" s="24"/>
      <c r="D11311" s="24"/>
      <c r="E11311" s="24"/>
      <c r="F11311" s="24"/>
      <c r="G11311" s="24"/>
      <c r="H11311" s="24"/>
      <c r="I11311" s="24"/>
      <c r="J11311" s="24"/>
      <c r="K11311" s="24"/>
    </row>
    <row r="11312" customFormat="false" ht="15" hidden="false" customHeight="false" outlineLevel="0" collapsed="false">
      <c r="A11312" s="3" t="s">
        <v>499</v>
      </c>
      <c r="C11312" s="21" t="n">
        <f aca="false">IF(C11268=0,1,C11308/C11268)</f>
        <v>1</v>
      </c>
    </row>
    <row r="11313" customFormat="false" ht="15" hidden="false" customHeight="false" outlineLevel="0" collapsed="false">
      <c r="A11313" s="3" t="s">
        <v>500</v>
      </c>
      <c r="C11313" s="21" t="n">
        <f aca="false">IF(C11269=0,1,C11309/C11269)</f>
        <v>1</v>
      </c>
    </row>
    <row r="11314" customFormat="false" ht="15" hidden="false" customHeight="false" outlineLevel="0" collapsed="false">
      <c r="A11314" s="3" t="s">
        <v>501</v>
      </c>
      <c r="C11314" s="21" t="n">
        <f aca="false">IF(C11270=0,1,C11310/C11270)</f>
        <v>1</v>
      </c>
    </row>
    <row r="11315" customFormat="false" ht="15" hidden="false" customHeight="false" outlineLevel="0" collapsed="false">
      <c r="A11315" s="23" t="s">
        <v>513</v>
      </c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</row>
    <row r="11316" customFormat="false" ht="15" hidden="false" customHeight="false" outlineLevel="0" collapsed="false">
      <c r="A11316" s="3" t="s">
        <v>499</v>
      </c>
      <c r="C11316" s="25" t="n">
        <f aca="false">C11268-C11308</f>
        <v>0</v>
      </c>
    </row>
    <row r="11317" customFormat="false" ht="15" hidden="false" customHeight="false" outlineLevel="0" collapsed="false">
      <c r="A11317" s="3" t="s">
        <v>500</v>
      </c>
      <c r="C11317" s="25" t="n">
        <f aca="false">C11269-C11309</f>
        <v>0</v>
      </c>
    </row>
    <row r="11318" customFormat="false" ht="15" hidden="false" customHeight="false" outlineLevel="0" collapsed="false">
      <c r="A11318" s="3" t="s">
        <v>501</v>
      </c>
      <c r="C11318" s="25" t="n">
        <f aca="false">C11270-C11310</f>
        <v>0</v>
      </c>
    </row>
    <row r="11319" customFormat="false" ht="15" hidden="false" customHeight="false" outlineLevel="0" collapsed="false">
      <c r="A11319" s="23" t="s">
        <v>514</v>
      </c>
      <c r="B11319" s="24"/>
      <c r="C11319" s="24"/>
      <c r="D11319" s="24"/>
      <c r="E11319" s="24"/>
      <c r="F11319" s="24"/>
      <c r="G11319" s="24"/>
      <c r="H11319" s="24"/>
      <c r="I11319" s="24"/>
      <c r="J11319" s="24"/>
      <c r="K11319" s="24"/>
    </row>
    <row r="11320" customFormat="false" ht="15" hidden="false" customHeight="false" outlineLevel="0" collapsed="false">
      <c r="A11320" s="3" t="s">
        <v>499</v>
      </c>
      <c r="C11320" s="21" t="n">
        <f aca="false">IF(C11268=0,0,C11316/C11268)</f>
        <v>0</v>
      </c>
    </row>
    <row r="11321" customFormat="false" ht="15" hidden="false" customHeight="false" outlineLevel="0" collapsed="false">
      <c r="A11321" s="3" t="s">
        <v>500</v>
      </c>
      <c r="C11321" s="21" t="n">
        <f aca="false">IF(C11269=0,0,C11317/C11269)</f>
        <v>0</v>
      </c>
    </row>
    <row r="11322" customFormat="false" ht="15" hidden="false" customHeight="false" outlineLevel="0" collapsed="false">
      <c r="A11322" s="3" t="s">
        <v>501</v>
      </c>
      <c r="C11322" s="21" t="n">
        <f aca="false">IF(C11270=0,0,C11318/C11270)</f>
        <v>0</v>
      </c>
    </row>
    <row r="11323" customFormat="false" ht="15" hidden="false" customHeight="false" outlineLevel="0" collapsed="false">
      <c r="A11323" s="2" t="s">
        <v>515</v>
      </c>
      <c r="C11323" s="16" t="n">
        <f aca="false">MAX(0,$C$11266-SUM($C$11280:$C$11282)-SUM($C$11288:$C$11290))</f>
        <v>583.769778538632</v>
      </c>
    </row>
    <row r="11324" customFormat="false" ht="15" hidden="false" customHeight="false" outlineLevel="0" collapsed="false">
      <c r="A11324" s="3" t="s">
        <v>533</v>
      </c>
      <c r="C11324" s="34" t="n">
        <f aca="false">MIN(C11265,100*CHOOSE(C11255,C11312,C11313,C11314))</f>
        <v>100</v>
      </c>
    </row>
    <row r="11325" customFormat="false" ht="15" hidden="false" customHeight="false" outlineLevel="0" collapsed="false">
      <c r="A11325" s="3" t="s">
        <v>534</v>
      </c>
      <c r="C11325" s="20" t="n">
        <f aca="false">IF(C11185=1,C11260+Assumptions!$C$39,C11259)</f>
        <v>3</v>
      </c>
    </row>
    <row r="11326" customFormat="false" ht="15" hidden="false" customHeight="false" outlineLevel="0" collapsed="false">
      <c r="A11326" s="23" t="s">
        <v>535</v>
      </c>
      <c r="B11326" s="24"/>
      <c r="C11326" s="24"/>
      <c r="D11326" s="24"/>
      <c r="E11326" s="24"/>
      <c r="F11326" s="24"/>
      <c r="G11326" s="24"/>
      <c r="H11326" s="24"/>
      <c r="I11326" s="24"/>
      <c r="J11326" s="24"/>
      <c r="K11326" s="24"/>
    </row>
    <row r="11327" customFormat="false" ht="15" hidden="false" customHeight="false" outlineLevel="0" collapsed="false">
      <c r="A11327" s="3" t="s">
        <v>536</v>
      </c>
      <c r="C11327" s="20" t="n">
        <f aca="false">COLUMN()-COLUMN($C$1)</f>
        <v>0</v>
      </c>
      <c r="D11327" s="20" t="n">
        <f aca="false">COLUMN()-COLUMN($C$1)</f>
        <v>1</v>
      </c>
      <c r="E11327" s="20" t="n">
        <f aca="false">COLUMN()-COLUMN($C$1)</f>
        <v>2</v>
      </c>
      <c r="F11327" s="20" t="n">
        <f aca="false">COLUMN()-COLUMN($C$1)</f>
        <v>3</v>
      </c>
      <c r="G11327" s="20" t="n">
        <f aca="false">COLUMN()-COLUMN($C$1)</f>
        <v>4</v>
      </c>
      <c r="H11327" s="20" t="n">
        <f aca="false">COLUMN()-COLUMN($C$1)</f>
        <v>5</v>
      </c>
      <c r="I11327" s="20" t="n">
        <f aca="false">COLUMN()-COLUMN($C$1)</f>
        <v>6</v>
      </c>
    </row>
    <row r="11328" customFormat="false" ht="15" hidden="false" customHeight="false" outlineLevel="0" collapsed="false">
      <c r="A11328" s="3" t="s">
        <v>537</v>
      </c>
      <c r="D11328" s="31" t="n">
        <f aca="false">CHOOSE($C$11255,G11068,G11081,G11094)</f>
        <v>0.105</v>
      </c>
      <c r="E11328" s="31" t="n">
        <f aca="false">CHOOSE($C$11255,H11068,H11081,H11094)</f>
        <v>0.105</v>
      </c>
      <c r="F11328" s="31" t="n">
        <f aca="false">CHOOSE($C$11255,I11068,I11081,I11094)</f>
        <v>0.105</v>
      </c>
      <c r="G11328" s="31" t="n">
        <f aca="false">CHOOSE($C$11255,J11068,J11081,J11094)</f>
        <v>0.105</v>
      </c>
      <c r="H11328" s="31" t="n">
        <f aca="false">CHOOSE($C$11255,K11068,K11081,K11094)</f>
        <v>0.105</v>
      </c>
    </row>
    <row r="11329" customFormat="false" ht="15" hidden="false" customHeight="false" outlineLevel="0" collapsed="false">
      <c r="A11329" s="3" t="s">
        <v>538</v>
      </c>
      <c r="D11329" s="25" t="n">
        <f aca="false">IF(D11327&lt;=$C$11264,$C$11256*D11328,0)</f>
        <v>10.5</v>
      </c>
      <c r="E11329" s="25" t="n">
        <f aca="false">IF(E11327&lt;=$C$11264,$C$11256*E11328,0)</f>
        <v>10.5</v>
      </c>
      <c r="F11329" s="25" t="n">
        <f aca="false">IF(F11327&lt;=$C$11264,$C$11256*F11328,0)</f>
        <v>10.5</v>
      </c>
      <c r="G11329" s="25" t="n">
        <f aca="false">IF(G11327&lt;=$C$11264,$C$11256*G11328,0)</f>
        <v>0</v>
      </c>
      <c r="H11329" s="25" t="n">
        <f aca="false">IF(H11327&lt;=$C$11264,$C$11256*H11328,0)</f>
        <v>0</v>
      </c>
    </row>
    <row r="11330" customFormat="false" ht="15" hidden="false" customHeight="false" outlineLevel="0" collapsed="false">
      <c r="A11330" s="3" t="s">
        <v>539</v>
      </c>
      <c r="D11330" s="25" t="n">
        <f aca="false">IF(AND($C$11185=0,D11327=$C$11259),$C$11256*$C$11324/100,0)+IF(AND($C$11185=1,D11327=$C$11325),$C$11262,0)</f>
        <v>0</v>
      </c>
      <c r="E11330" s="25" t="n">
        <f aca="false">IF(AND($C$11185=0,E11327=$C$11259),$C$11256*$C$11324/100,0)+IF(AND($C$11185=1,E11327=$C$11325),$C$11262,0)</f>
        <v>0</v>
      </c>
      <c r="F11330" s="25" t="n">
        <f aca="false">IF(AND($C$11185=0,F11327=$C$11259),$C$11256*$C$11324/100,0)+IF(AND($C$11185=1,F11327=$C$11325),$C$11262,0)</f>
        <v>100</v>
      </c>
      <c r="G11330" s="25" t="n">
        <f aca="false">IF(AND($C$11185=0,G11327=$C$11259),$C$11256*$C$11324/100,0)+IF(AND($C$11185=1,G11327=$C$11325),$C$11262,0)</f>
        <v>0</v>
      </c>
      <c r="H11330" s="25" t="n">
        <f aca="false">IF(AND($C$11185=0,H11327=$C$11259),$C$11256*$C$11324/100,0)+IF(AND($C$11185=1,H11327=$C$11325),$C$11262,0)</f>
        <v>0</v>
      </c>
      <c r="I11330" s="25" t="n">
        <f aca="false">IF(AND($C$11185=0,I11327=$C$11259),$C$11256*$C$11324/100,0)+IF(AND($C$11185=1,I11327=$C$11325),$C$11262,0)</f>
        <v>0</v>
      </c>
    </row>
    <row r="11331" customFormat="false" ht="15" hidden="false" customHeight="false" outlineLevel="0" collapsed="false">
      <c r="A11331" s="2" t="s">
        <v>540</v>
      </c>
      <c r="C11331" s="16" t="n">
        <f aca="false">-$C$11258</f>
        <v>-95</v>
      </c>
      <c r="D11331" s="16" t="n">
        <f aca="false">D11329+D11330</f>
        <v>10.5</v>
      </c>
      <c r="E11331" s="16" t="n">
        <f aca="false">E11329+E11330</f>
        <v>10.5</v>
      </c>
      <c r="F11331" s="16" t="n">
        <f aca="false">F11329+F11330</f>
        <v>110.5</v>
      </c>
      <c r="G11331" s="16" t="n">
        <f aca="false">G11329+G11330</f>
        <v>0</v>
      </c>
      <c r="H11331" s="16" t="n">
        <f aca="false">H11329+H11330</f>
        <v>0</v>
      </c>
      <c r="I11331" s="16" t="n">
        <f aca="false">I11329+I11330</f>
        <v>0</v>
      </c>
    </row>
    <row r="11332" customFormat="false" ht="15" hidden="false" customHeight="false" outlineLevel="0" collapsed="false">
      <c r="A11332" s="3" t="s">
        <v>541</v>
      </c>
      <c r="C11332" s="25" t="n">
        <f aca="false">SUM($C$11329:$I$11329)</f>
        <v>31.5</v>
      </c>
    </row>
    <row r="11333" customFormat="false" ht="15" hidden="false" customHeight="false" outlineLevel="0" collapsed="false">
      <c r="A11333" s="3" t="s">
        <v>542</v>
      </c>
      <c r="C11333" s="25" t="n">
        <f aca="false">SUM($C$11330:$I$11330)</f>
        <v>100</v>
      </c>
    </row>
    <row r="11334" customFormat="false" ht="15" hidden="false" customHeight="false" outlineLevel="0" collapsed="false">
      <c r="A11334" s="3" t="s">
        <v>543</v>
      </c>
      <c r="C11334" s="25" t="n">
        <f aca="false">C11332+C11333</f>
        <v>131.5</v>
      </c>
    </row>
    <row r="11335" customFormat="false" ht="15" hidden="false" customHeight="false" outlineLevel="0" collapsed="false">
      <c r="A11335" s="3" t="s">
        <v>544</v>
      </c>
      <c r="C11335" s="25" t="n">
        <f aca="false">C11333-C11256*C11257/100</f>
        <v>5</v>
      </c>
    </row>
    <row r="11336" customFormat="false" ht="15" hidden="false" customHeight="false" outlineLevel="0" collapsed="false">
      <c r="A11336" s="3" t="s">
        <v>545</v>
      </c>
      <c r="C11336" s="25" t="n">
        <f aca="false">C11334-C11258</f>
        <v>36.5</v>
      </c>
    </row>
    <row r="11337" customFormat="false" ht="15" hidden="false" customHeight="false" outlineLevel="0" collapsed="false">
      <c r="A11337" s="2" t="s">
        <v>427</v>
      </c>
      <c r="C11337" s="44" t="n">
        <f aca="false">C11334/C11258</f>
        <v>1.38421052631579</v>
      </c>
    </row>
    <row r="11338" customFormat="false" ht="15" hidden="false" customHeight="false" outlineLevel="0" collapsed="false">
      <c r="A11338" s="2" t="s">
        <v>426</v>
      </c>
      <c r="C11338" s="42" t="n">
        <f aca="false">IF(C11334&lt;=0,-1,IFERROR(IRR($C$11331:$I$11331,MAX(-0.9,C11337^(1/C11325)-1)),IRR($C$11331:$I$11331,0.1)))</f>
        <v>0.126033624615204</v>
      </c>
    </row>
    <row r="11339" customFormat="false" ht="15" hidden="false" customHeight="false" outlineLevel="0" collapsed="false">
      <c r="A11339" s="3" t="s">
        <v>546</v>
      </c>
      <c r="C11339" s="32" t="n">
        <f aca="false">MAX($G$11145:$K$11145)</f>
        <v>3.81499621093561</v>
      </c>
    </row>
    <row r="11340" customFormat="false" ht="15" hidden="false" customHeight="false" outlineLevel="0" collapsed="false">
      <c r="A11340" s="3" t="s">
        <v>547</v>
      </c>
      <c r="C11340" s="32" t="n">
        <f aca="false">MIN($G$11146:$K$11146)</f>
        <v>1.75842750947116</v>
      </c>
    </row>
    <row r="11341" customFormat="false" ht="15" hidden="false" customHeight="false" outlineLevel="0" collapsed="false">
      <c r="A11341" s="3" t="s">
        <v>548</v>
      </c>
      <c r="C11341" s="25" t="n">
        <f aca="false">SUM($G$11052:$K$11052)</f>
        <v>555.588348849095</v>
      </c>
    </row>
    <row r="11345" customFormat="false" ht="15" hidden="false" customHeight="false" outlineLevel="0" collapsed="false">
      <c r="A11345" s="9" t="s">
        <v>1049</v>
      </c>
      <c r="B11345" s="10"/>
      <c r="C11345" s="10"/>
      <c r="D11345" s="10"/>
      <c r="E11345" s="10"/>
      <c r="F11345" s="10"/>
      <c r="G11345" s="10"/>
      <c r="H11345" s="10"/>
      <c r="I11345" s="10"/>
      <c r="J11345" s="10"/>
      <c r="K11345" s="10"/>
    </row>
    <row r="11346" customFormat="false" ht="15" hidden="false" customHeight="false" outlineLevel="0" collapsed="false">
      <c r="A11346" s="3" t="s">
        <v>1010</v>
      </c>
      <c r="C11346" s="11" t="n">
        <v>1</v>
      </c>
    </row>
    <row r="11347" customFormat="false" ht="15" hidden="false" customHeight="false" outlineLevel="0" collapsed="false">
      <c r="A11347" s="3" t="s">
        <v>1011</v>
      </c>
      <c r="C11347" s="18" t="n">
        <v>0</v>
      </c>
    </row>
    <row r="11348" customFormat="false" ht="15" hidden="false" customHeight="false" outlineLevel="0" collapsed="false">
      <c r="A11348" s="3" t="s">
        <v>1012</v>
      </c>
      <c r="C11348" s="18" t="n">
        <v>0</v>
      </c>
    </row>
    <row r="11349" customFormat="false" ht="15" hidden="false" customHeight="false" outlineLevel="0" collapsed="false">
      <c r="A11349" s="3" t="s">
        <v>1013</v>
      </c>
      <c r="C11349" s="30" t="n">
        <f aca="false">Sensitivities!$A$52</f>
        <v>0</v>
      </c>
    </row>
    <row r="11350" customFormat="false" ht="15" hidden="false" customHeight="false" outlineLevel="0" collapsed="false">
      <c r="A11350" s="3" t="s">
        <v>1014</v>
      </c>
      <c r="C11350" s="15" t="n">
        <v>0</v>
      </c>
    </row>
    <row r="11352" customFormat="false" ht="15" hidden="false" customHeight="false" outlineLevel="0" collapsed="false">
      <c r="A11352" s="23" t="s">
        <v>281</v>
      </c>
      <c r="B11352" s="24"/>
      <c r="C11352" s="24"/>
      <c r="D11352" s="24"/>
      <c r="E11352" s="24"/>
      <c r="F11352" s="24"/>
      <c r="G11352" s="24"/>
      <c r="H11352" s="24"/>
      <c r="I11352" s="24"/>
      <c r="J11352" s="24"/>
      <c r="K11352" s="24"/>
    </row>
    <row r="11353" customFormat="false" ht="15" hidden="false" customHeight="false" outlineLevel="0" collapsed="false">
      <c r="A11353" s="3" t="s">
        <v>282</v>
      </c>
      <c r="F11353" s="27" t="n">
        <f aca="false">Assumptions!$C$6</f>
        <v>2026</v>
      </c>
      <c r="G11353" s="20" t="n">
        <f aca="false">F11353+1</f>
        <v>2027</v>
      </c>
      <c r="H11353" s="20" t="n">
        <f aca="false">G11353+1</f>
        <v>2028</v>
      </c>
      <c r="I11353" s="20" t="n">
        <f aca="false">H11353+1</f>
        <v>2029</v>
      </c>
      <c r="J11353" s="20" t="n">
        <f aca="false">I11353+1</f>
        <v>2030</v>
      </c>
      <c r="K11353" s="20" t="n">
        <f aca="false">J11353+1</f>
        <v>2031</v>
      </c>
    </row>
    <row r="11354" customFormat="false" ht="15" hidden="false" customHeight="false" outlineLevel="0" collapsed="false">
      <c r="A11354" s="3" t="s">
        <v>283</v>
      </c>
      <c r="G11354" s="20" t="n">
        <f aca="false">G11353-Assumptions!$C$6</f>
        <v>1</v>
      </c>
      <c r="H11354" s="20" t="n">
        <f aca="false">H11353-Assumptions!$C$6</f>
        <v>2</v>
      </c>
      <c r="I11354" s="20" t="n">
        <f aca="false">I11353-Assumptions!$C$6</f>
        <v>3</v>
      </c>
      <c r="J11354" s="20" t="n">
        <f aca="false">J11353-Assumptions!$C$6</f>
        <v>4</v>
      </c>
      <c r="K11354" s="20" t="n">
        <f aca="false">K11353-Assumptions!$C$6</f>
        <v>5</v>
      </c>
    </row>
    <row r="11355" customFormat="false" ht="15" hidden="false" customHeight="false" outlineLevel="0" collapsed="false">
      <c r="A11355" s="3" t="s">
        <v>165</v>
      </c>
      <c r="G11355" s="21" t="n">
        <f aca="false">CHOOSE($C$11346,Assumptions!$G$71,Assumptions!$G$90,Assumptions!$G$109)+$C$11347</f>
        <v>-0.045</v>
      </c>
      <c r="H11355" s="21" t="n">
        <f aca="false">CHOOSE($C$11346,Assumptions!$H$71,Assumptions!$H$90,Assumptions!$H$109)+$C$11347</f>
        <v>-0.04</v>
      </c>
      <c r="I11355" s="21" t="n">
        <f aca="false">CHOOSE($C$11346,Assumptions!$I$71,Assumptions!$I$90,Assumptions!$I$109)+$C$11347</f>
        <v>-0.035</v>
      </c>
      <c r="J11355" s="21" t="n">
        <f aca="false">CHOOSE($C$11346,Assumptions!$J$71,Assumptions!$J$90,Assumptions!$J$109)+$C$11347</f>
        <v>-0.03</v>
      </c>
      <c r="K11355" s="21" t="n">
        <f aca="false">CHOOSE($C$11346,Assumptions!$K$71,Assumptions!$K$90,Assumptions!$K$109)+$C$11347</f>
        <v>-0.03</v>
      </c>
    </row>
    <row r="11356" customFormat="false" ht="15" hidden="false" customHeight="false" outlineLevel="0" collapsed="false">
      <c r="A11356" s="3" t="s">
        <v>166</v>
      </c>
      <c r="G11356" s="21" t="n">
        <f aca="false">CHOOSE($C$11346,Assumptions!$G$72,Assumptions!$G$91,Assumptions!$G$110)</f>
        <v>0.483246670103635</v>
      </c>
      <c r="H11356" s="21" t="n">
        <f aca="false">CHOOSE($C$11346,Assumptions!$H$72,Assumptions!$H$91,Assumptions!$H$110)</f>
        <v>0.483246670103635</v>
      </c>
      <c r="I11356" s="21" t="n">
        <f aca="false">CHOOSE($C$11346,Assumptions!$I$72,Assumptions!$I$91,Assumptions!$I$110)</f>
        <v>0.481246670103635</v>
      </c>
      <c r="J11356" s="21" t="n">
        <f aca="false">CHOOSE($C$11346,Assumptions!$J$72,Assumptions!$J$91,Assumptions!$J$110)</f>
        <v>0.479246670103635</v>
      </c>
      <c r="K11356" s="21" t="n">
        <f aca="false">CHOOSE($C$11346,Assumptions!$K$72,Assumptions!$K$91,Assumptions!$K$110)</f>
        <v>0.477246670103635</v>
      </c>
    </row>
    <row r="11357" customFormat="false" ht="15" hidden="false" customHeight="false" outlineLevel="0" collapsed="false">
      <c r="A11357" s="3" t="s">
        <v>167</v>
      </c>
      <c r="G11357" s="21" t="n">
        <f aca="false">CHOOSE($C$11346,Assumptions!$G$73,Assumptions!$G$92,Assumptions!$G$111)+$C$11348</f>
        <v>0.14</v>
      </c>
      <c r="H11357" s="21" t="n">
        <f aca="false">CHOOSE($C$11346,Assumptions!$H$73,Assumptions!$H$92,Assumptions!$H$111)+$C$11348</f>
        <v>0.14</v>
      </c>
      <c r="I11357" s="21" t="n">
        <f aca="false">CHOOSE($C$11346,Assumptions!$I$73,Assumptions!$I$92,Assumptions!$I$111)+$C$11348</f>
        <v>0.138</v>
      </c>
      <c r="J11357" s="21" t="n">
        <f aca="false">CHOOSE($C$11346,Assumptions!$J$73,Assumptions!$J$92,Assumptions!$J$111)+$C$11348</f>
        <v>0.136</v>
      </c>
      <c r="K11357" s="21" t="n">
        <f aca="false">CHOOSE($C$11346,Assumptions!$K$73,Assumptions!$K$92,Assumptions!$K$111)+$C$11348</f>
        <v>0.134</v>
      </c>
    </row>
    <row r="11358" customFormat="false" ht="15" hidden="false" customHeight="false" outlineLevel="0" collapsed="false">
      <c r="A11358" s="23" t="s">
        <v>284</v>
      </c>
      <c r="B11358" s="24"/>
      <c r="C11358" s="24"/>
      <c r="D11358" s="24"/>
      <c r="E11358" s="24"/>
      <c r="F11358" s="24"/>
      <c r="G11358" s="24"/>
      <c r="H11358" s="24"/>
      <c r="I11358" s="24"/>
      <c r="J11358" s="24"/>
      <c r="K11358" s="24"/>
    </row>
    <row r="11359" customFormat="false" ht="15" hidden="false" customHeight="false" outlineLevel="0" collapsed="false">
      <c r="A11359" s="2" t="s">
        <v>256</v>
      </c>
      <c r="F11359" s="28" t="n">
        <f aca="false">'Historical Financials'!G23</f>
        <v>2246.166</v>
      </c>
      <c r="G11359" s="16" t="n">
        <f aca="false">F11359*(1+G11355)</f>
        <v>2145.08853</v>
      </c>
      <c r="H11359" s="16" t="n">
        <f aca="false">G11359*(1+H11355)</f>
        <v>2059.2849888</v>
      </c>
      <c r="I11359" s="16" t="n">
        <f aca="false">H11359*(1+I11355)</f>
        <v>1987.210014192</v>
      </c>
      <c r="J11359" s="16" t="n">
        <f aca="false">I11359*(1+J11355)</f>
        <v>1927.59371376624</v>
      </c>
      <c r="K11359" s="16" t="n">
        <f aca="false">J11359*(1+K11355)</f>
        <v>1869.76590235325</v>
      </c>
    </row>
    <row r="11360" customFormat="false" ht="15" hidden="false" customHeight="false" outlineLevel="0" collapsed="false">
      <c r="A11360" s="3" t="s">
        <v>257</v>
      </c>
      <c r="G11360" s="25" t="n">
        <f aca="false">G11359*(1-G11356)</f>
        <v>1108.4816408</v>
      </c>
      <c r="H11360" s="25" t="n">
        <f aca="false">H11359*(1-H11356)</f>
        <v>1064.142375168</v>
      </c>
      <c r="I11360" s="25" t="n">
        <f aca="false">I11359*(1-I11356)</f>
        <v>1030.8718120655</v>
      </c>
      <c r="J11360" s="25" t="n">
        <f aca="false">J11359*(1-J11356)</f>
        <v>1003.80084513107</v>
      </c>
      <c r="K11360" s="25" t="n">
        <f aca="false">K11359*(1-K11356)</f>
        <v>977.426351581845</v>
      </c>
    </row>
    <row r="11361" customFormat="false" ht="15" hidden="false" customHeight="false" outlineLevel="0" collapsed="false">
      <c r="A11361" s="2" t="s">
        <v>258</v>
      </c>
      <c r="G11361" s="16" t="n">
        <f aca="false">G11359-G11360</f>
        <v>1036.6068892</v>
      </c>
      <c r="H11361" s="16" t="n">
        <f aca="false">H11359-H11360</f>
        <v>995.142613632</v>
      </c>
      <c r="I11361" s="16" t="n">
        <f aca="false">I11359-I11360</f>
        <v>956.338202126496</v>
      </c>
      <c r="J11361" s="16" t="n">
        <f aca="false">J11359-J11360</f>
        <v>923.792868635169</v>
      </c>
      <c r="K11361" s="16" t="n">
        <f aca="false">K11359-K11360</f>
        <v>892.339550771407</v>
      </c>
    </row>
    <row r="11362" customFormat="false" ht="15" hidden="false" customHeight="false" outlineLevel="0" collapsed="false">
      <c r="A11362" s="3" t="s">
        <v>285</v>
      </c>
      <c r="G11362" s="25" t="n">
        <f aca="false">G11361-G11363</f>
        <v>736.294495</v>
      </c>
      <c r="H11362" s="25" t="n">
        <f aca="false">H11361-H11363</f>
        <v>706.8427152</v>
      </c>
      <c r="I11362" s="25" t="n">
        <f aca="false">I11361-I11363</f>
        <v>682.103220168</v>
      </c>
      <c r="J11362" s="25" t="n">
        <f aca="false">J11361-J11363</f>
        <v>661.64012356296</v>
      </c>
      <c r="K11362" s="25" t="n">
        <f aca="false">K11361-K11363</f>
        <v>641.790919856071</v>
      </c>
    </row>
    <row r="11363" customFormat="false" ht="15" hidden="false" customHeight="false" outlineLevel="0" collapsed="false">
      <c r="A11363" s="2" t="s">
        <v>286</v>
      </c>
      <c r="G11363" s="16" t="n">
        <f aca="false">G11359*G11357</f>
        <v>300.3123942</v>
      </c>
      <c r="H11363" s="16" t="n">
        <f aca="false">H11359*H11357</f>
        <v>288.299898432</v>
      </c>
      <c r="I11363" s="16" t="n">
        <f aca="false">I11359*I11357</f>
        <v>274.234981958496</v>
      </c>
      <c r="J11363" s="16" t="n">
        <f aca="false">J11359*J11357</f>
        <v>262.152745072209</v>
      </c>
      <c r="K11363" s="16" t="n">
        <f aca="false">K11359*K11357</f>
        <v>250.548630915336</v>
      </c>
    </row>
    <row r="11364" customFormat="false" ht="15" hidden="false" customHeight="false" outlineLevel="0" collapsed="false">
      <c r="A11364" s="3" t="s">
        <v>287</v>
      </c>
      <c r="G11364" s="25" t="n">
        <f aca="false">G11359*'Historical Financials'!G28/'Historical Financials'!G23</f>
        <v>81.45768</v>
      </c>
      <c r="H11364" s="25" t="n">
        <f aca="false">H11359*'Historical Financials'!G28/'Historical Financials'!G23</f>
        <v>78.1993728</v>
      </c>
      <c r="I11364" s="25" t="n">
        <f aca="false">I11359*'Historical Financials'!G28/'Historical Financials'!G23</f>
        <v>75.462394752</v>
      </c>
      <c r="J11364" s="25" t="n">
        <f aca="false">J11359*'Historical Financials'!G28/'Historical Financials'!G23</f>
        <v>73.19852290944</v>
      </c>
      <c r="K11364" s="25" t="n">
        <f aca="false">K11359*'Historical Financials'!G28/'Historical Financials'!G23</f>
        <v>71.0025672221568</v>
      </c>
    </row>
    <row r="11365" customFormat="false" ht="15" hidden="false" customHeight="false" outlineLevel="0" collapsed="false">
      <c r="A11365" s="3" t="s">
        <v>288</v>
      </c>
      <c r="G11365" s="25" t="n">
        <f aca="false">G11359*'Historical Financials'!G29/'Historical Financials'!G23</f>
        <v>23.25998</v>
      </c>
      <c r="H11365" s="25" t="n">
        <f aca="false">H11359*'Historical Financials'!G29/'Historical Financials'!G23</f>
        <v>22.3295808</v>
      </c>
      <c r="I11365" s="25" t="n">
        <f aca="false">I11359*'Historical Financials'!G29/'Historical Financials'!G23</f>
        <v>21.548045472</v>
      </c>
      <c r="J11365" s="25" t="n">
        <f aca="false">J11359*'Historical Financials'!G29/'Historical Financials'!G23</f>
        <v>20.90160410784</v>
      </c>
      <c r="K11365" s="25" t="n">
        <f aca="false">K11359*'Historical Financials'!G29/'Historical Financials'!G23</f>
        <v>20.2745559846048</v>
      </c>
    </row>
    <row r="11366" customFormat="false" ht="15" hidden="false" customHeight="false" outlineLevel="0" collapsed="false">
      <c r="A11366" s="2" t="s">
        <v>289</v>
      </c>
      <c r="G11366" s="16" t="n">
        <f aca="false">G11363-G11364-G11365</f>
        <v>195.5947342</v>
      </c>
      <c r="H11366" s="16" t="n">
        <f aca="false">H11363-H11364-H11365</f>
        <v>187.770944832</v>
      </c>
      <c r="I11366" s="16" t="n">
        <f aca="false">I11363-I11364-I11365</f>
        <v>177.224541734496</v>
      </c>
      <c r="J11366" s="16" t="n">
        <f aca="false">J11363-J11364-J11365</f>
        <v>168.052618054929</v>
      </c>
      <c r="K11366" s="16" t="n">
        <f aca="false">K11363-K11364-K11365</f>
        <v>159.271507708574</v>
      </c>
    </row>
    <row r="11367" customFormat="false" ht="15" hidden="false" customHeight="false" outlineLevel="0" collapsed="false">
      <c r="A11367" s="3" t="s">
        <v>290</v>
      </c>
      <c r="G11367" s="25" t="n">
        <f aca="false">G11393+G11406+G11419</f>
        <v>155.95467</v>
      </c>
      <c r="H11367" s="25" t="n">
        <f aca="false">H11393+H11406+H11419</f>
        <v>155.95467</v>
      </c>
      <c r="I11367" s="25" t="n">
        <f aca="false">I11393+I11406+I11419</f>
        <v>155.95467</v>
      </c>
      <c r="J11367" s="25" t="n">
        <f aca="false">J11393+J11406+J11419</f>
        <v>138.08529</v>
      </c>
      <c r="K11367" s="25" t="n">
        <f aca="false">K11393+K11406+K11419</f>
        <v>138.08529</v>
      </c>
    </row>
    <row r="11368" customFormat="false" ht="15" hidden="false" customHeight="false" outlineLevel="0" collapsed="false">
      <c r="A11368" s="3" t="s">
        <v>291</v>
      </c>
      <c r="G11368" s="25" t="n">
        <f aca="false">G11394+G11407+G11420</f>
        <v>0</v>
      </c>
      <c r="H11368" s="25" t="n">
        <f aca="false">H11394+H11407+H11420</f>
        <v>0</v>
      </c>
      <c r="I11368" s="25" t="n">
        <f aca="false">I11394+I11407+I11420</f>
        <v>0</v>
      </c>
      <c r="J11368" s="25" t="n">
        <f aca="false">J11394+J11407+J11420</f>
        <v>0</v>
      </c>
      <c r="K11368" s="25" t="n">
        <f aca="false">K11394+K11407+K11420</f>
        <v>0</v>
      </c>
    </row>
    <row r="11369" customFormat="false" ht="15" hidden="false" customHeight="false" outlineLevel="0" collapsed="false">
      <c r="A11369" s="3" t="s">
        <v>239</v>
      </c>
      <c r="G11369" s="25" t="n">
        <f aca="false">G11367+G11368</f>
        <v>155.95467</v>
      </c>
      <c r="H11369" s="25" t="n">
        <f aca="false">H11367+H11368</f>
        <v>155.95467</v>
      </c>
      <c r="I11369" s="25" t="n">
        <f aca="false">I11367+I11368</f>
        <v>155.95467</v>
      </c>
      <c r="J11369" s="25" t="n">
        <f aca="false">J11367+J11368</f>
        <v>138.08529</v>
      </c>
      <c r="K11369" s="25" t="n">
        <f aca="false">K11367+K11368</f>
        <v>138.08529</v>
      </c>
    </row>
    <row r="11370" customFormat="false" ht="15" hidden="false" customHeight="false" outlineLevel="0" collapsed="false">
      <c r="A11370" s="2" t="s">
        <v>264</v>
      </c>
      <c r="G11370" s="16" t="n">
        <f aca="false">G11366-G11369</f>
        <v>39.6400642</v>
      </c>
      <c r="H11370" s="16" t="n">
        <f aca="false">H11366-H11369</f>
        <v>31.816274832</v>
      </c>
      <c r="I11370" s="16" t="n">
        <f aca="false">I11366-I11369</f>
        <v>21.269871734496</v>
      </c>
      <c r="J11370" s="16" t="n">
        <f aca="false">J11366-J11369</f>
        <v>29.9673280549286</v>
      </c>
      <c r="K11370" s="16" t="n">
        <f aca="false">K11366-K11369</f>
        <v>21.1862177085742</v>
      </c>
    </row>
    <row r="11371" customFormat="false" ht="15" hidden="false" customHeight="false" outlineLevel="0" collapsed="false">
      <c r="A11371" s="3" t="s">
        <v>292</v>
      </c>
      <c r="G11371" s="25" t="n">
        <f aca="false">MAX(0,G11370)*Assumptions!$C$9</f>
        <v>9.91001604999999</v>
      </c>
      <c r="H11371" s="25" t="n">
        <f aca="false">MAX(0,H11370)*Assumptions!$C$9</f>
        <v>7.95406870799999</v>
      </c>
      <c r="I11371" s="25" t="n">
        <f aca="false">MAX(0,I11370)*Assumptions!$C$9</f>
        <v>5.317467933624</v>
      </c>
      <c r="J11371" s="25" t="n">
        <f aca="false">MAX(0,J11370)*Assumptions!$C$9</f>
        <v>7.49183201373215</v>
      </c>
      <c r="K11371" s="25" t="n">
        <f aca="false">MAX(0,K11370)*Assumptions!$C$9</f>
        <v>5.29655442714356</v>
      </c>
    </row>
    <row r="11372" customFormat="false" ht="15" hidden="false" customHeight="false" outlineLevel="0" collapsed="false">
      <c r="A11372" s="2" t="s">
        <v>293</v>
      </c>
      <c r="G11372" s="16" t="n">
        <f aca="false">G11370-G11371</f>
        <v>29.73004815</v>
      </c>
      <c r="H11372" s="16" t="n">
        <f aca="false">H11370-H11371</f>
        <v>23.862206124</v>
      </c>
      <c r="I11372" s="16" t="n">
        <f aca="false">I11370-I11371</f>
        <v>15.952403800872</v>
      </c>
      <c r="J11372" s="16" t="n">
        <f aca="false">J11370-J11371</f>
        <v>22.4754960411965</v>
      </c>
      <c r="K11372" s="16" t="n">
        <f aca="false">K11370-K11371</f>
        <v>15.8896632814307</v>
      </c>
    </row>
    <row r="11373" customFormat="false" ht="15" hidden="false" customHeight="false" outlineLevel="0" collapsed="false">
      <c r="A11373" s="23" t="s">
        <v>294</v>
      </c>
      <c r="B11373" s="24"/>
      <c r="C11373" s="24"/>
      <c r="D11373" s="24"/>
      <c r="E11373" s="24"/>
      <c r="F11373" s="24"/>
      <c r="G11373" s="24"/>
      <c r="H11373" s="24"/>
      <c r="I11373" s="24"/>
      <c r="J11373" s="24"/>
      <c r="K11373" s="24"/>
    </row>
    <row r="11374" customFormat="false" ht="15" hidden="false" customHeight="false" outlineLevel="0" collapsed="false">
      <c r="A11374" s="3" t="s">
        <v>169</v>
      </c>
      <c r="G11374" s="25" t="n">
        <f aca="false">G11359*CHOOSE($C$11346,Assumptions!$C$75,Assumptions!$C$94,Assumptions!$C$113)</f>
        <v>30.03123942</v>
      </c>
      <c r="H11374" s="25" t="n">
        <f aca="false">H11359*CHOOSE($C$11346,Assumptions!$C$75,Assumptions!$C$94,Assumptions!$C$113)</f>
        <v>28.8299898432</v>
      </c>
      <c r="I11374" s="25" t="n">
        <f aca="false">I11359*CHOOSE($C$11346,Assumptions!$C$75,Assumptions!$C$94,Assumptions!$C$113)</f>
        <v>27.820940198688</v>
      </c>
      <c r="J11374" s="25" t="n">
        <f aca="false">J11359*CHOOSE($C$11346,Assumptions!$C$75,Assumptions!$C$94,Assumptions!$C$113)</f>
        <v>26.9863119927274</v>
      </c>
      <c r="K11374" s="25" t="n">
        <f aca="false">K11359*CHOOSE($C$11346,Assumptions!$C$75,Assumptions!$C$94,Assumptions!$C$113)</f>
        <v>26.1767226329455</v>
      </c>
    </row>
    <row r="11375" customFormat="false" ht="15" hidden="false" customHeight="false" outlineLevel="0" collapsed="false">
      <c r="A11375" s="3" t="s">
        <v>295</v>
      </c>
      <c r="G11375" s="25" t="n">
        <f aca="false">CHOOSE($C$11346,Assumptions!$C$76,Assumptions!$C$95,Assumptions!$C$114)*(G11359-F11359)+CHOOSE($C$11346,Assumptions!$C$77,Assumptions!$C$96,Assumptions!$C$115)*G11359</f>
        <v>-21.4508853</v>
      </c>
      <c r="H11375" s="25" t="n">
        <f aca="false">CHOOSE($C$11346,Assumptions!$C$76,Assumptions!$C$95,Assumptions!$C$114)*(H11359-G11359)+CHOOSE($C$11346,Assumptions!$C$77,Assumptions!$C$96,Assumptions!$C$115)*H11359</f>
        <v>-20.592849888</v>
      </c>
      <c r="I11375" s="25" t="n">
        <f aca="false">CHOOSE($C$11346,Assumptions!$C$76,Assumptions!$C$95,Assumptions!$C$114)*(I11359-H11359)+CHOOSE($C$11346,Assumptions!$C$77,Assumptions!$C$96,Assumptions!$C$115)*I11359</f>
        <v>-19.87210014192</v>
      </c>
      <c r="J11375" s="25" t="n">
        <f aca="false">CHOOSE($C$11346,Assumptions!$C$76,Assumptions!$C$95,Assumptions!$C$114)*(J11359-I11359)+CHOOSE($C$11346,Assumptions!$C$77,Assumptions!$C$96,Assumptions!$C$115)*J11359</f>
        <v>-19.2759371376624</v>
      </c>
      <c r="K11375" s="25" t="n">
        <f aca="false">CHOOSE($C$11346,Assumptions!$C$76,Assumptions!$C$95,Assumptions!$C$114)*(K11359-J11359)+CHOOSE($C$11346,Assumptions!$C$77,Assumptions!$C$96,Assumptions!$C$115)*K11359</f>
        <v>-18.6976590235325</v>
      </c>
    </row>
    <row r="11376" customFormat="false" ht="15" hidden="false" customHeight="false" outlineLevel="0" collapsed="false">
      <c r="A11376" s="2" t="s">
        <v>296</v>
      </c>
      <c r="G11376" s="16" t="n">
        <f aca="false">G11372+G11364+G11365+G11368-G11374-G11375</f>
        <v>125.86735403</v>
      </c>
      <c r="H11376" s="16" t="n">
        <f aca="false">H11372+H11364+H11365+H11368-H11374-H11375</f>
        <v>116.1540197688</v>
      </c>
      <c r="I11376" s="16" t="n">
        <f aca="false">I11372+I11364+I11365+I11368-I11374-I11375</f>
        <v>105.014003968104</v>
      </c>
      <c r="J11376" s="16" t="n">
        <f aca="false">J11372+J11364+J11365+J11368-J11374-J11375</f>
        <v>108.865248203412</v>
      </c>
      <c r="K11376" s="16" t="n">
        <f aca="false">K11372+K11364+K11365+K11368-K11374-K11375</f>
        <v>99.6877228787792</v>
      </c>
    </row>
    <row r="11378" customFormat="false" ht="15" hidden="false" customHeight="false" outlineLevel="0" collapsed="false">
      <c r="A11378" s="23" t="s">
        <v>298</v>
      </c>
      <c r="B11378" s="24"/>
      <c r="C11378" s="24"/>
      <c r="D11378" s="24"/>
      <c r="E11378" s="24"/>
      <c r="F11378" s="24"/>
      <c r="G11378" s="24"/>
      <c r="H11378" s="24"/>
      <c r="I11378" s="24"/>
      <c r="J11378" s="24"/>
      <c r="K11378" s="24"/>
    </row>
    <row r="11379" customFormat="false" ht="15" hidden="false" customHeight="false" outlineLevel="0" collapsed="false">
      <c r="A11379" s="3" t="s">
        <v>299</v>
      </c>
      <c r="G11379" s="30" t="n">
        <f aca="false">Assumptions!$G$52</f>
        <v>0.039</v>
      </c>
      <c r="H11379" s="30" t="n">
        <f aca="false">Assumptions!$H$52</f>
        <v>0.0375</v>
      </c>
      <c r="I11379" s="30" t="n">
        <f aca="false">Assumptions!$I$52</f>
        <v>0.035</v>
      </c>
      <c r="J11379" s="30" t="n">
        <f aca="false">Assumptions!$J$52</f>
        <v>0.035</v>
      </c>
      <c r="K11379" s="30" t="n">
        <f aca="false">Assumptions!$K$52</f>
        <v>0.035</v>
      </c>
    </row>
    <row r="11380" customFormat="false" ht="15" hidden="false" customHeight="false" outlineLevel="0" collapsed="false">
      <c r="A11380" s="3" t="s">
        <v>300</v>
      </c>
      <c r="C11380" s="31" t="n">
        <f aca="false">CHOOSE($C$11346,Assumptions!$C$78,Assumptions!$C$97,Assumptions!$C$116)+$C$11349</f>
        <v>0</v>
      </c>
    </row>
    <row r="11381" customFormat="false" ht="15" hidden="false" customHeight="false" outlineLevel="0" collapsed="false">
      <c r="A11381" s="3" t="s">
        <v>301</v>
      </c>
      <c r="C11381" s="31" t="n">
        <f aca="false">CHOOSE($C$11346,Assumptions!$C$79,Assumptions!$C$98,Assumptions!$C$117)</f>
        <v>0.11</v>
      </c>
    </row>
    <row r="11382" customFormat="false" ht="15" hidden="false" customHeight="false" outlineLevel="0" collapsed="false">
      <c r="A11382" s="3" t="s">
        <v>302</v>
      </c>
      <c r="C11382" s="32" t="n">
        <f aca="false">CHOOSE($C$11346,Assumptions!$C$80,Assumptions!$C$99,Assumptions!$C$118)</f>
        <v>6</v>
      </c>
    </row>
    <row r="11383" customFormat="false" ht="15" hidden="false" customHeight="false" outlineLevel="0" collapsed="false">
      <c r="A11383" s="3" t="s">
        <v>303</v>
      </c>
      <c r="C11383" s="32" t="n">
        <f aca="false">CHOOSE($C$11346,Assumptions!$C$81,Assumptions!$C$100,Assumptions!$C$119)</f>
        <v>1.25</v>
      </c>
    </row>
    <row r="11384" customFormat="false" ht="15" hidden="false" customHeight="false" outlineLevel="0" collapsed="false">
      <c r="A11384" s="3" t="s">
        <v>304</v>
      </c>
      <c r="G11384" s="25" t="n">
        <f aca="false">G11389+G11402+G11415</f>
        <v>1735.554</v>
      </c>
      <c r="H11384" s="25" t="n">
        <f aca="false">H11389+H11402+H11415</f>
        <v>1735.554</v>
      </c>
      <c r="I11384" s="25" t="n">
        <f aca="false">I11389+I11402+I11415</f>
        <v>1735.554</v>
      </c>
      <c r="J11384" s="25" t="n">
        <f aca="false">J11389+J11402+J11415</f>
        <v>1315.098</v>
      </c>
      <c r="K11384" s="25" t="n">
        <f aca="false">K11389+K11402+K11415</f>
        <v>1315.098</v>
      </c>
    </row>
    <row r="11385" customFormat="false" ht="15" hidden="false" customHeight="false" outlineLevel="0" collapsed="false">
      <c r="A11385" s="3" t="s">
        <v>305</v>
      </c>
      <c r="G11385" s="25" t="n">
        <f aca="false">F11458</f>
        <v>463.996</v>
      </c>
      <c r="H11385" s="25" t="n">
        <f aca="false">G11458</f>
        <v>589.86335403</v>
      </c>
      <c r="I11385" s="25" t="n">
        <f aca="false">H11458</f>
        <v>706.0173737988</v>
      </c>
      <c r="J11385" s="25" t="n">
        <f aca="false">I11458</f>
        <v>390.575377766904</v>
      </c>
      <c r="K11385" s="25" t="n">
        <f aca="false">J11458</f>
        <v>499.440625970316</v>
      </c>
    </row>
    <row r="11386" customFormat="false" ht="15" hidden="false" customHeight="false" outlineLevel="0" collapsed="false">
      <c r="A11386" s="3" t="s">
        <v>306</v>
      </c>
      <c r="G11386" s="25" t="n">
        <f aca="false">G11389*IF(G11390=1,$C$11381,IF(Assumptions!$I$56=1,MAX(G11379,Assumptions!$G$56)+Assumptions!$F$56+$C$11380,Assumptions!$E$56))+G11402*IF(G11403=1,$C$11381,IF(Assumptions!$I$57=1,MAX(G11379,Assumptions!$G$57)+Assumptions!$F$57+$C$11380,Assumptions!$E$57))+G11415*IF(G11416=1,$C$11381,IF(Assumptions!$I$58=1,MAX(G11379,Assumptions!$G$58)+Assumptions!$F$58+$C$11380,Assumptions!$E$58))</f>
        <v>155.95467</v>
      </c>
      <c r="H11386" s="25" t="n">
        <f aca="false">H11389*IF(OR(H11390=1,G11536=1),$C$11381,IF(Assumptions!$I$56=1,MAX(H11379,Assumptions!$G$56)+Assumptions!$F$56+$C$11380,Assumptions!$E$56))+H11402*IF(OR(H11403=1,G11537=1),$C$11381,IF(Assumptions!$I$57=1,MAX(H11379,Assumptions!$G$57)+Assumptions!$F$57+$C$11380,Assumptions!$E$57))+H11415*IF(OR(H11416=1,G11538=1),$C$11381,IF(Assumptions!$I$58=1,MAX(H11379,Assumptions!$G$58)+Assumptions!$F$58+$C$11380,Assumptions!$E$58))</f>
        <v>155.95467</v>
      </c>
      <c r="I11386" s="25" t="n">
        <f aca="false">I11389*IF(OR(I11390=1,H11536=1),$C$11381,IF(Assumptions!$I$56=1,MAX(I11379,Assumptions!$G$56)+Assumptions!$F$56+$C$11380,Assumptions!$E$56))+I11402*IF(OR(I11403=1,H11537=1),$C$11381,IF(Assumptions!$I$57=1,MAX(I11379,Assumptions!$G$57)+Assumptions!$F$57+$C$11380,Assumptions!$E$57))+I11415*IF(OR(I11416=1,H11538=1),$C$11381,IF(Assumptions!$I$58=1,MAX(I11379,Assumptions!$G$58)+Assumptions!$F$58+$C$11380,Assumptions!$E$58))</f>
        <v>184.33545</v>
      </c>
      <c r="J11386" s="25" t="n">
        <f aca="false">J11389*IF(OR(J11390=1,I11536=1),$C$11381,IF(Assumptions!$I$56=1,MAX(J11379,Assumptions!$G$56)+Assumptions!$F$56+$C$11380,Assumptions!$E$56))+J11402*IF(OR(J11403=1,I11537=1),$C$11381,IF(Assumptions!$I$57=1,MAX(J11379,Assumptions!$G$57)+Assumptions!$F$57+$C$11380,Assumptions!$E$57))+J11415*IF(OR(J11416=1,I11538=1),$C$11381,IF(Assumptions!$I$58=1,MAX(J11379,Assumptions!$G$58)+Assumptions!$F$58+$C$11380,Assumptions!$E$58))</f>
        <v>138.08529</v>
      </c>
      <c r="K11386" s="25" t="n">
        <f aca="false">K11389*IF(OR(K11390=1,J11536=1),$C$11381,IF(Assumptions!$I$56=1,MAX(K11379,Assumptions!$G$56)+Assumptions!$F$56+$C$11380,Assumptions!$E$56))+K11402*IF(OR(K11403=1,J11537=1),$C$11381,IF(Assumptions!$I$57=1,MAX(K11379,Assumptions!$G$57)+Assumptions!$F$57+$C$11380,Assumptions!$E$57))+K11415*IF(OR(K11416=1,J11538=1),$C$11381,IF(Assumptions!$I$58=1,MAX(K11379,Assumptions!$G$58)+Assumptions!$F$58+$C$11380,Assumptions!$E$58))</f>
        <v>138.08529</v>
      </c>
    </row>
    <row r="11387" customFormat="false" ht="15" hidden="false" customHeight="false" outlineLevel="0" collapsed="false">
      <c r="A11387" s="3" t="s">
        <v>307</v>
      </c>
      <c r="G11387" s="20" t="n">
        <f aca="false">IF(G11363&lt;=0,0,IF(AND((G11384-G11385)/G11363&lt;=$C$11382,G11363/G11386&gt;=$C$11383),1,0))</f>
        <v>1</v>
      </c>
      <c r="H11387" s="20" t="n">
        <f aca="false">IF(H11363&lt;=0,0,IF(AND((H11384-H11385)/H11363&lt;=$C$11382,H11363/H11386&gt;=$C$11383),1,0))</f>
        <v>1</v>
      </c>
      <c r="I11387" s="20" t="n">
        <f aca="false">IF(I11363&lt;=0,0,IF(AND((I11384-I11385)/I11363&lt;=$C$11382,I11363/I11386&gt;=$C$11383),1,0))</f>
        <v>1</v>
      </c>
      <c r="J11387" s="20" t="n">
        <f aca="false">IF(J11363&lt;=0,0,IF(AND((J11384-J11385)/J11363&lt;=$C$11382,J11363/J11386&gt;=$C$11383),1,0))</f>
        <v>1</v>
      </c>
      <c r="K11387" s="20" t="n">
        <f aca="false">IF(K11363&lt;=0,0,IF(AND((K11384-K11385)/K11363&lt;=$C$11382,K11363/K11386&gt;=$C$11383),1,0))</f>
        <v>1</v>
      </c>
    </row>
    <row r="11388" customFormat="false" ht="15" hidden="false" customHeight="false" outlineLevel="0" collapsed="false">
      <c r="A11388" s="23" t="s">
        <v>308</v>
      </c>
      <c r="B11388" s="24"/>
      <c r="C11388" s="24"/>
      <c r="D11388" s="24"/>
      <c r="E11388" s="24"/>
      <c r="F11388" s="24"/>
      <c r="G11388" s="24"/>
      <c r="H11388" s="24"/>
      <c r="I11388" s="24"/>
      <c r="J11388" s="24"/>
      <c r="K11388" s="24"/>
    </row>
    <row r="11389" customFormat="false" ht="15" hidden="false" customHeight="false" outlineLevel="0" collapsed="false">
      <c r="A11389" s="3" t="s">
        <v>309</v>
      </c>
      <c r="G11389" s="25" t="n">
        <f aca="false">F11400</f>
        <v>1315.098</v>
      </c>
      <c r="H11389" s="25" t="n">
        <f aca="false">G11400</f>
        <v>1315.098</v>
      </c>
      <c r="I11389" s="25" t="n">
        <f aca="false">H11400</f>
        <v>1315.098</v>
      </c>
      <c r="J11389" s="25" t="n">
        <f aca="false">I11400</f>
        <v>1315.098</v>
      </c>
      <c r="K11389" s="25" t="n">
        <f aca="false">J11400</f>
        <v>1315.098</v>
      </c>
    </row>
    <row r="11390" customFormat="false" ht="15" hidden="false" customHeight="false" outlineLevel="0" collapsed="false">
      <c r="A11390" s="3" t="s">
        <v>310</v>
      </c>
      <c r="G11390" s="20" t="n">
        <f aca="false">IF(G11353=Assumptions!$K$56,1,0)</f>
        <v>0</v>
      </c>
      <c r="H11390" s="20" t="n">
        <f aca="false">IF(H11353=Assumptions!$K$56,1,0)</f>
        <v>0</v>
      </c>
      <c r="I11390" s="20" t="n">
        <f aca="false">IF(I11353=Assumptions!$K$56,1,0)</f>
        <v>0</v>
      </c>
      <c r="J11390" s="20" t="n">
        <f aca="false">IF(J11353=Assumptions!$K$56,1,0)</f>
        <v>0</v>
      </c>
      <c r="K11390" s="20" t="n">
        <f aca="false">IF(K11353=Assumptions!$K$56,1,0)</f>
        <v>0</v>
      </c>
    </row>
    <row r="11392" customFormat="false" ht="15" hidden="false" customHeight="false" outlineLevel="0" collapsed="false">
      <c r="A11392" s="3" t="s">
        <v>311</v>
      </c>
      <c r="G11392" s="31" t="n">
        <f aca="false">IF(Assumptions!$I$56=1,MAX(G11379,Assumptions!$G$56)+Assumptions!$F$56+$C$11380,Assumptions!$E$56)</f>
        <v>0.105</v>
      </c>
      <c r="H11392" s="31" t="n">
        <f aca="false">IF(G11536=1,$C$11381,IF(Assumptions!$I$56=1,MAX(H11379,Assumptions!$G$56)+Assumptions!$F$56+$C$11380,Assumptions!$E$56))</f>
        <v>0.105</v>
      </c>
      <c r="I11392" s="31" t="n">
        <f aca="false">IF(H11536=1,$C$11381,IF(Assumptions!$I$56=1,MAX(I11379,Assumptions!$G$56)+Assumptions!$F$56+$C$11380,Assumptions!$E$56))</f>
        <v>0.105</v>
      </c>
      <c r="J11392" s="31" t="n">
        <f aca="false">IF(I11536=1,$C$11381,IF(Assumptions!$I$56=1,MAX(J11379,Assumptions!$G$56)+Assumptions!$F$56+$C$11380,Assumptions!$E$56))</f>
        <v>0.105</v>
      </c>
      <c r="K11392" s="31" t="n">
        <f aca="false">IF(J11536=1,$C$11381,IF(Assumptions!$I$56=1,MAX(K11379,Assumptions!$G$56)+Assumptions!$F$56+$C$11380,Assumptions!$E$56))</f>
        <v>0.105</v>
      </c>
    </row>
    <row r="11393" customFormat="false" ht="15" hidden="false" customHeight="false" outlineLevel="0" collapsed="false">
      <c r="A11393" s="3" t="s">
        <v>312</v>
      </c>
      <c r="G11393" s="25" t="n">
        <f aca="false">G11389*G11392</f>
        <v>138.08529</v>
      </c>
      <c r="H11393" s="25" t="n">
        <f aca="false">H11389*H11392</f>
        <v>138.08529</v>
      </c>
      <c r="I11393" s="25" t="n">
        <f aca="false">I11389*I11392</f>
        <v>138.08529</v>
      </c>
      <c r="J11393" s="25" t="n">
        <f aca="false">J11389*J11392</f>
        <v>138.08529</v>
      </c>
      <c r="K11393" s="25" t="n">
        <f aca="false">K11389*K11392</f>
        <v>138.08529</v>
      </c>
    </row>
    <row r="11394" customFormat="false" ht="15" hidden="false" customHeight="false" outlineLevel="0" collapsed="false">
      <c r="A11394" s="3" t="s">
        <v>313</v>
      </c>
      <c r="G11394" s="25" t="n">
        <f aca="false">G11389*Assumptions!$H$56</f>
        <v>0</v>
      </c>
      <c r="H11394" s="25" t="n">
        <f aca="false">H11389*Assumptions!$H$56</f>
        <v>0</v>
      </c>
      <c r="I11394" s="25" t="n">
        <f aca="false">I11389*Assumptions!$H$56</f>
        <v>0</v>
      </c>
      <c r="J11394" s="25" t="n">
        <f aca="false">J11389*Assumptions!$H$56</f>
        <v>0</v>
      </c>
      <c r="K11394" s="25" t="n">
        <f aca="false">K11389*Assumptions!$H$56</f>
        <v>0</v>
      </c>
    </row>
    <row r="11395" customFormat="false" ht="15" hidden="false" customHeight="false" outlineLevel="0" collapsed="false">
      <c r="A11395" s="3" t="s">
        <v>314</v>
      </c>
      <c r="G11395" s="25" t="n">
        <f aca="false">MIN(G11389,Assumptions!$L$56*Assumptions!$C$56)</f>
        <v>0</v>
      </c>
      <c r="H11395" s="25" t="n">
        <f aca="false">MIN(H11389,Assumptions!$L$56*Assumptions!$C$56)</f>
        <v>0</v>
      </c>
      <c r="I11395" s="25" t="n">
        <f aca="false">MIN(I11389,Assumptions!$L$56*Assumptions!$C$56)</f>
        <v>0</v>
      </c>
      <c r="J11395" s="25" t="n">
        <f aca="false">MIN(J11389,Assumptions!$L$56*Assumptions!$C$56)</f>
        <v>0</v>
      </c>
      <c r="K11395" s="25" t="n">
        <f aca="false">MIN(K11389,Assumptions!$L$56*Assumptions!$C$56)</f>
        <v>0</v>
      </c>
    </row>
    <row r="11396" customFormat="false" ht="15" hidden="false" customHeight="false" outlineLevel="0" collapsed="false">
      <c r="A11396" s="3" t="s">
        <v>315</v>
      </c>
      <c r="G11396" s="25" t="n">
        <f aca="false">IF(AND(Assumptions!$P$56=1,G11353&lt;Assumptions!$K$56),MIN(MAX(0,-G11450),MAX(0,Assumptions!$D$56-G11389)),0)</f>
        <v>0</v>
      </c>
      <c r="H11396" s="25" t="n">
        <f aca="false">IF(AND(Assumptions!$P$56=1,OR(H11353&lt;Assumptions!$K$56,G11536=1)),MIN(MAX(0,-H11450),MAX(0,Assumptions!$D$56-H11389)),0)</f>
        <v>0</v>
      </c>
      <c r="I11396" s="25" t="n">
        <f aca="false">IF(AND(Assumptions!$P$56=1,OR(I11353&lt;Assumptions!$K$56,H11536=1)),MIN(MAX(0,-I11450),MAX(0,Assumptions!$D$56-I11389)),0)</f>
        <v>0</v>
      </c>
      <c r="J11396" s="25" t="n">
        <f aca="false">IF(AND(Assumptions!$P$56=1,OR(J11353&lt;Assumptions!$K$56,I11536=1)),MIN(MAX(0,-J11450),MAX(0,Assumptions!$D$56-J11389)),0)</f>
        <v>0</v>
      </c>
      <c r="K11396" s="25" t="n">
        <f aca="false">IF(AND(Assumptions!$P$56=1,OR(K11353&lt;Assumptions!$K$56,J11536=1)),MIN(MAX(0,-K11450),MAX(0,Assumptions!$D$56-K11389)),0)</f>
        <v>0</v>
      </c>
    </row>
    <row r="11397" customFormat="false" ht="15" hidden="false" customHeight="false" outlineLevel="0" collapsed="false">
      <c r="A11397" s="3" t="s">
        <v>316</v>
      </c>
      <c r="G11397" s="25" t="n">
        <f aca="false">G11390*MIN(G11389-G11395+G11394,MAX(0,G11452-Assumptions!$C$12*G11387))</f>
        <v>0</v>
      </c>
      <c r="H11397" s="25" t="n">
        <f aca="false">H11390*MIN(H11389-H11395+H11394,MAX(0,H11452-Assumptions!$C$12*H11387))</f>
        <v>0</v>
      </c>
      <c r="I11397" s="25" t="n">
        <f aca="false">I11390*MIN(I11389-I11395+I11394,MAX(0,I11452-Assumptions!$C$12*I11387))</f>
        <v>0</v>
      </c>
      <c r="J11397" s="25" t="n">
        <f aca="false">J11390*MIN(J11389-J11395+J11394,MAX(0,J11452-Assumptions!$C$12*J11387))</f>
        <v>0</v>
      </c>
      <c r="K11397" s="25" t="n">
        <f aca="false">K11390*MIN(K11389-K11395+K11394,MAX(0,K11452-Assumptions!$C$12*K11387))</f>
        <v>0</v>
      </c>
    </row>
    <row r="11398" customFormat="false" ht="15" hidden="false" customHeight="false" outlineLevel="0" collapsed="false">
      <c r="A11398" s="3" t="s">
        <v>317</v>
      </c>
      <c r="G11398" s="25" t="n">
        <f aca="false">Assumptions!$N$56*MIN(G11389+G11396+G11394-G11395-G11397,MAX(0,G11456))</f>
        <v>0</v>
      </c>
      <c r="H11398" s="25" t="n">
        <f aca="false">Assumptions!$N$56*MIN(H11389+H11396+H11394-H11395-H11397,MAX(0,H11456))</f>
        <v>0</v>
      </c>
      <c r="I11398" s="25" t="n">
        <f aca="false">Assumptions!$N$56*MIN(I11389+I11396+I11394-I11395-I11397,MAX(0,I11456))</f>
        <v>0</v>
      </c>
      <c r="J11398" s="25" t="n">
        <f aca="false">Assumptions!$N$56*MIN(J11389+J11396+J11394-J11395-J11397,MAX(0,J11456))</f>
        <v>0</v>
      </c>
      <c r="K11398" s="25" t="n">
        <f aca="false">Assumptions!$N$56*MIN(K11389+K11396+K11394-K11395-K11397,MAX(0,K11456))</f>
        <v>0</v>
      </c>
    </row>
    <row r="11399" customFormat="false" ht="15" hidden="false" customHeight="false" outlineLevel="0" collapsed="false">
      <c r="A11399" s="3" t="s">
        <v>318</v>
      </c>
      <c r="G11399" s="25" t="n">
        <f aca="false">G11390*(1-G11387)*(G11389-G11395+G11394-G11397)</f>
        <v>0</v>
      </c>
      <c r="H11399" s="25" t="n">
        <f aca="false">H11390*(1-H11387)*(H11389-H11395+H11394-H11397)</f>
        <v>0</v>
      </c>
      <c r="I11399" s="25" t="n">
        <f aca="false">I11390*(1-I11387)*(I11389-I11395+I11394-I11397)</f>
        <v>0</v>
      </c>
      <c r="J11399" s="25" t="n">
        <f aca="false">J11390*(1-J11387)*(J11389-J11395+J11394-J11397)</f>
        <v>0</v>
      </c>
      <c r="K11399" s="25" t="n">
        <f aca="false">K11390*(1-K11387)*(K11389-K11395+K11394-K11397)</f>
        <v>0</v>
      </c>
    </row>
    <row r="11400" customFormat="false" ht="15" hidden="false" customHeight="false" outlineLevel="0" collapsed="false">
      <c r="A11400" s="2" t="s">
        <v>319</v>
      </c>
      <c r="F11400" s="28" t="n">
        <f aca="false">Assumptions!$C$56</f>
        <v>1315.098</v>
      </c>
      <c r="G11400" s="16" t="n">
        <f aca="false">G11389+G11396+G11394-G11395-G11397-G11398</f>
        <v>1315.098</v>
      </c>
      <c r="H11400" s="16" t="n">
        <f aca="false">H11389+H11396+H11394-H11395-H11397-H11398</f>
        <v>1315.098</v>
      </c>
      <c r="I11400" s="16" t="n">
        <f aca="false">I11389+I11396+I11394-I11395-I11397-I11398</f>
        <v>1315.098</v>
      </c>
      <c r="J11400" s="16" t="n">
        <f aca="false">J11389+J11396+J11394-J11395-J11397-J11398</f>
        <v>1315.098</v>
      </c>
      <c r="K11400" s="16" t="n">
        <f aca="false">K11389+K11396+K11394-K11395-K11397-K11398</f>
        <v>1315.098</v>
      </c>
    </row>
    <row r="11401" customFormat="false" ht="15" hidden="false" customHeight="false" outlineLevel="0" collapsed="false">
      <c r="A11401" s="23" t="s">
        <v>320</v>
      </c>
      <c r="B11401" s="24"/>
      <c r="C11401" s="24"/>
      <c r="D11401" s="24"/>
      <c r="E11401" s="24"/>
      <c r="F11401" s="24"/>
      <c r="G11401" s="24"/>
      <c r="H11401" s="24"/>
      <c r="I11401" s="24"/>
      <c r="J11401" s="24"/>
      <c r="K11401" s="24"/>
    </row>
    <row r="11402" customFormat="false" ht="15" hidden="false" customHeight="false" outlineLevel="0" collapsed="false">
      <c r="A11402" s="3" t="s">
        <v>309</v>
      </c>
      <c r="G11402" s="25" t="n">
        <f aca="false">F11413</f>
        <v>276.706</v>
      </c>
      <c r="H11402" s="25" t="n">
        <f aca="false">G11413</f>
        <v>276.706</v>
      </c>
      <c r="I11402" s="25" t="n">
        <f aca="false">H11413</f>
        <v>276.706</v>
      </c>
      <c r="J11402" s="25" t="n">
        <f aca="false">I11413</f>
        <v>0</v>
      </c>
      <c r="K11402" s="25" t="n">
        <f aca="false">J11413</f>
        <v>0</v>
      </c>
    </row>
    <row r="11403" customFormat="false" ht="15" hidden="false" customHeight="false" outlineLevel="0" collapsed="false">
      <c r="A11403" s="3" t="s">
        <v>310</v>
      </c>
      <c r="G11403" s="20" t="n">
        <f aca="false">IF(G11353=Assumptions!$K$57,1,0)</f>
        <v>0</v>
      </c>
      <c r="H11403" s="20" t="n">
        <f aca="false">IF(H11353=Assumptions!$K$57,1,0)</f>
        <v>0</v>
      </c>
      <c r="I11403" s="20" t="n">
        <f aca="false">IF(I11353=Assumptions!$K$57,1,0)</f>
        <v>1</v>
      </c>
      <c r="J11403" s="20" t="n">
        <f aca="false">IF(J11353=Assumptions!$K$57,1,0)</f>
        <v>0</v>
      </c>
      <c r="K11403" s="20" t="n">
        <f aca="false">IF(K11353=Assumptions!$K$57,1,0)</f>
        <v>0</v>
      </c>
    </row>
    <row r="11405" customFormat="false" ht="15" hidden="false" customHeight="false" outlineLevel="0" collapsed="false">
      <c r="A11405" s="3" t="s">
        <v>311</v>
      </c>
      <c r="G11405" s="31" t="n">
        <f aca="false">IF(Assumptions!$I$57=1,MAX(G11379,Assumptions!$G$57)+Assumptions!$F$57+$C$11380,Assumptions!$E$57)</f>
        <v>0.0425</v>
      </c>
      <c r="H11405" s="31" t="n">
        <f aca="false">IF(G11537=1,$C$11381,IF(Assumptions!$I$57=1,MAX(H11379,Assumptions!$G$57)+Assumptions!$F$57+$C$11380,Assumptions!$E$57))</f>
        <v>0.0425</v>
      </c>
      <c r="I11405" s="31" t="n">
        <f aca="false">IF(H11537=1,$C$11381,IF(Assumptions!$I$57=1,MAX(I11379,Assumptions!$G$57)+Assumptions!$F$57+$C$11380,Assumptions!$E$57))</f>
        <v>0.0425</v>
      </c>
      <c r="J11405" s="31" t="n">
        <f aca="false">IF(I11537=1,$C$11381,IF(Assumptions!$I$57=1,MAX(J11379,Assumptions!$G$57)+Assumptions!$F$57+$C$11380,Assumptions!$E$57))</f>
        <v>0.11</v>
      </c>
      <c r="K11405" s="31" t="n">
        <f aca="false">IF(J11537=1,$C$11381,IF(Assumptions!$I$57=1,MAX(K11379,Assumptions!$G$57)+Assumptions!$F$57+$C$11380,Assumptions!$E$57))</f>
        <v>0.11</v>
      </c>
    </row>
    <row r="11406" customFormat="false" ht="15" hidden="false" customHeight="false" outlineLevel="0" collapsed="false">
      <c r="A11406" s="3" t="s">
        <v>312</v>
      </c>
      <c r="G11406" s="25" t="n">
        <f aca="false">G11402*G11405</f>
        <v>11.760005</v>
      </c>
      <c r="H11406" s="25" t="n">
        <f aca="false">H11402*H11405</f>
        <v>11.760005</v>
      </c>
      <c r="I11406" s="25" t="n">
        <f aca="false">I11402*I11405</f>
        <v>11.760005</v>
      </c>
      <c r="J11406" s="25" t="n">
        <f aca="false">J11402*J11405</f>
        <v>0</v>
      </c>
      <c r="K11406" s="25" t="n">
        <f aca="false">K11402*K11405</f>
        <v>0</v>
      </c>
    </row>
    <row r="11407" customFormat="false" ht="15" hidden="false" customHeight="false" outlineLevel="0" collapsed="false">
      <c r="A11407" s="3" t="s">
        <v>313</v>
      </c>
      <c r="G11407" s="25" t="n">
        <f aca="false">G11402*Assumptions!$H$57</f>
        <v>0</v>
      </c>
      <c r="H11407" s="25" t="n">
        <f aca="false">H11402*Assumptions!$H$57</f>
        <v>0</v>
      </c>
      <c r="I11407" s="25" t="n">
        <f aca="false">I11402*Assumptions!$H$57</f>
        <v>0</v>
      </c>
      <c r="J11407" s="25" t="n">
        <f aca="false">J11402*Assumptions!$H$57</f>
        <v>0</v>
      </c>
      <c r="K11407" s="25" t="n">
        <f aca="false">K11402*Assumptions!$H$57</f>
        <v>0</v>
      </c>
    </row>
    <row r="11408" customFormat="false" ht="15" hidden="false" customHeight="false" outlineLevel="0" collapsed="false">
      <c r="A11408" s="3" t="s">
        <v>314</v>
      </c>
      <c r="G11408" s="25" t="n">
        <f aca="false">MIN(G11402,Assumptions!$L$57*Assumptions!$C$57)</f>
        <v>0</v>
      </c>
      <c r="H11408" s="25" t="n">
        <f aca="false">MIN(H11402,Assumptions!$L$57*Assumptions!$C$57)</f>
        <v>0</v>
      </c>
      <c r="I11408" s="25" t="n">
        <f aca="false">MIN(I11402,Assumptions!$L$57*Assumptions!$C$57)</f>
        <v>0</v>
      </c>
      <c r="J11408" s="25" t="n">
        <f aca="false">MIN(J11402,Assumptions!$L$57*Assumptions!$C$57)</f>
        <v>0</v>
      </c>
      <c r="K11408" s="25" t="n">
        <f aca="false">MIN(K11402,Assumptions!$L$57*Assumptions!$C$57)</f>
        <v>0</v>
      </c>
    </row>
    <row r="11409" customFormat="false" ht="15" hidden="false" customHeight="false" outlineLevel="0" collapsed="false">
      <c r="A11409" s="3" t="s">
        <v>315</v>
      </c>
      <c r="G11409" s="25" t="n">
        <f aca="false">IF(AND(Assumptions!$P$57=1,G11353&lt;Assumptions!$K$57),MIN(MAX(0,-G11450),MAX(0,Assumptions!$D$57-G11402)),0)</f>
        <v>0</v>
      </c>
      <c r="H11409" s="25" t="n">
        <f aca="false">IF(AND(Assumptions!$P$57=1,OR(H11353&lt;Assumptions!$K$57,G11537=1)),MIN(MAX(0,-H11450),MAX(0,Assumptions!$D$57-H11402)),0)</f>
        <v>0</v>
      </c>
      <c r="I11409" s="25" t="n">
        <f aca="false">IF(AND(Assumptions!$P$57=1,OR(I11353&lt;Assumptions!$K$57,H11537=1)),MIN(MAX(0,-I11450),MAX(0,Assumptions!$D$57-I11402)),0)</f>
        <v>0</v>
      </c>
      <c r="J11409" s="25" t="n">
        <f aca="false">IF(AND(Assumptions!$P$57=1,OR(J11353&lt;Assumptions!$K$57,I11537=1)),MIN(MAX(0,-J11450),MAX(0,Assumptions!$D$57-J11402)),0)</f>
        <v>0</v>
      </c>
      <c r="K11409" s="25" t="n">
        <f aca="false">IF(AND(Assumptions!$P$57=1,OR(K11353&lt;Assumptions!$K$57,J11537=1)),MIN(MAX(0,-K11450),MAX(0,Assumptions!$D$57-K11402)),0)</f>
        <v>0</v>
      </c>
    </row>
    <row r="11410" customFormat="false" ht="15" hidden="false" customHeight="false" outlineLevel="0" collapsed="false">
      <c r="A11410" s="3" t="s">
        <v>316</v>
      </c>
      <c r="G11410" s="25" t="n">
        <f aca="false">G11403*MIN(G11402-G11408+G11407,MAX(0,G11452-Assumptions!$C$12*G11387-G11397))</f>
        <v>0</v>
      </c>
      <c r="H11410" s="25" t="n">
        <f aca="false">H11403*MIN(H11402-H11408+H11407,MAX(0,H11452-Assumptions!$C$12*H11387-H11397))</f>
        <v>0</v>
      </c>
      <c r="I11410" s="25" t="n">
        <f aca="false">I11403*MIN(I11402-I11408+I11407,MAX(0,I11452-Assumptions!$C$12*I11387-I11397))</f>
        <v>276.706</v>
      </c>
      <c r="J11410" s="25" t="n">
        <f aca="false">J11403*MIN(J11402-J11408+J11407,MAX(0,J11452-Assumptions!$C$12*J11387-J11397))</f>
        <v>0</v>
      </c>
      <c r="K11410" s="25" t="n">
        <f aca="false">K11403*MIN(K11402-K11408+K11407,MAX(0,K11452-Assumptions!$C$12*K11387-K11397))</f>
        <v>0</v>
      </c>
    </row>
    <row r="11411" customFormat="false" ht="15" hidden="false" customHeight="false" outlineLevel="0" collapsed="false">
      <c r="A11411" s="3" t="s">
        <v>317</v>
      </c>
      <c r="G11411" s="25" t="n">
        <f aca="false">Assumptions!$N$57*MIN(G11402+G11409+G11407-G11408-G11410,MAX(0,G11456-G11398))</f>
        <v>0</v>
      </c>
      <c r="H11411" s="25" t="n">
        <f aca="false">Assumptions!$N$57*MIN(H11402+H11409+H11407-H11408-H11410,MAX(0,H11456-H11398))</f>
        <v>0</v>
      </c>
      <c r="I11411" s="25" t="n">
        <f aca="false">Assumptions!$N$57*MIN(I11402+I11409+I11407-I11408-I11410,MAX(0,I11456-I11398))</f>
        <v>0</v>
      </c>
      <c r="J11411" s="25" t="n">
        <f aca="false">Assumptions!$N$57*MIN(J11402+J11409+J11407-J11408-J11410,MAX(0,J11456-J11398))</f>
        <v>0</v>
      </c>
      <c r="K11411" s="25" t="n">
        <f aca="false">Assumptions!$N$57*MIN(K11402+K11409+K11407-K11408-K11410,MAX(0,K11456-K11398))</f>
        <v>0</v>
      </c>
    </row>
    <row r="11412" customFormat="false" ht="15" hidden="false" customHeight="false" outlineLevel="0" collapsed="false">
      <c r="A11412" s="3" t="s">
        <v>318</v>
      </c>
      <c r="G11412" s="25" t="n">
        <f aca="false">G11403*(1-G11387)*(G11402-G11408+G11407-G11410)</f>
        <v>0</v>
      </c>
      <c r="H11412" s="25" t="n">
        <f aca="false">H11403*(1-H11387)*(H11402-H11408+H11407-H11410)</f>
        <v>0</v>
      </c>
      <c r="I11412" s="25" t="n">
        <f aca="false">I11403*(1-I11387)*(I11402-I11408+I11407-I11410)</f>
        <v>0</v>
      </c>
      <c r="J11412" s="25" t="n">
        <f aca="false">J11403*(1-J11387)*(J11402-J11408+J11407-J11410)</f>
        <v>0</v>
      </c>
      <c r="K11412" s="25" t="n">
        <f aca="false">K11403*(1-K11387)*(K11402-K11408+K11407-K11410)</f>
        <v>0</v>
      </c>
    </row>
    <row r="11413" customFormat="false" ht="15" hidden="false" customHeight="false" outlineLevel="0" collapsed="false">
      <c r="A11413" s="2" t="s">
        <v>319</v>
      </c>
      <c r="F11413" s="28" t="n">
        <f aca="false">Assumptions!$C$57</f>
        <v>276.706</v>
      </c>
      <c r="G11413" s="16" t="n">
        <f aca="false">G11402+G11409+G11407-G11408-G11410-G11411</f>
        <v>276.706</v>
      </c>
      <c r="H11413" s="16" t="n">
        <f aca="false">H11402+H11409+H11407-H11408-H11410-H11411</f>
        <v>276.706</v>
      </c>
      <c r="I11413" s="16" t="n">
        <f aca="false">I11402+I11409+I11407-I11408-I11410-I11411</f>
        <v>0</v>
      </c>
      <c r="J11413" s="16" t="n">
        <f aca="false">J11402+J11409+J11407-J11408-J11410-J11411</f>
        <v>0</v>
      </c>
      <c r="K11413" s="16" t="n">
        <f aca="false">K11402+K11409+K11407-K11408-K11410-K11411</f>
        <v>0</v>
      </c>
    </row>
    <row r="11414" customFormat="false" ht="15" hidden="false" customHeight="false" outlineLevel="0" collapsed="false">
      <c r="A11414" s="23" t="s">
        <v>321</v>
      </c>
      <c r="B11414" s="24"/>
      <c r="C11414" s="24"/>
      <c r="D11414" s="24"/>
      <c r="E11414" s="24"/>
      <c r="F11414" s="24"/>
      <c r="G11414" s="24"/>
      <c r="H11414" s="24"/>
      <c r="I11414" s="24"/>
      <c r="J11414" s="24"/>
      <c r="K11414" s="24"/>
    </row>
    <row r="11415" customFormat="false" ht="15" hidden="false" customHeight="false" outlineLevel="0" collapsed="false">
      <c r="A11415" s="3" t="s">
        <v>309</v>
      </c>
      <c r="G11415" s="25" t="n">
        <f aca="false">F11426</f>
        <v>143.75</v>
      </c>
      <c r="H11415" s="25" t="n">
        <f aca="false">G11426</f>
        <v>143.75</v>
      </c>
      <c r="I11415" s="25" t="n">
        <f aca="false">H11426</f>
        <v>143.75</v>
      </c>
      <c r="J11415" s="25" t="n">
        <f aca="false">I11426</f>
        <v>0</v>
      </c>
      <c r="K11415" s="25" t="n">
        <f aca="false">J11426</f>
        <v>0</v>
      </c>
    </row>
    <row r="11416" customFormat="false" ht="15" hidden="false" customHeight="false" outlineLevel="0" collapsed="false">
      <c r="A11416" s="3" t="s">
        <v>310</v>
      </c>
      <c r="G11416" s="20" t="n">
        <f aca="false">IF(G11353=Assumptions!$K$58,1,0)</f>
        <v>0</v>
      </c>
      <c r="H11416" s="20" t="n">
        <f aca="false">IF(H11353=Assumptions!$K$58,1,0)</f>
        <v>0</v>
      </c>
      <c r="I11416" s="20" t="n">
        <f aca="false">IF(I11353=Assumptions!$K$58,1,0)</f>
        <v>1</v>
      </c>
      <c r="J11416" s="20" t="n">
        <f aca="false">IF(J11353=Assumptions!$K$58,1,0)</f>
        <v>0</v>
      </c>
      <c r="K11416" s="20" t="n">
        <f aca="false">IF(K11353=Assumptions!$K$58,1,0)</f>
        <v>0</v>
      </c>
    </row>
    <row r="11418" customFormat="false" ht="15" hidden="false" customHeight="false" outlineLevel="0" collapsed="false">
      <c r="A11418" s="3" t="s">
        <v>311</v>
      </c>
      <c r="G11418" s="31" t="n">
        <f aca="false">IF(Assumptions!$I$58=1,MAX(G11379,Assumptions!$G$58)+Assumptions!$F$58+$C$11380,Assumptions!$E$58)</f>
        <v>0.0425</v>
      </c>
      <c r="H11418" s="31" t="n">
        <f aca="false">IF(G11538=1,$C$11381,IF(Assumptions!$I$58=1,MAX(H11379,Assumptions!$G$58)+Assumptions!$F$58+$C$11380,Assumptions!$E$58))</f>
        <v>0.0425</v>
      </c>
      <c r="I11418" s="31" t="n">
        <f aca="false">IF(H11538=1,$C$11381,IF(Assumptions!$I$58=1,MAX(I11379,Assumptions!$G$58)+Assumptions!$F$58+$C$11380,Assumptions!$E$58))</f>
        <v>0.0425</v>
      </c>
      <c r="J11418" s="31" t="n">
        <f aca="false">IF(I11538=1,$C$11381,IF(Assumptions!$I$58=1,MAX(J11379,Assumptions!$G$58)+Assumptions!$F$58+$C$11380,Assumptions!$E$58))</f>
        <v>0.11</v>
      </c>
      <c r="K11418" s="31" t="n">
        <f aca="false">IF(J11538=1,$C$11381,IF(Assumptions!$I$58=1,MAX(K11379,Assumptions!$G$58)+Assumptions!$F$58+$C$11380,Assumptions!$E$58))</f>
        <v>0.11</v>
      </c>
    </row>
    <row r="11419" customFormat="false" ht="15" hidden="false" customHeight="false" outlineLevel="0" collapsed="false">
      <c r="A11419" s="3" t="s">
        <v>312</v>
      </c>
      <c r="G11419" s="25" t="n">
        <f aca="false">G11415*G11418</f>
        <v>6.109375</v>
      </c>
      <c r="H11419" s="25" t="n">
        <f aca="false">H11415*H11418</f>
        <v>6.109375</v>
      </c>
      <c r="I11419" s="25" t="n">
        <f aca="false">I11415*I11418</f>
        <v>6.109375</v>
      </c>
      <c r="J11419" s="25" t="n">
        <f aca="false">J11415*J11418</f>
        <v>0</v>
      </c>
      <c r="K11419" s="25" t="n">
        <f aca="false">K11415*K11418</f>
        <v>0</v>
      </c>
    </row>
    <row r="11420" customFormat="false" ht="15" hidden="false" customHeight="false" outlineLevel="0" collapsed="false">
      <c r="A11420" s="3" t="s">
        <v>313</v>
      </c>
      <c r="G11420" s="25" t="n">
        <f aca="false">G11415*Assumptions!$H$58</f>
        <v>0</v>
      </c>
      <c r="H11420" s="25" t="n">
        <f aca="false">H11415*Assumptions!$H$58</f>
        <v>0</v>
      </c>
      <c r="I11420" s="25" t="n">
        <f aca="false">I11415*Assumptions!$H$58</f>
        <v>0</v>
      </c>
      <c r="J11420" s="25" t="n">
        <f aca="false">J11415*Assumptions!$H$58</f>
        <v>0</v>
      </c>
      <c r="K11420" s="25" t="n">
        <f aca="false">K11415*Assumptions!$H$58</f>
        <v>0</v>
      </c>
    </row>
    <row r="11421" customFormat="false" ht="15" hidden="false" customHeight="false" outlineLevel="0" collapsed="false">
      <c r="A11421" s="3" t="s">
        <v>314</v>
      </c>
      <c r="G11421" s="25" t="n">
        <f aca="false">MIN(G11415,Assumptions!$L$58*Assumptions!$C$58)</f>
        <v>0</v>
      </c>
      <c r="H11421" s="25" t="n">
        <f aca="false">MIN(H11415,Assumptions!$L$58*Assumptions!$C$58)</f>
        <v>0</v>
      </c>
      <c r="I11421" s="25" t="n">
        <f aca="false">MIN(I11415,Assumptions!$L$58*Assumptions!$C$58)</f>
        <v>0</v>
      </c>
      <c r="J11421" s="25" t="n">
        <f aca="false">MIN(J11415,Assumptions!$L$58*Assumptions!$C$58)</f>
        <v>0</v>
      </c>
      <c r="K11421" s="25" t="n">
        <f aca="false">MIN(K11415,Assumptions!$L$58*Assumptions!$C$58)</f>
        <v>0</v>
      </c>
    </row>
    <row r="11422" customFormat="false" ht="15" hidden="false" customHeight="false" outlineLevel="0" collapsed="false">
      <c r="A11422" s="3" t="s">
        <v>315</v>
      </c>
      <c r="G11422" s="25" t="n">
        <f aca="false">IF(AND(Assumptions!$P$58=1,G11353&lt;Assumptions!$K$58),MIN(MAX(0,-G11450),MAX(0,Assumptions!$D$58-G11415)),0)</f>
        <v>0</v>
      </c>
      <c r="H11422" s="25" t="n">
        <f aca="false">IF(AND(Assumptions!$P$58=1,OR(H11353&lt;Assumptions!$K$58,G11538=1)),MIN(MAX(0,-H11450),MAX(0,Assumptions!$D$58-H11415)),0)</f>
        <v>0</v>
      </c>
      <c r="I11422" s="25" t="n">
        <f aca="false">IF(AND(Assumptions!$P$58=1,OR(I11353&lt;Assumptions!$K$58,H11538=1)),MIN(MAX(0,-I11450),MAX(0,Assumptions!$D$58-I11415)),0)</f>
        <v>0</v>
      </c>
      <c r="J11422" s="25" t="n">
        <f aca="false">IF(AND(Assumptions!$P$58=1,OR(J11353&lt;Assumptions!$K$58,I11538=1)),MIN(MAX(0,-J11450),MAX(0,Assumptions!$D$58-J11415)),0)</f>
        <v>0</v>
      </c>
      <c r="K11422" s="25" t="n">
        <f aca="false">IF(AND(Assumptions!$P$58=1,OR(K11353&lt;Assumptions!$K$58,J11538=1)),MIN(MAX(0,-K11450),MAX(0,Assumptions!$D$58-K11415)),0)</f>
        <v>0</v>
      </c>
    </row>
    <row r="11423" customFormat="false" ht="15" hidden="false" customHeight="false" outlineLevel="0" collapsed="false">
      <c r="A11423" s="3" t="s">
        <v>316</v>
      </c>
      <c r="G11423" s="25" t="n">
        <f aca="false">G11416*MIN(G11415-G11421+G11420,MAX(0,G11452-Assumptions!$C$12*G11387-G11397-G11410))</f>
        <v>0</v>
      </c>
      <c r="H11423" s="25" t="n">
        <f aca="false">H11416*MIN(H11415-H11421+H11420,MAX(0,H11452-Assumptions!$C$12*H11387-H11397-H11410))</f>
        <v>0</v>
      </c>
      <c r="I11423" s="25" t="n">
        <f aca="false">I11416*MIN(I11415-I11421+I11420,MAX(0,I11452-Assumptions!$C$12*I11387-I11397-I11410))</f>
        <v>143.75</v>
      </c>
      <c r="J11423" s="25" t="n">
        <f aca="false">J11416*MIN(J11415-J11421+J11420,MAX(0,J11452-Assumptions!$C$12*J11387-J11397-J11410))</f>
        <v>0</v>
      </c>
      <c r="K11423" s="25" t="n">
        <f aca="false">K11416*MIN(K11415-K11421+K11420,MAX(0,K11452-Assumptions!$C$12*K11387-K11397-K11410))</f>
        <v>0</v>
      </c>
    </row>
    <row r="11424" customFormat="false" ht="15" hidden="false" customHeight="false" outlineLevel="0" collapsed="false">
      <c r="A11424" s="3" t="s">
        <v>317</v>
      </c>
      <c r="G11424" s="25" t="n">
        <f aca="false">Assumptions!$N$58*MIN(G11415+G11422+G11420-G11421-G11423,MAX(0,G11456-G11398-G11411))</f>
        <v>0</v>
      </c>
      <c r="H11424" s="25" t="n">
        <f aca="false">Assumptions!$N$58*MIN(H11415+H11422+H11420-H11421-H11423,MAX(0,H11456-H11398-H11411))</f>
        <v>0</v>
      </c>
      <c r="I11424" s="25" t="n">
        <f aca="false">Assumptions!$N$58*MIN(I11415+I11422+I11420-I11421-I11423,MAX(0,I11456-I11398-I11411))</f>
        <v>0</v>
      </c>
      <c r="J11424" s="25" t="n">
        <f aca="false">Assumptions!$N$58*MIN(J11415+J11422+J11420-J11421-J11423,MAX(0,J11456-J11398-J11411))</f>
        <v>0</v>
      </c>
      <c r="K11424" s="25" t="n">
        <f aca="false">Assumptions!$N$58*MIN(K11415+K11422+K11420-K11421-K11423,MAX(0,K11456-K11398-K11411))</f>
        <v>0</v>
      </c>
    </row>
    <row r="11425" customFormat="false" ht="15" hidden="false" customHeight="false" outlineLevel="0" collapsed="false">
      <c r="A11425" s="3" t="s">
        <v>318</v>
      </c>
      <c r="G11425" s="25" t="n">
        <f aca="false">G11416*(1-G11387)*(G11415-G11421+G11420-G11423)</f>
        <v>0</v>
      </c>
      <c r="H11425" s="25" t="n">
        <f aca="false">H11416*(1-H11387)*(H11415-H11421+H11420-H11423)</f>
        <v>0</v>
      </c>
      <c r="I11425" s="25" t="n">
        <f aca="false">I11416*(1-I11387)*(I11415-I11421+I11420-I11423)</f>
        <v>0</v>
      </c>
      <c r="J11425" s="25" t="n">
        <f aca="false">J11416*(1-J11387)*(J11415-J11421+J11420-J11423)</f>
        <v>0</v>
      </c>
      <c r="K11425" s="25" t="n">
        <f aca="false">K11416*(1-K11387)*(K11415-K11421+K11420-K11423)</f>
        <v>0</v>
      </c>
    </row>
    <row r="11426" customFormat="false" ht="15" hidden="false" customHeight="false" outlineLevel="0" collapsed="false">
      <c r="A11426" s="2" t="s">
        <v>319</v>
      </c>
      <c r="F11426" s="28" t="n">
        <f aca="false">Assumptions!$C$58</f>
        <v>143.75</v>
      </c>
      <c r="G11426" s="16" t="n">
        <f aca="false">G11415+G11422+G11420-G11421-G11423-G11424</f>
        <v>143.75</v>
      </c>
      <c r="H11426" s="16" t="n">
        <f aca="false">H11415+H11422+H11420-H11421-H11423-H11424</f>
        <v>143.75</v>
      </c>
      <c r="I11426" s="16" t="n">
        <f aca="false">I11415+I11422+I11420-I11421-I11423-I11424</f>
        <v>0</v>
      </c>
      <c r="J11426" s="16" t="n">
        <f aca="false">J11415+J11422+J11420-J11421-J11423-J11424</f>
        <v>0</v>
      </c>
      <c r="K11426" s="16" t="n">
        <f aca="false">K11415+K11422+K11420-K11421-K11423-K11424</f>
        <v>0</v>
      </c>
    </row>
    <row r="11427" customFormat="false" ht="15" hidden="false" customHeight="false" outlineLevel="0" collapsed="false">
      <c r="A11427" s="23" t="s">
        <v>322</v>
      </c>
      <c r="B11427" s="24"/>
      <c r="C11427" s="24"/>
      <c r="D11427" s="24"/>
      <c r="E11427" s="24"/>
      <c r="F11427" s="24"/>
      <c r="G11427" s="24"/>
      <c r="H11427" s="24"/>
      <c r="I11427" s="24"/>
      <c r="J11427" s="24"/>
      <c r="K11427" s="24"/>
    </row>
    <row r="11428" customFormat="false" ht="15" hidden="false" customHeight="false" outlineLevel="0" collapsed="false">
      <c r="A11428" s="2" t="s">
        <v>323</v>
      </c>
      <c r="F11428" s="16" t="n">
        <f aca="false">F11400+F11413+F11426</f>
        <v>1735.554</v>
      </c>
      <c r="G11428" s="16" t="n">
        <f aca="false">G11400+G11413+G11426</f>
        <v>1735.554</v>
      </c>
      <c r="H11428" s="16" t="n">
        <f aca="false">H11400+H11413+H11426</f>
        <v>1735.554</v>
      </c>
      <c r="I11428" s="16" t="n">
        <f aca="false">I11400+I11413+I11426</f>
        <v>1315.098</v>
      </c>
      <c r="J11428" s="16" t="n">
        <f aca="false">J11400+J11413+J11426</f>
        <v>1315.098</v>
      </c>
      <c r="K11428" s="16" t="n">
        <f aca="false">K11400+K11413+K11426</f>
        <v>1315.098</v>
      </c>
    </row>
    <row r="11429" customFormat="false" ht="15" hidden="false" customHeight="false" outlineLevel="0" collapsed="false">
      <c r="A11429" s="3" t="s">
        <v>324</v>
      </c>
      <c r="G11429" s="25" t="n">
        <f aca="false">G11390*Assumptions!$C$56+G11403*Assumptions!$C$57+G11416*Assumptions!$C$58</f>
        <v>0</v>
      </c>
      <c r="H11429" s="25" t="n">
        <f aca="false">H11390*Assumptions!$C$56+H11403*Assumptions!$C$57+H11416*Assumptions!$C$58</f>
        <v>0</v>
      </c>
      <c r="I11429" s="25" t="n">
        <f aca="false">I11390*Assumptions!$C$56+I11403*Assumptions!$C$57+I11416*Assumptions!$C$58</f>
        <v>420.456</v>
      </c>
      <c r="J11429" s="25" t="n">
        <f aca="false">J11390*Assumptions!$C$56+J11403*Assumptions!$C$57+J11416*Assumptions!$C$58</f>
        <v>0</v>
      </c>
      <c r="K11429" s="25" t="n">
        <f aca="false">K11390*Assumptions!$C$56+K11403*Assumptions!$C$57+K11416*Assumptions!$C$58</f>
        <v>0</v>
      </c>
    </row>
    <row r="11430" customFormat="false" ht="15" hidden="false" customHeight="false" outlineLevel="0" collapsed="false">
      <c r="A11430" s="23" t="s">
        <v>325</v>
      </c>
      <c r="B11430" s="24"/>
      <c r="C11430" s="24"/>
      <c r="D11430" s="24"/>
      <c r="E11430" s="24"/>
      <c r="F11430" s="24"/>
      <c r="G11430" s="24"/>
      <c r="H11430" s="24"/>
      <c r="I11430" s="24"/>
      <c r="J11430" s="24"/>
      <c r="K11430" s="24"/>
    </row>
    <row r="11431" customFormat="false" ht="15" hidden="false" customHeight="false" outlineLevel="0" collapsed="false">
      <c r="A11431" s="3" t="s">
        <v>326</v>
      </c>
      <c r="C11431" s="25" t="n">
        <f aca="false">SUMPRODUCT($G$11390:$K$11390,$G$11389:$K$11389-$G$11395:$K$11395+$G$11394:$K$11394)</f>
        <v>0</v>
      </c>
    </row>
    <row r="11432" customFormat="false" ht="15" hidden="false" customHeight="false" outlineLevel="0" collapsed="false">
      <c r="A11432" s="3" t="s">
        <v>327</v>
      </c>
      <c r="C11432" s="25" t="n">
        <f aca="false">SUMPRODUCT($G$11390:$K$11390,$G$11397:$K$11397)</f>
        <v>0</v>
      </c>
    </row>
    <row r="11433" customFormat="false" ht="15" hidden="false" customHeight="false" outlineLevel="0" collapsed="false">
      <c r="A11433" s="3" t="s">
        <v>328</v>
      </c>
      <c r="C11433" s="3" t="str">
        <f aca="false">IF(SUM($G$11390:$K$11390)=0,"n/a (beyond horizon)",IF(SUMPRODUCT($G$11390:$K$11390,$G$11387:$K$11387)&gt;0,"REFINANCING PASS","REFINANCING FAILURE"))</f>
        <v>n/a (beyond horizon)</v>
      </c>
    </row>
    <row r="11434" customFormat="false" ht="15" hidden="false" customHeight="false" outlineLevel="0" collapsed="false">
      <c r="A11434" s="3" t="s">
        <v>329</v>
      </c>
      <c r="C11434" s="3" t="str">
        <f aca="false">IF(SUM($G$11390:$K$11390)=0,"n/a",IF(C11432&gt;=C11431-0.001,"Repaid from cash",IF(SUMPRODUCT($G$11390:$K$11390,$G$11387:$K$11387)&gt;0,IF(C11432&gt;0,"Partly repaid; remainder refinanced","Refinanced"),IF(SUM($G$11399:$K$11399)&gt;0.001,IF(C11432&gt;0,"Partial repayment; PAYMENT DEFAULT","PAYMENT DEFAULT"),"Repaid from cash"))))</f>
        <v>n/a</v>
      </c>
    </row>
    <row r="11435" customFormat="false" ht="15" hidden="false" customHeight="false" outlineLevel="0" collapsed="false">
      <c r="A11435" s="3" t="s">
        <v>330</v>
      </c>
      <c r="C11435" s="25" t="n">
        <f aca="false">SUMPRODUCT($G$11403:$K$11403,$G$11402:$K$11402-$G$11408:$K$11408+$G$11407:$K$11407)</f>
        <v>276.706</v>
      </c>
    </row>
    <row r="11436" customFormat="false" ht="15" hidden="false" customHeight="false" outlineLevel="0" collapsed="false">
      <c r="A11436" s="3" t="s">
        <v>331</v>
      </c>
      <c r="C11436" s="25" t="n">
        <f aca="false">SUMPRODUCT($G$11403:$K$11403,$G$11410:$K$11410)</f>
        <v>276.706</v>
      </c>
    </row>
    <row r="11437" customFormat="false" ht="15" hidden="false" customHeight="false" outlineLevel="0" collapsed="false">
      <c r="A11437" s="3" t="s">
        <v>332</v>
      </c>
      <c r="C11437" s="3" t="str">
        <f aca="false">IF(SUM($G$11403:$K$11403)=0,"n/a (beyond horizon)",IF(SUMPRODUCT($G$11403:$K$11403,$G$11387:$K$11387)&gt;0,"REFINANCING PASS","REFINANCING FAILURE"))</f>
        <v>REFINANCING PASS</v>
      </c>
    </row>
    <row r="11438" customFormat="false" ht="15" hidden="false" customHeight="false" outlineLevel="0" collapsed="false">
      <c r="A11438" s="3" t="s">
        <v>333</v>
      </c>
      <c r="C11438" s="3" t="str">
        <f aca="false">IF(SUM($G$11403:$K$11403)=0,"n/a",IF(C11436&gt;=C11435-0.001,"Repaid from cash",IF(SUMPRODUCT($G$11403:$K$11403,$G$11387:$K$11387)&gt;0,IF(C11436&gt;0,"Partly repaid; remainder refinanced","Refinanced"),IF(SUM($G$11412:$K$11412)&gt;0.001,IF(C11436&gt;0,"Partial repayment; PAYMENT DEFAULT","PAYMENT DEFAULT"),"Repaid from cash"))))</f>
        <v>Repaid from cash</v>
      </c>
    </row>
    <row r="11439" customFormat="false" ht="15" hidden="false" customHeight="false" outlineLevel="0" collapsed="false">
      <c r="A11439" s="3" t="s">
        <v>334</v>
      </c>
      <c r="C11439" s="25" t="n">
        <f aca="false">SUMPRODUCT($G$11416:$K$11416,$G$11415:$K$11415-$G$11421:$K$11421+$G$11420:$K$11420)</f>
        <v>143.75</v>
      </c>
    </row>
    <row r="11440" customFormat="false" ht="15" hidden="false" customHeight="false" outlineLevel="0" collapsed="false">
      <c r="A11440" s="3" t="s">
        <v>335</v>
      </c>
      <c r="C11440" s="25" t="n">
        <f aca="false">SUMPRODUCT($G$11416:$K$11416,$G$11423:$K$11423)</f>
        <v>143.75</v>
      </c>
    </row>
    <row r="11441" customFormat="false" ht="15" hidden="false" customHeight="false" outlineLevel="0" collapsed="false">
      <c r="A11441" s="3" t="s">
        <v>336</v>
      </c>
      <c r="C11441" s="3" t="str">
        <f aca="false">IF(SUM($G$11416:$K$11416)=0,"n/a (beyond horizon)",IF(SUMPRODUCT($G$11416:$K$11416,$G$11387:$K$11387)&gt;0,"REFINANCING PASS","REFINANCING FAILURE"))</f>
        <v>REFINANCING PASS</v>
      </c>
    </row>
    <row r="11442" customFormat="false" ht="15" hidden="false" customHeight="false" outlineLevel="0" collapsed="false">
      <c r="A11442" s="3" t="s">
        <v>337</v>
      </c>
      <c r="C11442" s="3" t="str">
        <f aca="false">IF(SUM($G$11416:$K$11416)=0,"n/a",IF(C11440&gt;=C11439-0.001,"Repaid from cash",IF(SUMPRODUCT($G$11416:$K$11416,$G$11387:$K$11387)&gt;0,IF(C11440&gt;0,"Partly repaid; remainder refinanced","Refinanced"),IF(SUM($G$11425:$K$11425)&gt;0.001,IF(C11440&gt;0,"Partial repayment; PAYMENT DEFAULT","PAYMENT DEFAULT"),"Repaid from cash"))))</f>
        <v>Repaid from cash</v>
      </c>
    </row>
    <row r="11443" customFormat="false" ht="15" hidden="false" customHeight="false" outlineLevel="0" collapsed="false">
      <c r="A11443" s="3" t="s">
        <v>338</v>
      </c>
      <c r="C11443" s="20" t="n">
        <f aca="false">IF(C11433="REFINANCING FAILURE",1,0)+IF(C11437="REFINANCING FAILURE",1,0)+IF(C11441="REFINANCING FAILURE",1,0)</f>
        <v>0</v>
      </c>
    </row>
    <row r="11445" customFormat="false" ht="15" hidden="false" customHeight="false" outlineLevel="0" collapsed="false">
      <c r="A11445" s="23" t="s">
        <v>340</v>
      </c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</row>
    <row r="11446" customFormat="false" ht="15" hidden="false" customHeight="false" outlineLevel="0" collapsed="false">
      <c r="A11446" s="3" t="s">
        <v>305</v>
      </c>
      <c r="G11446" s="25" t="n">
        <f aca="false">F11458</f>
        <v>463.996</v>
      </c>
      <c r="H11446" s="25" t="n">
        <f aca="false">G11458</f>
        <v>589.86335403</v>
      </c>
      <c r="I11446" s="25" t="n">
        <f aca="false">H11458</f>
        <v>706.0173737988</v>
      </c>
      <c r="J11446" s="25" t="n">
        <f aca="false">I11458</f>
        <v>390.575377766904</v>
      </c>
      <c r="K11446" s="25" t="n">
        <f aca="false">J11458</f>
        <v>499.440625970316</v>
      </c>
    </row>
    <row r="11447" customFormat="false" ht="15" hidden="false" customHeight="false" outlineLevel="0" collapsed="false">
      <c r="A11447" s="3" t="s">
        <v>341</v>
      </c>
      <c r="G11447" s="25" t="n">
        <f aca="false">G11376</f>
        <v>125.86735403</v>
      </c>
      <c r="H11447" s="25" t="n">
        <f aca="false">H11376</f>
        <v>116.1540197688</v>
      </c>
      <c r="I11447" s="25" t="n">
        <f aca="false">I11376</f>
        <v>105.014003968104</v>
      </c>
      <c r="J11447" s="25" t="n">
        <f aca="false">J11376</f>
        <v>108.865248203412</v>
      </c>
      <c r="K11447" s="25" t="n">
        <f aca="false">K11376</f>
        <v>99.6877228787792</v>
      </c>
    </row>
    <row r="11448" customFormat="false" ht="15" hidden="false" customHeight="false" outlineLevel="0" collapsed="false">
      <c r="A11448" s="3" t="s">
        <v>342</v>
      </c>
      <c r="G11448" s="25" t="n">
        <f aca="false">CHOOSE($C$11346,Assumptions!$G$74,Assumptions!$G$93,Assumptions!$G$112)</f>
        <v>0</v>
      </c>
      <c r="H11448" s="25" t="n">
        <f aca="false">CHOOSE($C$11346,Assumptions!$H$74,Assumptions!$H$93,Assumptions!$H$112)</f>
        <v>0</v>
      </c>
      <c r="I11448" s="25" t="n">
        <f aca="false">CHOOSE($C$11346,Assumptions!$I$74,Assumptions!$I$93,Assumptions!$I$112)</f>
        <v>0</v>
      </c>
      <c r="J11448" s="25" t="n">
        <f aca="false">CHOOSE($C$11346,Assumptions!$J$74,Assumptions!$J$93,Assumptions!$J$112)</f>
        <v>0</v>
      </c>
      <c r="K11448" s="25" t="n">
        <f aca="false">CHOOSE($C$11346,Assumptions!$K$74,Assumptions!$K$93,Assumptions!$K$112)</f>
        <v>0</v>
      </c>
    </row>
    <row r="11449" customFormat="false" ht="15" hidden="false" customHeight="false" outlineLevel="0" collapsed="false">
      <c r="A11449" s="3" t="s">
        <v>343</v>
      </c>
      <c r="G11449" s="25" t="n">
        <f aca="false">G11395+G11408+G11421</f>
        <v>0</v>
      </c>
      <c r="H11449" s="25" t="n">
        <f aca="false">H11395+H11408+H11421</f>
        <v>0</v>
      </c>
      <c r="I11449" s="25" t="n">
        <f aca="false">I11395+I11408+I11421</f>
        <v>0</v>
      </c>
      <c r="J11449" s="25" t="n">
        <f aca="false">J11395+J11408+J11421</f>
        <v>0</v>
      </c>
      <c r="K11449" s="25" t="n">
        <f aca="false">K11395+K11408+K11421</f>
        <v>0</v>
      </c>
    </row>
    <row r="11450" customFormat="false" ht="15" hidden="false" customHeight="false" outlineLevel="0" collapsed="false">
      <c r="A11450" s="2" t="s">
        <v>344</v>
      </c>
      <c r="G11450" s="16" t="n">
        <f aca="false">G11446+G11447+G11448-G11449</f>
        <v>589.86335403</v>
      </c>
      <c r="H11450" s="16" t="n">
        <f aca="false">H11446+H11447+H11448-H11449</f>
        <v>706.0173737988</v>
      </c>
      <c r="I11450" s="16" t="n">
        <f aca="false">I11446+I11447+I11448-I11449</f>
        <v>811.031377766904</v>
      </c>
      <c r="J11450" s="16" t="n">
        <f aca="false">J11446+J11447+J11448-J11449</f>
        <v>499.440625970316</v>
      </c>
      <c r="K11450" s="16" t="n">
        <f aca="false">K11446+K11447+K11448-K11449</f>
        <v>599.128348849095</v>
      </c>
    </row>
    <row r="11451" customFormat="false" ht="15" hidden="false" customHeight="false" outlineLevel="0" collapsed="false">
      <c r="A11451" s="3" t="s">
        <v>345</v>
      </c>
      <c r="G11451" s="25" t="n">
        <f aca="false">G11396+G11409+G11422</f>
        <v>0</v>
      </c>
      <c r="H11451" s="25" t="n">
        <f aca="false">H11396+H11409+H11422</f>
        <v>0</v>
      </c>
      <c r="I11451" s="25" t="n">
        <f aca="false">I11396+I11409+I11422</f>
        <v>0</v>
      </c>
      <c r="J11451" s="25" t="n">
        <f aca="false">J11396+J11409+J11422</f>
        <v>0</v>
      </c>
      <c r="K11451" s="25" t="n">
        <f aca="false">K11396+K11409+K11422</f>
        <v>0</v>
      </c>
    </row>
    <row r="11452" customFormat="false" ht="15" hidden="false" customHeight="false" outlineLevel="0" collapsed="false">
      <c r="A11452" s="2" t="s">
        <v>346</v>
      </c>
      <c r="G11452" s="16" t="n">
        <f aca="false">G11450+G11451</f>
        <v>589.86335403</v>
      </c>
      <c r="H11452" s="16" t="n">
        <f aca="false">H11450+H11451</f>
        <v>706.0173737988</v>
      </c>
      <c r="I11452" s="16" t="n">
        <f aca="false">I11450+I11451</f>
        <v>811.031377766904</v>
      </c>
      <c r="J11452" s="16" t="n">
        <f aca="false">J11450+J11451</f>
        <v>499.440625970316</v>
      </c>
      <c r="K11452" s="16" t="n">
        <f aca="false">K11450+K11451</f>
        <v>599.128348849095</v>
      </c>
    </row>
    <row r="11453" customFormat="false" ht="15" hidden="false" customHeight="false" outlineLevel="0" collapsed="false">
      <c r="A11453" s="3" t="s">
        <v>347</v>
      </c>
      <c r="G11453" s="25" t="n">
        <f aca="false">G11397+G11410+G11423</f>
        <v>0</v>
      </c>
      <c r="H11453" s="25" t="n">
        <f aca="false">H11397+H11410+H11423</f>
        <v>0</v>
      </c>
      <c r="I11453" s="25" t="n">
        <f aca="false">I11397+I11410+I11423</f>
        <v>420.456</v>
      </c>
      <c r="J11453" s="25" t="n">
        <f aca="false">J11397+J11410+J11423</f>
        <v>0</v>
      </c>
      <c r="K11453" s="25" t="n">
        <f aca="false">K11397+K11410+K11423</f>
        <v>0</v>
      </c>
    </row>
    <row r="11454" customFormat="false" ht="15" hidden="false" customHeight="false" outlineLevel="0" collapsed="false">
      <c r="A11454" s="2" t="s">
        <v>348</v>
      </c>
      <c r="G11454" s="16" t="n">
        <f aca="false">G11452-G11453</f>
        <v>589.86335403</v>
      </c>
      <c r="H11454" s="16" t="n">
        <f aca="false">H11452-H11453</f>
        <v>706.0173737988</v>
      </c>
      <c r="I11454" s="16" t="n">
        <f aca="false">I11452-I11453</f>
        <v>390.575377766904</v>
      </c>
      <c r="J11454" s="16" t="n">
        <f aca="false">J11452-J11453</f>
        <v>499.440625970316</v>
      </c>
      <c r="K11454" s="16" t="n">
        <f aca="false">K11452-K11453</f>
        <v>599.128348849095</v>
      </c>
    </row>
    <row r="11455" customFormat="false" ht="15" hidden="false" customHeight="false" outlineLevel="0" collapsed="false">
      <c r="A11455" s="3" t="s">
        <v>349</v>
      </c>
      <c r="G11455" s="25" t="n">
        <f aca="false">MAX(0,-G11454)</f>
        <v>0</v>
      </c>
      <c r="H11455" s="25" t="n">
        <f aca="false">MAX(0,-H11454)</f>
        <v>0</v>
      </c>
      <c r="I11455" s="25" t="n">
        <f aca="false">MAX(0,-I11454)</f>
        <v>0</v>
      </c>
      <c r="J11455" s="25" t="n">
        <f aca="false">MAX(0,-J11454)</f>
        <v>0</v>
      </c>
      <c r="K11455" s="25" t="n">
        <f aca="false">MAX(0,-K11454)</f>
        <v>0</v>
      </c>
    </row>
    <row r="11456" customFormat="false" ht="15" hidden="false" customHeight="false" outlineLevel="0" collapsed="false">
      <c r="A11456" s="3" t="s">
        <v>350</v>
      </c>
      <c r="G11456" s="25" t="n">
        <f aca="false">MAX(0,G11454-Assumptions!$C$12)*Assumptions!$C$13</f>
        <v>0</v>
      </c>
      <c r="H11456" s="25" t="n">
        <f aca="false">MAX(0,H11454-Assumptions!$C$12)*Assumptions!$C$13</f>
        <v>0</v>
      </c>
      <c r="I11456" s="25" t="n">
        <f aca="false">MAX(0,I11454-Assumptions!$C$12)*Assumptions!$C$13</f>
        <v>0</v>
      </c>
      <c r="J11456" s="25" t="n">
        <f aca="false">MAX(0,J11454-Assumptions!$C$12)*Assumptions!$C$13</f>
        <v>0</v>
      </c>
      <c r="K11456" s="25" t="n">
        <f aca="false">MAX(0,K11454-Assumptions!$C$12)*Assumptions!$C$13</f>
        <v>0</v>
      </c>
    </row>
    <row r="11457" customFormat="false" ht="15" hidden="false" customHeight="false" outlineLevel="0" collapsed="false">
      <c r="A11457" s="3" t="s">
        <v>351</v>
      </c>
      <c r="G11457" s="25" t="n">
        <f aca="false">G11398+G11411+G11424</f>
        <v>0</v>
      </c>
      <c r="H11457" s="25" t="n">
        <f aca="false">H11398+H11411+H11424</f>
        <v>0</v>
      </c>
      <c r="I11457" s="25" t="n">
        <f aca="false">I11398+I11411+I11424</f>
        <v>0</v>
      </c>
      <c r="J11457" s="25" t="n">
        <f aca="false">J11398+J11411+J11424</f>
        <v>0</v>
      </c>
      <c r="K11457" s="25" t="n">
        <f aca="false">K11398+K11411+K11424</f>
        <v>0</v>
      </c>
    </row>
    <row r="11458" customFormat="false" ht="15" hidden="false" customHeight="false" outlineLevel="0" collapsed="false">
      <c r="A11458" s="2" t="s">
        <v>352</v>
      </c>
      <c r="F11458" s="28" t="n">
        <f aca="false">Assumptions!$C$11</f>
        <v>463.996</v>
      </c>
      <c r="G11458" s="16" t="n">
        <f aca="false">G11454-G11457</f>
        <v>589.86335403</v>
      </c>
      <c r="H11458" s="16" t="n">
        <f aca="false">H11454-H11457</f>
        <v>706.0173737988</v>
      </c>
      <c r="I11458" s="16" t="n">
        <f aca="false">I11454-I11457</f>
        <v>390.575377766904</v>
      </c>
      <c r="J11458" s="16" t="n">
        <f aca="false">J11454-J11457</f>
        <v>499.440625970316</v>
      </c>
      <c r="K11458" s="16" t="n">
        <f aca="false">K11454-K11457</f>
        <v>599.128348849095</v>
      </c>
    </row>
    <row r="11459" customFormat="false" ht="15" hidden="false" customHeight="false" outlineLevel="0" collapsed="false">
      <c r="A11459" s="3" t="s">
        <v>353</v>
      </c>
      <c r="G11459" s="25" t="n">
        <f aca="false">G11399+G11412+G11425</f>
        <v>0</v>
      </c>
      <c r="H11459" s="25" t="n">
        <f aca="false">H11399+H11412+H11425</f>
        <v>0</v>
      </c>
      <c r="I11459" s="25" t="n">
        <f aca="false">I11399+I11412+I11425</f>
        <v>0</v>
      </c>
      <c r="J11459" s="25" t="n">
        <f aca="false">J11399+J11412+J11425</f>
        <v>0</v>
      </c>
      <c r="K11459" s="25" t="n">
        <f aca="false">K11399+K11412+K11425</f>
        <v>0</v>
      </c>
    </row>
    <row r="11460" customFormat="false" ht="15" hidden="false" customHeight="false" outlineLevel="0" collapsed="false">
      <c r="A11460" s="3" t="s">
        <v>354</v>
      </c>
      <c r="G11460" s="20" t="n">
        <f aca="false">IF(OR(G11455&gt;0.001,G11459&gt;0.001),1,0)</f>
        <v>0</v>
      </c>
      <c r="H11460" s="20" t="n">
        <f aca="false">IF(OR(H11455&gt;0.001,H11459&gt;0.001),1,0)</f>
        <v>0</v>
      </c>
      <c r="I11460" s="20" t="n">
        <f aca="false">IF(OR(I11455&gt;0.001,I11459&gt;0.001),1,0)</f>
        <v>0</v>
      </c>
      <c r="J11460" s="20" t="n">
        <f aca="false">IF(OR(J11455&gt;0.001,J11459&gt;0.001),1,0)</f>
        <v>0</v>
      </c>
      <c r="K11460" s="20" t="n">
        <f aca="false">IF(OR(K11455&gt;0.001,K11459&gt;0.001),1,0)</f>
        <v>0</v>
      </c>
    </row>
    <row r="11461" customFormat="false" ht="15" hidden="false" customHeight="false" outlineLevel="0" collapsed="false">
      <c r="A11461" s="3" t="s">
        <v>355</v>
      </c>
      <c r="G11461" s="20" t="n">
        <f aca="false">IF(G11460=1,1,0)</f>
        <v>0</v>
      </c>
      <c r="H11461" s="20" t="n">
        <f aca="false">IF(AND(H11460=1,SUM($G$11460:G11460)=0),1,0)</f>
        <v>0</v>
      </c>
      <c r="I11461" s="20" t="n">
        <f aca="false">IF(AND(I11460=1,SUM($G$11460:H11460)=0),1,0)</f>
        <v>0</v>
      </c>
      <c r="J11461" s="20" t="n">
        <f aca="false">IF(AND(J11460=1,SUM($G$11460:I11460)=0),1,0)</f>
        <v>0</v>
      </c>
      <c r="K11461" s="20" t="n">
        <f aca="false">IF(AND(K11460=1,SUM($G$11460:J11460)=0),1,0)</f>
        <v>0</v>
      </c>
    </row>
    <row r="11462" customFormat="false" ht="15" hidden="false" customHeight="false" outlineLevel="0" collapsed="false">
      <c r="A11462" s="3" t="s">
        <v>356</v>
      </c>
      <c r="G11462" s="25" t="n">
        <f aca="false">(G11428-F11428)-(G11451+G11368-G11449-G11453-G11457)</f>
        <v>0</v>
      </c>
      <c r="H11462" s="25" t="n">
        <f aca="false">(H11428-G11428)-(H11451+H11368-H11449-H11453-H11457)</f>
        <v>0</v>
      </c>
      <c r="I11462" s="25" t="n">
        <f aca="false">(I11428-H11428)-(I11451+I11368-I11449-I11453-I11457)</f>
        <v>0</v>
      </c>
      <c r="J11462" s="25" t="n">
        <f aca="false">(J11428-I11428)-(J11451+J11368-J11449-J11453-J11457)</f>
        <v>0</v>
      </c>
      <c r="K11462" s="25" t="n">
        <f aca="false">(K11428-J11428)-(K11451+K11368-K11449-K11453-K11457)</f>
        <v>0</v>
      </c>
    </row>
    <row r="11464" customFormat="false" ht="15" hidden="false" customHeight="false" outlineLevel="0" collapsed="false">
      <c r="A11464" s="23" t="s">
        <v>358</v>
      </c>
      <c r="B11464" s="24"/>
      <c r="C11464" s="24"/>
      <c r="D11464" s="24"/>
      <c r="E11464" s="24"/>
      <c r="F11464" s="24"/>
      <c r="G11464" s="24"/>
      <c r="H11464" s="24"/>
      <c r="I11464" s="24"/>
      <c r="J11464" s="24"/>
      <c r="K11464" s="24"/>
    </row>
    <row r="11465" customFormat="false" ht="15" hidden="false" customHeight="false" outlineLevel="0" collapsed="false">
      <c r="A11465" s="3" t="s">
        <v>359</v>
      </c>
      <c r="G11465" s="25" t="n">
        <f aca="false">G11428</f>
        <v>1735.554</v>
      </c>
      <c r="H11465" s="25" t="n">
        <f aca="false">H11428</f>
        <v>1735.554</v>
      </c>
      <c r="I11465" s="25" t="n">
        <f aca="false">I11428</f>
        <v>1315.098</v>
      </c>
      <c r="J11465" s="25" t="n">
        <f aca="false">J11428</f>
        <v>1315.098</v>
      </c>
      <c r="K11465" s="25" t="n">
        <f aca="false">K11428</f>
        <v>1315.098</v>
      </c>
    </row>
    <row r="11466" customFormat="false" ht="15" hidden="false" customHeight="false" outlineLevel="0" collapsed="false">
      <c r="A11466" s="3" t="s">
        <v>360</v>
      </c>
      <c r="G11466" s="25" t="n">
        <f aca="false">Assumptions!$O$56*G11400+Assumptions!$O$57*G11413+Assumptions!$O$58*G11426</f>
        <v>1315.098</v>
      </c>
      <c r="H11466" s="25" t="n">
        <f aca="false">Assumptions!$O$56*H11400+Assumptions!$O$57*H11413+Assumptions!$O$58*H11426</f>
        <v>1315.098</v>
      </c>
      <c r="I11466" s="25" t="n">
        <f aca="false">Assumptions!$O$56*I11400+Assumptions!$O$57*I11413+Assumptions!$O$58*I11426</f>
        <v>1315.098</v>
      </c>
      <c r="J11466" s="25" t="n">
        <f aca="false">Assumptions!$O$56*J11400+Assumptions!$O$57*J11413+Assumptions!$O$58*J11426</f>
        <v>1315.098</v>
      </c>
      <c r="K11466" s="25" t="n">
        <f aca="false">Assumptions!$O$56*K11400+Assumptions!$O$57*K11413+Assumptions!$O$58*K11426</f>
        <v>1315.098</v>
      </c>
    </row>
    <row r="11467" customFormat="false" ht="15" hidden="false" customHeight="false" outlineLevel="0" collapsed="false">
      <c r="A11467" s="3" t="s">
        <v>361</v>
      </c>
      <c r="G11467" s="25" t="n">
        <f aca="false">G11465-G11458</f>
        <v>1145.69064597</v>
      </c>
      <c r="H11467" s="25" t="n">
        <f aca="false">H11465-H11458</f>
        <v>1029.5366262012</v>
      </c>
      <c r="I11467" s="25" t="n">
        <f aca="false">I11465-I11458</f>
        <v>924.522622233096</v>
      </c>
      <c r="J11467" s="25" t="n">
        <f aca="false">J11465-J11458</f>
        <v>815.657374029684</v>
      </c>
      <c r="K11467" s="25" t="n">
        <f aca="false">K11465-K11458</f>
        <v>715.969651150905</v>
      </c>
    </row>
    <row r="11468" customFormat="false" ht="15" hidden="false" customHeight="false" outlineLevel="0" collapsed="false">
      <c r="A11468" s="3" t="s">
        <v>362</v>
      </c>
      <c r="G11468" s="32" t="n">
        <f aca="false">IF(G11363&gt;0,G11465/G11363,0)</f>
        <v>5.77916207762031</v>
      </c>
      <c r="H11468" s="32" t="n">
        <f aca="false">IF(H11363&gt;0,H11465/H11363,0)</f>
        <v>6.01996049752115</v>
      </c>
      <c r="I11468" s="32" t="n">
        <f aca="false">IF(I11363&gt;0,I11465/I11363,0)</f>
        <v>4.79551511119407</v>
      </c>
      <c r="J11468" s="32" t="n">
        <f aca="false">IF(J11363&gt;0,J11465/J11363,0)</f>
        <v>5.01653339406293</v>
      </c>
      <c r="K11468" s="32" t="n">
        <f aca="false">IF(K11363&gt;0,K11465/K11363,0)</f>
        <v>5.2488732235156</v>
      </c>
    </row>
    <row r="11469" customFormat="false" ht="15" hidden="false" customHeight="false" outlineLevel="0" collapsed="false">
      <c r="A11469" s="3" t="s">
        <v>363</v>
      </c>
      <c r="G11469" s="32" t="n">
        <f aca="false">IF(G11363&gt;0,G11467/G11363,0)</f>
        <v>3.81499621093561</v>
      </c>
      <c r="H11469" s="32" t="n">
        <f aca="false">IF(H11363&gt;0,H11467/H11363,0)</f>
        <v>3.57106135590274</v>
      </c>
      <c r="I11469" s="32" t="n">
        <f aca="false">IF(I11363&gt;0,I11467/I11363,0)</f>
        <v>3.37127895073947</v>
      </c>
      <c r="J11469" s="32" t="n">
        <f aca="false">IF(J11363&gt;0,J11467/J11363,0)</f>
        <v>3.11138215930188</v>
      </c>
      <c r="K11469" s="32" t="n">
        <f aca="false">IF(K11363&gt;0,K11467/K11363,0)</f>
        <v>2.85760751729209</v>
      </c>
    </row>
    <row r="11470" customFormat="false" ht="15" hidden="false" customHeight="false" outlineLevel="0" collapsed="false">
      <c r="A11470" s="3" t="s">
        <v>364</v>
      </c>
      <c r="G11470" s="32" t="n">
        <f aca="false">IF(G11367&gt;0,G11363/G11367,0)</f>
        <v>1.92563899625449</v>
      </c>
      <c r="H11470" s="32" t="n">
        <f aca="false">IF(H11367&gt;0,H11363/H11367,0)</f>
        <v>1.84861343640431</v>
      </c>
      <c r="I11470" s="32" t="n">
        <f aca="false">IF(I11367&gt;0,I11363/I11367,0)</f>
        <v>1.75842750947116</v>
      </c>
      <c r="J11470" s="32" t="n">
        <f aca="false">IF(J11367&gt;0,J11363/J11367,0)</f>
        <v>1.89848422719182</v>
      </c>
      <c r="K11470" s="32" t="n">
        <f aca="false">IF(K11367&gt;0,K11363/K11367,0)</f>
        <v>1.81444838125289</v>
      </c>
    </row>
    <row r="11471" customFormat="false" ht="15" hidden="false" customHeight="false" outlineLevel="0" collapsed="false">
      <c r="A11471" s="3" t="s">
        <v>365</v>
      </c>
      <c r="G11471" s="32" t="n">
        <f aca="false">IF(G11367&gt;0,G11366/G11367,0)</f>
        <v>1.25417683356324</v>
      </c>
      <c r="H11471" s="32" t="n">
        <f aca="false">IF(H11367&gt;0,H11366/H11367,0)</f>
        <v>1.20400976022071</v>
      </c>
      <c r="I11471" s="32" t="n">
        <f aca="false">IF(I11367&gt;0,I11366/I11367,0)</f>
        <v>1.13638496195398</v>
      </c>
      <c r="J11471" s="32" t="n">
        <f aca="false">IF(J11367&gt;0,J11366/J11367,0)</f>
        <v>1.21702042306555</v>
      </c>
      <c r="K11471" s="32" t="n">
        <f aca="false">IF(K11367&gt;0,K11366/K11367,0)</f>
        <v>1.1534284912504</v>
      </c>
    </row>
    <row r="11472" customFormat="false" ht="15" hidden="false" customHeight="false" outlineLevel="0" collapsed="false">
      <c r="A11472" s="3" t="s">
        <v>198</v>
      </c>
      <c r="G11472" s="21" t="n">
        <f aca="false">IF(G11465&gt;0,G11376/G11465,0)</f>
        <v>0.0725228682196002</v>
      </c>
      <c r="H11472" s="21" t="n">
        <f aca="false">IF(H11465&gt;0,H11376/H11465,0)</f>
        <v>0.0669261917340515</v>
      </c>
      <c r="I11472" s="21" t="n">
        <f aca="false">IF(I11465&gt;0,I11376/I11465,0)</f>
        <v>0.0798526071578726</v>
      </c>
      <c r="J11472" s="21" t="n">
        <f aca="false">IF(J11465&gt;0,J11376/J11465,0)</f>
        <v>0.0827810917539313</v>
      </c>
      <c r="K11472" s="21" t="n">
        <f aca="false">IF(K11465&gt;0,K11376/K11465,0)</f>
        <v>0.0758025051203631</v>
      </c>
    </row>
    <row r="11473" customFormat="false" ht="15" hidden="false" customHeight="false" outlineLevel="0" collapsed="false">
      <c r="A11473" s="3" t="s">
        <v>366</v>
      </c>
      <c r="G11473" s="32" t="n">
        <f aca="false">IF(G11367+G11449&gt;0,(G11363-G11374-G11371)/(G11367+G11449),0)</f>
        <v>1.66953088823823</v>
      </c>
      <c r="H11473" s="32" t="n">
        <f aca="false">IF(H11367+H11449&gt;0,(H11363-H11374-H11371)/(H11367+H11449),0)</f>
        <v>1.6127496527087</v>
      </c>
      <c r="I11473" s="32" t="n">
        <f aca="false">IF(I11367+I11449&gt;0,(I11363-I11374-I11371)/(I11367+I11449),0)</f>
        <v>1.54594007236964</v>
      </c>
      <c r="J11473" s="32" t="n">
        <f aca="false">IF(J11367+J11449&gt;0,(J11363-J11374-J11371)/(J11367+J11449),0)</f>
        <v>1.64879692156745</v>
      </c>
      <c r="K11473" s="32" t="n">
        <f aca="false">IF(K11367+K11449&gt;0,(K11363-K11374-K11371)/(K11367+K11449),0)</f>
        <v>1.58652202457805</v>
      </c>
    </row>
    <row r="11474" customFormat="false" ht="15" hidden="false" customHeight="false" outlineLevel="0" collapsed="false">
      <c r="A11474" s="3" t="s">
        <v>367</v>
      </c>
      <c r="G11474" s="25" t="n">
        <f aca="false">MAX(0,G11458)+Assumptions!$P$56*MAX(0,Assumptions!$D$56-G11400)+Assumptions!$P$57*MAX(0,Assumptions!$D$57-G11413)+Assumptions!$P$58*MAX(0,Assumptions!$D$58-G11426)</f>
        <v>589.86335403</v>
      </c>
      <c r="H11474" s="25" t="n">
        <f aca="false">MAX(0,H11458)+Assumptions!$P$56*MAX(0,Assumptions!$D$56-H11400)+Assumptions!$P$57*MAX(0,Assumptions!$D$57-H11413)+Assumptions!$P$58*MAX(0,Assumptions!$D$58-H11426)</f>
        <v>706.0173737988</v>
      </c>
      <c r="I11474" s="25" t="n">
        <f aca="false">MAX(0,I11458)+Assumptions!$P$56*MAX(0,Assumptions!$D$56-I11400)+Assumptions!$P$57*MAX(0,Assumptions!$D$57-I11413)+Assumptions!$P$58*MAX(0,Assumptions!$D$58-I11426)</f>
        <v>390.575377766904</v>
      </c>
      <c r="J11474" s="25" t="n">
        <f aca="false">MAX(0,J11458)+Assumptions!$P$56*MAX(0,Assumptions!$D$56-J11400)+Assumptions!$P$57*MAX(0,Assumptions!$D$57-J11413)+Assumptions!$P$58*MAX(0,Assumptions!$D$58-J11426)</f>
        <v>499.440625970316</v>
      </c>
      <c r="K11474" s="25" t="n">
        <f aca="false">MAX(0,K11458)+Assumptions!$P$56*MAX(0,Assumptions!$D$56-K11400)+Assumptions!$P$57*MAX(0,Assumptions!$D$57-K11413)+Assumptions!$P$58*MAX(0,Assumptions!$D$58-K11426)</f>
        <v>599.128348849095</v>
      </c>
    </row>
    <row r="11475" customFormat="false" ht="15" hidden="false" customHeight="false" outlineLevel="0" collapsed="false">
      <c r="A11475" s="3" t="s">
        <v>368</v>
      </c>
      <c r="G11475" s="21" t="n">
        <f aca="false">IF(G11465&gt;0,G11465/(G11465+MAX(0,G11363*CHOOSE($C$11346,Assumptions!$C$82,Assumptions!$C$101,Assumptions!$C$120)-G11467)),0)</f>
        <v>0.774254240974845</v>
      </c>
      <c r="H11475" s="21" t="n">
        <f aca="false">IF(H11465&gt;0,H11465/(H11465+MAX(0,H11363*CHOOSE($C$11346,Assumptions!$C$82,Assumptions!$C$101,Assumptions!$C$120)-H11467)),0)</f>
        <v>0.757332605467614</v>
      </c>
      <c r="I11475" s="21" t="n">
        <f aca="false">IF(I11465&gt;0,I11465/(I11465+MAX(0,I11363*CHOOSE($C$11346,Assumptions!$C$82,Assumptions!$C$101,Assumptions!$C$120)-I11467)),0)</f>
        <v>0.692569548476987</v>
      </c>
      <c r="J11475" s="21" t="n">
        <f aca="false">IF(J11465&gt;0,J11465/(J11465+MAX(0,J11363*CHOOSE($C$11346,Assumptions!$C$82,Assumptions!$C$101,Assumptions!$C$120)-J11467)),0)</f>
        <v>0.677438344609961</v>
      </c>
      <c r="K11475" s="21" t="n">
        <f aca="false">IF(K11465&gt;0,K11465/(K11465+MAX(0,K11363*CHOOSE($C$11346,Assumptions!$C$82,Assumptions!$C$101,Assumptions!$C$120)-K11467)),0)</f>
        <v>0.665149726155595</v>
      </c>
    </row>
    <row r="11476" customFormat="false" ht="15" hidden="false" customHeight="false" outlineLevel="0" collapsed="false">
      <c r="A11476" s="3" t="s">
        <v>369</v>
      </c>
      <c r="G11476" s="21" t="n">
        <f aca="false">IF(G11465&gt;0,MAX(0,G11458)/G11465,0)</f>
        <v>0.339870354958705</v>
      </c>
      <c r="H11476" s="21" t="n">
        <f aca="false">IF(H11465&gt;0,MAX(0,H11458)/H11465,0)</f>
        <v>0.406796546692756</v>
      </c>
      <c r="I11476" s="21" t="n">
        <f aca="false">IF(I11465&gt;0,MAX(0,I11458)/I11465,0)</f>
        <v>0.296993363055</v>
      </c>
      <c r="J11476" s="21" t="n">
        <f aca="false">IF(J11465&gt;0,MAX(0,J11458)/J11465,0)</f>
        <v>0.379774454808931</v>
      </c>
      <c r="K11476" s="21" t="n">
        <f aca="false">IF(K11465&gt;0,MAX(0,K11458)/K11465,0)</f>
        <v>0.455576959929294</v>
      </c>
    </row>
    <row r="11477" customFormat="false" ht="15" hidden="false" customHeight="false" outlineLevel="0" collapsed="false">
      <c r="A11477" s="3" t="s">
        <v>370</v>
      </c>
      <c r="G11477" s="25" t="n">
        <f aca="false">Assumptions!$C$30*(1-CHOOSE($C$11346,Assumptions!$C$85,Assumptions!$C$104,Assumptions!$C$123))</f>
        <v>2454.971</v>
      </c>
      <c r="H11477" s="25" t="n">
        <f aca="false">Assumptions!$C$30*(1-CHOOSE($C$11346,Assumptions!$C$85,Assumptions!$C$104,Assumptions!$C$123))</f>
        <v>2454.971</v>
      </c>
      <c r="I11477" s="25" t="n">
        <f aca="false">Assumptions!$C$30*(1-CHOOSE($C$11346,Assumptions!$C$85,Assumptions!$C$104,Assumptions!$C$123))</f>
        <v>2454.971</v>
      </c>
      <c r="J11477" s="25" t="n">
        <f aca="false">Assumptions!$C$30*(1-CHOOSE($C$11346,Assumptions!$C$85,Assumptions!$C$104,Assumptions!$C$123))</f>
        <v>2454.971</v>
      </c>
      <c r="K11477" s="25" t="n">
        <f aca="false">Assumptions!$C$30*(1-CHOOSE($C$11346,Assumptions!$C$85,Assumptions!$C$104,Assumptions!$C$123))</f>
        <v>2454.971</v>
      </c>
    </row>
    <row r="11478" customFormat="false" ht="15" hidden="false" customHeight="false" outlineLevel="0" collapsed="false">
      <c r="A11478" s="23" t="s">
        <v>371</v>
      </c>
      <c r="B11478" s="24"/>
      <c r="C11478" s="24"/>
      <c r="D11478" s="24"/>
      <c r="E11478" s="24"/>
      <c r="F11478" s="24"/>
      <c r="G11478" s="24"/>
      <c r="H11478" s="24"/>
      <c r="I11478" s="24"/>
      <c r="J11478" s="24"/>
      <c r="K11478" s="24"/>
    </row>
    <row r="11479" customFormat="false" ht="15" hidden="false" customHeight="false" outlineLevel="0" collapsed="false">
      <c r="A11479" s="23" t="s">
        <v>372</v>
      </c>
      <c r="B11479" s="24"/>
      <c r="C11479" s="24"/>
      <c r="D11479" s="24"/>
      <c r="E11479" s="24"/>
      <c r="F11479" s="24"/>
      <c r="G11479" s="24"/>
      <c r="H11479" s="24"/>
      <c r="I11479" s="24"/>
      <c r="J11479" s="24"/>
      <c r="K11479" s="24"/>
    </row>
    <row r="11480" customFormat="false" ht="15" hidden="false" customHeight="false" outlineLevel="0" collapsed="false">
      <c r="A11480" s="3" t="s">
        <v>373</v>
      </c>
      <c r="G11480" s="32" t="n">
        <f aca="false">IF(G11363&gt;0,G11467/G11363,99)</f>
        <v>3.81499621093561</v>
      </c>
      <c r="H11480" s="32" t="n">
        <f aca="false">IF(H11363&gt;0,H11467/H11363,99)</f>
        <v>3.57106135590274</v>
      </c>
      <c r="I11480" s="32" t="n">
        <f aca="false">IF(I11363&gt;0,I11467/I11363,99)</f>
        <v>3.37127895073947</v>
      </c>
      <c r="J11480" s="32" t="n">
        <f aca="false">IF(J11363&gt;0,J11467/J11363,99)</f>
        <v>3.11138215930188</v>
      </c>
      <c r="K11480" s="32" t="n">
        <f aca="false">IF(K11363&gt;0,K11467/K11363,99)</f>
        <v>2.85760751729209</v>
      </c>
    </row>
    <row r="11481" customFormat="false" ht="15" hidden="false" customHeight="false" outlineLevel="0" collapsed="false">
      <c r="A11481" s="3" t="s">
        <v>374</v>
      </c>
      <c r="G11481" s="33" t="n">
        <f aca="false">Assumptions!$G$65</f>
        <v>5.25</v>
      </c>
      <c r="H11481" s="33" t="n">
        <f aca="false">Assumptions!$H$65</f>
        <v>5.25</v>
      </c>
      <c r="I11481" s="33" t="n">
        <f aca="false">Assumptions!$I$65</f>
        <v>5</v>
      </c>
      <c r="J11481" s="33" t="n">
        <f aca="false">Assumptions!$J$65</f>
        <v>5</v>
      </c>
      <c r="K11481" s="33" t="n">
        <f aca="false">Assumptions!$K$65</f>
        <v>5</v>
      </c>
    </row>
    <row r="11482" customFormat="false" ht="15" hidden="false" customHeight="false" outlineLevel="0" collapsed="false">
      <c r="A11482" s="3" t="s">
        <v>375</v>
      </c>
      <c r="G11482" s="32" t="n">
        <f aca="false">G11481-G11480</f>
        <v>1.43500378906439</v>
      </c>
      <c r="H11482" s="32" t="n">
        <f aca="false">H11481-H11480</f>
        <v>1.67893864409726</v>
      </c>
      <c r="I11482" s="32" t="n">
        <f aca="false">I11481-I11480</f>
        <v>1.62872104926053</v>
      </c>
      <c r="J11482" s="32" t="n">
        <f aca="false">J11481-J11480</f>
        <v>1.88861784069812</v>
      </c>
      <c r="K11482" s="32" t="n">
        <f aca="false">K11481-K11480</f>
        <v>2.14239248270791</v>
      </c>
    </row>
    <row r="11483" customFormat="false" ht="15" hidden="false" customHeight="false" outlineLevel="0" collapsed="false">
      <c r="A11483" s="3" t="s">
        <v>376</v>
      </c>
      <c r="G11483" s="21" t="n">
        <f aca="false">IF(G11481=0,0,G11482/ABS(G11481))</f>
        <v>0.273334055059884</v>
      </c>
      <c r="H11483" s="21" t="n">
        <f aca="false">IF(H11481=0,0,H11482/ABS(H11481))</f>
        <v>0.319797836970907</v>
      </c>
      <c r="I11483" s="21" t="n">
        <f aca="false">IF(I11481=0,0,I11482/ABS(I11481))</f>
        <v>0.325744209852106</v>
      </c>
      <c r="J11483" s="21" t="n">
        <f aca="false">IF(J11481=0,0,J11482/ABS(J11481))</f>
        <v>0.377723568139623</v>
      </c>
      <c r="K11483" s="21" t="n">
        <f aca="false">IF(K11481=0,0,K11482/ABS(K11481))</f>
        <v>0.428478496541582</v>
      </c>
    </row>
    <row r="11484" customFormat="false" ht="15" hidden="false" customHeight="false" outlineLevel="0" collapsed="false">
      <c r="A11484" s="3" t="s">
        <v>377</v>
      </c>
      <c r="G11484" s="20" t="n">
        <f aca="false">IF(G11482&lt;0,1,0)</f>
        <v>0</v>
      </c>
      <c r="H11484" s="20" t="n">
        <f aca="false">IF(H11482&lt;0,1,0)</f>
        <v>0</v>
      </c>
      <c r="I11484" s="20" t="n">
        <f aca="false">IF(I11482&lt;0,1,0)</f>
        <v>0</v>
      </c>
      <c r="J11484" s="20" t="n">
        <f aca="false">IF(J11482&lt;0,1,0)</f>
        <v>0</v>
      </c>
      <c r="K11484" s="20" t="n">
        <f aca="false">IF(K11482&lt;0,1,0)</f>
        <v>0</v>
      </c>
    </row>
    <row r="11485" customFormat="false" ht="15" hidden="false" customHeight="false" outlineLevel="0" collapsed="false">
      <c r="A11485" s="3" t="s">
        <v>378</v>
      </c>
      <c r="C11485" s="20" t="n">
        <f aca="false">IFERROR(INDEX($G$11353:$K$11353,MATCH(1,$G$11484:$K$11484,0)),0)</f>
        <v>0</v>
      </c>
    </row>
    <row r="11486" customFormat="false" ht="15" hidden="false" customHeight="false" outlineLevel="0" collapsed="false">
      <c r="A11486" s="3" t="s">
        <v>379</v>
      </c>
      <c r="C11486" s="21" t="n">
        <f aca="false">MIN($G$11483:$K$11483)</f>
        <v>0.273334055059884</v>
      </c>
    </row>
    <row r="11487" customFormat="false" ht="15" hidden="false" customHeight="false" outlineLevel="0" collapsed="false">
      <c r="A11487" s="23" t="s">
        <v>380</v>
      </c>
      <c r="B11487" s="24"/>
      <c r="C11487" s="24"/>
      <c r="D11487" s="24"/>
      <c r="E11487" s="24"/>
      <c r="F11487" s="24"/>
      <c r="G11487" s="24"/>
      <c r="H11487" s="24"/>
      <c r="I11487" s="24"/>
      <c r="J11487" s="24"/>
      <c r="K11487" s="24"/>
    </row>
    <row r="11488" customFormat="false" ht="15" hidden="false" customHeight="false" outlineLevel="0" collapsed="false">
      <c r="A11488" s="3" t="s">
        <v>373</v>
      </c>
      <c r="G11488" s="32" t="n">
        <f aca="false">IF(G11367&gt;0,G11363/G11367,99)</f>
        <v>1.92563899625449</v>
      </c>
      <c r="H11488" s="32" t="n">
        <f aca="false">IF(H11367&gt;0,H11363/H11367,99)</f>
        <v>1.84861343640431</v>
      </c>
      <c r="I11488" s="32" t="n">
        <f aca="false">IF(I11367&gt;0,I11363/I11367,99)</f>
        <v>1.75842750947116</v>
      </c>
      <c r="J11488" s="32" t="n">
        <f aca="false">IF(J11367&gt;0,J11363/J11367,99)</f>
        <v>1.89848422719182</v>
      </c>
      <c r="K11488" s="32" t="n">
        <f aca="false">IF(K11367&gt;0,K11363/K11367,99)</f>
        <v>1.81444838125289</v>
      </c>
    </row>
    <row r="11489" customFormat="false" ht="15" hidden="false" customHeight="false" outlineLevel="0" collapsed="false">
      <c r="A11489" s="3" t="s">
        <v>374</v>
      </c>
      <c r="G11489" s="33" t="n">
        <f aca="false">Assumptions!$G$66</f>
        <v>1.4</v>
      </c>
      <c r="H11489" s="33" t="n">
        <f aca="false">Assumptions!$H$66</f>
        <v>1.4</v>
      </c>
      <c r="I11489" s="33" t="n">
        <f aca="false">Assumptions!$I$66</f>
        <v>1.4</v>
      </c>
      <c r="J11489" s="33" t="n">
        <f aca="false">Assumptions!$J$66</f>
        <v>1.5</v>
      </c>
      <c r="K11489" s="33" t="n">
        <f aca="false">Assumptions!$K$66</f>
        <v>1.5</v>
      </c>
    </row>
    <row r="11490" customFormat="false" ht="15" hidden="false" customHeight="false" outlineLevel="0" collapsed="false">
      <c r="A11490" s="3" t="s">
        <v>375</v>
      </c>
      <c r="G11490" s="32" t="n">
        <f aca="false">G11488-G11489</f>
        <v>0.525638996254489</v>
      </c>
      <c r="H11490" s="32" t="n">
        <f aca="false">H11488-H11489</f>
        <v>0.448613436404309</v>
      </c>
      <c r="I11490" s="32" t="n">
        <f aca="false">I11488-I11489</f>
        <v>0.358427509471156</v>
      </c>
      <c r="J11490" s="32" t="n">
        <f aca="false">J11488-J11489</f>
        <v>0.398484227191822</v>
      </c>
      <c r="K11490" s="32" t="n">
        <f aca="false">K11488-K11489</f>
        <v>0.31444838125289</v>
      </c>
    </row>
    <row r="11491" customFormat="false" ht="15" hidden="false" customHeight="false" outlineLevel="0" collapsed="false">
      <c r="A11491" s="3" t="s">
        <v>376</v>
      </c>
      <c r="G11491" s="21" t="n">
        <f aca="false">IF(G11489=0,0,G11490/ABS(G11489))</f>
        <v>0.375456425896063</v>
      </c>
      <c r="H11491" s="21" t="n">
        <f aca="false">IF(H11489=0,0,H11490/ABS(H11489))</f>
        <v>0.320438168860221</v>
      </c>
      <c r="I11491" s="21" t="n">
        <f aca="false">IF(I11489=0,0,I11490/ABS(I11489))</f>
        <v>0.256019649622254</v>
      </c>
      <c r="J11491" s="21" t="n">
        <f aca="false">IF(J11489=0,0,J11490/ABS(J11489))</f>
        <v>0.265656151461215</v>
      </c>
      <c r="K11491" s="21" t="n">
        <f aca="false">IF(K11489=0,0,K11490/ABS(K11489))</f>
        <v>0.209632254168593</v>
      </c>
    </row>
    <row r="11492" customFormat="false" ht="15" hidden="false" customHeight="false" outlineLevel="0" collapsed="false">
      <c r="A11492" s="3" t="s">
        <v>377</v>
      </c>
      <c r="G11492" s="20" t="n">
        <f aca="false">IF(G11490&lt;0,1,0)</f>
        <v>0</v>
      </c>
      <c r="H11492" s="20" t="n">
        <f aca="false">IF(H11490&lt;0,1,0)</f>
        <v>0</v>
      </c>
      <c r="I11492" s="20" t="n">
        <f aca="false">IF(I11490&lt;0,1,0)</f>
        <v>0</v>
      </c>
      <c r="J11492" s="20" t="n">
        <f aca="false">IF(J11490&lt;0,1,0)</f>
        <v>0</v>
      </c>
      <c r="K11492" s="20" t="n">
        <f aca="false">IF(K11490&lt;0,1,0)</f>
        <v>0</v>
      </c>
    </row>
    <row r="11493" customFormat="false" ht="15" hidden="false" customHeight="false" outlineLevel="0" collapsed="false">
      <c r="A11493" s="3" t="s">
        <v>378</v>
      </c>
      <c r="C11493" s="20" t="n">
        <f aca="false">IFERROR(INDEX($G$11353:$K$11353,MATCH(1,$G$11492:$K$11492,0)),0)</f>
        <v>0</v>
      </c>
    </row>
    <row r="11494" customFormat="false" ht="15" hidden="false" customHeight="false" outlineLevel="0" collapsed="false">
      <c r="A11494" s="3" t="s">
        <v>379</v>
      </c>
      <c r="C11494" s="21" t="n">
        <f aca="false">MIN($G$11491:$K$11491)</f>
        <v>0.209632254168593</v>
      </c>
    </row>
    <row r="11495" customFormat="false" ht="15" hidden="false" customHeight="false" outlineLevel="0" collapsed="false">
      <c r="A11495" s="23" t="s">
        <v>381</v>
      </c>
      <c r="B11495" s="24"/>
      <c r="C11495" s="24"/>
      <c r="D11495" s="24"/>
      <c r="E11495" s="24"/>
      <c r="F11495" s="24"/>
      <c r="G11495" s="24"/>
      <c r="H11495" s="24"/>
      <c r="I11495" s="24"/>
      <c r="J11495" s="24"/>
      <c r="K11495" s="24"/>
    </row>
    <row r="11496" customFormat="false" ht="15" hidden="false" customHeight="false" outlineLevel="0" collapsed="false">
      <c r="A11496" s="3" t="s">
        <v>373</v>
      </c>
      <c r="G11496" s="25" t="n">
        <f aca="false">G11474</f>
        <v>589.86335403</v>
      </c>
      <c r="H11496" s="25" t="n">
        <f aca="false">H11474</f>
        <v>706.0173737988</v>
      </c>
      <c r="I11496" s="25" t="n">
        <f aca="false">I11474</f>
        <v>390.575377766904</v>
      </c>
      <c r="J11496" s="25" t="n">
        <f aca="false">J11474</f>
        <v>499.440625970316</v>
      </c>
      <c r="K11496" s="25" t="n">
        <f aca="false">K11474</f>
        <v>599.128348849095</v>
      </c>
    </row>
    <row r="11497" customFormat="false" ht="15" hidden="false" customHeight="false" outlineLevel="0" collapsed="false">
      <c r="A11497" s="3" t="s">
        <v>374</v>
      </c>
      <c r="G11497" s="29" t="n">
        <f aca="false">Assumptions!$G$67</f>
        <v>200</v>
      </c>
      <c r="H11497" s="29" t="n">
        <f aca="false">Assumptions!$H$67</f>
        <v>200</v>
      </c>
      <c r="I11497" s="29" t="n">
        <f aca="false">Assumptions!$I$67</f>
        <v>200</v>
      </c>
      <c r="J11497" s="29" t="n">
        <f aca="false">Assumptions!$J$67</f>
        <v>200</v>
      </c>
      <c r="K11497" s="29" t="n">
        <f aca="false">Assumptions!$K$67</f>
        <v>200</v>
      </c>
    </row>
    <row r="11498" customFormat="false" ht="15" hidden="false" customHeight="false" outlineLevel="0" collapsed="false">
      <c r="A11498" s="3" t="s">
        <v>375</v>
      </c>
      <c r="G11498" s="25" t="n">
        <f aca="false">G11496-G11497</f>
        <v>389.86335403</v>
      </c>
      <c r="H11498" s="25" t="n">
        <f aca="false">H11496-H11497</f>
        <v>506.0173737988</v>
      </c>
      <c r="I11498" s="25" t="n">
        <f aca="false">I11496-I11497</f>
        <v>190.575377766904</v>
      </c>
      <c r="J11498" s="25" t="n">
        <f aca="false">J11496-J11497</f>
        <v>299.440625970316</v>
      </c>
      <c r="K11498" s="25" t="n">
        <f aca="false">K11496-K11497</f>
        <v>399.128348849095</v>
      </c>
    </row>
    <row r="11499" customFormat="false" ht="15" hidden="false" customHeight="false" outlineLevel="0" collapsed="false">
      <c r="A11499" s="3" t="s">
        <v>376</v>
      </c>
      <c r="G11499" s="21" t="n">
        <f aca="false">IF(G11497=0,0,G11498/ABS(G11497))</f>
        <v>1.94931677015</v>
      </c>
      <c r="H11499" s="21" t="n">
        <f aca="false">IF(H11497=0,0,H11498/ABS(H11497))</f>
        <v>2.530086868994</v>
      </c>
      <c r="I11499" s="21" t="n">
        <f aca="false">IF(I11497=0,0,I11498/ABS(I11497))</f>
        <v>0.95287688883452</v>
      </c>
      <c r="J11499" s="21" t="n">
        <f aca="false">IF(J11497=0,0,J11498/ABS(J11497))</f>
        <v>1.49720312985158</v>
      </c>
      <c r="K11499" s="21" t="n">
        <f aca="false">IF(K11497=0,0,K11498/ABS(K11497))</f>
        <v>1.99564174424547</v>
      </c>
    </row>
    <row r="11500" customFormat="false" ht="15" hidden="false" customHeight="false" outlineLevel="0" collapsed="false">
      <c r="A11500" s="3" t="s">
        <v>377</v>
      </c>
      <c r="G11500" s="20" t="n">
        <f aca="false">IF(G11498&lt;0,1,0)</f>
        <v>0</v>
      </c>
      <c r="H11500" s="20" t="n">
        <f aca="false">IF(H11498&lt;0,1,0)</f>
        <v>0</v>
      </c>
      <c r="I11500" s="20" t="n">
        <f aca="false">IF(I11498&lt;0,1,0)</f>
        <v>0</v>
      </c>
      <c r="J11500" s="20" t="n">
        <f aca="false">IF(J11498&lt;0,1,0)</f>
        <v>0</v>
      </c>
      <c r="K11500" s="20" t="n">
        <f aca="false">IF(K11498&lt;0,1,0)</f>
        <v>0</v>
      </c>
    </row>
    <row r="11501" customFormat="false" ht="15" hidden="false" customHeight="false" outlineLevel="0" collapsed="false">
      <c r="A11501" s="3" t="s">
        <v>378</v>
      </c>
      <c r="C11501" s="20" t="n">
        <f aca="false">IFERROR(INDEX($G$11353:$K$11353,MATCH(1,$G$11500:$K$11500,0)),0)</f>
        <v>0</v>
      </c>
    </row>
    <row r="11502" customFormat="false" ht="15" hidden="false" customHeight="false" outlineLevel="0" collapsed="false">
      <c r="A11502" s="3" t="s">
        <v>379</v>
      </c>
      <c r="C11502" s="21" t="n">
        <f aca="false">MIN($G$11499:$K$11499)</f>
        <v>0.95287688883452</v>
      </c>
    </row>
    <row r="11503" customFormat="false" ht="15" hidden="false" customHeight="false" outlineLevel="0" collapsed="false">
      <c r="A11503" s="3" t="s">
        <v>382</v>
      </c>
      <c r="G11503" s="20" t="n">
        <f aca="false">G11484+G11492+G11500</f>
        <v>0</v>
      </c>
      <c r="H11503" s="20" t="n">
        <f aca="false">H11484+H11492+H11500</f>
        <v>0</v>
      </c>
      <c r="I11503" s="20" t="n">
        <f aca="false">I11484+I11492+I11500</f>
        <v>0</v>
      </c>
      <c r="J11503" s="20" t="n">
        <f aca="false">J11484+J11492+J11500</f>
        <v>0</v>
      </c>
      <c r="K11503" s="20" t="n">
        <f aca="false">K11484+K11492+K11500</f>
        <v>0</v>
      </c>
    </row>
    <row r="11504" customFormat="false" ht="15" hidden="false" customHeight="false" outlineLevel="0" collapsed="false">
      <c r="A11504" s="3" t="s">
        <v>383</v>
      </c>
      <c r="C11504" s="20" t="n">
        <f aca="false">SUM($G$11503:$K$11503)</f>
        <v>0</v>
      </c>
    </row>
    <row r="11505" customFormat="false" ht="15" hidden="false" customHeight="false" outlineLevel="0" collapsed="false">
      <c r="A11505" s="3" t="s">
        <v>384</v>
      </c>
      <c r="C11505" s="21" t="n">
        <f aca="false">MIN(C11486,C11494,C11502)</f>
        <v>0.209632254168593</v>
      </c>
    </row>
    <row r="11507" customFormat="false" ht="15" hidden="false" customHeight="false" outlineLevel="0" collapsed="false">
      <c r="A11507" s="23" t="s">
        <v>486</v>
      </c>
      <c r="B11507" s="24"/>
      <c r="C11507" s="24"/>
      <c r="D11507" s="24"/>
      <c r="E11507" s="24"/>
      <c r="F11507" s="24"/>
      <c r="G11507" s="24"/>
      <c r="H11507" s="24"/>
      <c r="I11507" s="24"/>
      <c r="J11507" s="24"/>
      <c r="K11507" s="24"/>
    </row>
    <row r="11508" customFormat="false" ht="15" hidden="false" customHeight="false" outlineLevel="0" collapsed="false">
      <c r="A11508" s="3" t="s">
        <v>487</v>
      </c>
      <c r="G11508" s="20" t="n">
        <f aca="false">IF($C$11509=1,G11461,IF(G11363=MIN($G$11363:$K$11363),1,0))</f>
        <v>0</v>
      </c>
      <c r="H11508" s="20" t="n">
        <f aca="false">IF($C$11509=1,H11461,IF(AND(H11363=MIN($G$11363:$K$11363),SUM($G$11508:G11508)=0),1,0))</f>
        <v>0</v>
      </c>
      <c r="I11508" s="20" t="n">
        <f aca="false">IF($C$11509=1,I11461,IF(AND(I11363=MIN($G$11363:$K$11363),SUM($G$11508:H11508)=0),1,0))</f>
        <v>0</v>
      </c>
      <c r="J11508" s="20" t="n">
        <f aca="false">IF($C$11509=1,J11461,IF(AND(J11363=MIN($G$11363:$K$11363),SUM($G$11508:I11508)=0),1,0))</f>
        <v>0</v>
      </c>
      <c r="K11508" s="20" t="n">
        <f aca="false">IF($C$11509=1,K11461,IF(AND(K11363=MIN($G$11363:$K$11363),SUM($G$11508:J11508)=0),1,0))</f>
        <v>1</v>
      </c>
    </row>
    <row r="11509" customFormat="false" ht="15" hidden="false" customHeight="false" outlineLevel="0" collapsed="false">
      <c r="A11509" s="3" t="s">
        <v>488</v>
      </c>
      <c r="C11509" s="20" t="n">
        <f aca="false">IF(SUM($G$11461:$K$11461)&gt;0,1,0)</f>
        <v>0</v>
      </c>
    </row>
    <row r="11510" customFormat="false" ht="15" hidden="false" customHeight="false" outlineLevel="0" collapsed="false">
      <c r="A11510" s="3" t="s">
        <v>489</v>
      </c>
      <c r="C11510" s="20" t="n">
        <f aca="false">SUMPRODUCT($G$11508:$K$11508,$G$11353:$K$11353)</f>
        <v>2031</v>
      </c>
    </row>
    <row r="11511" customFormat="false" ht="15" hidden="false" customHeight="false" outlineLevel="0" collapsed="false">
      <c r="A11511" s="3" t="s">
        <v>490</v>
      </c>
      <c r="C11511" s="25" t="n">
        <f aca="false">SUMPRODUCT($G$11508:$K$11508,$G$11363:$K$11363)</f>
        <v>250.548630915336</v>
      </c>
    </row>
    <row r="11512" customFormat="false" ht="15" hidden="false" customHeight="false" outlineLevel="0" collapsed="false">
      <c r="A11512" s="3" t="s">
        <v>491</v>
      </c>
      <c r="C11512" s="25" t="n">
        <f aca="false">MAX(0,SUMPRODUCT($G$11508:$K$11508,$G$11458:$K$11458))</f>
        <v>599.128348849095</v>
      </c>
    </row>
    <row r="11513" customFormat="false" ht="15" hidden="false" customHeight="false" outlineLevel="0" collapsed="false">
      <c r="A11513" s="3" t="s">
        <v>492</v>
      </c>
      <c r="C11513" s="25" t="n">
        <f aca="false">(CHOOSE($C$11346,Assumptions!$C$84,Assumptions!$C$103,Assumptions!$C$122)+$C$11350)*C11511</f>
        <v>1252.74315457668</v>
      </c>
    </row>
    <row r="11514" customFormat="false" ht="15" hidden="false" customHeight="false" outlineLevel="0" collapsed="false">
      <c r="A11514" s="3" t="s">
        <v>493</v>
      </c>
      <c r="C11514" s="25" t="n">
        <f aca="false">Assumptions!$C$30*(1-CHOOSE($C$11346,Assumptions!$C$85,Assumptions!$C$104,Assumptions!$C$123))*CHOOSE($C$11346,Assumptions!$C$86,Assumptions!$C$105,Assumptions!$C$124)</f>
        <v>736.4913</v>
      </c>
    </row>
    <row r="11515" customFormat="false" ht="15" hidden="false" customHeight="false" outlineLevel="0" collapsed="false">
      <c r="A11515" s="3" t="s">
        <v>494</v>
      </c>
      <c r="C11515" s="25" t="n">
        <f aca="false">MAX(C11513,C11514)+C11512</f>
        <v>1851.87150342577</v>
      </c>
    </row>
    <row r="11516" customFormat="false" ht="15" hidden="false" customHeight="false" outlineLevel="0" collapsed="false">
      <c r="A11516" s="2" t="s">
        <v>495</v>
      </c>
      <c r="C11516" s="16" t="n">
        <f aca="false">IF(ISNUMBER(Assumptions!$C$14),Assumptions!$C$14,C11515)</f>
        <v>1851.87150342577</v>
      </c>
    </row>
    <row r="11517" customFormat="false" ht="15" hidden="false" customHeight="false" outlineLevel="0" collapsed="false">
      <c r="A11517" s="3" t="s">
        <v>496</v>
      </c>
      <c r="C11517" s="25" t="n">
        <f aca="false">C11516*Assumptions!$C$15</f>
        <v>74.074860137031</v>
      </c>
    </row>
    <row r="11518" customFormat="false" ht="15" hidden="false" customHeight="false" outlineLevel="0" collapsed="false">
      <c r="A11518" s="2" t="s">
        <v>497</v>
      </c>
      <c r="C11518" s="16" t="n">
        <f aca="false">C11516-C11517</f>
        <v>1777.79664328874</v>
      </c>
    </row>
    <row r="11519" customFormat="false" ht="15" hidden="false" customHeight="false" outlineLevel="0" collapsed="false">
      <c r="A11519" s="23" t="s">
        <v>498</v>
      </c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</row>
    <row r="11520" customFormat="false" ht="15" hidden="false" customHeight="false" outlineLevel="0" collapsed="false">
      <c r="A11520" s="3" t="s">
        <v>499</v>
      </c>
      <c r="C11520" s="25" t="n">
        <f aca="false">SUMPRODUCT($G$11508:$K$11508,$G$11400:$K$11400)*(1+SUMPRODUCT($G$11508:$K$11508,$G$11392:$K$11392)*Assumptions!$C$16/12)</f>
        <v>1349.6193225</v>
      </c>
    </row>
    <row r="11521" customFormat="false" ht="15" hidden="false" customHeight="false" outlineLevel="0" collapsed="false">
      <c r="A11521" s="3" t="s">
        <v>500</v>
      </c>
      <c r="C11521" s="25" t="n">
        <f aca="false">SUMPRODUCT($G$11508:$K$11508,$G$11413:$K$11413)*(1+SUMPRODUCT($G$11508:$K$11508,$G$11405:$K$11405)*Assumptions!$C$16/12)</f>
        <v>0</v>
      </c>
    </row>
    <row r="11522" customFormat="false" ht="15" hidden="false" customHeight="false" outlineLevel="0" collapsed="false">
      <c r="A11522" s="3" t="s">
        <v>501</v>
      </c>
      <c r="C11522" s="25" t="n">
        <f aca="false">SUMPRODUCT($G$11508:$K$11508,$G$11426:$K$11426)*(1+SUMPRODUCT($G$11508:$K$11508,$G$11418:$K$11418)*Assumptions!$C$16/12)</f>
        <v>0</v>
      </c>
    </row>
    <row r="11523" customFormat="false" ht="15" hidden="false" customHeight="false" outlineLevel="0" collapsed="false">
      <c r="A11523" s="23" t="s">
        <v>502</v>
      </c>
      <c r="B11523" s="24"/>
      <c r="C11523" s="24"/>
      <c r="D11523" s="24"/>
      <c r="E11523" s="24"/>
      <c r="F11523" s="24"/>
      <c r="G11523" s="24"/>
      <c r="H11523" s="24"/>
      <c r="I11523" s="24"/>
      <c r="J11523" s="24"/>
      <c r="K11523" s="24"/>
    </row>
    <row r="11524" customFormat="false" ht="15" hidden="false" customHeight="false" outlineLevel="0" collapsed="false">
      <c r="A11524" s="3" t="s">
        <v>499</v>
      </c>
      <c r="C11524" s="27" t="n">
        <f aca="false">Assumptions!$M$56</f>
        <v>1</v>
      </c>
    </row>
    <row r="11525" customFormat="false" ht="15" hidden="false" customHeight="false" outlineLevel="0" collapsed="false">
      <c r="A11525" s="3" t="s">
        <v>500</v>
      </c>
      <c r="C11525" s="27" t="n">
        <f aca="false">Assumptions!$M$57</f>
        <v>2</v>
      </c>
    </row>
    <row r="11526" customFormat="false" ht="15" hidden="false" customHeight="false" outlineLevel="0" collapsed="false">
      <c r="A11526" s="3" t="s">
        <v>501</v>
      </c>
      <c r="C11526" s="27" t="n">
        <f aca="false">Assumptions!$M$58</f>
        <v>2</v>
      </c>
    </row>
    <row r="11527" customFormat="false" ht="15" hidden="false" customHeight="false" outlineLevel="0" collapsed="false">
      <c r="A11527" s="23" t="s">
        <v>503</v>
      </c>
      <c r="B11527" s="24"/>
      <c r="C11527" s="24"/>
      <c r="D11527" s="24"/>
      <c r="E11527" s="24"/>
      <c r="F11527" s="24"/>
      <c r="G11527" s="24"/>
      <c r="H11527" s="24"/>
      <c r="I11527" s="24"/>
      <c r="J11527" s="24"/>
      <c r="K11527" s="24"/>
    </row>
    <row r="11528" customFormat="false" ht="15" hidden="false" customHeight="false" outlineLevel="0" collapsed="false">
      <c r="A11528" s="3" t="s">
        <v>499</v>
      </c>
      <c r="C11528" s="35" t="n">
        <f aca="false">Assumptions!$Q$56</f>
        <v>0</v>
      </c>
    </row>
    <row r="11529" customFormat="false" ht="15" hidden="false" customHeight="false" outlineLevel="0" collapsed="false">
      <c r="A11529" s="3" t="s">
        <v>500</v>
      </c>
      <c r="C11529" s="35" t="n">
        <f aca="false">Assumptions!$Q$57</f>
        <v>0</v>
      </c>
    </row>
    <row r="11530" customFormat="false" ht="15" hidden="false" customHeight="false" outlineLevel="0" collapsed="false">
      <c r="A11530" s="3" t="s">
        <v>501</v>
      </c>
      <c r="C11530" s="35" t="n">
        <f aca="false">Assumptions!$Q$58</f>
        <v>0</v>
      </c>
    </row>
    <row r="11531" customFormat="false" ht="15" hidden="false" customHeight="false" outlineLevel="0" collapsed="false">
      <c r="A11531" s="23" t="s">
        <v>504</v>
      </c>
      <c r="B11531" s="24"/>
      <c r="C11531" s="24"/>
      <c r="D11531" s="24"/>
      <c r="E11531" s="24"/>
      <c r="F11531" s="24"/>
      <c r="G11531" s="24"/>
      <c r="H11531" s="24"/>
      <c r="I11531" s="24"/>
      <c r="J11531" s="24"/>
      <c r="K11531" s="24"/>
    </row>
    <row r="11532" customFormat="false" ht="15" hidden="false" customHeight="false" outlineLevel="0" collapsed="false">
      <c r="A11532" s="3" t="s">
        <v>499</v>
      </c>
      <c r="C11532" s="25" t="n">
        <f aca="false">IF(C11528&gt;0,MIN(C11520,C11528*$C$11518),0)</f>
        <v>0</v>
      </c>
    </row>
    <row r="11533" customFormat="false" ht="15" hidden="false" customHeight="false" outlineLevel="0" collapsed="false">
      <c r="A11533" s="3" t="s">
        <v>500</v>
      </c>
      <c r="C11533" s="25" t="n">
        <f aca="false">IF(C11529&gt;0,MIN(C11521,C11529*$C$11518),0)</f>
        <v>0</v>
      </c>
    </row>
    <row r="11534" customFormat="false" ht="15" hidden="false" customHeight="false" outlineLevel="0" collapsed="false">
      <c r="A11534" s="3" t="s">
        <v>501</v>
      </c>
      <c r="C11534" s="25" t="n">
        <f aca="false">IF(C11530&gt;0,MIN(C11522,C11530*$C$11518),0)</f>
        <v>0</v>
      </c>
    </row>
    <row r="11535" customFormat="false" ht="15" hidden="false" customHeight="false" outlineLevel="0" collapsed="false">
      <c r="A11535" s="23" t="s">
        <v>505</v>
      </c>
      <c r="B11535" s="24"/>
      <c r="C11535" s="24"/>
      <c r="D11535" s="24"/>
      <c r="E11535" s="24"/>
      <c r="F11535" s="24"/>
      <c r="G11535" s="24"/>
      <c r="H11535" s="24"/>
      <c r="I11535" s="24"/>
      <c r="J11535" s="24"/>
      <c r="K11535" s="24"/>
    </row>
    <row r="11536" customFormat="false" ht="15" hidden="false" customHeight="false" outlineLevel="0" collapsed="false">
      <c r="A11536" s="3" t="s">
        <v>499</v>
      </c>
      <c r="C11536" s="25" t="n">
        <f aca="false">IF(C11528&gt;0,C11520-C11532,0)</f>
        <v>0</v>
      </c>
      <c r="G11536" s="20" t="n">
        <f aca="false">IF(AND(G11390=1,G11387=1),1,0)</f>
        <v>0</v>
      </c>
      <c r="H11536" s="20" t="n">
        <f aca="false">IF(G11536=1,1,IF(AND(H11390=1,H11387=1),1,0))</f>
        <v>0</v>
      </c>
      <c r="I11536" s="20" t="n">
        <f aca="false">IF(H11536=1,1,IF(AND(I11390=1,I11387=1),1,0))</f>
        <v>0</v>
      </c>
      <c r="J11536" s="20" t="n">
        <f aca="false">IF(I11536=1,1,IF(AND(J11390=1,J11387=1),1,0))</f>
        <v>0</v>
      </c>
      <c r="K11536" s="20" t="n">
        <f aca="false">IF(J11536=1,1,IF(AND(K11390=1,K11387=1),1,0))</f>
        <v>0</v>
      </c>
    </row>
    <row r="11537" customFormat="false" ht="15" hidden="false" customHeight="false" outlineLevel="0" collapsed="false">
      <c r="A11537" s="3" t="s">
        <v>500</v>
      </c>
      <c r="C11537" s="25" t="n">
        <f aca="false">IF(C11529&gt;0,C11521-C11533,0)</f>
        <v>0</v>
      </c>
      <c r="G11537" s="20" t="n">
        <f aca="false">IF(AND(G11403=1,G11387=1),1,0)</f>
        <v>0</v>
      </c>
      <c r="H11537" s="20" t="n">
        <f aca="false">IF(G11537=1,1,IF(AND(H11403=1,H11387=1),1,0))</f>
        <v>0</v>
      </c>
      <c r="I11537" s="20" t="n">
        <f aca="false">IF(H11537=1,1,IF(AND(I11403=1,I11387=1),1,0))</f>
        <v>1</v>
      </c>
      <c r="J11537" s="20" t="n">
        <f aca="false">IF(I11537=1,1,IF(AND(J11403=1,J11387=1),1,0))</f>
        <v>1</v>
      </c>
      <c r="K11537" s="20" t="n">
        <f aca="false">IF(J11537=1,1,IF(AND(K11403=1,K11387=1),1,0))</f>
        <v>1</v>
      </c>
    </row>
    <row r="11538" customFormat="false" ht="15" hidden="false" customHeight="false" outlineLevel="0" collapsed="false">
      <c r="A11538" s="3" t="s">
        <v>501</v>
      </c>
      <c r="C11538" s="25" t="n">
        <f aca="false">IF(C11530&gt;0,C11522-C11534,0)</f>
        <v>0</v>
      </c>
      <c r="G11538" s="20" t="n">
        <f aca="false">IF(AND(G11416=1,G11387=1),1,0)</f>
        <v>0</v>
      </c>
      <c r="H11538" s="20" t="n">
        <f aca="false">IF(G11538=1,1,IF(AND(H11416=1,H11387=1),1,0))</f>
        <v>0</v>
      </c>
      <c r="I11538" s="20" t="n">
        <f aca="false">IF(H11538=1,1,IF(AND(I11416=1,I11387=1),1,0))</f>
        <v>1</v>
      </c>
      <c r="J11538" s="20" t="n">
        <f aca="false">IF(I11538=1,1,IF(AND(J11416=1,J11387=1),1,0))</f>
        <v>1</v>
      </c>
      <c r="K11538" s="20" t="n">
        <f aca="false">IF(J11538=1,1,IF(AND(K11416=1,K11387=1),1,0))</f>
        <v>1</v>
      </c>
    </row>
    <row r="11539" customFormat="false" ht="15" hidden="false" customHeight="false" outlineLevel="0" collapsed="false">
      <c r="A11539" s="23" t="s">
        <v>506</v>
      </c>
      <c r="B11539" s="24"/>
      <c r="C11539" s="24"/>
      <c r="D11539" s="24"/>
      <c r="E11539" s="24"/>
      <c r="F11539" s="24"/>
      <c r="G11539" s="24"/>
      <c r="H11539" s="24"/>
      <c r="I11539" s="24"/>
      <c r="J11539" s="24"/>
      <c r="K11539" s="24"/>
    </row>
    <row r="11540" customFormat="false" ht="15" hidden="false" customHeight="false" outlineLevel="0" collapsed="false">
      <c r="A11540" s="3" t="s">
        <v>499</v>
      </c>
      <c r="C11540" s="25" t="n">
        <f aca="false">IF(C11528&gt;0,C11536,C11520)</f>
        <v>1349.6193225</v>
      </c>
    </row>
    <row r="11541" customFormat="false" ht="15" hidden="false" customHeight="false" outlineLevel="0" collapsed="false">
      <c r="A11541" s="3" t="s">
        <v>500</v>
      </c>
      <c r="C11541" s="25" t="n">
        <f aca="false">IF(C11529&gt;0,C11537,C11521)</f>
        <v>0</v>
      </c>
    </row>
    <row r="11542" customFormat="false" ht="15" hidden="false" customHeight="false" outlineLevel="0" collapsed="false">
      <c r="A11542" s="3" t="s">
        <v>501</v>
      </c>
      <c r="C11542" s="25" t="n">
        <f aca="false">IF(C11530&gt;0,C11538,C11522)</f>
        <v>0</v>
      </c>
    </row>
    <row r="11543" customFormat="false" ht="15" hidden="false" customHeight="false" outlineLevel="0" collapsed="false">
      <c r="A11543" s="23" t="s">
        <v>507</v>
      </c>
      <c r="B11543" s="24"/>
      <c r="C11543" s="24"/>
      <c r="D11543" s="24"/>
      <c r="E11543" s="24"/>
      <c r="F11543" s="24"/>
      <c r="G11543" s="24"/>
      <c r="H11543" s="24"/>
      <c r="I11543" s="24"/>
      <c r="J11543" s="24"/>
      <c r="K11543" s="24"/>
    </row>
    <row r="11544" customFormat="false" ht="15" hidden="false" customHeight="false" outlineLevel="0" collapsed="false">
      <c r="A11544" s="3" t="s">
        <v>499</v>
      </c>
      <c r="C11544" s="20" t="n">
        <f aca="false">IF(C11528&gt;0,Assumptions!$C$17,C11524)</f>
        <v>1</v>
      </c>
    </row>
    <row r="11545" customFormat="false" ht="15" hidden="false" customHeight="false" outlineLevel="0" collapsed="false">
      <c r="A11545" s="3" t="s">
        <v>500</v>
      </c>
      <c r="C11545" s="20" t="n">
        <f aca="false">IF(C11529&gt;0,Assumptions!$C$17,C11525)</f>
        <v>2</v>
      </c>
    </row>
    <row r="11546" customFormat="false" ht="15" hidden="false" customHeight="false" outlineLevel="0" collapsed="false">
      <c r="A11546" s="3" t="s">
        <v>501</v>
      </c>
      <c r="C11546" s="20" t="n">
        <f aca="false">IF(C11530&gt;0,Assumptions!$C$17,C11526)</f>
        <v>2</v>
      </c>
    </row>
    <row r="11547" customFormat="false" ht="15" hidden="false" customHeight="false" outlineLevel="0" collapsed="false">
      <c r="A11547" s="23" t="s">
        <v>508</v>
      </c>
      <c r="B11547" s="24"/>
      <c r="C11547" s="24"/>
      <c r="D11547" s="24"/>
      <c r="E11547" s="24"/>
      <c r="F11547" s="24"/>
      <c r="G11547" s="24"/>
      <c r="H11547" s="24"/>
      <c r="I11547" s="24"/>
      <c r="J11547" s="24"/>
      <c r="K11547" s="24"/>
    </row>
    <row r="11548" customFormat="false" ht="15" hidden="false" customHeight="false" outlineLevel="0" collapsed="false">
      <c r="A11548" s="3" t="s">
        <v>499</v>
      </c>
      <c r="C11548" s="25" t="n">
        <f aca="false">SUMPRODUCT(($C$11544:$C$11546&lt;C11544)*$C$11540:$C$11542)</f>
        <v>0</v>
      </c>
    </row>
    <row r="11549" customFormat="false" ht="15" hidden="false" customHeight="false" outlineLevel="0" collapsed="false">
      <c r="A11549" s="3" t="s">
        <v>500</v>
      </c>
      <c r="C11549" s="25" t="n">
        <f aca="false">SUMPRODUCT(($C$11544:$C$11546&lt;C11545)*$C$11540:$C$11542)</f>
        <v>1349.6193225</v>
      </c>
    </row>
    <row r="11550" customFormat="false" ht="15" hidden="false" customHeight="false" outlineLevel="0" collapsed="false">
      <c r="A11550" s="3" t="s">
        <v>501</v>
      </c>
      <c r="C11550" s="25" t="n">
        <f aca="false">SUMPRODUCT(($C$11544:$C$11546&lt;C11546)*$C$11540:$C$11542)</f>
        <v>1349.6193225</v>
      </c>
    </row>
    <row r="11551" customFormat="false" ht="15" hidden="false" customHeight="false" outlineLevel="0" collapsed="false">
      <c r="A11551" s="23" t="s">
        <v>509</v>
      </c>
      <c r="B11551" s="24"/>
      <c r="C11551" s="24"/>
      <c r="D11551" s="24"/>
      <c r="E11551" s="24"/>
      <c r="F11551" s="24"/>
      <c r="G11551" s="24"/>
      <c r="H11551" s="24"/>
      <c r="I11551" s="24"/>
      <c r="J11551" s="24"/>
      <c r="K11551" s="24"/>
    </row>
    <row r="11552" customFormat="false" ht="15" hidden="false" customHeight="false" outlineLevel="0" collapsed="false">
      <c r="A11552" s="3" t="s">
        <v>499</v>
      </c>
      <c r="C11552" s="25" t="n">
        <f aca="false">SUMPRODUCT(($C$11544:$C$11546=C11544)*$C$11540:$C$11542)</f>
        <v>1349.6193225</v>
      </c>
    </row>
    <row r="11553" customFormat="false" ht="15" hidden="false" customHeight="false" outlineLevel="0" collapsed="false">
      <c r="A11553" s="3" t="s">
        <v>500</v>
      </c>
      <c r="C11553" s="25" t="n">
        <f aca="false">SUMPRODUCT(($C$11544:$C$11546=C11545)*$C$11540:$C$11542)</f>
        <v>0</v>
      </c>
    </row>
    <row r="11554" customFormat="false" ht="15" hidden="false" customHeight="false" outlineLevel="0" collapsed="false">
      <c r="A11554" s="3" t="s">
        <v>501</v>
      </c>
      <c r="C11554" s="25" t="n">
        <f aca="false">SUMPRODUCT(($C$11544:$C$11546=C11546)*$C$11540:$C$11542)</f>
        <v>0</v>
      </c>
    </row>
    <row r="11555" customFormat="false" ht="15" hidden="false" customHeight="false" outlineLevel="0" collapsed="false">
      <c r="A11555" s="23" t="s">
        <v>510</v>
      </c>
      <c r="B11555" s="24"/>
      <c r="C11555" s="24"/>
      <c r="D11555" s="24"/>
      <c r="E11555" s="24"/>
      <c r="F11555" s="24"/>
      <c r="G11555" s="24"/>
      <c r="H11555" s="24"/>
      <c r="I11555" s="24"/>
      <c r="J11555" s="24"/>
      <c r="K11555" s="24"/>
    </row>
    <row r="11556" customFormat="false" ht="15" hidden="false" customHeight="false" outlineLevel="0" collapsed="false">
      <c r="A11556" s="3" t="s">
        <v>499</v>
      </c>
      <c r="C11556" s="25" t="n">
        <f aca="false">IF(C11552=0,0,C11540/C11552*MAX(0,MIN(C11552,$C$11518-SUM($C$11532:$C$11534)-C11548)))</f>
        <v>1349.6193225</v>
      </c>
    </row>
    <row r="11557" customFormat="false" ht="15" hidden="false" customHeight="false" outlineLevel="0" collapsed="false">
      <c r="A11557" s="3" t="s">
        <v>500</v>
      </c>
      <c r="C11557" s="25" t="n">
        <f aca="false">IF(C11553=0,0,C11541/C11553*MAX(0,MIN(C11553,$C$11518-SUM($C$11532:$C$11534)-C11549)))</f>
        <v>0</v>
      </c>
    </row>
    <row r="11558" customFormat="false" ht="15" hidden="false" customHeight="false" outlineLevel="0" collapsed="false">
      <c r="A11558" s="3" t="s">
        <v>501</v>
      </c>
      <c r="C11558" s="25" t="n">
        <f aca="false">IF(C11554=0,0,C11542/C11554*MAX(0,MIN(C11554,$C$11518-SUM($C$11532:$C$11534)-C11550)))</f>
        <v>0</v>
      </c>
    </row>
    <row r="11559" customFormat="false" ht="15" hidden="false" customHeight="false" outlineLevel="0" collapsed="false">
      <c r="A11559" s="23" t="s">
        <v>511</v>
      </c>
      <c r="B11559" s="24"/>
      <c r="C11559" s="24"/>
      <c r="D11559" s="24"/>
      <c r="E11559" s="24"/>
      <c r="F11559" s="24"/>
      <c r="G11559" s="24"/>
      <c r="H11559" s="24"/>
      <c r="I11559" s="24"/>
      <c r="J11559" s="24"/>
      <c r="K11559" s="24"/>
    </row>
    <row r="11560" customFormat="false" ht="15" hidden="false" customHeight="false" outlineLevel="0" collapsed="false">
      <c r="A11560" s="2" t="s">
        <v>499</v>
      </c>
      <c r="C11560" s="16" t="n">
        <f aca="false">C11532+C11556</f>
        <v>1349.6193225</v>
      </c>
    </row>
    <row r="11561" customFormat="false" ht="15" hidden="false" customHeight="false" outlineLevel="0" collapsed="false">
      <c r="A11561" s="2" t="s">
        <v>500</v>
      </c>
      <c r="C11561" s="16" t="n">
        <f aca="false">C11533+C11557</f>
        <v>0</v>
      </c>
    </row>
    <row r="11562" customFormat="false" ht="15" hidden="false" customHeight="false" outlineLevel="0" collapsed="false">
      <c r="A11562" s="2" t="s">
        <v>501</v>
      </c>
      <c r="C11562" s="16" t="n">
        <f aca="false">C11534+C11558</f>
        <v>0</v>
      </c>
    </row>
    <row r="11563" customFormat="false" ht="15" hidden="false" customHeight="false" outlineLevel="0" collapsed="false">
      <c r="A11563" s="23" t="s">
        <v>512</v>
      </c>
      <c r="B11563" s="24"/>
      <c r="C11563" s="24"/>
      <c r="D11563" s="24"/>
      <c r="E11563" s="24"/>
      <c r="F11563" s="24"/>
      <c r="G11563" s="24"/>
      <c r="H11563" s="24"/>
      <c r="I11563" s="24"/>
      <c r="J11563" s="24"/>
      <c r="K11563" s="24"/>
    </row>
    <row r="11564" customFormat="false" ht="15" hidden="false" customHeight="false" outlineLevel="0" collapsed="false">
      <c r="A11564" s="3" t="s">
        <v>499</v>
      </c>
      <c r="C11564" s="21" t="n">
        <f aca="false">IF(C11520=0,1,C11560/C11520)</f>
        <v>1</v>
      </c>
    </row>
    <row r="11565" customFormat="false" ht="15" hidden="false" customHeight="false" outlineLevel="0" collapsed="false">
      <c r="A11565" s="3" t="s">
        <v>500</v>
      </c>
      <c r="C11565" s="21" t="n">
        <f aca="false">IF(C11521=0,1,C11561/C11521)</f>
        <v>1</v>
      </c>
    </row>
    <row r="11566" customFormat="false" ht="15" hidden="false" customHeight="false" outlineLevel="0" collapsed="false">
      <c r="A11566" s="3" t="s">
        <v>501</v>
      </c>
      <c r="C11566" s="21" t="n">
        <f aca="false">IF(C11522=0,1,C11562/C11522)</f>
        <v>1</v>
      </c>
    </row>
    <row r="11567" customFormat="false" ht="15" hidden="false" customHeight="false" outlineLevel="0" collapsed="false">
      <c r="A11567" s="23" t="s">
        <v>513</v>
      </c>
      <c r="B11567" s="24"/>
      <c r="C11567" s="24"/>
      <c r="D11567" s="24"/>
      <c r="E11567" s="24"/>
      <c r="F11567" s="24"/>
      <c r="G11567" s="24"/>
      <c r="H11567" s="24"/>
      <c r="I11567" s="24"/>
      <c r="J11567" s="24"/>
      <c r="K11567" s="24"/>
    </row>
    <row r="11568" customFormat="false" ht="15" hidden="false" customHeight="false" outlineLevel="0" collapsed="false">
      <c r="A11568" s="3" t="s">
        <v>499</v>
      </c>
      <c r="C11568" s="25" t="n">
        <f aca="false">C11520-C11560</f>
        <v>0</v>
      </c>
    </row>
    <row r="11569" customFormat="false" ht="15" hidden="false" customHeight="false" outlineLevel="0" collapsed="false">
      <c r="A11569" s="3" t="s">
        <v>500</v>
      </c>
      <c r="C11569" s="25" t="n">
        <f aca="false">C11521-C11561</f>
        <v>0</v>
      </c>
    </row>
    <row r="11570" customFormat="false" ht="15" hidden="false" customHeight="false" outlineLevel="0" collapsed="false">
      <c r="A11570" s="3" t="s">
        <v>501</v>
      </c>
      <c r="C11570" s="25" t="n">
        <f aca="false">C11522-C11562</f>
        <v>0</v>
      </c>
    </row>
    <row r="11571" customFormat="false" ht="15" hidden="false" customHeight="false" outlineLevel="0" collapsed="false">
      <c r="A11571" s="23" t="s">
        <v>514</v>
      </c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</row>
    <row r="11572" customFormat="false" ht="15" hidden="false" customHeight="false" outlineLevel="0" collapsed="false">
      <c r="A11572" s="3" t="s">
        <v>499</v>
      </c>
      <c r="C11572" s="21" t="n">
        <f aca="false">IF(C11520=0,0,C11568/C11520)</f>
        <v>0</v>
      </c>
    </row>
    <row r="11573" customFormat="false" ht="15" hidden="false" customHeight="false" outlineLevel="0" collapsed="false">
      <c r="A11573" s="3" t="s">
        <v>500</v>
      </c>
      <c r="C11573" s="21" t="n">
        <f aca="false">IF(C11521=0,0,C11569/C11521)</f>
        <v>0</v>
      </c>
    </row>
    <row r="11574" customFormat="false" ht="15" hidden="false" customHeight="false" outlineLevel="0" collapsed="false">
      <c r="A11574" s="3" t="s">
        <v>501</v>
      </c>
      <c r="C11574" s="21" t="n">
        <f aca="false">IF(C11522=0,0,C11570/C11522)</f>
        <v>0</v>
      </c>
    </row>
    <row r="11575" customFormat="false" ht="15" hidden="false" customHeight="false" outlineLevel="0" collapsed="false">
      <c r="A11575" s="2" t="s">
        <v>515</v>
      </c>
      <c r="C11575" s="16" t="n">
        <f aca="false">MAX(0,$C$11518-SUM($C$11532:$C$11534)-SUM($C$11540:$C$11542))</f>
        <v>428.177320788743</v>
      </c>
    </row>
    <row r="11576" customFormat="false" ht="15" hidden="false" customHeight="false" outlineLevel="0" collapsed="false">
      <c r="A11576" s="3" t="s">
        <v>516</v>
      </c>
      <c r="C11576" s="25" t="n">
        <f aca="false">SUM($C$11560:$C$11562)+C11575+C11517-C11516</f>
        <v>0</v>
      </c>
    </row>
    <row r="11578" customFormat="false" ht="15" hidden="false" customHeight="false" outlineLevel="0" collapsed="false">
      <c r="A11578" s="23" t="s">
        <v>519</v>
      </c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</row>
    <row r="11579" customFormat="false" ht="15" hidden="false" customHeight="false" outlineLevel="0" collapsed="false">
      <c r="A11579" s="3" t="s">
        <v>520</v>
      </c>
      <c r="C11579" s="27" t="n">
        <f aca="false">Assumptions!$C$33</f>
        <v>1</v>
      </c>
    </row>
    <row r="11580" customFormat="false" ht="15" hidden="false" customHeight="false" outlineLevel="0" collapsed="false">
      <c r="A11580" s="3" t="s">
        <v>521</v>
      </c>
      <c r="C11580" s="29" t="n">
        <f aca="false">Assumptions!$C$34</f>
        <v>100</v>
      </c>
    </row>
    <row r="11581" customFormat="false" ht="15" hidden="false" customHeight="false" outlineLevel="0" collapsed="false">
      <c r="A11581" s="3" t="s">
        <v>522</v>
      </c>
      <c r="C11581" s="40" t="n">
        <f aca="false">Assumptions!$C$35</f>
        <v>95</v>
      </c>
    </row>
    <row r="11582" customFormat="false" ht="15" hidden="false" customHeight="false" outlineLevel="0" collapsed="false">
      <c r="A11582" s="3" t="s">
        <v>523</v>
      </c>
      <c r="C11582" s="25" t="n">
        <f aca="false">C11580*C11581/100*(1+Assumptions!$C$36)</f>
        <v>95</v>
      </c>
    </row>
    <row r="11583" customFormat="false" ht="15" hidden="false" customHeight="false" outlineLevel="0" collapsed="false">
      <c r="A11583" s="3" t="s">
        <v>524</v>
      </c>
      <c r="C11583" s="27" t="n">
        <f aca="false">Assumptions!$C$37</f>
        <v>3</v>
      </c>
    </row>
    <row r="11584" customFormat="false" ht="15" hidden="false" customHeight="false" outlineLevel="0" collapsed="false">
      <c r="A11584" s="3" t="s">
        <v>525</v>
      </c>
      <c r="C11584" s="20" t="n">
        <f aca="false">IF(C11509=1,SUMPRODUCT($G$11461:$K$11461,$G$11354:$K$11354),0)</f>
        <v>0</v>
      </c>
    </row>
    <row r="11585" customFormat="false" ht="15" hidden="false" customHeight="false" outlineLevel="0" collapsed="false">
      <c r="A11585" s="3" t="s">
        <v>526</v>
      </c>
      <c r="C11585" s="21" t="n">
        <f aca="false">IFERROR(C11580/CHOOSE(C11579,SUMPRODUCT($G$11508:$K$11508,$G$11400:$K$11400),SUMPRODUCT($G$11508:$K$11508,$G$11413:$K$11413),SUMPRODUCT($G$11508:$K$11508,$G$11426:$K$11426)),0)</f>
        <v>0.0760399605200525</v>
      </c>
    </row>
    <row r="11586" customFormat="false" ht="15" hidden="false" customHeight="false" outlineLevel="0" collapsed="false">
      <c r="A11586" s="3" t="s">
        <v>527</v>
      </c>
      <c r="C11586" s="25" t="n">
        <f aca="false">CHOOSE(C11579,C11560,C11561,C11562)*C11585</f>
        <v>102.625</v>
      </c>
    </row>
    <row r="11587" customFormat="false" ht="15" hidden="false" customHeight="false" outlineLevel="0" collapsed="false">
      <c r="A11587" s="3" t="s">
        <v>528</v>
      </c>
      <c r="C11587" s="21" t="n">
        <f aca="false">CHOOSE(C11579,C11564,C11565,C11566)</f>
        <v>1</v>
      </c>
    </row>
    <row r="11588" customFormat="false" ht="15" hidden="false" customHeight="false" outlineLevel="0" collapsed="false">
      <c r="A11588" s="3" t="s">
        <v>529</v>
      </c>
      <c r="C11588" s="20" t="n">
        <f aca="false">IF(C11509=1,C11584,C11583)</f>
        <v>3</v>
      </c>
    </row>
    <row r="11589" customFormat="false" ht="15" hidden="false" customHeight="false" outlineLevel="0" collapsed="false">
      <c r="A11589" s="3" t="s">
        <v>530</v>
      </c>
      <c r="C11589" s="34" t="n">
        <f aca="false">CHOOSE($C$11346,Assumptions!$C$83,Assumptions!$C$102,Assumptions!$C$121)</f>
        <v>100</v>
      </c>
    </row>
    <row r="11590" customFormat="false" ht="15" hidden="false" customHeight="false" outlineLevel="0" collapsed="false">
      <c r="A11590" s="3" t="s">
        <v>531</v>
      </c>
      <c r="C11590" s="25" t="n">
        <f aca="false">INDEX($G$11363:$K$11363,C11583)*CHOOSE($C$11346,Assumptions!$C$82,Assumptions!$C$101,Assumptions!$C$120)+MAX(0,INDEX($G$11458:$K$11458,C11583))</f>
        <v>1898.86777853863</v>
      </c>
    </row>
    <row r="11591" customFormat="false" ht="15" hidden="false" customHeight="false" outlineLevel="0" collapsed="false">
      <c r="A11591" s="23" t="s">
        <v>532</v>
      </c>
      <c r="B11591" s="24"/>
      <c r="C11591" s="24"/>
      <c r="D11591" s="24"/>
      <c r="E11591" s="24"/>
      <c r="F11591" s="24"/>
      <c r="G11591" s="24"/>
      <c r="H11591" s="24"/>
      <c r="I11591" s="24"/>
      <c r="J11591" s="24"/>
      <c r="K11591" s="24"/>
    </row>
    <row r="11592" customFormat="false" ht="15" hidden="false" customHeight="false" outlineLevel="0" collapsed="false">
      <c r="A11592" s="3" t="s">
        <v>499</v>
      </c>
      <c r="C11592" s="25" t="n">
        <f aca="false">INDEX($G$11400:$K$11400,C11583)</f>
        <v>1315.098</v>
      </c>
    </row>
    <row r="11593" customFormat="false" ht="15" hidden="false" customHeight="false" outlineLevel="0" collapsed="false">
      <c r="A11593" s="3" t="s">
        <v>500</v>
      </c>
      <c r="C11593" s="25" t="n">
        <f aca="false">INDEX($G$11413:$K$11413,C11583)</f>
        <v>0</v>
      </c>
    </row>
    <row r="11594" customFormat="false" ht="15" hidden="false" customHeight="false" outlineLevel="0" collapsed="false">
      <c r="A11594" s="3" t="s">
        <v>501</v>
      </c>
      <c r="C11594" s="25" t="n">
        <f aca="false">INDEX($G$11426:$K$11426,C11583)</f>
        <v>0</v>
      </c>
    </row>
    <row r="11595" customFormat="false" ht="15" hidden="false" customHeight="false" outlineLevel="0" collapsed="false">
      <c r="A11595" s="23" t="s">
        <v>502</v>
      </c>
      <c r="B11595" s="24"/>
      <c r="C11595" s="24"/>
      <c r="D11595" s="24"/>
      <c r="E11595" s="24"/>
      <c r="F11595" s="24"/>
      <c r="G11595" s="24"/>
      <c r="H11595" s="24"/>
      <c r="I11595" s="24"/>
      <c r="J11595" s="24"/>
      <c r="K11595" s="24"/>
    </row>
    <row r="11596" customFormat="false" ht="15" hidden="false" customHeight="false" outlineLevel="0" collapsed="false">
      <c r="A11596" s="3" t="s">
        <v>499</v>
      </c>
      <c r="C11596" s="27" t="n">
        <f aca="false">Assumptions!$M$56</f>
        <v>1</v>
      </c>
    </row>
    <row r="11597" customFormat="false" ht="15" hidden="false" customHeight="false" outlineLevel="0" collapsed="false">
      <c r="A11597" s="3" t="s">
        <v>500</v>
      </c>
      <c r="C11597" s="27" t="n">
        <f aca="false">Assumptions!$M$57</f>
        <v>2</v>
      </c>
    </row>
    <row r="11598" customFormat="false" ht="15" hidden="false" customHeight="false" outlineLevel="0" collapsed="false">
      <c r="A11598" s="3" t="s">
        <v>501</v>
      </c>
      <c r="C11598" s="27" t="n">
        <f aca="false">Assumptions!$M$58</f>
        <v>2</v>
      </c>
    </row>
    <row r="11599" customFormat="false" ht="15" hidden="false" customHeight="false" outlineLevel="0" collapsed="false">
      <c r="A11599" s="23" t="s">
        <v>503</v>
      </c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</row>
    <row r="11600" customFormat="false" ht="15" hidden="false" customHeight="false" outlineLevel="0" collapsed="false">
      <c r="A11600" s="3" t="s">
        <v>499</v>
      </c>
      <c r="C11600" s="35" t="n">
        <f aca="false">Assumptions!$Q$56</f>
        <v>0</v>
      </c>
    </row>
    <row r="11601" customFormat="false" ht="15" hidden="false" customHeight="false" outlineLevel="0" collapsed="false">
      <c r="A11601" s="3" t="s">
        <v>500</v>
      </c>
      <c r="C11601" s="35" t="n">
        <f aca="false">Assumptions!$Q$57</f>
        <v>0</v>
      </c>
    </row>
    <row r="11602" customFormat="false" ht="15" hidden="false" customHeight="false" outlineLevel="0" collapsed="false">
      <c r="A11602" s="3" t="s">
        <v>501</v>
      </c>
      <c r="C11602" s="35" t="n">
        <f aca="false">Assumptions!$Q$58</f>
        <v>0</v>
      </c>
    </row>
    <row r="11603" customFormat="false" ht="15" hidden="false" customHeight="false" outlineLevel="0" collapsed="false">
      <c r="A11603" s="23" t="s">
        <v>504</v>
      </c>
      <c r="B11603" s="24"/>
      <c r="C11603" s="24"/>
      <c r="D11603" s="24"/>
      <c r="E11603" s="24"/>
      <c r="F11603" s="24"/>
      <c r="G11603" s="24"/>
      <c r="H11603" s="24"/>
      <c r="I11603" s="24"/>
      <c r="J11603" s="24"/>
      <c r="K11603" s="24"/>
    </row>
    <row r="11604" customFormat="false" ht="15" hidden="false" customHeight="false" outlineLevel="0" collapsed="false">
      <c r="A11604" s="3" t="s">
        <v>499</v>
      </c>
      <c r="C11604" s="25" t="n">
        <f aca="false">IF(C11600&gt;0,MIN(C11592,C11600*$C$11590),0)</f>
        <v>0</v>
      </c>
    </row>
    <row r="11605" customFormat="false" ht="15" hidden="false" customHeight="false" outlineLevel="0" collapsed="false">
      <c r="A11605" s="3" t="s">
        <v>500</v>
      </c>
      <c r="C11605" s="25" t="n">
        <f aca="false">IF(C11601&gt;0,MIN(C11593,C11601*$C$11590),0)</f>
        <v>0</v>
      </c>
    </row>
    <row r="11606" customFormat="false" ht="15" hidden="false" customHeight="false" outlineLevel="0" collapsed="false">
      <c r="A11606" s="3" t="s">
        <v>501</v>
      </c>
      <c r="C11606" s="25" t="n">
        <f aca="false">IF(C11602&gt;0,MIN(C11594,C11602*$C$11590),0)</f>
        <v>0</v>
      </c>
    </row>
    <row r="11607" customFormat="false" ht="15" hidden="false" customHeight="false" outlineLevel="0" collapsed="false">
      <c r="A11607" s="23" t="s">
        <v>505</v>
      </c>
      <c r="B11607" s="24"/>
      <c r="C11607" s="24"/>
      <c r="D11607" s="24"/>
      <c r="E11607" s="24"/>
      <c r="F11607" s="24"/>
      <c r="G11607" s="24"/>
      <c r="H11607" s="24"/>
      <c r="I11607" s="24"/>
      <c r="J11607" s="24"/>
      <c r="K11607" s="24"/>
    </row>
    <row r="11608" customFormat="false" ht="15" hidden="false" customHeight="false" outlineLevel="0" collapsed="false">
      <c r="A11608" s="3" t="s">
        <v>499</v>
      </c>
      <c r="C11608" s="25" t="n">
        <f aca="false">IF(C11600&gt;0,C11592-C11604,0)</f>
        <v>0</v>
      </c>
    </row>
    <row r="11609" customFormat="false" ht="15" hidden="false" customHeight="false" outlineLevel="0" collapsed="false">
      <c r="A11609" s="3" t="s">
        <v>500</v>
      </c>
      <c r="C11609" s="25" t="n">
        <f aca="false">IF(C11601&gt;0,C11593-C11605,0)</f>
        <v>0</v>
      </c>
    </row>
    <row r="11610" customFormat="false" ht="15" hidden="false" customHeight="false" outlineLevel="0" collapsed="false">
      <c r="A11610" s="3" t="s">
        <v>501</v>
      </c>
      <c r="C11610" s="25" t="n">
        <f aca="false">IF(C11602&gt;0,C11594-C11606,0)</f>
        <v>0</v>
      </c>
    </row>
    <row r="11611" customFormat="false" ht="15" hidden="false" customHeight="false" outlineLevel="0" collapsed="false">
      <c r="A11611" s="23" t="s">
        <v>506</v>
      </c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</row>
    <row r="11612" customFormat="false" ht="15" hidden="false" customHeight="false" outlineLevel="0" collapsed="false">
      <c r="A11612" s="3" t="s">
        <v>499</v>
      </c>
      <c r="C11612" s="25" t="n">
        <f aca="false">IF(C11600&gt;0,C11608,C11592)</f>
        <v>1315.098</v>
      </c>
    </row>
    <row r="11613" customFormat="false" ht="15" hidden="false" customHeight="false" outlineLevel="0" collapsed="false">
      <c r="A11613" s="3" t="s">
        <v>500</v>
      </c>
      <c r="C11613" s="25" t="n">
        <f aca="false">IF(C11601&gt;0,C11609,C11593)</f>
        <v>0</v>
      </c>
    </row>
    <row r="11614" customFormat="false" ht="15" hidden="false" customHeight="false" outlineLevel="0" collapsed="false">
      <c r="A11614" s="3" t="s">
        <v>501</v>
      </c>
      <c r="C11614" s="25" t="n">
        <f aca="false">IF(C11602&gt;0,C11610,C11594)</f>
        <v>0</v>
      </c>
    </row>
    <row r="11615" customFormat="false" ht="15" hidden="false" customHeight="false" outlineLevel="0" collapsed="false">
      <c r="A11615" s="23" t="s">
        <v>507</v>
      </c>
      <c r="B11615" s="24"/>
      <c r="C11615" s="24"/>
      <c r="D11615" s="24"/>
      <c r="E11615" s="24"/>
      <c r="F11615" s="24"/>
      <c r="G11615" s="24"/>
      <c r="H11615" s="24"/>
      <c r="I11615" s="24"/>
      <c r="J11615" s="24"/>
      <c r="K11615" s="24"/>
    </row>
    <row r="11616" customFormat="false" ht="15" hidden="false" customHeight="false" outlineLevel="0" collapsed="false">
      <c r="A11616" s="3" t="s">
        <v>499</v>
      </c>
      <c r="C11616" s="20" t="n">
        <f aca="false">IF(C11600&gt;0,Assumptions!$C$17,C11596)</f>
        <v>1</v>
      </c>
    </row>
    <row r="11617" customFormat="false" ht="15" hidden="false" customHeight="false" outlineLevel="0" collapsed="false">
      <c r="A11617" s="3" t="s">
        <v>500</v>
      </c>
      <c r="C11617" s="20" t="n">
        <f aca="false">IF(C11601&gt;0,Assumptions!$C$17,C11597)</f>
        <v>2</v>
      </c>
    </row>
    <row r="11618" customFormat="false" ht="15" hidden="false" customHeight="false" outlineLevel="0" collapsed="false">
      <c r="A11618" s="3" t="s">
        <v>501</v>
      </c>
      <c r="C11618" s="20" t="n">
        <f aca="false">IF(C11602&gt;0,Assumptions!$C$17,C11598)</f>
        <v>2</v>
      </c>
    </row>
    <row r="11619" customFormat="false" ht="15" hidden="false" customHeight="false" outlineLevel="0" collapsed="false">
      <c r="A11619" s="23" t="s">
        <v>508</v>
      </c>
      <c r="B11619" s="24"/>
      <c r="C11619" s="24"/>
      <c r="D11619" s="24"/>
      <c r="E11619" s="24"/>
      <c r="F11619" s="24"/>
      <c r="G11619" s="24"/>
      <c r="H11619" s="24"/>
      <c r="I11619" s="24"/>
      <c r="J11619" s="24"/>
      <c r="K11619" s="24"/>
    </row>
    <row r="11620" customFormat="false" ht="15" hidden="false" customHeight="false" outlineLevel="0" collapsed="false">
      <c r="A11620" s="3" t="s">
        <v>499</v>
      </c>
      <c r="C11620" s="25" t="n">
        <f aca="false">SUMPRODUCT(($C$11616:$C$11618&lt;C11616)*$C$11612:$C$11614)</f>
        <v>0</v>
      </c>
    </row>
    <row r="11621" customFormat="false" ht="15" hidden="false" customHeight="false" outlineLevel="0" collapsed="false">
      <c r="A11621" s="3" t="s">
        <v>500</v>
      </c>
      <c r="C11621" s="25" t="n">
        <f aca="false">SUMPRODUCT(($C$11616:$C$11618&lt;C11617)*$C$11612:$C$11614)</f>
        <v>1315.098</v>
      </c>
    </row>
    <row r="11622" customFormat="false" ht="15" hidden="false" customHeight="false" outlineLevel="0" collapsed="false">
      <c r="A11622" s="3" t="s">
        <v>501</v>
      </c>
      <c r="C11622" s="25" t="n">
        <f aca="false">SUMPRODUCT(($C$11616:$C$11618&lt;C11618)*$C$11612:$C$11614)</f>
        <v>1315.098</v>
      </c>
    </row>
    <row r="11623" customFormat="false" ht="15" hidden="false" customHeight="false" outlineLevel="0" collapsed="false">
      <c r="A11623" s="23" t="s">
        <v>509</v>
      </c>
      <c r="B11623" s="24"/>
      <c r="C11623" s="24"/>
      <c r="D11623" s="24"/>
      <c r="E11623" s="24"/>
      <c r="F11623" s="24"/>
      <c r="G11623" s="24"/>
      <c r="H11623" s="24"/>
      <c r="I11623" s="24"/>
      <c r="J11623" s="24"/>
      <c r="K11623" s="24"/>
    </row>
    <row r="11624" customFormat="false" ht="15" hidden="false" customHeight="false" outlineLevel="0" collapsed="false">
      <c r="A11624" s="3" t="s">
        <v>499</v>
      </c>
      <c r="C11624" s="25" t="n">
        <f aca="false">SUMPRODUCT(($C$11616:$C$11618=C11616)*$C$11612:$C$11614)</f>
        <v>1315.098</v>
      </c>
    </row>
    <row r="11625" customFormat="false" ht="15" hidden="false" customHeight="false" outlineLevel="0" collapsed="false">
      <c r="A11625" s="3" t="s">
        <v>500</v>
      </c>
      <c r="C11625" s="25" t="n">
        <f aca="false">SUMPRODUCT(($C$11616:$C$11618=C11617)*$C$11612:$C$11614)</f>
        <v>0</v>
      </c>
    </row>
    <row r="11626" customFormat="false" ht="15" hidden="false" customHeight="false" outlineLevel="0" collapsed="false">
      <c r="A11626" s="3" t="s">
        <v>501</v>
      </c>
      <c r="C11626" s="25" t="n">
        <f aca="false">SUMPRODUCT(($C$11616:$C$11618=C11618)*$C$11612:$C$11614)</f>
        <v>0</v>
      </c>
    </row>
    <row r="11627" customFormat="false" ht="15" hidden="false" customHeight="false" outlineLevel="0" collapsed="false">
      <c r="A11627" s="23" t="s">
        <v>510</v>
      </c>
      <c r="B11627" s="24"/>
      <c r="C11627" s="24"/>
      <c r="D11627" s="24"/>
      <c r="E11627" s="24"/>
      <c r="F11627" s="24"/>
      <c r="G11627" s="24"/>
      <c r="H11627" s="24"/>
      <c r="I11627" s="24"/>
      <c r="J11627" s="24"/>
      <c r="K11627" s="24"/>
    </row>
    <row r="11628" customFormat="false" ht="15" hidden="false" customHeight="false" outlineLevel="0" collapsed="false">
      <c r="A11628" s="3" t="s">
        <v>499</v>
      </c>
      <c r="C11628" s="25" t="n">
        <f aca="false">IF(C11624=0,0,C11612/C11624*MAX(0,MIN(C11624,$C$11590-SUM($C$11604:$C$11606)-C11620)))</f>
        <v>1315.098</v>
      </c>
    </row>
    <row r="11629" customFormat="false" ht="15" hidden="false" customHeight="false" outlineLevel="0" collapsed="false">
      <c r="A11629" s="3" t="s">
        <v>500</v>
      </c>
      <c r="C11629" s="25" t="n">
        <f aca="false">IF(C11625=0,0,C11613/C11625*MAX(0,MIN(C11625,$C$11590-SUM($C$11604:$C$11606)-C11621)))</f>
        <v>0</v>
      </c>
    </row>
    <row r="11630" customFormat="false" ht="15" hidden="false" customHeight="false" outlineLevel="0" collapsed="false">
      <c r="A11630" s="3" t="s">
        <v>501</v>
      </c>
      <c r="C11630" s="25" t="n">
        <f aca="false">IF(C11626=0,0,C11614/C11626*MAX(0,MIN(C11626,$C$11590-SUM($C$11604:$C$11606)-C11622)))</f>
        <v>0</v>
      </c>
    </row>
    <row r="11631" customFormat="false" ht="15" hidden="false" customHeight="false" outlineLevel="0" collapsed="false">
      <c r="A11631" s="23" t="s">
        <v>511</v>
      </c>
      <c r="B11631" s="24"/>
      <c r="C11631" s="24"/>
      <c r="D11631" s="24"/>
      <c r="E11631" s="24"/>
      <c r="F11631" s="24"/>
      <c r="G11631" s="24"/>
      <c r="H11631" s="24"/>
      <c r="I11631" s="24"/>
      <c r="J11631" s="24"/>
      <c r="K11631" s="24"/>
    </row>
    <row r="11632" customFormat="false" ht="15" hidden="false" customHeight="false" outlineLevel="0" collapsed="false">
      <c r="A11632" s="2" t="s">
        <v>499</v>
      </c>
      <c r="C11632" s="16" t="n">
        <f aca="false">C11604+C11628</f>
        <v>1315.098</v>
      </c>
    </row>
    <row r="11633" customFormat="false" ht="15" hidden="false" customHeight="false" outlineLevel="0" collapsed="false">
      <c r="A11633" s="2" t="s">
        <v>500</v>
      </c>
      <c r="C11633" s="16" t="n">
        <f aca="false">C11605+C11629</f>
        <v>0</v>
      </c>
    </row>
    <row r="11634" customFormat="false" ht="15" hidden="false" customHeight="false" outlineLevel="0" collapsed="false">
      <c r="A11634" s="2" t="s">
        <v>501</v>
      </c>
      <c r="C11634" s="16" t="n">
        <f aca="false">C11606+C11630</f>
        <v>0</v>
      </c>
    </row>
    <row r="11635" customFormat="false" ht="15" hidden="false" customHeight="false" outlineLevel="0" collapsed="false">
      <c r="A11635" s="23" t="s">
        <v>512</v>
      </c>
      <c r="B11635" s="24"/>
      <c r="C11635" s="24"/>
      <c r="D11635" s="24"/>
      <c r="E11635" s="24"/>
      <c r="F11635" s="24"/>
      <c r="G11635" s="24"/>
      <c r="H11635" s="24"/>
      <c r="I11635" s="24"/>
      <c r="J11635" s="24"/>
      <c r="K11635" s="24"/>
    </row>
    <row r="11636" customFormat="false" ht="15" hidden="false" customHeight="false" outlineLevel="0" collapsed="false">
      <c r="A11636" s="3" t="s">
        <v>499</v>
      </c>
      <c r="C11636" s="21" t="n">
        <f aca="false">IF(C11592=0,1,C11632/C11592)</f>
        <v>1</v>
      </c>
    </row>
    <row r="11637" customFormat="false" ht="15" hidden="false" customHeight="false" outlineLevel="0" collapsed="false">
      <c r="A11637" s="3" t="s">
        <v>500</v>
      </c>
      <c r="C11637" s="21" t="n">
        <f aca="false">IF(C11593=0,1,C11633/C11593)</f>
        <v>1</v>
      </c>
    </row>
    <row r="11638" customFormat="false" ht="15" hidden="false" customHeight="false" outlineLevel="0" collapsed="false">
      <c r="A11638" s="3" t="s">
        <v>501</v>
      </c>
      <c r="C11638" s="21" t="n">
        <f aca="false">IF(C11594=0,1,C11634/C11594)</f>
        <v>1</v>
      </c>
    </row>
    <row r="11639" customFormat="false" ht="15" hidden="false" customHeight="false" outlineLevel="0" collapsed="false">
      <c r="A11639" s="23" t="s">
        <v>513</v>
      </c>
      <c r="B11639" s="24"/>
      <c r="C11639" s="24"/>
      <c r="D11639" s="24"/>
      <c r="E11639" s="24"/>
      <c r="F11639" s="24"/>
      <c r="G11639" s="24"/>
      <c r="H11639" s="24"/>
      <c r="I11639" s="24"/>
      <c r="J11639" s="24"/>
      <c r="K11639" s="24"/>
    </row>
    <row r="11640" customFormat="false" ht="15" hidden="false" customHeight="false" outlineLevel="0" collapsed="false">
      <c r="A11640" s="3" t="s">
        <v>499</v>
      </c>
      <c r="C11640" s="25" t="n">
        <f aca="false">C11592-C11632</f>
        <v>0</v>
      </c>
    </row>
    <row r="11641" customFormat="false" ht="15" hidden="false" customHeight="false" outlineLevel="0" collapsed="false">
      <c r="A11641" s="3" t="s">
        <v>500</v>
      </c>
      <c r="C11641" s="25" t="n">
        <f aca="false">C11593-C11633</f>
        <v>0</v>
      </c>
    </row>
    <row r="11642" customFormat="false" ht="15" hidden="false" customHeight="false" outlineLevel="0" collapsed="false">
      <c r="A11642" s="3" t="s">
        <v>501</v>
      </c>
      <c r="C11642" s="25" t="n">
        <f aca="false">C11594-C11634</f>
        <v>0</v>
      </c>
    </row>
    <row r="11643" customFormat="false" ht="15" hidden="false" customHeight="false" outlineLevel="0" collapsed="false">
      <c r="A11643" s="23" t="s">
        <v>514</v>
      </c>
      <c r="B11643" s="24"/>
      <c r="C11643" s="24"/>
      <c r="D11643" s="24"/>
      <c r="E11643" s="24"/>
      <c r="F11643" s="24"/>
      <c r="G11643" s="24"/>
      <c r="H11643" s="24"/>
      <c r="I11643" s="24"/>
      <c r="J11643" s="24"/>
      <c r="K11643" s="24"/>
    </row>
    <row r="11644" customFormat="false" ht="15" hidden="false" customHeight="false" outlineLevel="0" collapsed="false">
      <c r="A11644" s="3" t="s">
        <v>499</v>
      </c>
      <c r="C11644" s="21" t="n">
        <f aca="false">IF(C11592=0,0,C11640/C11592)</f>
        <v>0</v>
      </c>
    </row>
    <row r="11645" customFormat="false" ht="15" hidden="false" customHeight="false" outlineLevel="0" collapsed="false">
      <c r="A11645" s="3" t="s">
        <v>500</v>
      </c>
      <c r="C11645" s="21" t="n">
        <f aca="false">IF(C11593=0,0,C11641/C11593)</f>
        <v>0</v>
      </c>
    </row>
    <row r="11646" customFormat="false" ht="15" hidden="false" customHeight="false" outlineLevel="0" collapsed="false">
      <c r="A11646" s="3" t="s">
        <v>501</v>
      </c>
      <c r="C11646" s="21" t="n">
        <f aca="false">IF(C11594=0,0,C11642/C11594)</f>
        <v>0</v>
      </c>
    </row>
    <row r="11647" customFormat="false" ht="15" hidden="false" customHeight="false" outlineLevel="0" collapsed="false">
      <c r="A11647" s="2" t="s">
        <v>515</v>
      </c>
      <c r="C11647" s="16" t="n">
        <f aca="false">MAX(0,$C$11590-SUM($C$11604:$C$11606)-SUM($C$11612:$C$11614))</f>
        <v>583.769778538632</v>
      </c>
    </row>
    <row r="11648" customFormat="false" ht="15" hidden="false" customHeight="false" outlineLevel="0" collapsed="false">
      <c r="A11648" s="3" t="s">
        <v>533</v>
      </c>
      <c r="C11648" s="34" t="n">
        <f aca="false">MIN(C11589,100*CHOOSE(C11579,C11636,C11637,C11638))</f>
        <v>100</v>
      </c>
    </row>
    <row r="11649" customFormat="false" ht="15" hidden="false" customHeight="false" outlineLevel="0" collapsed="false">
      <c r="A11649" s="3" t="s">
        <v>534</v>
      </c>
      <c r="C11649" s="20" t="n">
        <f aca="false">IF(C11509=1,C11584+Assumptions!$C$39,C11583)</f>
        <v>3</v>
      </c>
    </row>
    <row r="11650" customFormat="false" ht="15" hidden="false" customHeight="false" outlineLevel="0" collapsed="false">
      <c r="A11650" s="23" t="s">
        <v>535</v>
      </c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</row>
    <row r="11651" customFormat="false" ht="15" hidden="false" customHeight="false" outlineLevel="0" collapsed="false">
      <c r="A11651" s="3" t="s">
        <v>536</v>
      </c>
      <c r="C11651" s="20" t="n">
        <f aca="false">COLUMN()-COLUMN($C$1)</f>
        <v>0</v>
      </c>
      <c r="D11651" s="20" t="n">
        <f aca="false">COLUMN()-COLUMN($C$1)</f>
        <v>1</v>
      </c>
      <c r="E11651" s="20" t="n">
        <f aca="false">COLUMN()-COLUMN($C$1)</f>
        <v>2</v>
      </c>
      <c r="F11651" s="20" t="n">
        <f aca="false">COLUMN()-COLUMN($C$1)</f>
        <v>3</v>
      </c>
      <c r="G11651" s="20" t="n">
        <f aca="false">COLUMN()-COLUMN($C$1)</f>
        <v>4</v>
      </c>
      <c r="H11651" s="20" t="n">
        <f aca="false">COLUMN()-COLUMN($C$1)</f>
        <v>5</v>
      </c>
      <c r="I11651" s="20" t="n">
        <f aca="false">COLUMN()-COLUMN($C$1)</f>
        <v>6</v>
      </c>
    </row>
    <row r="11652" customFormat="false" ht="15" hidden="false" customHeight="false" outlineLevel="0" collapsed="false">
      <c r="A11652" s="3" t="s">
        <v>537</v>
      </c>
      <c r="D11652" s="31" t="n">
        <f aca="false">CHOOSE($C$11579,G11392,G11405,G11418)</f>
        <v>0.105</v>
      </c>
      <c r="E11652" s="31" t="n">
        <f aca="false">CHOOSE($C$11579,H11392,H11405,H11418)</f>
        <v>0.105</v>
      </c>
      <c r="F11652" s="31" t="n">
        <f aca="false">CHOOSE($C$11579,I11392,I11405,I11418)</f>
        <v>0.105</v>
      </c>
      <c r="G11652" s="31" t="n">
        <f aca="false">CHOOSE($C$11579,J11392,J11405,J11418)</f>
        <v>0.105</v>
      </c>
      <c r="H11652" s="31" t="n">
        <f aca="false">CHOOSE($C$11579,K11392,K11405,K11418)</f>
        <v>0.105</v>
      </c>
    </row>
    <row r="11653" customFormat="false" ht="15" hidden="false" customHeight="false" outlineLevel="0" collapsed="false">
      <c r="A11653" s="3" t="s">
        <v>538</v>
      </c>
      <c r="D11653" s="25" t="n">
        <f aca="false">IF(D11651&lt;=$C$11588,$C$11580*D11652,0)</f>
        <v>10.5</v>
      </c>
      <c r="E11653" s="25" t="n">
        <f aca="false">IF(E11651&lt;=$C$11588,$C$11580*E11652,0)</f>
        <v>10.5</v>
      </c>
      <c r="F11653" s="25" t="n">
        <f aca="false">IF(F11651&lt;=$C$11588,$C$11580*F11652,0)</f>
        <v>10.5</v>
      </c>
      <c r="G11653" s="25" t="n">
        <f aca="false">IF(G11651&lt;=$C$11588,$C$11580*G11652,0)</f>
        <v>0</v>
      </c>
      <c r="H11653" s="25" t="n">
        <f aca="false">IF(H11651&lt;=$C$11588,$C$11580*H11652,0)</f>
        <v>0</v>
      </c>
    </row>
    <row r="11654" customFormat="false" ht="15" hidden="false" customHeight="false" outlineLevel="0" collapsed="false">
      <c r="A11654" s="3" t="s">
        <v>539</v>
      </c>
      <c r="D11654" s="25" t="n">
        <f aca="false">IF(AND($C$11509=0,D11651=$C$11583),$C$11580*$C$11648/100,0)+IF(AND($C$11509=1,D11651=$C$11649),$C$11586,0)</f>
        <v>0</v>
      </c>
      <c r="E11654" s="25" t="n">
        <f aca="false">IF(AND($C$11509=0,E11651=$C$11583),$C$11580*$C$11648/100,0)+IF(AND($C$11509=1,E11651=$C$11649),$C$11586,0)</f>
        <v>0</v>
      </c>
      <c r="F11654" s="25" t="n">
        <f aca="false">IF(AND($C$11509=0,F11651=$C$11583),$C$11580*$C$11648/100,0)+IF(AND($C$11509=1,F11651=$C$11649),$C$11586,0)</f>
        <v>100</v>
      </c>
      <c r="G11654" s="25" t="n">
        <f aca="false">IF(AND($C$11509=0,G11651=$C$11583),$C$11580*$C$11648/100,0)+IF(AND($C$11509=1,G11651=$C$11649),$C$11586,0)</f>
        <v>0</v>
      </c>
      <c r="H11654" s="25" t="n">
        <f aca="false">IF(AND($C$11509=0,H11651=$C$11583),$C$11580*$C$11648/100,0)+IF(AND($C$11509=1,H11651=$C$11649),$C$11586,0)</f>
        <v>0</v>
      </c>
      <c r="I11654" s="25" t="n">
        <f aca="false">IF(AND($C$11509=0,I11651=$C$11583),$C$11580*$C$11648/100,0)+IF(AND($C$11509=1,I11651=$C$11649),$C$11586,0)</f>
        <v>0</v>
      </c>
    </row>
    <row r="11655" customFormat="false" ht="15" hidden="false" customHeight="false" outlineLevel="0" collapsed="false">
      <c r="A11655" s="2" t="s">
        <v>540</v>
      </c>
      <c r="C11655" s="16" t="n">
        <f aca="false">-$C$11582</f>
        <v>-95</v>
      </c>
      <c r="D11655" s="16" t="n">
        <f aca="false">D11653+D11654</f>
        <v>10.5</v>
      </c>
      <c r="E11655" s="16" t="n">
        <f aca="false">E11653+E11654</f>
        <v>10.5</v>
      </c>
      <c r="F11655" s="16" t="n">
        <f aca="false">F11653+F11654</f>
        <v>110.5</v>
      </c>
      <c r="G11655" s="16" t="n">
        <f aca="false">G11653+G11654</f>
        <v>0</v>
      </c>
      <c r="H11655" s="16" t="n">
        <f aca="false">H11653+H11654</f>
        <v>0</v>
      </c>
      <c r="I11655" s="16" t="n">
        <f aca="false">I11653+I11654</f>
        <v>0</v>
      </c>
    </row>
    <row r="11656" customFormat="false" ht="15" hidden="false" customHeight="false" outlineLevel="0" collapsed="false">
      <c r="A11656" s="3" t="s">
        <v>541</v>
      </c>
      <c r="C11656" s="25" t="n">
        <f aca="false">SUM($C$11653:$I$11653)</f>
        <v>31.5</v>
      </c>
    </row>
    <row r="11657" customFormat="false" ht="15" hidden="false" customHeight="false" outlineLevel="0" collapsed="false">
      <c r="A11657" s="3" t="s">
        <v>542</v>
      </c>
      <c r="C11657" s="25" t="n">
        <f aca="false">SUM($C$11654:$I$11654)</f>
        <v>100</v>
      </c>
    </row>
    <row r="11658" customFormat="false" ht="15" hidden="false" customHeight="false" outlineLevel="0" collapsed="false">
      <c r="A11658" s="3" t="s">
        <v>543</v>
      </c>
      <c r="C11658" s="25" t="n">
        <f aca="false">C11656+C11657</f>
        <v>131.5</v>
      </c>
    </row>
    <row r="11659" customFormat="false" ht="15" hidden="false" customHeight="false" outlineLevel="0" collapsed="false">
      <c r="A11659" s="3" t="s">
        <v>544</v>
      </c>
      <c r="C11659" s="25" t="n">
        <f aca="false">C11657-C11580*C11581/100</f>
        <v>5</v>
      </c>
    </row>
    <row r="11660" customFormat="false" ht="15" hidden="false" customHeight="false" outlineLevel="0" collapsed="false">
      <c r="A11660" s="3" t="s">
        <v>545</v>
      </c>
      <c r="C11660" s="25" t="n">
        <f aca="false">C11658-C11582</f>
        <v>36.5</v>
      </c>
    </row>
    <row r="11661" customFormat="false" ht="15" hidden="false" customHeight="false" outlineLevel="0" collapsed="false">
      <c r="A11661" s="2" t="s">
        <v>427</v>
      </c>
      <c r="C11661" s="44" t="n">
        <f aca="false">C11658/C11582</f>
        <v>1.38421052631579</v>
      </c>
    </row>
    <row r="11662" customFormat="false" ht="15" hidden="false" customHeight="false" outlineLevel="0" collapsed="false">
      <c r="A11662" s="2" t="s">
        <v>426</v>
      </c>
      <c r="C11662" s="42" t="n">
        <f aca="false">IF(C11658&lt;=0,-1,IFERROR(IRR($C$11655:$I$11655,MAX(-0.9,C11661^(1/C11649)-1)),IRR($C$11655:$I$11655,0.1)))</f>
        <v>0.126033624615204</v>
      </c>
    </row>
    <row r="11663" customFormat="false" ht="15" hidden="false" customHeight="false" outlineLevel="0" collapsed="false">
      <c r="A11663" s="3" t="s">
        <v>546</v>
      </c>
      <c r="C11663" s="32" t="n">
        <f aca="false">MAX($G$11469:$K$11469)</f>
        <v>3.81499621093561</v>
      </c>
    </row>
    <row r="11664" customFormat="false" ht="15" hidden="false" customHeight="false" outlineLevel="0" collapsed="false">
      <c r="A11664" s="3" t="s">
        <v>547</v>
      </c>
      <c r="C11664" s="32" t="n">
        <f aca="false">MIN($G$11470:$K$11470)</f>
        <v>1.75842750947116</v>
      </c>
    </row>
    <row r="11665" customFormat="false" ht="15" hidden="false" customHeight="false" outlineLevel="0" collapsed="false">
      <c r="A11665" s="3" t="s">
        <v>548</v>
      </c>
      <c r="C11665" s="25" t="n">
        <f aca="false">SUM($G$11376:$K$11376)</f>
        <v>555.588348849095</v>
      </c>
    </row>
    <row r="11669" customFormat="false" ht="15" hidden="false" customHeight="false" outlineLevel="0" collapsed="false">
      <c r="A11669" s="9" t="s">
        <v>1050</v>
      </c>
      <c r="B11669" s="10"/>
      <c r="C11669" s="10"/>
      <c r="D11669" s="10"/>
      <c r="E11669" s="10"/>
      <c r="F11669" s="10"/>
      <c r="G11669" s="10"/>
      <c r="H11669" s="10"/>
      <c r="I11669" s="10"/>
      <c r="J11669" s="10"/>
      <c r="K11669" s="10"/>
    </row>
    <row r="11670" customFormat="false" ht="15" hidden="false" customHeight="false" outlineLevel="0" collapsed="false">
      <c r="A11670" s="3" t="s">
        <v>1010</v>
      </c>
      <c r="C11670" s="11" t="n">
        <v>1</v>
      </c>
    </row>
    <row r="11671" customFormat="false" ht="15" hidden="false" customHeight="false" outlineLevel="0" collapsed="false">
      <c r="A11671" s="3" t="s">
        <v>1011</v>
      </c>
      <c r="C11671" s="18" t="n">
        <v>0</v>
      </c>
    </row>
    <row r="11672" customFormat="false" ht="15" hidden="false" customHeight="false" outlineLevel="0" collapsed="false">
      <c r="A11672" s="3" t="s">
        <v>1012</v>
      </c>
      <c r="C11672" s="18" t="n">
        <v>0</v>
      </c>
    </row>
    <row r="11673" customFormat="false" ht="15" hidden="false" customHeight="false" outlineLevel="0" collapsed="false">
      <c r="A11673" s="3" t="s">
        <v>1013</v>
      </c>
      <c r="C11673" s="30" t="n">
        <f aca="false">Sensitivities!$A$53</f>
        <v>0.01</v>
      </c>
    </row>
    <row r="11674" customFormat="false" ht="15" hidden="false" customHeight="false" outlineLevel="0" collapsed="false">
      <c r="A11674" s="3" t="s">
        <v>1014</v>
      </c>
      <c r="C11674" s="15" t="n">
        <v>0</v>
      </c>
    </row>
    <row r="11676" customFormat="false" ht="15" hidden="false" customHeight="false" outlineLevel="0" collapsed="false">
      <c r="A11676" s="23" t="s">
        <v>281</v>
      </c>
      <c r="B11676" s="24"/>
      <c r="C11676" s="24"/>
      <c r="D11676" s="24"/>
      <c r="E11676" s="24"/>
      <c r="F11676" s="24"/>
      <c r="G11676" s="24"/>
      <c r="H11676" s="24"/>
      <c r="I11676" s="24"/>
      <c r="J11676" s="24"/>
      <c r="K11676" s="24"/>
    </row>
    <row r="11677" customFormat="false" ht="15" hidden="false" customHeight="false" outlineLevel="0" collapsed="false">
      <c r="A11677" s="3" t="s">
        <v>282</v>
      </c>
      <c r="F11677" s="27" t="n">
        <f aca="false">Assumptions!$C$6</f>
        <v>2026</v>
      </c>
      <c r="G11677" s="20" t="n">
        <f aca="false">F11677+1</f>
        <v>2027</v>
      </c>
      <c r="H11677" s="20" t="n">
        <f aca="false">G11677+1</f>
        <v>2028</v>
      </c>
      <c r="I11677" s="20" t="n">
        <f aca="false">H11677+1</f>
        <v>2029</v>
      </c>
      <c r="J11677" s="20" t="n">
        <f aca="false">I11677+1</f>
        <v>2030</v>
      </c>
      <c r="K11677" s="20" t="n">
        <f aca="false">J11677+1</f>
        <v>2031</v>
      </c>
    </row>
    <row r="11678" customFormat="false" ht="15" hidden="false" customHeight="false" outlineLevel="0" collapsed="false">
      <c r="A11678" s="3" t="s">
        <v>283</v>
      </c>
      <c r="G11678" s="20" t="n">
        <f aca="false">G11677-Assumptions!$C$6</f>
        <v>1</v>
      </c>
      <c r="H11678" s="20" t="n">
        <f aca="false">H11677-Assumptions!$C$6</f>
        <v>2</v>
      </c>
      <c r="I11678" s="20" t="n">
        <f aca="false">I11677-Assumptions!$C$6</f>
        <v>3</v>
      </c>
      <c r="J11678" s="20" t="n">
        <f aca="false">J11677-Assumptions!$C$6</f>
        <v>4</v>
      </c>
      <c r="K11678" s="20" t="n">
        <f aca="false">K11677-Assumptions!$C$6</f>
        <v>5</v>
      </c>
    </row>
    <row r="11679" customFormat="false" ht="15" hidden="false" customHeight="false" outlineLevel="0" collapsed="false">
      <c r="A11679" s="3" t="s">
        <v>165</v>
      </c>
      <c r="G11679" s="21" t="n">
        <f aca="false">CHOOSE($C$11670,Assumptions!$G$71,Assumptions!$G$90,Assumptions!$G$109)+$C$11671</f>
        <v>-0.045</v>
      </c>
      <c r="H11679" s="21" t="n">
        <f aca="false">CHOOSE($C$11670,Assumptions!$H$71,Assumptions!$H$90,Assumptions!$H$109)+$C$11671</f>
        <v>-0.04</v>
      </c>
      <c r="I11679" s="21" t="n">
        <f aca="false">CHOOSE($C$11670,Assumptions!$I$71,Assumptions!$I$90,Assumptions!$I$109)+$C$11671</f>
        <v>-0.035</v>
      </c>
      <c r="J11679" s="21" t="n">
        <f aca="false">CHOOSE($C$11670,Assumptions!$J$71,Assumptions!$J$90,Assumptions!$J$109)+$C$11671</f>
        <v>-0.03</v>
      </c>
      <c r="K11679" s="21" t="n">
        <f aca="false">CHOOSE($C$11670,Assumptions!$K$71,Assumptions!$K$90,Assumptions!$K$109)+$C$11671</f>
        <v>-0.03</v>
      </c>
    </row>
    <row r="11680" customFormat="false" ht="15" hidden="false" customHeight="false" outlineLevel="0" collapsed="false">
      <c r="A11680" s="3" t="s">
        <v>166</v>
      </c>
      <c r="G11680" s="21" t="n">
        <f aca="false">CHOOSE($C$11670,Assumptions!$G$72,Assumptions!$G$91,Assumptions!$G$110)</f>
        <v>0.483246670103635</v>
      </c>
      <c r="H11680" s="21" t="n">
        <f aca="false">CHOOSE($C$11670,Assumptions!$H$72,Assumptions!$H$91,Assumptions!$H$110)</f>
        <v>0.483246670103635</v>
      </c>
      <c r="I11680" s="21" t="n">
        <f aca="false">CHOOSE($C$11670,Assumptions!$I$72,Assumptions!$I$91,Assumptions!$I$110)</f>
        <v>0.481246670103635</v>
      </c>
      <c r="J11680" s="21" t="n">
        <f aca="false">CHOOSE($C$11670,Assumptions!$J$72,Assumptions!$J$91,Assumptions!$J$110)</f>
        <v>0.479246670103635</v>
      </c>
      <c r="K11680" s="21" t="n">
        <f aca="false">CHOOSE($C$11670,Assumptions!$K$72,Assumptions!$K$91,Assumptions!$K$110)</f>
        <v>0.477246670103635</v>
      </c>
    </row>
    <row r="11681" customFormat="false" ht="15" hidden="false" customHeight="false" outlineLevel="0" collapsed="false">
      <c r="A11681" s="3" t="s">
        <v>167</v>
      </c>
      <c r="G11681" s="21" t="n">
        <f aca="false">CHOOSE($C$11670,Assumptions!$G$73,Assumptions!$G$92,Assumptions!$G$111)+$C$11672</f>
        <v>0.14</v>
      </c>
      <c r="H11681" s="21" t="n">
        <f aca="false">CHOOSE($C$11670,Assumptions!$H$73,Assumptions!$H$92,Assumptions!$H$111)+$C$11672</f>
        <v>0.14</v>
      </c>
      <c r="I11681" s="21" t="n">
        <f aca="false">CHOOSE($C$11670,Assumptions!$I$73,Assumptions!$I$92,Assumptions!$I$111)+$C$11672</f>
        <v>0.138</v>
      </c>
      <c r="J11681" s="21" t="n">
        <f aca="false">CHOOSE($C$11670,Assumptions!$J$73,Assumptions!$J$92,Assumptions!$J$111)+$C$11672</f>
        <v>0.136</v>
      </c>
      <c r="K11681" s="21" t="n">
        <f aca="false">CHOOSE($C$11670,Assumptions!$K$73,Assumptions!$K$92,Assumptions!$K$111)+$C$11672</f>
        <v>0.134</v>
      </c>
    </row>
    <row r="11682" customFormat="false" ht="15" hidden="false" customHeight="false" outlineLevel="0" collapsed="false">
      <c r="A11682" s="23" t="s">
        <v>284</v>
      </c>
      <c r="B11682" s="24"/>
      <c r="C11682" s="24"/>
      <c r="D11682" s="24"/>
      <c r="E11682" s="24"/>
      <c r="F11682" s="24"/>
      <c r="G11682" s="24"/>
      <c r="H11682" s="24"/>
      <c r="I11682" s="24"/>
      <c r="J11682" s="24"/>
      <c r="K11682" s="24"/>
    </row>
    <row r="11683" customFormat="false" ht="15" hidden="false" customHeight="false" outlineLevel="0" collapsed="false">
      <c r="A11683" s="2" t="s">
        <v>256</v>
      </c>
      <c r="F11683" s="28" t="n">
        <f aca="false">'Historical Financials'!G23</f>
        <v>2246.166</v>
      </c>
      <c r="G11683" s="16" t="n">
        <f aca="false">F11683*(1+G11679)</f>
        <v>2145.08853</v>
      </c>
      <c r="H11683" s="16" t="n">
        <f aca="false">G11683*(1+H11679)</f>
        <v>2059.2849888</v>
      </c>
      <c r="I11683" s="16" t="n">
        <f aca="false">H11683*(1+I11679)</f>
        <v>1987.210014192</v>
      </c>
      <c r="J11683" s="16" t="n">
        <f aca="false">I11683*(1+J11679)</f>
        <v>1927.59371376624</v>
      </c>
      <c r="K11683" s="16" t="n">
        <f aca="false">J11683*(1+K11679)</f>
        <v>1869.76590235325</v>
      </c>
    </row>
    <row r="11684" customFormat="false" ht="15" hidden="false" customHeight="false" outlineLevel="0" collapsed="false">
      <c r="A11684" s="3" t="s">
        <v>257</v>
      </c>
      <c r="G11684" s="25" t="n">
        <f aca="false">G11683*(1-G11680)</f>
        <v>1108.4816408</v>
      </c>
      <c r="H11684" s="25" t="n">
        <f aca="false">H11683*(1-H11680)</f>
        <v>1064.142375168</v>
      </c>
      <c r="I11684" s="25" t="n">
        <f aca="false">I11683*(1-I11680)</f>
        <v>1030.8718120655</v>
      </c>
      <c r="J11684" s="25" t="n">
        <f aca="false">J11683*(1-J11680)</f>
        <v>1003.80084513107</v>
      </c>
      <c r="K11684" s="25" t="n">
        <f aca="false">K11683*(1-K11680)</f>
        <v>977.426351581845</v>
      </c>
    </row>
    <row r="11685" customFormat="false" ht="15" hidden="false" customHeight="false" outlineLevel="0" collapsed="false">
      <c r="A11685" s="2" t="s">
        <v>258</v>
      </c>
      <c r="G11685" s="16" t="n">
        <f aca="false">G11683-G11684</f>
        <v>1036.6068892</v>
      </c>
      <c r="H11685" s="16" t="n">
        <f aca="false">H11683-H11684</f>
        <v>995.142613632</v>
      </c>
      <c r="I11685" s="16" t="n">
        <f aca="false">I11683-I11684</f>
        <v>956.338202126496</v>
      </c>
      <c r="J11685" s="16" t="n">
        <f aca="false">J11683-J11684</f>
        <v>923.792868635169</v>
      </c>
      <c r="K11685" s="16" t="n">
        <f aca="false">K11683-K11684</f>
        <v>892.339550771407</v>
      </c>
    </row>
    <row r="11686" customFormat="false" ht="15" hidden="false" customHeight="false" outlineLevel="0" collapsed="false">
      <c r="A11686" s="3" t="s">
        <v>285</v>
      </c>
      <c r="G11686" s="25" t="n">
        <f aca="false">G11685-G11687</f>
        <v>736.294495</v>
      </c>
      <c r="H11686" s="25" t="n">
        <f aca="false">H11685-H11687</f>
        <v>706.8427152</v>
      </c>
      <c r="I11686" s="25" t="n">
        <f aca="false">I11685-I11687</f>
        <v>682.103220168</v>
      </c>
      <c r="J11686" s="25" t="n">
        <f aca="false">J11685-J11687</f>
        <v>661.64012356296</v>
      </c>
      <c r="K11686" s="25" t="n">
        <f aca="false">K11685-K11687</f>
        <v>641.790919856071</v>
      </c>
    </row>
    <row r="11687" customFormat="false" ht="15" hidden="false" customHeight="false" outlineLevel="0" collapsed="false">
      <c r="A11687" s="2" t="s">
        <v>286</v>
      </c>
      <c r="G11687" s="16" t="n">
        <f aca="false">G11683*G11681</f>
        <v>300.3123942</v>
      </c>
      <c r="H11687" s="16" t="n">
        <f aca="false">H11683*H11681</f>
        <v>288.299898432</v>
      </c>
      <c r="I11687" s="16" t="n">
        <f aca="false">I11683*I11681</f>
        <v>274.234981958496</v>
      </c>
      <c r="J11687" s="16" t="n">
        <f aca="false">J11683*J11681</f>
        <v>262.152745072209</v>
      </c>
      <c r="K11687" s="16" t="n">
        <f aca="false">K11683*K11681</f>
        <v>250.548630915336</v>
      </c>
    </row>
    <row r="11688" customFormat="false" ht="15" hidden="false" customHeight="false" outlineLevel="0" collapsed="false">
      <c r="A11688" s="3" t="s">
        <v>287</v>
      </c>
      <c r="G11688" s="25" t="n">
        <f aca="false">G11683*'Historical Financials'!G28/'Historical Financials'!G23</f>
        <v>81.45768</v>
      </c>
      <c r="H11688" s="25" t="n">
        <f aca="false">H11683*'Historical Financials'!G28/'Historical Financials'!G23</f>
        <v>78.1993728</v>
      </c>
      <c r="I11688" s="25" t="n">
        <f aca="false">I11683*'Historical Financials'!G28/'Historical Financials'!G23</f>
        <v>75.462394752</v>
      </c>
      <c r="J11688" s="25" t="n">
        <f aca="false">J11683*'Historical Financials'!G28/'Historical Financials'!G23</f>
        <v>73.19852290944</v>
      </c>
      <c r="K11688" s="25" t="n">
        <f aca="false">K11683*'Historical Financials'!G28/'Historical Financials'!G23</f>
        <v>71.0025672221568</v>
      </c>
    </row>
    <row r="11689" customFormat="false" ht="15" hidden="false" customHeight="false" outlineLevel="0" collapsed="false">
      <c r="A11689" s="3" t="s">
        <v>288</v>
      </c>
      <c r="G11689" s="25" t="n">
        <f aca="false">G11683*'Historical Financials'!G29/'Historical Financials'!G23</f>
        <v>23.25998</v>
      </c>
      <c r="H11689" s="25" t="n">
        <f aca="false">H11683*'Historical Financials'!G29/'Historical Financials'!G23</f>
        <v>22.3295808</v>
      </c>
      <c r="I11689" s="25" t="n">
        <f aca="false">I11683*'Historical Financials'!G29/'Historical Financials'!G23</f>
        <v>21.548045472</v>
      </c>
      <c r="J11689" s="25" t="n">
        <f aca="false">J11683*'Historical Financials'!G29/'Historical Financials'!G23</f>
        <v>20.90160410784</v>
      </c>
      <c r="K11689" s="25" t="n">
        <f aca="false">K11683*'Historical Financials'!G29/'Historical Financials'!G23</f>
        <v>20.2745559846048</v>
      </c>
    </row>
    <row r="11690" customFormat="false" ht="15" hidden="false" customHeight="false" outlineLevel="0" collapsed="false">
      <c r="A11690" s="2" t="s">
        <v>289</v>
      </c>
      <c r="G11690" s="16" t="n">
        <f aca="false">G11687-G11688-G11689</f>
        <v>195.5947342</v>
      </c>
      <c r="H11690" s="16" t="n">
        <f aca="false">H11687-H11688-H11689</f>
        <v>187.770944832</v>
      </c>
      <c r="I11690" s="16" t="n">
        <f aca="false">I11687-I11688-I11689</f>
        <v>177.224541734496</v>
      </c>
      <c r="J11690" s="16" t="n">
        <f aca="false">J11687-J11688-J11689</f>
        <v>168.052618054929</v>
      </c>
      <c r="K11690" s="16" t="n">
        <f aca="false">K11687-K11688-K11689</f>
        <v>159.271507708574</v>
      </c>
    </row>
    <row r="11691" customFormat="false" ht="15" hidden="false" customHeight="false" outlineLevel="0" collapsed="false">
      <c r="A11691" s="3" t="s">
        <v>290</v>
      </c>
      <c r="G11691" s="25" t="n">
        <f aca="false">G11717+G11730+G11743</f>
        <v>155.95467</v>
      </c>
      <c r="H11691" s="25" t="n">
        <f aca="false">H11717+H11730+H11743</f>
        <v>155.95467</v>
      </c>
      <c r="I11691" s="25" t="n">
        <f aca="false">I11717+I11730+I11743</f>
        <v>155.95467</v>
      </c>
      <c r="J11691" s="25" t="n">
        <f aca="false">J11717+J11730+J11743</f>
        <v>138.08529</v>
      </c>
      <c r="K11691" s="25" t="n">
        <f aca="false">K11717+K11730+K11743</f>
        <v>138.08529</v>
      </c>
    </row>
    <row r="11692" customFormat="false" ht="15" hidden="false" customHeight="false" outlineLevel="0" collapsed="false">
      <c r="A11692" s="3" t="s">
        <v>291</v>
      </c>
      <c r="G11692" s="25" t="n">
        <f aca="false">G11718+G11731+G11744</f>
        <v>0</v>
      </c>
      <c r="H11692" s="25" t="n">
        <f aca="false">H11718+H11731+H11744</f>
        <v>0</v>
      </c>
      <c r="I11692" s="25" t="n">
        <f aca="false">I11718+I11731+I11744</f>
        <v>0</v>
      </c>
      <c r="J11692" s="25" t="n">
        <f aca="false">J11718+J11731+J11744</f>
        <v>0</v>
      </c>
      <c r="K11692" s="25" t="n">
        <f aca="false">K11718+K11731+K11744</f>
        <v>0</v>
      </c>
    </row>
    <row r="11693" customFormat="false" ht="15" hidden="false" customHeight="false" outlineLevel="0" collapsed="false">
      <c r="A11693" s="3" t="s">
        <v>239</v>
      </c>
      <c r="G11693" s="25" t="n">
        <f aca="false">G11691+G11692</f>
        <v>155.95467</v>
      </c>
      <c r="H11693" s="25" t="n">
        <f aca="false">H11691+H11692</f>
        <v>155.95467</v>
      </c>
      <c r="I11693" s="25" t="n">
        <f aca="false">I11691+I11692</f>
        <v>155.95467</v>
      </c>
      <c r="J11693" s="25" t="n">
        <f aca="false">J11691+J11692</f>
        <v>138.08529</v>
      </c>
      <c r="K11693" s="25" t="n">
        <f aca="false">K11691+K11692</f>
        <v>138.08529</v>
      </c>
    </row>
    <row r="11694" customFormat="false" ht="15" hidden="false" customHeight="false" outlineLevel="0" collapsed="false">
      <c r="A11694" s="2" t="s">
        <v>264</v>
      </c>
      <c r="G11694" s="16" t="n">
        <f aca="false">G11690-G11693</f>
        <v>39.6400642</v>
      </c>
      <c r="H11694" s="16" t="n">
        <f aca="false">H11690-H11693</f>
        <v>31.816274832</v>
      </c>
      <c r="I11694" s="16" t="n">
        <f aca="false">I11690-I11693</f>
        <v>21.269871734496</v>
      </c>
      <c r="J11694" s="16" t="n">
        <f aca="false">J11690-J11693</f>
        <v>29.9673280549286</v>
      </c>
      <c r="K11694" s="16" t="n">
        <f aca="false">K11690-K11693</f>
        <v>21.1862177085742</v>
      </c>
    </row>
    <row r="11695" customFormat="false" ht="15" hidden="false" customHeight="false" outlineLevel="0" collapsed="false">
      <c r="A11695" s="3" t="s">
        <v>292</v>
      </c>
      <c r="G11695" s="25" t="n">
        <f aca="false">MAX(0,G11694)*Assumptions!$C$9</f>
        <v>9.91001604999999</v>
      </c>
      <c r="H11695" s="25" t="n">
        <f aca="false">MAX(0,H11694)*Assumptions!$C$9</f>
        <v>7.95406870799999</v>
      </c>
      <c r="I11695" s="25" t="n">
        <f aca="false">MAX(0,I11694)*Assumptions!$C$9</f>
        <v>5.317467933624</v>
      </c>
      <c r="J11695" s="25" t="n">
        <f aca="false">MAX(0,J11694)*Assumptions!$C$9</f>
        <v>7.49183201373215</v>
      </c>
      <c r="K11695" s="25" t="n">
        <f aca="false">MAX(0,K11694)*Assumptions!$C$9</f>
        <v>5.29655442714356</v>
      </c>
    </row>
    <row r="11696" customFormat="false" ht="15" hidden="false" customHeight="false" outlineLevel="0" collapsed="false">
      <c r="A11696" s="2" t="s">
        <v>293</v>
      </c>
      <c r="G11696" s="16" t="n">
        <f aca="false">G11694-G11695</f>
        <v>29.73004815</v>
      </c>
      <c r="H11696" s="16" t="n">
        <f aca="false">H11694-H11695</f>
        <v>23.862206124</v>
      </c>
      <c r="I11696" s="16" t="n">
        <f aca="false">I11694-I11695</f>
        <v>15.952403800872</v>
      </c>
      <c r="J11696" s="16" t="n">
        <f aca="false">J11694-J11695</f>
        <v>22.4754960411965</v>
      </c>
      <c r="K11696" s="16" t="n">
        <f aca="false">K11694-K11695</f>
        <v>15.8896632814307</v>
      </c>
    </row>
    <row r="11697" customFormat="false" ht="15" hidden="false" customHeight="false" outlineLevel="0" collapsed="false">
      <c r="A11697" s="23" t="s">
        <v>294</v>
      </c>
      <c r="B11697" s="24"/>
      <c r="C11697" s="24"/>
      <c r="D11697" s="24"/>
      <c r="E11697" s="24"/>
      <c r="F11697" s="24"/>
      <c r="G11697" s="24"/>
      <c r="H11697" s="24"/>
      <c r="I11697" s="24"/>
      <c r="J11697" s="24"/>
      <c r="K11697" s="24"/>
    </row>
    <row r="11698" customFormat="false" ht="15" hidden="false" customHeight="false" outlineLevel="0" collapsed="false">
      <c r="A11698" s="3" t="s">
        <v>169</v>
      </c>
      <c r="G11698" s="25" t="n">
        <f aca="false">G11683*CHOOSE($C$11670,Assumptions!$C$75,Assumptions!$C$94,Assumptions!$C$113)</f>
        <v>30.03123942</v>
      </c>
      <c r="H11698" s="25" t="n">
        <f aca="false">H11683*CHOOSE($C$11670,Assumptions!$C$75,Assumptions!$C$94,Assumptions!$C$113)</f>
        <v>28.8299898432</v>
      </c>
      <c r="I11698" s="25" t="n">
        <f aca="false">I11683*CHOOSE($C$11670,Assumptions!$C$75,Assumptions!$C$94,Assumptions!$C$113)</f>
        <v>27.820940198688</v>
      </c>
      <c r="J11698" s="25" t="n">
        <f aca="false">J11683*CHOOSE($C$11670,Assumptions!$C$75,Assumptions!$C$94,Assumptions!$C$113)</f>
        <v>26.9863119927274</v>
      </c>
      <c r="K11698" s="25" t="n">
        <f aca="false">K11683*CHOOSE($C$11670,Assumptions!$C$75,Assumptions!$C$94,Assumptions!$C$113)</f>
        <v>26.1767226329455</v>
      </c>
    </row>
    <row r="11699" customFormat="false" ht="15" hidden="false" customHeight="false" outlineLevel="0" collapsed="false">
      <c r="A11699" s="3" t="s">
        <v>295</v>
      </c>
      <c r="G11699" s="25" t="n">
        <f aca="false">CHOOSE($C$11670,Assumptions!$C$76,Assumptions!$C$95,Assumptions!$C$114)*(G11683-F11683)+CHOOSE($C$11670,Assumptions!$C$77,Assumptions!$C$96,Assumptions!$C$115)*G11683</f>
        <v>-21.4508853</v>
      </c>
      <c r="H11699" s="25" t="n">
        <f aca="false">CHOOSE($C$11670,Assumptions!$C$76,Assumptions!$C$95,Assumptions!$C$114)*(H11683-G11683)+CHOOSE($C$11670,Assumptions!$C$77,Assumptions!$C$96,Assumptions!$C$115)*H11683</f>
        <v>-20.592849888</v>
      </c>
      <c r="I11699" s="25" t="n">
        <f aca="false">CHOOSE($C$11670,Assumptions!$C$76,Assumptions!$C$95,Assumptions!$C$114)*(I11683-H11683)+CHOOSE($C$11670,Assumptions!$C$77,Assumptions!$C$96,Assumptions!$C$115)*I11683</f>
        <v>-19.87210014192</v>
      </c>
      <c r="J11699" s="25" t="n">
        <f aca="false">CHOOSE($C$11670,Assumptions!$C$76,Assumptions!$C$95,Assumptions!$C$114)*(J11683-I11683)+CHOOSE($C$11670,Assumptions!$C$77,Assumptions!$C$96,Assumptions!$C$115)*J11683</f>
        <v>-19.2759371376624</v>
      </c>
      <c r="K11699" s="25" t="n">
        <f aca="false">CHOOSE($C$11670,Assumptions!$C$76,Assumptions!$C$95,Assumptions!$C$114)*(K11683-J11683)+CHOOSE($C$11670,Assumptions!$C$77,Assumptions!$C$96,Assumptions!$C$115)*K11683</f>
        <v>-18.6976590235325</v>
      </c>
    </row>
    <row r="11700" customFormat="false" ht="15" hidden="false" customHeight="false" outlineLevel="0" collapsed="false">
      <c r="A11700" s="2" t="s">
        <v>296</v>
      </c>
      <c r="G11700" s="16" t="n">
        <f aca="false">G11696+G11688+G11689+G11692-G11698-G11699</f>
        <v>125.86735403</v>
      </c>
      <c r="H11700" s="16" t="n">
        <f aca="false">H11696+H11688+H11689+H11692-H11698-H11699</f>
        <v>116.1540197688</v>
      </c>
      <c r="I11700" s="16" t="n">
        <f aca="false">I11696+I11688+I11689+I11692-I11698-I11699</f>
        <v>105.014003968104</v>
      </c>
      <c r="J11700" s="16" t="n">
        <f aca="false">J11696+J11688+J11689+J11692-J11698-J11699</f>
        <v>108.865248203412</v>
      </c>
      <c r="K11700" s="16" t="n">
        <f aca="false">K11696+K11688+K11689+K11692-K11698-K11699</f>
        <v>99.6877228787792</v>
      </c>
    </row>
    <row r="11702" customFormat="false" ht="15" hidden="false" customHeight="false" outlineLevel="0" collapsed="false">
      <c r="A11702" s="23" t="s">
        <v>298</v>
      </c>
      <c r="B11702" s="24"/>
      <c r="C11702" s="24"/>
      <c r="D11702" s="24"/>
      <c r="E11702" s="24"/>
      <c r="F11702" s="24"/>
      <c r="G11702" s="24"/>
      <c r="H11702" s="24"/>
      <c r="I11702" s="24"/>
      <c r="J11702" s="24"/>
      <c r="K11702" s="24"/>
    </row>
    <row r="11703" customFormat="false" ht="15" hidden="false" customHeight="false" outlineLevel="0" collapsed="false">
      <c r="A11703" s="3" t="s">
        <v>299</v>
      </c>
      <c r="G11703" s="30" t="n">
        <f aca="false">Assumptions!$G$52</f>
        <v>0.039</v>
      </c>
      <c r="H11703" s="30" t="n">
        <f aca="false">Assumptions!$H$52</f>
        <v>0.0375</v>
      </c>
      <c r="I11703" s="30" t="n">
        <f aca="false">Assumptions!$I$52</f>
        <v>0.035</v>
      </c>
      <c r="J11703" s="30" t="n">
        <f aca="false">Assumptions!$J$52</f>
        <v>0.035</v>
      </c>
      <c r="K11703" s="30" t="n">
        <f aca="false">Assumptions!$K$52</f>
        <v>0.035</v>
      </c>
    </row>
    <row r="11704" customFormat="false" ht="15" hidden="false" customHeight="false" outlineLevel="0" collapsed="false">
      <c r="A11704" s="3" t="s">
        <v>300</v>
      </c>
      <c r="C11704" s="31" t="n">
        <f aca="false">CHOOSE($C$11670,Assumptions!$C$78,Assumptions!$C$97,Assumptions!$C$116)+$C$11673</f>
        <v>0.01</v>
      </c>
    </row>
    <row r="11705" customFormat="false" ht="15" hidden="false" customHeight="false" outlineLevel="0" collapsed="false">
      <c r="A11705" s="3" t="s">
        <v>301</v>
      </c>
      <c r="C11705" s="31" t="n">
        <f aca="false">CHOOSE($C$11670,Assumptions!$C$79,Assumptions!$C$98,Assumptions!$C$117)</f>
        <v>0.11</v>
      </c>
    </row>
    <row r="11706" customFormat="false" ht="15" hidden="false" customHeight="false" outlineLevel="0" collapsed="false">
      <c r="A11706" s="3" t="s">
        <v>302</v>
      </c>
      <c r="C11706" s="32" t="n">
        <f aca="false">CHOOSE($C$11670,Assumptions!$C$80,Assumptions!$C$99,Assumptions!$C$118)</f>
        <v>6</v>
      </c>
    </row>
    <row r="11707" customFormat="false" ht="15" hidden="false" customHeight="false" outlineLevel="0" collapsed="false">
      <c r="A11707" s="3" t="s">
        <v>303</v>
      </c>
      <c r="C11707" s="32" t="n">
        <f aca="false">CHOOSE($C$11670,Assumptions!$C$81,Assumptions!$C$100,Assumptions!$C$119)</f>
        <v>1.25</v>
      </c>
    </row>
    <row r="11708" customFormat="false" ht="15" hidden="false" customHeight="false" outlineLevel="0" collapsed="false">
      <c r="A11708" s="3" t="s">
        <v>304</v>
      </c>
      <c r="G11708" s="25" t="n">
        <f aca="false">G11713+G11726+G11739</f>
        <v>1735.554</v>
      </c>
      <c r="H11708" s="25" t="n">
        <f aca="false">H11713+H11726+H11739</f>
        <v>1735.554</v>
      </c>
      <c r="I11708" s="25" t="n">
        <f aca="false">I11713+I11726+I11739</f>
        <v>1735.554</v>
      </c>
      <c r="J11708" s="25" t="n">
        <f aca="false">J11713+J11726+J11739</f>
        <v>1315.098</v>
      </c>
      <c r="K11708" s="25" t="n">
        <f aca="false">K11713+K11726+K11739</f>
        <v>1315.098</v>
      </c>
    </row>
    <row r="11709" customFormat="false" ht="15" hidden="false" customHeight="false" outlineLevel="0" collapsed="false">
      <c r="A11709" s="3" t="s">
        <v>305</v>
      </c>
      <c r="G11709" s="25" t="n">
        <f aca="false">F11782</f>
        <v>463.996</v>
      </c>
      <c r="H11709" s="25" t="n">
        <f aca="false">G11782</f>
        <v>589.86335403</v>
      </c>
      <c r="I11709" s="25" t="n">
        <f aca="false">H11782</f>
        <v>706.0173737988</v>
      </c>
      <c r="J11709" s="25" t="n">
        <f aca="false">I11782</f>
        <v>390.575377766904</v>
      </c>
      <c r="K11709" s="25" t="n">
        <f aca="false">J11782</f>
        <v>499.440625970316</v>
      </c>
    </row>
    <row r="11710" customFormat="false" ht="15" hidden="false" customHeight="false" outlineLevel="0" collapsed="false">
      <c r="A11710" s="3" t="s">
        <v>306</v>
      </c>
      <c r="G11710" s="25" t="n">
        <f aca="false">G11713*IF(G11714=1,$C$11705,IF(Assumptions!$I$56=1,MAX(G11703,Assumptions!$G$56)+Assumptions!$F$56+$C$11704,Assumptions!$E$56))+G11726*IF(G11727=1,$C$11705,IF(Assumptions!$I$57=1,MAX(G11703,Assumptions!$G$57)+Assumptions!$F$57+$C$11704,Assumptions!$E$57))+G11739*IF(G11740=1,$C$11705,IF(Assumptions!$I$58=1,MAX(G11703,Assumptions!$G$58)+Assumptions!$F$58+$C$11704,Assumptions!$E$58))</f>
        <v>155.95467</v>
      </c>
      <c r="H11710" s="25" t="n">
        <f aca="false">H11713*IF(OR(H11714=1,G11860=1),$C$11705,IF(Assumptions!$I$56=1,MAX(H11703,Assumptions!$G$56)+Assumptions!$F$56+$C$11704,Assumptions!$E$56))+H11726*IF(OR(H11727=1,G11861=1),$C$11705,IF(Assumptions!$I$57=1,MAX(H11703,Assumptions!$G$57)+Assumptions!$F$57+$C$11704,Assumptions!$E$57))+H11739*IF(OR(H11740=1,G11862=1),$C$11705,IF(Assumptions!$I$58=1,MAX(H11703,Assumptions!$G$58)+Assumptions!$F$58+$C$11704,Assumptions!$E$58))</f>
        <v>155.95467</v>
      </c>
      <c r="I11710" s="25" t="n">
        <f aca="false">I11713*IF(OR(I11714=1,H11860=1),$C$11705,IF(Assumptions!$I$56=1,MAX(I11703,Assumptions!$G$56)+Assumptions!$F$56+$C$11704,Assumptions!$E$56))+I11726*IF(OR(I11727=1,H11861=1),$C$11705,IF(Assumptions!$I$57=1,MAX(I11703,Assumptions!$G$57)+Assumptions!$F$57+$C$11704,Assumptions!$E$57))+I11739*IF(OR(I11740=1,H11862=1),$C$11705,IF(Assumptions!$I$58=1,MAX(I11703,Assumptions!$G$58)+Assumptions!$F$58+$C$11704,Assumptions!$E$58))</f>
        <v>184.33545</v>
      </c>
      <c r="J11710" s="25" t="n">
        <f aca="false">J11713*IF(OR(J11714=1,I11860=1),$C$11705,IF(Assumptions!$I$56=1,MAX(J11703,Assumptions!$G$56)+Assumptions!$F$56+$C$11704,Assumptions!$E$56))+J11726*IF(OR(J11727=1,I11861=1),$C$11705,IF(Assumptions!$I$57=1,MAX(J11703,Assumptions!$G$57)+Assumptions!$F$57+$C$11704,Assumptions!$E$57))+J11739*IF(OR(J11740=1,I11862=1),$C$11705,IF(Assumptions!$I$58=1,MAX(J11703,Assumptions!$G$58)+Assumptions!$F$58+$C$11704,Assumptions!$E$58))</f>
        <v>138.08529</v>
      </c>
      <c r="K11710" s="25" t="n">
        <f aca="false">K11713*IF(OR(K11714=1,J11860=1),$C$11705,IF(Assumptions!$I$56=1,MAX(K11703,Assumptions!$G$56)+Assumptions!$F$56+$C$11704,Assumptions!$E$56))+K11726*IF(OR(K11727=1,J11861=1),$C$11705,IF(Assumptions!$I$57=1,MAX(K11703,Assumptions!$G$57)+Assumptions!$F$57+$C$11704,Assumptions!$E$57))+K11739*IF(OR(K11740=1,J11862=1),$C$11705,IF(Assumptions!$I$58=1,MAX(K11703,Assumptions!$G$58)+Assumptions!$F$58+$C$11704,Assumptions!$E$58))</f>
        <v>138.08529</v>
      </c>
    </row>
    <row r="11711" customFormat="false" ht="15" hidden="false" customHeight="false" outlineLevel="0" collapsed="false">
      <c r="A11711" s="3" t="s">
        <v>307</v>
      </c>
      <c r="G11711" s="20" t="n">
        <f aca="false">IF(G11687&lt;=0,0,IF(AND((G11708-G11709)/G11687&lt;=$C$11706,G11687/G11710&gt;=$C$11707),1,0))</f>
        <v>1</v>
      </c>
      <c r="H11711" s="20" t="n">
        <f aca="false">IF(H11687&lt;=0,0,IF(AND((H11708-H11709)/H11687&lt;=$C$11706,H11687/H11710&gt;=$C$11707),1,0))</f>
        <v>1</v>
      </c>
      <c r="I11711" s="20" t="n">
        <f aca="false">IF(I11687&lt;=0,0,IF(AND((I11708-I11709)/I11687&lt;=$C$11706,I11687/I11710&gt;=$C$11707),1,0))</f>
        <v>1</v>
      </c>
      <c r="J11711" s="20" t="n">
        <f aca="false">IF(J11687&lt;=0,0,IF(AND((J11708-J11709)/J11687&lt;=$C$11706,J11687/J11710&gt;=$C$11707),1,0))</f>
        <v>1</v>
      </c>
      <c r="K11711" s="20" t="n">
        <f aca="false">IF(K11687&lt;=0,0,IF(AND((K11708-K11709)/K11687&lt;=$C$11706,K11687/K11710&gt;=$C$11707),1,0))</f>
        <v>1</v>
      </c>
    </row>
    <row r="11712" customFormat="false" ht="15" hidden="false" customHeight="false" outlineLevel="0" collapsed="false">
      <c r="A11712" s="23" t="s">
        <v>308</v>
      </c>
      <c r="B11712" s="24"/>
      <c r="C11712" s="24"/>
      <c r="D11712" s="24"/>
      <c r="E11712" s="24"/>
      <c r="F11712" s="24"/>
      <c r="G11712" s="24"/>
      <c r="H11712" s="24"/>
      <c r="I11712" s="24"/>
      <c r="J11712" s="24"/>
      <c r="K11712" s="24"/>
    </row>
    <row r="11713" customFormat="false" ht="15" hidden="false" customHeight="false" outlineLevel="0" collapsed="false">
      <c r="A11713" s="3" t="s">
        <v>309</v>
      </c>
      <c r="G11713" s="25" t="n">
        <f aca="false">F11724</f>
        <v>1315.098</v>
      </c>
      <c r="H11713" s="25" t="n">
        <f aca="false">G11724</f>
        <v>1315.098</v>
      </c>
      <c r="I11713" s="25" t="n">
        <f aca="false">H11724</f>
        <v>1315.098</v>
      </c>
      <c r="J11713" s="25" t="n">
        <f aca="false">I11724</f>
        <v>1315.098</v>
      </c>
      <c r="K11713" s="25" t="n">
        <f aca="false">J11724</f>
        <v>1315.098</v>
      </c>
    </row>
    <row r="11714" customFormat="false" ht="15" hidden="false" customHeight="false" outlineLevel="0" collapsed="false">
      <c r="A11714" s="3" t="s">
        <v>310</v>
      </c>
      <c r="G11714" s="20" t="n">
        <f aca="false">IF(G11677=Assumptions!$K$56,1,0)</f>
        <v>0</v>
      </c>
      <c r="H11714" s="20" t="n">
        <f aca="false">IF(H11677=Assumptions!$K$56,1,0)</f>
        <v>0</v>
      </c>
      <c r="I11714" s="20" t="n">
        <f aca="false">IF(I11677=Assumptions!$K$56,1,0)</f>
        <v>0</v>
      </c>
      <c r="J11714" s="20" t="n">
        <f aca="false">IF(J11677=Assumptions!$K$56,1,0)</f>
        <v>0</v>
      </c>
      <c r="K11714" s="20" t="n">
        <f aca="false">IF(K11677=Assumptions!$K$56,1,0)</f>
        <v>0</v>
      </c>
    </row>
    <row r="11716" customFormat="false" ht="15" hidden="false" customHeight="false" outlineLevel="0" collapsed="false">
      <c r="A11716" s="3" t="s">
        <v>311</v>
      </c>
      <c r="G11716" s="31" t="n">
        <f aca="false">IF(Assumptions!$I$56=1,MAX(G11703,Assumptions!$G$56)+Assumptions!$F$56+$C$11704,Assumptions!$E$56)</f>
        <v>0.105</v>
      </c>
      <c r="H11716" s="31" t="n">
        <f aca="false">IF(G11860=1,$C$11705,IF(Assumptions!$I$56=1,MAX(H11703,Assumptions!$G$56)+Assumptions!$F$56+$C$11704,Assumptions!$E$56))</f>
        <v>0.105</v>
      </c>
      <c r="I11716" s="31" t="n">
        <f aca="false">IF(H11860=1,$C$11705,IF(Assumptions!$I$56=1,MAX(I11703,Assumptions!$G$56)+Assumptions!$F$56+$C$11704,Assumptions!$E$56))</f>
        <v>0.105</v>
      </c>
      <c r="J11716" s="31" t="n">
        <f aca="false">IF(I11860=1,$C$11705,IF(Assumptions!$I$56=1,MAX(J11703,Assumptions!$G$56)+Assumptions!$F$56+$C$11704,Assumptions!$E$56))</f>
        <v>0.105</v>
      </c>
      <c r="K11716" s="31" t="n">
        <f aca="false">IF(J11860=1,$C$11705,IF(Assumptions!$I$56=1,MAX(K11703,Assumptions!$G$56)+Assumptions!$F$56+$C$11704,Assumptions!$E$56))</f>
        <v>0.105</v>
      </c>
    </row>
    <row r="11717" customFormat="false" ht="15" hidden="false" customHeight="false" outlineLevel="0" collapsed="false">
      <c r="A11717" s="3" t="s">
        <v>312</v>
      </c>
      <c r="G11717" s="25" t="n">
        <f aca="false">G11713*G11716</f>
        <v>138.08529</v>
      </c>
      <c r="H11717" s="25" t="n">
        <f aca="false">H11713*H11716</f>
        <v>138.08529</v>
      </c>
      <c r="I11717" s="25" t="n">
        <f aca="false">I11713*I11716</f>
        <v>138.08529</v>
      </c>
      <c r="J11717" s="25" t="n">
        <f aca="false">J11713*J11716</f>
        <v>138.08529</v>
      </c>
      <c r="K11717" s="25" t="n">
        <f aca="false">K11713*K11716</f>
        <v>138.08529</v>
      </c>
    </row>
    <row r="11718" customFormat="false" ht="15" hidden="false" customHeight="false" outlineLevel="0" collapsed="false">
      <c r="A11718" s="3" t="s">
        <v>313</v>
      </c>
      <c r="G11718" s="25" t="n">
        <f aca="false">G11713*Assumptions!$H$56</f>
        <v>0</v>
      </c>
      <c r="H11718" s="25" t="n">
        <f aca="false">H11713*Assumptions!$H$56</f>
        <v>0</v>
      </c>
      <c r="I11718" s="25" t="n">
        <f aca="false">I11713*Assumptions!$H$56</f>
        <v>0</v>
      </c>
      <c r="J11718" s="25" t="n">
        <f aca="false">J11713*Assumptions!$H$56</f>
        <v>0</v>
      </c>
      <c r="K11718" s="25" t="n">
        <f aca="false">K11713*Assumptions!$H$56</f>
        <v>0</v>
      </c>
    </row>
    <row r="11719" customFormat="false" ht="15" hidden="false" customHeight="false" outlineLevel="0" collapsed="false">
      <c r="A11719" s="3" t="s">
        <v>314</v>
      </c>
      <c r="G11719" s="25" t="n">
        <f aca="false">MIN(G11713,Assumptions!$L$56*Assumptions!$C$56)</f>
        <v>0</v>
      </c>
      <c r="H11719" s="25" t="n">
        <f aca="false">MIN(H11713,Assumptions!$L$56*Assumptions!$C$56)</f>
        <v>0</v>
      </c>
      <c r="I11719" s="25" t="n">
        <f aca="false">MIN(I11713,Assumptions!$L$56*Assumptions!$C$56)</f>
        <v>0</v>
      </c>
      <c r="J11719" s="25" t="n">
        <f aca="false">MIN(J11713,Assumptions!$L$56*Assumptions!$C$56)</f>
        <v>0</v>
      </c>
      <c r="K11719" s="25" t="n">
        <f aca="false">MIN(K11713,Assumptions!$L$56*Assumptions!$C$56)</f>
        <v>0</v>
      </c>
    </row>
    <row r="11720" customFormat="false" ht="15" hidden="false" customHeight="false" outlineLevel="0" collapsed="false">
      <c r="A11720" s="3" t="s">
        <v>315</v>
      </c>
      <c r="G11720" s="25" t="n">
        <f aca="false">IF(AND(Assumptions!$P$56=1,G11677&lt;Assumptions!$K$56),MIN(MAX(0,-G11774),MAX(0,Assumptions!$D$56-G11713)),0)</f>
        <v>0</v>
      </c>
      <c r="H11720" s="25" t="n">
        <f aca="false">IF(AND(Assumptions!$P$56=1,OR(H11677&lt;Assumptions!$K$56,G11860=1)),MIN(MAX(0,-H11774),MAX(0,Assumptions!$D$56-H11713)),0)</f>
        <v>0</v>
      </c>
      <c r="I11720" s="25" t="n">
        <f aca="false">IF(AND(Assumptions!$P$56=1,OR(I11677&lt;Assumptions!$K$56,H11860=1)),MIN(MAX(0,-I11774),MAX(0,Assumptions!$D$56-I11713)),0)</f>
        <v>0</v>
      </c>
      <c r="J11720" s="25" t="n">
        <f aca="false">IF(AND(Assumptions!$P$56=1,OR(J11677&lt;Assumptions!$K$56,I11860=1)),MIN(MAX(0,-J11774),MAX(0,Assumptions!$D$56-J11713)),0)</f>
        <v>0</v>
      </c>
      <c r="K11720" s="25" t="n">
        <f aca="false">IF(AND(Assumptions!$P$56=1,OR(K11677&lt;Assumptions!$K$56,J11860=1)),MIN(MAX(0,-K11774),MAX(0,Assumptions!$D$56-K11713)),0)</f>
        <v>0</v>
      </c>
    </row>
    <row r="11721" customFormat="false" ht="15" hidden="false" customHeight="false" outlineLevel="0" collapsed="false">
      <c r="A11721" s="3" t="s">
        <v>316</v>
      </c>
      <c r="G11721" s="25" t="n">
        <f aca="false">G11714*MIN(G11713-G11719+G11718,MAX(0,G11776-Assumptions!$C$12*G11711))</f>
        <v>0</v>
      </c>
      <c r="H11721" s="25" t="n">
        <f aca="false">H11714*MIN(H11713-H11719+H11718,MAX(0,H11776-Assumptions!$C$12*H11711))</f>
        <v>0</v>
      </c>
      <c r="I11721" s="25" t="n">
        <f aca="false">I11714*MIN(I11713-I11719+I11718,MAX(0,I11776-Assumptions!$C$12*I11711))</f>
        <v>0</v>
      </c>
      <c r="J11721" s="25" t="n">
        <f aca="false">J11714*MIN(J11713-J11719+J11718,MAX(0,J11776-Assumptions!$C$12*J11711))</f>
        <v>0</v>
      </c>
      <c r="K11721" s="25" t="n">
        <f aca="false">K11714*MIN(K11713-K11719+K11718,MAX(0,K11776-Assumptions!$C$12*K11711))</f>
        <v>0</v>
      </c>
    </row>
    <row r="11722" customFormat="false" ht="15" hidden="false" customHeight="false" outlineLevel="0" collapsed="false">
      <c r="A11722" s="3" t="s">
        <v>317</v>
      </c>
      <c r="G11722" s="25" t="n">
        <f aca="false">Assumptions!$N$56*MIN(G11713+G11720+G11718-G11719-G11721,MAX(0,G11780))</f>
        <v>0</v>
      </c>
      <c r="H11722" s="25" t="n">
        <f aca="false">Assumptions!$N$56*MIN(H11713+H11720+H11718-H11719-H11721,MAX(0,H11780))</f>
        <v>0</v>
      </c>
      <c r="I11722" s="25" t="n">
        <f aca="false">Assumptions!$N$56*MIN(I11713+I11720+I11718-I11719-I11721,MAX(0,I11780))</f>
        <v>0</v>
      </c>
      <c r="J11722" s="25" t="n">
        <f aca="false">Assumptions!$N$56*MIN(J11713+J11720+J11718-J11719-J11721,MAX(0,J11780))</f>
        <v>0</v>
      </c>
      <c r="K11722" s="25" t="n">
        <f aca="false">Assumptions!$N$56*MIN(K11713+K11720+K11718-K11719-K11721,MAX(0,K11780))</f>
        <v>0</v>
      </c>
    </row>
    <row r="11723" customFormat="false" ht="15" hidden="false" customHeight="false" outlineLevel="0" collapsed="false">
      <c r="A11723" s="3" t="s">
        <v>318</v>
      </c>
      <c r="G11723" s="25" t="n">
        <f aca="false">G11714*(1-G11711)*(G11713-G11719+G11718-G11721)</f>
        <v>0</v>
      </c>
      <c r="H11723" s="25" t="n">
        <f aca="false">H11714*(1-H11711)*(H11713-H11719+H11718-H11721)</f>
        <v>0</v>
      </c>
      <c r="I11723" s="25" t="n">
        <f aca="false">I11714*(1-I11711)*(I11713-I11719+I11718-I11721)</f>
        <v>0</v>
      </c>
      <c r="J11723" s="25" t="n">
        <f aca="false">J11714*(1-J11711)*(J11713-J11719+J11718-J11721)</f>
        <v>0</v>
      </c>
      <c r="K11723" s="25" t="n">
        <f aca="false">K11714*(1-K11711)*(K11713-K11719+K11718-K11721)</f>
        <v>0</v>
      </c>
    </row>
    <row r="11724" customFormat="false" ht="15" hidden="false" customHeight="false" outlineLevel="0" collapsed="false">
      <c r="A11724" s="2" t="s">
        <v>319</v>
      </c>
      <c r="F11724" s="28" t="n">
        <f aca="false">Assumptions!$C$56</f>
        <v>1315.098</v>
      </c>
      <c r="G11724" s="16" t="n">
        <f aca="false">G11713+G11720+G11718-G11719-G11721-G11722</f>
        <v>1315.098</v>
      </c>
      <c r="H11724" s="16" t="n">
        <f aca="false">H11713+H11720+H11718-H11719-H11721-H11722</f>
        <v>1315.098</v>
      </c>
      <c r="I11724" s="16" t="n">
        <f aca="false">I11713+I11720+I11718-I11719-I11721-I11722</f>
        <v>1315.098</v>
      </c>
      <c r="J11724" s="16" t="n">
        <f aca="false">J11713+J11720+J11718-J11719-J11721-J11722</f>
        <v>1315.098</v>
      </c>
      <c r="K11724" s="16" t="n">
        <f aca="false">K11713+K11720+K11718-K11719-K11721-K11722</f>
        <v>1315.098</v>
      </c>
    </row>
    <row r="11725" customFormat="false" ht="15" hidden="false" customHeight="false" outlineLevel="0" collapsed="false">
      <c r="A11725" s="23" t="s">
        <v>320</v>
      </c>
      <c r="B11725" s="24"/>
      <c r="C11725" s="24"/>
      <c r="D11725" s="24"/>
      <c r="E11725" s="24"/>
      <c r="F11725" s="24"/>
      <c r="G11725" s="24"/>
      <c r="H11725" s="24"/>
      <c r="I11725" s="24"/>
      <c r="J11725" s="24"/>
      <c r="K11725" s="24"/>
    </row>
    <row r="11726" customFormat="false" ht="15" hidden="false" customHeight="false" outlineLevel="0" collapsed="false">
      <c r="A11726" s="3" t="s">
        <v>309</v>
      </c>
      <c r="G11726" s="25" t="n">
        <f aca="false">F11737</f>
        <v>276.706</v>
      </c>
      <c r="H11726" s="25" t="n">
        <f aca="false">G11737</f>
        <v>276.706</v>
      </c>
      <c r="I11726" s="25" t="n">
        <f aca="false">H11737</f>
        <v>276.706</v>
      </c>
      <c r="J11726" s="25" t="n">
        <f aca="false">I11737</f>
        <v>0</v>
      </c>
      <c r="K11726" s="25" t="n">
        <f aca="false">J11737</f>
        <v>0</v>
      </c>
    </row>
    <row r="11727" customFormat="false" ht="15" hidden="false" customHeight="false" outlineLevel="0" collapsed="false">
      <c r="A11727" s="3" t="s">
        <v>310</v>
      </c>
      <c r="G11727" s="20" t="n">
        <f aca="false">IF(G11677=Assumptions!$K$57,1,0)</f>
        <v>0</v>
      </c>
      <c r="H11727" s="20" t="n">
        <f aca="false">IF(H11677=Assumptions!$K$57,1,0)</f>
        <v>0</v>
      </c>
      <c r="I11727" s="20" t="n">
        <f aca="false">IF(I11677=Assumptions!$K$57,1,0)</f>
        <v>1</v>
      </c>
      <c r="J11727" s="20" t="n">
        <f aca="false">IF(J11677=Assumptions!$K$57,1,0)</f>
        <v>0</v>
      </c>
      <c r="K11727" s="20" t="n">
        <f aca="false">IF(K11677=Assumptions!$K$57,1,0)</f>
        <v>0</v>
      </c>
    </row>
    <row r="11729" customFormat="false" ht="15" hidden="false" customHeight="false" outlineLevel="0" collapsed="false">
      <c r="A11729" s="3" t="s">
        <v>311</v>
      </c>
      <c r="G11729" s="31" t="n">
        <f aca="false">IF(Assumptions!$I$57=1,MAX(G11703,Assumptions!$G$57)+Assumptions!$F$57+$C$11704,Assumptions!$E$57)</f>
        <v>0.0425</v>
      </c>
      <c r="H11729" s="31" t="n">
        <f aca="false">IF(G11861=1,$C$11705,IF(Assumptions!$I$57=1,MAX(H11703,Assumptions!$G$57)+Assumptions!$F$57+$C$11704,Assumptions!$E$57))</f>
        <v>0.0425</v>
      </c>
      <c r="I11729" s="31" t="n">
        <f aca="false">IF(H11861=1,$C$11705,IF(Assumptions!$I$57=1,MAX(I11703,Assumptions!$G$57)+Assumptions!$F$57+$C$11704,Assumptions!$E$57))</f>
        <v>0.0425</v>
      </c>
      <c r="J11729" s="31" t="n">
        <f aca="false">IF(I11861=1,$C$11705,IF(Assumptions!$I$57=1,MAX(J11703,Assumptions!$G$57)+Assumptions!$F$57+$C$11704,Assumptions!$E$57))</f>
        <v>0.11</v>
      </c>
      <c r="K11729" s="31" t="n">
        <f aca="false">IF(J11861=1,$C$11705,IF(Assumptions!$I$57=1,MAX(K11703,Assumptions!$G$57)+Assumptions!$F$57+$C$11704,Assumptions!$E$57))</f>
        <v>0.11</v>
      </c>
    </row>
    <row r="11730" customFormat="false" ht="15" hidden="false" customHeight="false" outlineLevel="0" collapsed="false">
      <c r="A11730" s="3" t="s">
        <v>312</v>
      </c>
      <c r="G11730" s="25" t="n">
        <f aca="false">G11726*G11729</f>
        <v>11.760005</v>
      </c>
      <c r="H11730" s="25" t="n">
        <f aca="false">H11726*H11729</f>
        <v>11.760005</v>
      </c>
      <c r="I11730" s="25" t="n">
        <f aca="false">I11726*I11729</f>
        <v>11.760005</v>
      </c>
      <c r="J11730" s="25" t="n">
        <f aca="false">J11726*J11729</f>
        <v>0</v>
      </c>
      <c r="K11730" s="25" t="n">
        <f aca="false">K11726*K11729</f>
        <v>0</v>
      </c>
    </row>
    <row r="11731" customFormat="false" ht="15" hidden="false" customHeight="false" outlineLevel="0" collapsed="false">
      <c r="A11731" s="3" t="s">
        <v>313</v>
      </c>
      <c r="G11731" s="25" t="n">
        <f aca="false">G11726*Assumptions!$H$57</f>
        <v>0</v>
      </c>
      <c r="H11731" s="25" t="n">
        <f aca="false">H11726*Assumptions!$H$57</f>
        <v>0</v>
      </c>
      <c r="I11731" s="25" t="n">
        <f aca="false">I11726*Assumptions!$H$57</f>
        <v>0</v>
      </c>
      <c r="J11731" s="25" t="n">
        <f aca="false">J11726*Assumptions!$H$57</f>
        <v>0</v>
      </c>
      <c r="K11731" s="25" t="n">
        <f aca="false">K11726*Assumptions!$H$57</f>
        <v>0</v>
      </c>
    </row>
    <row r="11732" customFormat="false" ht="15" hidden="false" customHeight="false" outlineLevel="0" collapsed="false">
      <c r="A11732" s="3" t="s">
        <v>314</v>
      </c>
      <c r="G11732" s="25" t="n">
        <f aca="false">MIN(G11726,Assumptions!$L$57*Assumptions!$C$57)</f>
        <v>0</v>
      </c>
      <c r="H11732" s="25" t="n">
        <f aca="false">MIN(H11726,Assumptions!$L$57*Assumptions!$C$57)</f>
        <v>0</v>
      </c>
      <c r="I11732" s="25" t="n">
        <f aca="false">MIN(I11726,Assumptions!$L$57*Assumptions!$C$57)</f>
        <v>0</v>
      </c>
      <c r="J11732" s="25" t="n">
        <f aca="false">MIN(J11726,Assumptions!$L$57*Assumptions!$C$57)</f>
        <v>0</v>
      </c>
      <c r="K11732" s="25" t="n">
        <f aca="false">MIN(K11726,Assumptions!$L$57*Assumptions!$C$57)</f>
        <v>0</v>
      </c>
    </row>
    <row r="11733" customFormat="false" ht="15" hidden="false" customHeight="false" outlineLevel="0" collapsed="false">
      <c r="A11733" s="3" t="s">
        <v>315</v>
      </c>
      <c r="G11733" s="25" t="n">
        <f aca="false">IF(AND(Assumptions!$P$57=1,G11677&lt;Assumptions!$K$57),MIN(MAX(0,-G11774),MAX(0,Assumptions!$D$57-G11726)),0)</f>
        <v>0</v>
      </c>
      <c r="H11733" s="25" t="n">
        <f aca="false">IF(AND(Assumptions!$P$57=1,OR(H11677&lt;Assumptions!$K$57,G11861=1)),MIN(MAX(0,-H11774),MAX(0,Assumptions!$D$57-H11726)),0)</f>
        <v>0</v>
      </c>
      <c r="I11733" s="25" t="n">
        <f aca="false">IF(AND(Assumptions!$P$57=1,OR(I11677&lt;Assumptions!$K$57,H11861=1)),MIN(MAX(0,-I11774),MAX(0,Assumptions!$D$57-I11726)),0)</f>
        <v>0</v>
      </c>
      <c r="J11733" s="25" t="n">
        <f aca="false">IF(AND(Assumptions!$P$57=1,OR(J11677&lt;Assumptions!$K$57,I11861=1)),MIN(MAX(0,-J11774),MAX(0,Assumptions!$D$57-J11726)),0)</f>
        <v>0</v>
      </c>
      <c r="K11733" s="25" t="n">
        <f aca="false">IF(AND(Assumptions!$P$57=1,OR(K11677&lt;Assumptions!$K$57,J11861=1)),MIN(MAX(0,-K11774),MAX(0,Assumptions!$D$57-K11726)),0)</f>
        <v>0</v>
      </c>
    </row>
    <row r="11734" customFormat="false" ht="15" hidden="false" customHeight="false" outlineLevel="0" collapsed="false">
      <c r="A11734" s="3" t="s">
        <v>316</v>
      </c>
      <c r="G11734" s="25" t="n">
        <f aca="false">G11727*MIN(G11726-G11732+G11731,MAX(0,G11776-Assumptions!$C$12*G11711-G11721))</f>
        <v>0</v>
      </c>
      <c r="H11734" s="25" t="n">
        <f aca="false">H11727*MIN(H11726-H11732+H11731,MAX(0,H11776-Assumptions!$C$12*H11711-H11721))</f>
        <v>0</v>
      </c>
      <c r="I11734" s="25" t="n">
        <f aca="false">I11727*MIN(I11726-I11732+I11731,MAX(0,I11776-Assumptions!$C$12*I11711-I11721))</f>
        <v>276.706</v>
      </c>
      <c r="J11734" s="25" t="n">
        <f aca="false">J11727*MIN(J11726-J11732+J11731,MAX(0,J11776-Assumptions!$C$12*J11711-J11721))</f>
        <v>0</v>
      </c>
      <c r="K11734" s="25" t="n">
        <f aca="false">K11727*MIN(K11726-K11732+K11731,MAX(0,K11776-Assumptions!$C$12*K11711-K11721))</f>
        <v>0</v>
      </c>
    </row>
    <row r="11735" customFormat="false" ht="15" hidden="false" customHeight="false" outlineLevel="0" collapsed="false">
      <c r="A11735" s="3" t="s">
        <v>317</v>
      </c>
      <c r="G11735" s="25" t="n">
        <f aca="false">Assumptions!$N$57*MIN(G11726+G11733+G11731-G11732-G11734,MAX(0,G11780-G11722))</f>
        <v>0</v>
      </c>
      <c r="H11735" s="25" t="n">
        <f aca="false">Assumptions!$N$57*MIN(H11726+H11733+H11731-H11732-H11734,MAX(0,H11780-H11722))</f>
        <v>0</v>
      </c>
      <c r="I11735" s="25" t="n">
        <f aca="false">Assumptions!$N$57*MIN(I11726+I11733+I11731-I11732-I11734,MAX(0,I11780-I11722))</f>
        <v>0</v>
      </c>
      <c r="J11735" s="25" t="n">
        <f aca="false">Assumptions!$N$57*MIN(J11726+J11733+J11731-J11732-J11734,MAX(0,J11780-J11722))</f>
        <v>0</v>
      </c>
      <c r="K11735" s="25" t="n">
        <f aca="false">Assumptions!$N$57*MIN(K11726+K11733+K11731-K11732-K11734,MAX(0,K11780-K11722))</f>
        <v>0</v>
      </c>
    </row>
    <row r="11736" customFormat="false" ht="15" hidden="false" customHeight="false" outlineLevel="0" collapsed="false">
      <c r="A11736" s="3" t="s">
        <v>318</v>
      </c>
      <c r="G11736" s="25" t="n">
        <f aca="false">G11727*(1-G11711)*(G11726-G11732+G11731-G11734)</f>
        <v>0</v>
      </c>
      <c r="H11736" s="25" t="n">
        <f aca="false">H11727*(1-H11711)*(H11726-H11732+H11731-H11734)</f>
        <v>0</v>
      </c>
      <c r="I11736" s="25" t="n">
        <f aca="false">I11727*(1-I11711)*(I11726-I11732+I11731-I11734)</f>
        <v>0</v>
      </c>
      <c r="J11736" s="25" t="n">
        <f aca="false">J11727*(1-J11711)*(J11726-J11732+J11731-J11734)</f>
        <v>0</v>
      </c>
      <c r="K11736" s="25" t="n">
        <f aca="false">K11727*(1-K11711)*(K11726-K11732+K11731-K11734)</f>
        <v>0</v>
      </c>
    </row>
    <row r="11737" customFormat="false" ht="15" hidden="false" customHeight="false" outlineLevel="0" collapsed="false">
      <c r="A11737" s="2" t="s">
        <v>319</v>
      </c>
      <c r="F11737" s="28" t="n">
        <f aca="false">Assumptions!$C$57</f>
        <v>276.706</v>
      </c>
      <c r="G11737" s="16" t="n">
        <f aca="false">G11726+G11733+G11731-G11732-G11734-G11735</f>
        <v>276.706</v>
      </c>
      <c r="H11737" s="16" t="n">
        <f aca="false">H11726+H11733+H11731-H11732-H11734-H11735</f>
        <v>276.706</v>
      </c>
      <c r="I11737" s="16" t="n">
        <f aca="false">I11726+I11733+I11731-I11732-I11734-I11735</f>
        <v>0</v>
      </c>
      <c r="J11737" s="16" t="n">
        <f aca="false">J11726+J11733+J11731-J11732-J11734-J11735</f>
        <v>0</v>
      </c>
      <c r="K11737" s="16" t="n">
        <f aca="false">K11726+K11733+K11731-K11732-K11734-K11735</f>
        <v>0</v>
      </c>
    </row>
    <row r="11738" customFormat="false" ht="15" hidden="false" customHeight="false" outlineLevel="0" collapsed="false">
      <c r="A11738" s="23" t="s">
        <v>321</v>
      </c>
      <c r="B11738" s="24"/>
      <c r="C11738" s="24"/>
      <c r="D11738" s="24"/>
      <c r="E11738" s="24"/>
      <c r="F11738" s="24"/>
      <c r="G11738" s="24"/>
      <c r="H11738" s="24"/>
      <c r="I11738" s="24"/>
      <c r="J11738" s="24"/>
      <c r="K11738" s="24"/>
    </row>
    <row r="11739" customFormat="false" ht="15" hidden="false" customHeight="false" outlineLevel="0" collapsed="false">
      <c r="A11739" s="3" t="s">
        <v>309</v>
      </c>
      <c r="G11739" s="25" t="n">
        <f aca="false">F11750</f>
        <v>143.75</v>
      </c>
      <c r="H11739" s="25" t="n">
        <f aca="false">G11750</f>
        <v>143.75</v>
      </c>
      <c r="I11739" s="25" t="n">
        <f aca="false">H11750</f>
        <v>143.75</v>
      </c>
      <c r="J11739" s="25" t="n">
        <f aca="false">I11750</f>
        <v>0</v>
      </c>
      <c r="K11739" s="25" t="n">
        <f aca="false">J11750</f>
        <v>0</v>
      </c>
    </row>
    <row r="11740" customFormat="false" ht="15" hidden="false" customHeight="false" outlineLevel="0" collapsed="false">
      <c r="A11740" s="3" t="s">
        <v>310</v>
      </c>
      <c r="G11740" s="20" t="n">
        <f aca="false">IF(G11677=Assumptions!$K$58,1,0)</f>
        <v>0</v>
      </c>
      <c r="H11740" s="20" t="n">
        <f aca="false">IF(H11677=Assumptions!$K$58,1,0)</f>
        <v>0</v>
      </c>
      <c r="I11740" s="20" t="n">
        <f aca="false">IF(I11677=Assumptions!$K$58,1,0)</f>
        <v>1</v>
      </c>
      <c r="J11740" s="20" t="n">
        <f aca="false">IF(J11677=Assumptions!$K$58,1,0)</f>
        <v>0</v>
      </c>
      <c r="K11740" s="20" t="n">
        <f aca="false">IF(K11677=Assumptions!$K$58,1,0)</f>
        <v>0</v>
      </c>
    </row>
    <row r="11742" customFormat="false" ht="15" hidden="false" customHeight="false" outlineLevel="0" collapsed="false">
      <c r="A11742" s="3" t="s">
        <v>311</v>
      </c>
      <c r="G11742" s="31" t="n">
        <f aca="false">IF(Assumptions!$I$58=1,MAX(G11703,Assumptions!$G$58)+Assumptions!$F$58+$C$11704,Assumptions!$E$58)</f>
        <v>0.0425</v>
      </c>
      <c r="H11742" s="31" t="n">
        <f aca="false">IF(G11862=1,$C$11705,IF(Assumptions!$I$58=1,MAX(H11703,Assumptions!$G$58)+Assumptions!$F$58+$C$11704,Assumptions!$E$58))</f>
        <v>0.0425</v>
      </c>
      <c r="I11742" s="31" t="n">
        <f aca="false">IF(H11862=1,$C$11705,IF(Assumptions!$I$58=1,MAX(I11703,Assumptions!$G$58)+Assumptions!$F$58+$C$11704,Assumptions!$E$58))</f>
        <v>0.0425</v>
      </c>
      <c r="J11742" s="31" t="n">
        <f aca="false">IF(I11862=1,$C$11705,IF(Assumptions!$I$58=1,MAX(J11703,Assumptions!$G$58)+Assumptions!$F$58+$C$11704,Assumptions!$E$58))</f>
        <v>0.11</v>
      </c>
      <c r="K11742" s="31" t="n">
        <f aca="false">IF(J11862=1,$C$11705,IF(Assumptions!$I$58=1,MAX(K11703,Assumptions!$G$58)+Assumptions!$F$58+$C$11704,Assumptions!$E$58))</f>
        <v>0.11</v>
      </c>
    </row>
    <row r="11743" customFormat="false" ht="15" hidden="false" customHeight="false" outlineLevel="0" collapsed="false">
      <c r="A11743" s="3" t="s">
        <v>312</v>
      </c>
      <c r="G11743" s="25" t="n">
        <f aca="false">G11739*G11742</f>
        <v>6.109375</v>
      </c>
      <c r="H11743" s="25" t="n">
        <f aca="false">H11739*H11742</f>
        <v>6.109375</v>
      </c>
      <c r="I11743" s="25" t="n">
        <f aca="false">I11739*I11742</f>
        <v>6.109375</v>
      </c>
      <c r="J11743" s="25" t="n">
        <f aca="false">J11739*J11742</f>
        <v>0</v>
      </c>
      <c r="K11743" s="25" t="n">
        <f aca="false">K11739*K11742</f>
        <v>0</v>
      </c>
    </row>
    <row r="11744" customFormat="false" ht="15" hidden="false" customHeight="false" outlineLevel="0" collapsed="false">
      <c r="A11744" s="3" t="s">
        <v>313</v>
      </c>
      <c r="G11744" s="25" t="n">
        <f aca="false">G11739*Assumptions!$H$58</f>
        <v>0</v>
      </c>
      <c r="H11744" s="25" t="n">
        <f aca="false">H11739*Assumptions!$H$58</f>
        <v>0</v>
      </c>
      <c r="I11744" s="25" t="n">
        <f aca="false">I11739*Assumptions!$H$58</f>
        <v>0</v>
      </c>
      <c r="J11744" s="25" t="n">
        <f aca="false">J11739*Assumptions!$H$58</f>
        <v>0</v>
      </c>
      <c r="K11744" s="25" t="n">
        <f aca="false">K11739*Assumptions!$H$58</f>
        <v>0</v>
      </c>
    </row>
    <row r="11745" customFormat="false" ht="15" hidden="false" customHeight="false" outlineLevel="0" collapsed="false">
      <c r="A11745" s="3" t="s">
        <v>314</v>
      </c>
      <c r="G11745" s="25" t="n">
        <f aca="false">MIN(G11739,Assumptions!$L$58*Assumptions!$C$58)</f>
        <v>0</v>
      </c>
      <c r="H11745" s="25" t="n">
        <f aca="false">MIN(H11739,Assumptions!$L$58*Assumptions!$C$58)</f>
        <v>0</v>
      </c>
      <c r="I11745" s="25" t="n">
        <f aca="false">MIN(I11739,Assumptions!$L$58*Assumptions!$C$58)</f>
        <v>0</v>
      </c>
      <c r="J11745" s="25" t="n">
        <f aca="false">MIN(J11739,Assumptions!$L$58*Assumptions!$C$58)</f>
        <v>0</v>
      </c>
      <c r="K11745" s="25" t="n">
        <f aca="false">MIN(K11739,Assumptions!$L$58*Assumptions!$C$58)</f>
        <v>0</v>
      </c>
    </row>
    <row r="11746" customFormat="false" ht="15" hidden="false" customHeight="false" outlineLevel="0" collapsed="false">
      <c r="A11746" s="3" t="s">
        <v>315</v>
      </c>
      <c r="G11746" s="25" t="n">
        <f aca="false">IF(AND(Assumptions!$P$58=1,G11677&lt;Assumptions!$K$58),MIN(MAX(0,-G11774),MAX(0,Assumptions!$D$58-G11739)),0)</f>
        <v>0</v>
      </c>
      <c r="H11746" s="25" t="n">
        <f aca="false">IF(AND(Assumptions!$P$58=1,OR(H11677&lt;Assumptions!$K$58,G11862=1)),MIN(MAX(0,-H11774),MAX(0,Assumptions!$D$58-H11739)),0)</f>
        <v>0</v>
      </c>
      <c r="I11746" s="25" t="n">
        <f aca="false">IF(AND(Assumptions!$P$58=1,OR(I11677&lt;Assumptions!$K$58,H11862=1)),MIN(MAX(0,-I11774),MAX(0,Assumptions!$D$58-I11739)),0)</f>
        <v>0</v>
      </c>
      <c r="J11746" s="25" t="n">
        <f aca="false">IF(AND(Assumptions!$P$58=1,OR(J11677&lt;Assumptions!$K$58,I11862=1)),MIN(MAX(0,-J11774),MAX(0,Assumptions!$D$58-J11739)),0)</f>
        <v>0</v>
      </c>
      <c r="K11746" s="25" t="n">
        <f aca="false">IF(AND(Assumptions!$P$58=1,OR(K11677&lt;Assumptions!$K$58,J11862=1)),MIN(MAX(0,-K11774),MAX(0,Assumptions!$D$58-K11739)),0)</f>
        <v>0</v>
      </c>
    </row>
    <row r="11747" customFormat="false" ht="15" hidden="false" customHeight="false" outlineLevel="0" collapsed="false">
      <c r="A11747" s="3" t="s">
        <v>316</v>
      </c>
      <c r="G11747" s="25" t="n">
        <f aca="false">G11740*MIN(G11739-G11745+G11744,MAX(0,G11776-Assumptions!$C$12*G11711-G11721-G11734))</f>
        <v>0</v>
      </c>
      <c r="H11747" s="25" t="n">
        <f aca="false">H11740*MIN(H11739-H11745+H11744,MAX(0,H11776-Assumptions!$C$12*H11711-H11721-H11734))</f>
        <v>0</v>
      </c>
      <c r="I11747" s="25" t="n">
        <f aca="false">I11740*MIN(I11739-I11745+I11744,MAX(0,I11776-Assumptions!$C$12*I11711-I11721-I11734))</f>
        <v>143.75</v>
      </c>
      <c r="J11747" s="25" t="n">
        <f aca="false">J11740*MIN(J11739-J11745+J11744,MAX(0,J11776-Assumptions!$C$12*J11711-J11721-J11734))</f>
        <v>0</v>
      </c>
      <c r="K11747" s="25" t="n">
        <f aca="false">K11740*MIN(K11739-K11745+K11744,MAX(0,K11776-Assumptions!$C$12*K11711-K11721-K11734))</f>
        <v>0</v>
      </c>
    </row>
    <row r="11748" customFormat="false" ht="15" hidden="false" customHeight="false" outlineLevel="0" collapsed="false">
      <c r="A11748" s="3" t="s">
        <v>317</v>
      </c>
      <c r="G11748" s="25" t="n">
        <f aca="false">Assumptions!$N$58*MIN(G11739+G11746+G11744-G11745-G11747,MAX(0,G11780-G11722-G11735))</f>
        <v>0</v>
      </c>
      <c r="H11748" s="25" t="n">
        <f aca="false">Assumptions!$N$58*MIN(H11739+H11746+H11744-H11745-H11747,MAX(0,H11780-H11722-H11735))</f>
        <v>0</v>
      </c>
      <c r="I11748" s="25" t="n">
        <f aca="false">Assumptions!$N$58*MIN(I11739+I11746+I11744-I11745-I11747,MAX(0,I11780-I11722-I11735))</f>
        <v>0</v>
      </c>
      <c r="J11748" s="25" t="n">
        <f aca="false">Assumptions!$N$58*MIN(J11739+J11746+J11744-J11745-J11747,MAX(0,J11780-J11722-J11735))</f>
        <v>0</v>
      </c>
      <c r="K11748" s="25" t="n">
        <f aca="false">Assumptions!$N$58*MIN(K11739+K11746+K11744-K11745-K11747,MAX(0,K11780-K11722-K11735))</f>
        <v>0</v>
      </c>
    </row>
    <row r="11749" customFormat="false" ht="15" hidden="false" customHeight="false" outlineLevel="0" collapsed="false">
      <c r="A11749" s="3" t="s">
        <v>318</v>
      </c>
      <c r="G11749" s="25" t="n">
        <f aca="false">G11740*(1-G11711)*(G11739-G11745+G11744-G11747)</f>
        <v>0</v>
      </c>
      <c r="H11749" s="25" t="n">
        <f aca="false">H11740*(1-H11711)*(H11739-H11745+H11744-H11747)</f>
        <v>0</v>
      </c>
      <c r="I11749" s="25" t="n">
        <f aca="false">I11740*(1-I11711)*(I11739-I11745+I11744-I11747)</f>
        <v>0</v>
      </c>
      <c r="J11749" s="25" t="n">
        <f aca="false">J11740*(1-J11711)*(J11739-J11745+J11744-J11747)</f>
        <v>0</v>
      </c>
      <c r="K11749" s="25" t="n">
        <f aca="false">K11740*(1-K11711)*(K11739-K11745+K11744-K11747)</f>
        <v>0</v>
      </c>
    </row>
    <row r="11750" customFormat="false" ht="15" hidden="false" customHeight="false" outlineLevel="0" collapsed="false">
      <c r="A11750" s="2" t="s">
        <v>319</v>
      </c>
      <c r="F11750" s="28" t="n">
        <f aca="false">Assumptions!$C$58</f>
        <v>143.75</v>
      </c>
      <c r="G11750" s="16" t="n">
        <f aca="false">G11739+G11746+G11744-G11745-G11747-G11748</f>
        <v>143.75</v>
      </c>
      <c r="H11750" s="16" t="n">
        <f aca="false">H11739+H11746+H11744-H11745-H11747-H11748</f>
        <v>143.75</v>
      </c>
      <c r="I11750" s="16" t="n">
        <f aca="false">I11739+I11746+I11744-I11745-I11747-I11748</f>
        <v>0</v>
      </c>
      <c r="J11750" s="16" t="n">
        <f aca="false">J11739+J11746+J11744-J11745-J11747-J11748</f>
        <v>0</v>
      </c>
      <c r="K11750" s="16" t="n">
        <f aca="false">K11739+K11746+K11744-K11745-K11747-K11748</f>
        <v>0</v>
      </c>
    </row>
    <row r="11751" customFormat="false" ht="15" hidden="false" customHeight="false" outlineLevel="0" collapsed="false">
      <c r="A11751" s="23" t="s">
        <v>322</v>
      </c>
      <c r="B11751" s="24"/>
      <c r="C11751" s="24"/>
      <c r="D11751" s="24"/>
      <c r="E11751" s="24"/>
      <c r="F11751" s="24"/>
      <c r="G11751" s="24"/>
      <c r="H11751" s="24"/>
      <c r="I11751" s="24"/>
      <c r="J11751" s="24"/>
      <c r="K11751" s="24"/>
    </row>
    <row r="11752" customFormat="false" ht="15" hidden="false" customHeight="false" outlineLevel="0" collapsed="false">
      <c r="A11752" s="2" t="s">
        <v>323</v>
      </c>
      <c r="F11752" s="16" t="n">
        <f aca="false">F11724+F11737+F11750</f>
        <v>1735.554</v>
      </c>
      <c r="G11752" s="16" t="n">
        <f aca="false">G11724+G11737+G11750</f>
        <v>1735.554</v>
      </c>
      <c r="H11752" s="16" t="n">
        <f aca="false">H11724+H11737+H11750</f>
        <v>1735.554</v>
      </c>
      <c r="I11752" s="16" t="n">
        <f aca="false">I11724+I11737+I11750</f>
        <v>1315.098</v>
      </c>
      <c r="J11752" s="16" t="n">
        <f aca="false">J11724+J11737+J11750</f>
        <v>1315.098</v>
      </c>
      <c r="K11752" s="16" t="n">
        <f aca="false">K11724+K11737+K11750</f>
        <v>1315.098</v>
      </c>
    </row>
    <row r="11753" customFormat="false" ht="15" hidden="false" customHeight="false" outlineLevel="0" collapsed="false">
      <c r="A11753" s="3" t="s">
        <v>324</v>
      </c>
      <c r="G11753" s="25" t="n">
        <f aca="false">G11714*Assumptions!$C$56+G11727*Assumptions!$C$57+G11740*Assumptions!$C$58</f>
        <v>0</v>
      </c>
      <c r="H11753" s="25" t="n">
        <f aca="false">H11714*Assumptions!$C$56+H11727*Assumptions!$C$57+H11740*Assumptions!$C$58</f>
        <v>0</v>
      </c>
      <c r="I11753" s="25" t="n">
        <f aca="false">I11714*Assumptions!$C$56+I11727*Assumptions!$C$57+I11740*Assumptions!$C$58</f>
        <v>420.456</v>
      </c>
      <c r="J11753" s="25" t="n">
        <f aca="false">J11714*Assumptions!$C$56+J11727*Assumptions!$C$57+J11740*Assumptions!$C$58</f>
        <v>0</v>
      </c>
      <c r="K11753" s="25" t="n">
        <f aca="false">K11714*Assumptions!$C$56+K11727*Assumptions!$C$57+K11740*Assumptions!$C$58</f>
        <v>0</v>
      </c>
    </row>
    <row r="11754" customFormat="false" ht="15" hidden="false" customHeight="false" outlineLevel="0" collapsed="false">
      <c r="A11754" s="23" t="s">
        <v>325</v>
      </c>
      <c r="B11754" s="24"/>
      <c r="C11754" s="24"/>
      <c r="D11754" s="24"/>
      <c r="E11754" s="24"/>
      <c r="F11754" s="24"/>
      <c r="G11754" s="24"/>
      <c r="H11754" s="24"/>
      <c r="I11754" s="24"/>
      <c r="J11754" s="24"/>
      <c r="K11754" s="24"/>
    </row>
    <row r="11755" customFormat="false" ht="15" hidden="false" customHeight="false" outlineLevel="0" collapsed="false">
      <c r="A11755" s="3" t="s">
        <v>326</v>
      </c>
      <c r="C11755" s="25" t="n">
        <f aca="false">SUMPRODUCT($G$11714:$K$11714,$G$11713:$K$11713-$G$11719:$K$11719+$G$11718:$K$11718)</f>
        <v>0</v>
      </c>
    </row>
    <row r="11756" customFormat="false" ht="15" hidden="false" customHeight="false" outlineLevel="0" collapsed="false">
      <c r="A11756" s="3" t="s">
        <v>327</v>
      </c>
      <c r="C11756" s="25" t="n">
        <f aca="false">SUMPRODUCT($G$11714:$K$11714,$G$11721:$K$11721)</f>
        <v>0</v>
      </c>
    </row>
    <row r="11757" customFormat="false" ht="15" hidden="false" customHeight="false" outlineLevel="0" collapsed="false">
      <c r="A11757" s="3" t="s">
        <v>328</v>
      </c>
      <c r="C11757" s="3" t="str">
        <f aca="false">IF(SUM($G$11714:$K$11714)=0,"n/a (beyond horizon)",IF(SUMPRODUCT($G$11714:$K$11714,$G$11711:$K$11711)&gt;0,"REFINANCING PASS","REFINANCING FAILURE"))</f>
        <v>n/a (beyond horizon)</v>
      </c>
    </row>
    <row r="11758" customFormat="false" ht="15" hidden="false" customHeight="false" outlineLevel="0" collapsed="false">
      <c r="A11758" s="3" t="s">
        <v>329</v>
      </c>
      <c r="C11758" s="3" t="str">
        <f aca="false">IF(SUM($G$11714:$K$11714)=0,"n/a",IF(C11756&gt;=C11755-0.001,"Repaid from cash",IF(SUMPRODUCT($G$11714:$K$11714,$G$11711:$K$11711)&gt;0,IF(C11756&gt;0,"Partly repaid; remainder refinanced","Refinanced"),IF(SUM($G$11723:$K$11723)&gt;0.001,IF(C11756&gt;0,"Partial repayment; PAYMENT DEFAULT","PAYMENT DEFAULT"),"Repaid from cash"))))</f>
        <v>n/a</v>
      </c>
    </row>
    <row r="11759" customFormat="false" ht="15" hidden="false" customHeight="false" outlineLevel="0" collapsed="false">
      <c r="A11759" s="3" t="s">
        <v>330</v>
      </c>
      <c r="C11759" s="25" t="n">
        <f aca="false">SUMPRODUCT($G$11727:$K$11727,$G$11726:$K$11726-$G$11732:$K$11732+$G$11731:$K$11731)</f>
        <v>276.706</v>
      </c>
    </row>
    <row r="11760" customFormat="false" ht="15" hidden="false" customHeight="false" outlineLevel="0" collapsed="false">
      <c r="A11760" s="3" t="s">
        <v>331</v>
      </c>
      <c r="C11760" s="25" t="n">
        <f aca="false">SUMPRODUCT($G$11727:$K$11727,$G$11734:$K$11734)</f>
        <v>276.706</v>
      </c>
    </row>
    <row r="11761" customFormat="false" ht="15" hidden="false" customHeight="false" outlineLevel="0" collapsed="false">
      <c r="A11761" s="3" t="s">
        <v>332</v>
      </c>
      <c r="C11761" s="3" t="str">
        <f aca="false">IF(SUM($G$11727:$K$11727)=0,"n/a (beyond horizon)",IF(SUMPRODUCT($G$11727:$K$11727,$G$11711:$K$11711)&gt;0,"REFINANCING PASS","REFINANCING FAILURE"))</f>
        <v>REFINANCING PASS</v>
      </c>
    </row>
    <row r="11762" customFormat="false" ht="15" hidden="false" customHeight="false" outlineLevel="0" collapsed="false">
      <c r="A11762" s="3" t="s">
        <v>333</v>
      </c>
      <c r="C11762" s="3" t="str">
        <f aca="false">IF(SUM($G$11727:$K$11727)=0,"n/a",IF(C11760&gt;=C11759-0.001,"Repaid from cash",IF(SUMPRODUCT($G$11727:$K$11727,$G$11711:$K$11711)&gt;0,IF(C11760&gt;0,"Partly repaid; remainder refinanced","Refinanced"),IF(SUM($G$11736:$K$11736)&gt;0.001,IF(C11760&gt;0,"Partial repayment; PAYMENT DEFAULT","PAYMENT DEFAULT"),"Repaid from cash"))))</f>
        <v>Repaid from cash</v>
      </c>
    </row>
    <row r="11763" customFormat="false" ht="15" hidden="false" customHeight="false" outlineLevel="0" collapsed="false">
      <c r="A11763" s="3" t="s">
        <v>334</v>
      </c>
      <c r="C11763" s="25" t="n">
        <f aca="false">SUMPRODUCT($G$11740:$K$11740,$G$11739:$K$11739-$G$11745:$K$11745+$G$11744:$K$11744)</f>
        <v>143.75</v>
      </c>
    </row>
    <row r="11764" customFormat="false" ht="15" hidden="false" customHeight="false" outlineLevel="0" collapsed="false">
      <c r="A11764" s="3" t="s">
        <v>335</v>
      </c>
      <c r="C11764" s="25" t="n">
        <f aca="false">SUMPRODUCT($G$11740:$K$11740,$G$11747:$K$11747)</f>
        <v>143.75</v>
      </c>
    </row>
    <row r="11765" customFormat="false" ht="15" hidden="false" customHeight="false" outlineLevel="0" collapsed="false">
      <c r="A11765" s="3" t="s">
        <v>336</v>
      </c>
      <c r="C11765" s="3" t="str">
        <f aca="false">IF(SUM($G$11740:$K$11740)=0,"n/a (beyond horizon)",IF(SUMPRODUCT($G$11740:$K$11740,$G$11711:$K$11711)&gt;0,"REFINANCING PASS","REFINANCING FAILURE"))</f>
        <v>REFINANCING PASS</v>
      </c>
    </row>
    <row r="11766" customFormat="false" ht="15" hidden="false" customHeight="false" outlineLevel="0" collapsed="false">
      <c r="A11766" s="3" t="s">
        <v>337</v>
      </c>
      <c r="C11766" s="3" t="str">
        <f aca="false">IF(SUM($G$11740:$K$11740)=0,"n/a",IF(C11764&gt;=C11763-0.001,"Repaid from cash",IF(SUMPRODUCT($G$11740:$K$11740,$G$11711:$K$11711)&gt;0,IF(C11764&gt;0,"Partly repaid; remainder refinanced","Refinanced"),IF(SUM($G$11749:$K$11749)&gt;0.001,IF(C11764&gt;0,"Partial repayment; PAYMENT DEFAULT","PAYMENT DEFAULT"),"Repaid from cash"))))</f>
        <v>Repaid from cash</v>
      </c>
    </row>
    <row r="11767" customFormat="false" ht="15" hidden="false" customHeight="false" outlineLevel="0" collapsed="false">
      <c r="A11767" s="3" t="s">
        <v>338</v>
      </c>
      <c r="C11767" s="20" t="n">
        <f aca="false">IF(C11757="REFINANCING FAILURE",1,0)+IF(C11761="REFINANCING FAILURE",1,0)+IF(C11765="REFINANCING FAILURE",1,0)</f>
        <v>0</v>
      </c>
    </row>
    <row r="11769" customFormat="false" ht="15" hidden="false" customHeight="false" outlineLevel="0" collapsed="false">
      <c r="A11769" s="23" t="s">
        <v>340</v>
      </c>
      <c r="B11769" s="24"/>
      <c r="C11769" s="24"/>
      <c r="D11769" s="24"/>
      <c r="E11769" s="24"/>
      <c r="F11769" s="24"/>
      <c r="G11769" s="24"/>
      <c r="H11769" s="24"/>
      <c r="I11769" s="24"/>
      <c r="J11769" s="24"/>
      <c r="K11769" s="24"/>
    </row>
    <row r="11770" customFormat="false" ht="15" hidden="false" customHeight="false" outlineLevel="0" collapsed="false">
      <c r="A11770" s="3" t="s">
        <v>305</v>
      </c>
      <c r="G11770" s="25" t="n">
        <f aca="false">F11782</f>
        <v>463.996</v>
      </c>
      <c r="H11770" s="25" t="n">
        <f aca="false">G11782</f>
        <v>589.86335403</v>
      </c>
      <c r="I11770" s="25" t="n">
        <f aca="false">H11782</f>
        <v>706.0173737988</v>
      </c>
      <c r="J11770" s="25" t="n">
        <f aca="false">I11782</f>
        <v>390.575377766904</v>
      </c>
      <c r="K11770" s="25" t="n">
        <f aca="false">J11782</f>
        <v>499.440625970316</v>
      </c>
    </row>
    <row r="11771" customFormat="false" ht="15" hidden="false" customHeight="false" outlineLevel="0" collapsed="false">
      <c r="A11771" s="3" t="s">
        <v>341</v>
      </c>
      <c r="G11771" s="25" t="n">
        <f aca="false">G11700</f>
        <v>125.86735403</v>
      </c>
      <c r="H11771" s="25" t="n">
        <f aca="false">H11700</f>
        <v>116.1540197688</v>
      </c>
      <c r="I11771" s="25" t="n">
        <f aca="false">I11700</f>
        <v>105.014003968104</v>
      </c>
      <c r="J11771" s="25" t="n">
        <f aca="false">J11700</f>
        <v>108.865248203412</v>
      </c>
      <c r="K11771" s="25" t="n">
        <f aca="false">K11700</f>
        <v>99.6877228787792</v>
      </c>
    </row>
    <row r="11772" customFormat="false" ht="15" hidden="false" customHeight="false" outlineLevel="0" collapsed="false">
      <c r="A11772" s="3" t="s">
        <v>342</v>
      </c>
      <c r="G11772" s="25" t="n">
        <f aca="false">CHOOSE($C$11670,Assumptions!$G$74,Assumptions!$G$93,Assumptions!$G$112)</f>
        <v>0</v>
      </c>
      <c r="H11772" s="25" t="n">
        <f aca="false">CHOOSE($C$11670,Assumptions!$H$74,Assumptions!$H$93,Assumptions!$H$112)</f>
        <v>0</v>
      </c>
      <c r="I11772" s="25" t="n">
        <f aca="false">CHOOSE($C$11670,Assumptions!$I$74,Assumptions!$I$93,Assumptions!$I$112)</f>
        <v>0</v>
      </c>
      <c r="J11772" s="25" t="n">
        <f aca="false">CHOOSE($C$11670,Assumptions!$J$74,Assumptions!$J$93,Assumptions!$J$112)</f>
        <v>0</v>
      </c>
      <c r="K11772" s="25" t="n">
        <f aca="false">CHOOSE($C$11670,Assumptions!$K$74,Assumptions!$K$93,Assumptions!$K$112)</f>
        <v>0</v>
      </c>
    </row>
    <row r="11773" customFormat="false" ht="15" hidden="false" customHeight="false" outlineLevel="0" collapsed="false">
      <c r="A11773" s="3" t="s">
        <v>343</v>
      </c>
      <c r="G11773" s="25" t="n">
        <f aca="false">G11719+G11732+G11745</f>
        <v>0</v>
      </c>
      <c r="H11773" s="25" t="n">
        <f aca="false">H11719+H11732+H11745</f>
        <v>0</v>
      </c>
      <c r="I11773" s="25" t="n">
        <f aca="false">I11719+I11732+I11745</f>
        <v>0</v>
      </c>
      <c r="J11773" s="25" t="n">
        <f aca="false">J11719+J11732+J11745</f>
        <v>0</v>
      </c>
      <c r="K11773" s="25" t="n">
        <f aca="false">K11719+K11732+K11745</f>
        <v>0</v>
      </c>
    </row>
    <row r="11774" customFormat="false" ht="15" hidden="false" customHeight="false" outlineLevel="0" collapsed="false">
      <c r="A11774" s="2" t="s">
        <v>344</v>
      </c>
      <c r="G11774" s="16" t="n">
        <f aca="false">G11770+G11771+G11772-G11773</f>
        <v>589.86335403</v>
      </c>
      <c r="H11774" s="16" t="n">
        <f aca="false">H11770+H11771+H11772-H11773</f>
        <v>706.0173737988</v>
      </c>
      <c r="I11774" s="16" t="n">
        <f aca="false">I11770+I11771+I11772-I11773</f>
        <v>811.031377766904</v>
      </c>
      <c r="J11774" s="16" t="n">
        <f aca="false">J11770+J11771+J11772-J11773</f>
        <v>499.440625970316</v>
      </c>
      <c r="K11774" s="16" t="n">
        <f aca="false">K11770+K11771+K11772-K11773</f>
        <v>599.128348849095</v>
      </c>
    </row>
    <row r="11775" customFormat="false" ht="15" hidden="false" customHeight="false" outlineLevel="0" collapsed="false">
      <c r="A11775" s="3" t="s">
        <v>345</v>
      </c>
      <c r="G11775" s="25" t="n">
        <f aca="false">G11720+G11733+G11746</f>
        <v>0</v>
      </c>
      <c r="H11775" s="25" t="n">
        <f aca="false">H11720+H11733+H11746</f>
        <v>0</v>
      </c>
      <c r="I11775" s="25" t="n">
        <f aca="false">I11720+I11733+I11746</f>
        <v>0</v>
      </c>
      <c r="J11775" s="25" t="n">
        <f aca="false">J11720+J11733+J11746</f>
        <v>0</v>
      </c>
      <c r="K11775" s="25" t="n">
        <f aca="false">K11720+K11733+K11746</f>
        <v>0</v>
      </c>
    </row>
    <row r="11776" customFormat="false" ht="15" hidden="false" customHeight="false" outlineLevel="0" collapsed="false">
      <c r="A11776" s="2" t="s">
        <v>346</v>
      </c>
      <c r="G11776" s="16" t="n">
        <f aca="false">G11774+G11775</f>
        <v>589.86335403</v>
      </c>
      <c r="H11776" s="16" t="n">
        <f aca="false">H11774+H11775</f>
        <v>706.0173737988</v>
      </c>
      <c r="I11776" s="16" t="n">
        <f aca="false">I11774+I11775</f>
        <v>811.031377766904</v>
      </c>
      <c r="J11776" s="16" t="n">
        <f aca="false">J11774+J11775</f>
        <v>499.440625970316</v>
      </c>
      <c r="K11776" s="16" t="n">
        <f aca="false">K11774+K11775</f>
        <v>599.128348849095</v>
      </c>
    </row>
    <row r="11777" customFormat="false" ht="15" hidden="false" customHeight="false" outlineLevel="0" collapsed="false">
      <c r="A11777" s="3" t="s">
        <v>347</v>
      </c>
      <c r="G11777" s="25" t="n">
        <f aca="false">G11721+G11734+G11747</f>
        <v>0</v>
      </c>
      <c r="H11777" s="25" t="n">
        <f aca="false">H11721+H11734+H11747</f>
        <v>0</v>
      </c>
      <c r="I11777" s="25" t="n">
        <f aca="false">I11721+I11734+I11747</f>
        <v>420.456</v>
      </c>
      <c r="J11777" s="25" t="n">
        <f aca="false">J11721+J11734+J11747</f>
        <v>0</v>
      </c>
      <c r="K11777" s="25" t="n">
        <f aca="false">K11721+K11734+K11747</f>
        <v>0</v>
      </c>
    </row>
    <row r="11778" customFormat="false" ht="15" hidden="false" customHeight="false" outlineLevel="0" collapsed="false">
      <c r="A11778" s="2" t="s">
        <v>348</v>
      </c>
      <c r="G11778" s="16" t="n">
        <f aca="false">G11776-G11777</f>
        <v>589.86335403</v>
      </c>
      <c r="H11778" s="16" t="n">
        <f aca="false">H11776-H11777</f>
        <v>706.0173737988</v>
      </c>
      <c r="I11778" s="16" t="n">
        <f aca="false">I11776-I11777</f>
        <v>390.575377766904</v>
      </c>
      <c r="J11778" s="16" t="n">
        <f aca="false">J11776-J11777</f>
        <v>499.440625970316</v>
      </c>
      <c r="K11778" s="16" t="n">
        <f aca="false">K11776-K11777</f>
        <v>599.128348849095</v>
      </c>
    </row>
    <row r="11779" customFormat="false" ht="15" hidden="false" customHeight="false" outlineLevel="0" collapsed="false">
      <c r="A11779" s="3" t="s">
        <v>349</v>
      </c>
      <c r="G11779" s="25" t="n">
        <f aca="false">MAX(0,-G11778)</f>
        <v>0</v>
      </c>
      <c r="H11779" s="25" t="n">
        <f aca="false">MAX(0,-H11778)</f>
        <v>0</v>
      </c>
      <c r="I11779" s="25" t="n">
        <f aca="false">MAX(0,-I11778)</f>
        <v>0</v>
      </c>
      <c r="J11779" s="25" t="n">
        <f aca="false">MAX(0,-J11778)</f>
        <v>0</v>
      </c>
      <c r="K11779" s="25" t="n">
        <f aca="false">MAX(0,-K11778)</f>
        <v>0</v>
      </c>
    </row>
    <row r="11780" customFormat="false" ht="15" hidden="false" customHeight="false" outlineLevel="0" collapsed="false">
      <c r="A11780" s="3" t="s">
        <v>350</v>
      </c>
      <c r="G11780" s="25" t="n">
        <f aca="false">MAX(0,G11778-Assumptions!$C$12)*Assumptions!$C$13</f>
        <v>0</v>
      </c>
      <c r="H11780" s="25" t="n">
        <f aca="false">MAX(0,H11778-Assumptions!$C$12)*Assumptions!$C$13</f>
        <v>0</v>
      </c>
      <c r="I11780" s="25" t="n">
        <f aca="false">MAX(0,I11778-Assumptions!$C$12)*Assumptions!$C$13</f>
        <v>0</v>
      </c>
      <c r="J11780" s="25" t="n">
        <f aca="false">MAX(0,J11778-Assumptions!$C$12)*Assumptions!$C$13</f>
        <v>0</v>
      </c>
      <c r="K11780" s="25" t="n">
        <f aca="false">MAX(0,K11778-Assumptions!$C$12)*Assumptions!$C$13</f>
        <v>0</v>
      </c>
    </row>
    <row r="11781" customFormat="false" ht="15" hidden="false" customHeight="false" outlineLevel="0" collapsed="false">
      <c r="A11781" s="3" t="s">
        <v>351</v>
      </c>
      <c r="G11781" s="25" t="n">
        <f aca="false">G11722+G11735+G11748</f>
        <v>0</v>
      </c>
      <c r="H11781" s="25" t="n">
        <f aca="false">H11722+H11735+H11748</f>
        <v>0</v>
      </c>
      <c r="I11781" s="25" t="n">
        <f aca="false">I11722+I11735+I11748</f>
        <v>0</v>
      </c>
      <c r="J11781" s="25" t="n">
        <f aca="false">J11722+J11735+J11748</f>
        <v>0</v>
      </c>
      <c r="K11781" s="25" t="n">
        <f aca="false">K11722+K11735+K11748</f>
        <v>0</v>
      </c>
    </row>
    <row r="11782" customFormat="false" ht="15" hidden="false" customHeight="false" outlineLevel="0" collapsed="false">
      <c r="A11782" s="2" t="s">
        <v>352</v>
      </c>
      <c r="F11782" s="28" t="n">
        <f aca="false">Assumptions!$C$11</f>
        <v>463.996</v>
      </c>
      <c r="G11782" s="16" t="n">
        <f aca="false">G11778-G11781</f>
        <v>589.86335403</v>
      </c>
      <c r="H11782" s="16" t="n">
        <f aca="false">H11778-H11781</f>
        <v>706.0173737988</v>
      </c>
      <c r="I11782" s="16" t="n">
        <f aca="false">I11778-I11781</f>
        <v>390.575377766904</v>
      </c>
      <c r="J11782" s="16" t="n">
        <f aca="false">J11778-J11781</f>
        <v>499.440625970316</v>
      </c>
      <c r="K11782" s="16" t="n">
        <f aca="false">K11778-K11781</f>
        <v>599.128348849095</v>
      </c>
    </row>
    <row r="11783" customFormat="false" ht="15" hidden="false" customHeight="false" outlineLevel="0" collapsed="false">
      <c r="A11783" s="3" t="s">
        <v>353</v>
      </c>
      <c r="G11783" s="25" t="n">
        <f aca="false">G11723+G11736+G11749</f>
        <v>0</v>
      </c>
      <c r="H11783" s="25" t="n">
        <f aca="false">H11723+H11736+H11749</f>
        <v>0</v>
      </c>
      <c r="I11783" s="25" t="n">
        <f aca="false">I11723+I11736+I11749</f>
        <v>0</v>
      </c>
      <c r="J11783" s="25" t="n">
        <f aca="false">J11723+J11736+J11749</f>
        <v>0</v>
      </c>
      <c r="K11783" s="25" t="n">
        <f aca="false">K11723+K11736+K11749</f>
        <v>0</v>
      </c>
    </row>
    <row r="11784" customFormat="false" ht="15" hidden="false" customHeight="false" outlineLevel="0" collapsed="false">
      <c r="A11784" s="3" t="s">
        <v>354</v>
      </c>
      <c r="G11784" s="20" t="n">
        <f aca="false">IF(OR(G11779&gt;0.001,G11783&gt;0.001),1,0)</f>
        <v>0</v>
      </c>
      <c r="H11784" s="20" t="n">
        <f aca="false">IF(OR(H11779&gt;0.001,H11783&gt;0.001),1,0)</f>
        <v>0</v>
      </c>
      <c r="I11784" s="20" t="n">
        <f aca="false">IF(OR(I11779&gt;0.001,I11783&gt;0.001),1,0)</f>
        <v>0</v>
      </c>
      <c r="J11784" s="20" t="n">
        <f aca="false">IF(OR(J11779&gt;0.001,J11783&gt;0.001),1,0)</f>
        <v>0</v>
      </c>
      <c r="K11784" s="20" t="n">
        <f aca="false">IF(OR(K11779&gt;0.001,K11783&gt;0.001),1,0)</f>
        <v>0</v>
      </c>
    </row>
    <row r="11785" customFormat="false" ht="15" hidden="false" customHeight="false" outlineLevel="0" collapsed="false">
      <c r="A11785" s="3" t="s">
        <v>355</v>
      </c>
      <c r="G11785" s="20" t="n">
        <f aca="false">IF(G11784=1,1,0)</f>
        <v>0</v>
      </c>
      <c r="H11785" s="20" t="n">
        <f aca="false">IF(AND(H11784=1,SUM($G$11784:G11784)=0),1,0)</f>
        <v>0</v>
      </c>
      <c r="I11785" s="20" t="n">
        <f aca="false">IF(AND(I11784=1,SUM($G$11784:H11784)=0),1,0)</f>
        <v>0</v>
      </c>
      <c r="J11785" s="20" t="n">
        <f aca="false">IF(AND(J11784=1,SUM($G$11784:I11784)=0),1,0)</f>
        <v>0</v>
      </c>
      <c r="K11785" s="20" t="n">
        <f aca="false">IF(AND(K11784=1,SUM($G$11784:J11784)=0),1,0)</f>
        <v>0</v>
      </c>
    </row>
    <row r="11786" customFormat="false" ht="15" hidden="false" customHeight="false" outlineLevel="0" collapsed="false">
      <c r="A11786" s="3" t="s">
        <v>356</v>
      </c>
      <c r="G11786" s="25" t="n">
        <f aca="false">(G11752-F11752)-(G11775+G11692-G11773-G11777-G11781)</f>
        <v>0</v>
      </c>
      <c r="H11786" s="25" t="n">
        <f aca="false">(H11752-G11752)-(H11775+H11692-H11773-H11777-H11781)</f>
        <v>0</v>
      </c>
      <c r="I11786" s="25" t="n">
        <f aca="false">(I11752-H11752)-(I11775+I11692-I11773-I11777-I11781)</f>
        <v>0</v>
      </c>
      <c r="J11786" s="25" t="n">
        <f aca="false">(J11752-I11752)-(J11775+J11692-J11773-J11777-J11781)</f>
        <v>0</v>
      </c>
      <c r="K11786" s="25" t="n">
        <f aca="false">(K11752-J11752)-(K11775+K11692-K11773-K11777-K11781)</f>
        <v>0</v>
      </c>
    </row>
    <row r="11788" customFormat="false" ht="15" hidden="false" customHeight="false" outlineLevel="0" collapsed="false">
      <c r="A11788" s="23" t="s">
        <v>358</v>
      </c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</row>
    <row r="11789" customFormat="false" ht="15" hidden="false" customHeight="false" outlineLevel="0" collapsed="false">
      <c r="A11789" s="3" t="s">
        <v>359</v>
      </c>
      <c r="G11789" s="25" t="n">
        <f aca="false">G11752</f>
        <v>1735.554</v>
      </c>
      <c r="H11789" s="25" t="n">
        <f aca="false">H11752</f>
        <v>1735.554</v>
      </c>
      <c r="I11789" s="25" t="n">
        <f aca="false">I11752</f>
        <v>1315.098</v>
      </c>
      <c r="J11789" s="25" t="n">
        <f aca="false">J11752</f>
        <v>1315.098</v>
      </c>
      <c r="K11789" s="25" t="n">
        <f aca="false">K11752</f>
        <v>1315.098</v>
      </c>
    </row>
    <row r="11790" customFormat="false" ht="15" hidden="false" customHeight="false" outlineLevel="0" collapsed="false">
      <c r="A11790" s="3" t="s">
        <v>360</v>
      </c>
      <c r="G11790" s="25" t="n">
        <f aca="false">Assumptions!$O$56*G11724+Assumptions!$O$57*G11737+Assumptions!$O$58*G11750</f>
        <v>1315.098</v>
      </c>
      <c r="H11790" s="25" t="n">
        <f aca="false">Assumptions!$O$56*H11724+Assumptions!$O$57*H11737+Assumptions!$O$58*H11750</f>
        <v>1315.098</v>
      </c>
      <c r="I11790" s="25" t="n">
        <f aca="false">Assumptions!$O$56*I11724+Assumptions!$O$57*I11737+Assumptions!$O$58*I11750</f>
        <v>1315.098</v>
      </c>
      <c r="J11790" s="25" t="n">
        <f aca="false">Assumptions!$O$56*J11724+Assumptions!$O$57*J11737+Assumptions!$O$58*J11750</f>
        <v>1315.098</v>
      </c>
      <c r="K11790" s="25" t="n">
        <f aca="false">Assumptions!$O$56*K11724+Assumptions!$O$57*K11737+Assumptions!$O$58*K11750</f>
        <v>1315.098</v>
      </c>
    </row>
    <row r="11791" customFormat="false" ht="15" hidden="false" customHeight="false" outlineLevel="0" collapsed="false">
      <c r="A11791" s="3" t="s">
        <v>361</v>
      </c>
      <c r="G11791" s="25" t="n">
        <f aca="false">G11789-G11782</f>
        <v>1145.69064597</v>
      </c>
      <c r="H11791" s="25" t="n">
        <f aca="false">H11789-H11782</f>
        <v>1029.5366262012</v>
      </c>
      <c r="I11791" s="25" t="n">
        <f aca="false">I11789-I11782</f>
        <v>924.522622233096</v>
      </c>
      <c r="J11791" s="25" t="n">
        <f aca="false">J11789-J11782</f>
        <v>815.657374029684</v>
      </c>
      <c r="K11791" s="25" t="n">
        <f aca="false">K11789-K11782</f>
        <v>715.969651150905</v>
      </c>
    </row>
    <row r="11792" customFormat="false" ht="15" hidden="false" customHeight="false" outlineLevel="0" collapsed="false">
      <c r="A11792" s="3" t="s">
        <v>362</v>
      </c>
      <c r="G11792" s="32" t="n">
        <f aca="false">IF(G11687&gt;0,G11789/G11687,0)</f>
        <v>5.77916207762031</v>
      </c>
      <c r="H11792" s="32" t="n">
        <f aca="false">IF(H11687&gt;0,H11789/H11687,0)</f>
        <v>6.01996049752115</v>
      </c>
      <c r="I11792" s="32" t="n">
        <f aca="false">IF(I11687&gt;0,I11789/I11687,0)</f>
        <v>4.79551511119407</v>
      </c>
      <c r="J11792" s="32" t="n">
        <f aca="false">IF(J11687&gt;0,J11789/J11687,0)</f>
        <v>5.01653339406293</v>
      </c>
      <c r="K11792" s="32" t="n">
        <f aca="false">IF(K11687&gt;0,K11789/K11687,0)</f>
        <v>5.2488732235156</v>
      </c>
    </row>
    <row r="11793" customFormat="false" ht="15" hidden="false" customHeight="false" outlineLevel="0" collapsed="false">
      <c r="A11793" s="3" t="s">
        <v>363</v>
      </c>
      <c r="G11793" s="32" t="n">
        <f aca="false">IF(G11687&gt;0,G11791/G11687,0)</f>
        <v>3.81499621093561</v>
      </c>
      <c r="H11793" s="32" t="n">
        <f aca="false">IF(H11687&gt;0,H11791/H11687,0)</f>
        <v>3.57106135590274</v>
      </c>
      <c r="I11793" s="32" t="n">
        <f aca="false">IF(I11687&gt;0,I11791/I11687,0)</f>
        <v>3.37127895073947</v>
      </c>
      <c r="J11793" s="32" t="n">
        <f aca="false">IF(J11687&gt;0,J11791/J11687,0)</f>
        <v>3.11138215930188</v>
      </c>
      <c r="K11793" s="32" t="n">
        <f aca="false">IF(K11687&gt;0,K11791/K11687,0)</f>
        <v>2.85760751729209</v>
      </c>
    </row>
    <row r="11794" customFormat="false" ht="15" hidden="false" customHeight="false" outlineLevel="0" collapsed="false">
      <c r="A11794" s="3" t="s">
        <v>364</v>
      </c>
      <c r="G11794" s="32" t="n">
        <f aca="false">IF(G11691&gt;0,G11687/G11691,0)</f>
        <v>1.92563899625449</v>
      </c>
      <c r="H11794" s="32" t="n">
        <f aca="false">IF(H11691&gt;0,H11687/H11691,0)</f>
        <v>1.84861343640431</v>
      </c>
      <c r="I11794" s="32" t="n">
        <f aca="false">IF(I11691&gt;0,I11687/I11691,0)</f>
        <v>1.75842750947116</v>
      </c>
      <c r="J11794" s="32" t="n">
        <f aca="false">IF(J11691&gt;0,J11687/J11691,0)</f>
        <v>1.89848422719182</v>
      </c>
      <c r="K11794" s="32" t="n">
        <f aca="false">IF(K11691&gt;0,K11687/K11691,0)</f>
        <v>1.81444838125289</v>
      </c>
    </row>
    <row r="11795" customFormat="false" ht="15" hidden="false" customHeight="false" outlineLevel="0" collapsed="false">
      <c r="A11795" s="3" t="s">
        <v>365</v>
      </c>
      <c r="G11795" s="32" t="n">
        <f aca="false">IF(G11691&gt;0,G11690/G11691,0)</f>
        <v>1.25417683356324</v>
      </c>
      <c r="H11795" s="32" t="n">
        <f aca="false">IF(H11691&gt;0,H11690/H11691,0)</f>
        <v>1.20400976022071</v>
      </c>
      <c r="I11795" s="32" t="n">
        <f aca="false">IF(I11691&gt;0,I11690/I11691,0)</f>
        <v>1.13638496195398</v>
      </c>
      <c r="J11795" s="32" t="n">
        <f aca="false">IF(J11691&gt;0,J11690/J11691,0)</f>
        <v>1.21702042306555</v>
      </c>
      <c r="K11795" s="32" t="n">
        <f aca="false">IF(K11691&gt;0,K11690/K11691,0)</f>
        <v>1.1534284912504</v>
      </c>
    </row>
    <row r="11796" customFormat="false" ht="15" hidden="false" customHeight="false" outlineLevel="0" collapsed="false">
      <c r="A11796" s="3" t="s">
        <v>198</v>
      </c>
      <c r="G11796" s="21" t="n">
        <f aca="false">IF(G11789&gt;0,G11700/G11789,0)</f>
        <v>0.0725228682196002</v>
      </c>
      <c r="H11796" s="21" t="n">
        <f aca="false">IF(H11789&gt;0,H11700/H11789,0)</f>
        <v>0.0669261917340515</v>
      </c>
      <c r="I11796" s="21" t="n">
        <f aca="false">IF(I11789&gt;0,I11700/I11789,0)</f>
        <v>0.0798526071578726</v>
      </c>
      <c r="J11796" s="21" t="n">
        <f aca="false">IF(J11789&gt;0,J11700/J11789,0)</f>
        <v>0.0827810917539313</v>
      </c>
      <c r="K11796" s="21" t="n">
        <f aca="false">IF(K11789&gt;0,K11700/K11789,0)</f>
        <v>0.0758025051203631</v>
      </c>
    </row>
    <row r="11797" customFormat="false" ht="15" hidden="false" customHeight="false" outlineLevel="0" collapsed="false">
      <c r="A11797" s="3" t="s">
        <v>366</v>
      </c>
      <c r="G11797" s="32" t="n">
        <f aca="false">IF(G11691+G11773&gt;0,(G11687-G11698-G11695)/(G11691+G11773),0)</f>
        <v>1.66953088823823</v>
      </c>
      <c r="H11797" s="32" t="n">
        <f aca="false">IF(H11691+H11773&gt;0,(H11687-H11698-H11695)/(H11691+H11773),0)</f>
        <v>1.6127496527087</v>
      </c>
      <c r="I11797" s="32" t="n">
        <f aca="false">IF(I11691+I11773&gt;0,(I11687-I11698-I11695)/(I11691+I11773),0)</f>
        <v>1.54594007236964</v>
      </c>
      <c r="J11797" s="32" t="n">
        <f aca="false">IF(J11691+J11773&gt;0,(J11687-J11698-J11695)/(J11691+J11773),0)</f>
        <v>1.64879692156745</v>
      </c>
      <c r="K11797" s="32" t="n">
        <f aca="false">IF(K11691+K11773&gt;0,(K11687-K11698-K11695)/(K11691+K11773),0)</f>
        <v>1.58652202457805</v>
      </c>
    </row>
    <row r="11798" customFormat="false" ht="15" hidden="false" customHeight="false" outlineLevel="0" collapsed="false">
      <c r="A11798" s="3" t="s">
        <v>367</v>
      </c>
      <c r="G11798" s="25" t="n">
        <f aca="false">MAX(0,G11782)+Assumptions!$P$56*MAX(0,Assumptions!$D$56-G11724)+Assumptions!$P$57*MAX(0,Assumptions!$D$57-G11737)+Assumptions!$P$58*MAX(0,Assumptions!$D$58-G11750)</f>
        <v>589.86335403</v>
      </c>
      <c r="H11798" s="25" t="n">
        <f aca="false">MAX(0,H11782)+Assumptions!$P$56*MAX(0,Assumptions!$D$56-H11724)+Assumptions!$P$57*MAX(0,Assumptions!$D$57-H11737)+Assumptions!$P$58*MAX(0,Assumptions!$D$58-H11750)</f>
        <v>706.0173737988</v>
      </c>
      <c r="I11798" s="25" t="n">
        <f aca="false">MAX(0,I11782)+Assumptions!$P$56*MAX(0,Assumptions!$D$56-I11724)+Assumptions!$P$57*MAX(0,Assumptions!$D$57-I11737)+Assumptions!$P$58*MAX(0,Assumptions!$D$58-I11750)</f>
        <v>390.575377766904</v>
      </c>
      <c r="J11798" s="25" t="n">
        <f aca="false">MAX(0,J11782)+Assumptions!$P$56*MAX(0,Assumptions!$D$56-J11724)+Assumptions!$P$57*MAX(0,Assumptions!$D$57-J11737)+Assumptions!$P$58*MAX(0,Assumptions!$D$58-J11750)</f>
        <v>499.440625970316</v>
      </c>
      <c r="K11798" s="25" t="n">
        <f aca="false">MAX(0,K11782)+Assumptions!$P$56*MAX(0,Assumptions!$D$56-K11724)+Assumptions!$P$57*MAX(0,Assumptions!$D$57-K11737)+Assumptions!$P$58*MAX(0,Assumptions!$D$58-K11750)</f>
        <v>599.128348849095</v>
      </c>
    </row>
    <row r="11799" customFormat="false" ht="15" hidden="false" customHeight="false" outlineLevel="0" collapsed="false">
      <c r="A11799" s="3" t="s">
        <v>368</v>
      </c>
      <c r="G11799" s="21" t="n">
        <f aca="false">IF(G11789&gt;0,G11789/(G11789+MAX(0,G11687*CHOOSE($C$11670,Assumptions!$C$82,Assumptions!$C$101,Assumptions!$C$120)-G11791)),0)</f>
        <v>0.774254240974845</v>
      </c>
      <c r="H11799" s="21" t="n">
        <f aca="false">IF(H11789&gt;0,H11789/(H11789+MAX(0,H11687*CHOOSE($C$11670,Assumptions!$C$82,Assumptions!$C$101,Assumptions!$C$120)-H11791)),0)</f>
        <v>0.757332605467614</v>
      </c>
      <c r="I11799" s="21" t="n">
        <f aca="false">IF(I11789&gt;0,I11789/(I11789+MAX(0,I11687*CHOOSE($C$11670,Assumptions!$C$82,Assumptions!$C$101,Assumptions!$C$120)-I11791)),0)</f>
        <v>0.692569548476987</v>
      </c>
      <c r="J11799" s="21" t="n">
        <f aca="false">IF(J11789&gt;0,J11789/(J11789+MAX(0,J11687*CHOOSE($C$11670,Assumptions!$C$82,Assumptions!$C$101,Assumptions!$C$120)-J11791)),0)</f>
        <v>0.677438344609961</v>
      </c>
      <c r="K11799" s="21" t="n">
        <f aca="false">IF(K11789&gt;0,K11789/(K11789+MAX(0,K11687*CHOOSE($C$11670,Assumptions!$C$82,Assumptions!$C$101,Assumptions!$C$120)-K11791)),0)</f>
        <v>0.665149726155595</v>
      </c>
    </row>
    <row r="11800" customFormat="false" ht="15" hidden="false" customHeight="false" outlineLevel="0" collapsed="false">
      <c r="A11800" s="3" t="s">
        <v>369</v>
      </c>
      <c r="G11800" s="21" t="n">
        <f aca="false">IF(G11789&gt;0,MAX(0,G11782)/G11789,0)</f>
        <v>0.339870354958705</v>
      </c>
      <c r="H11800" s="21" t="n">
        <f aca="false">IF(H11789&gt;0,MAX(0,H11782)/H11789,0)</f>
        <v>0.406796546692756</v>
      </c>
      <c r="I11800" s="21" t="n">
        <f aca="false">IF(I11789&gt;0,MAX(0,I11782)/I11789,0)</f>
        <v>0.296993363055</v>
      </c>
      <c r="J11800" s="21" t="n">
        <f aca="false">IF(J11789&gt;0,MAX(0,J11782)/J11789,0)</f>
        <v>0.379774454808931</v>
      </c>
      <c r="K11800" s="21" t="n">
        <f aca="false">IF(K11789&gt;0,MAX(0,K11782)/K11789,0)</f>
        <v>0.455576959929294</v>
      </c>
    </row>
    <row r="11801" customFormat="false" ht="15" hidden="false" customHeight="false" outlineLevel="0" collapsed="false">
      <c r="A11801" s="3" t="s">
        <v>370</v>
      </c>
      <c r="G11801" s="25" t="n">
        <f aca="false">Assumptions!$C$30*(1-CHOOSE($C$11670,Assumptions!$C$85,Assumptions!$C$104,Assumptions!$C$123))</f>
        <v>2454.971</v>
      </c>
      <c r="H11801" s="25" t="n">
        <f aca="false">Assumptions!$C$30*(1-CHOOSE($C$11670,Assumptions!$C$85,Assumptions!$C$104,Assumptions!$C$123))</f>
        <v>2454.971</v>
      </c>
      <c r="I11801" s="25" t="n">
        <f aca="false">Assumptions!$C$30*(1-CHOOSE($C$11670,Assumptions!$C$85,Assumptions!$C$104,Assumptions!$C$123))</f>
        <v>2454.971</v>
      </c>
      <c r="J11801" s="25" t="n">
        <f aca="false">Assumptions!$C$30*(1-CHOOSE($C$11670,Assumptions!$C$85,Assumptions!$C$104,Assumptions!$C$123))</f>
        <v>2454.971</v>
      </c>
      <c r="K11801" s="25" t="n">
        <f aca="false">Assumptions!$C$30*(1-CHOOSE($C$11670,Assumptions!$C$85,Assumptions!$C$104,Assumptions!$C$123))</f>
        <v>2454.971</v>
      </c>
    </row>
    <row r="11802" customFormat="false" ht="15" hidden="false" customHeight="false" outlineLevel="0" collapsed="false">
      <c r="A11802" s="23" t="s">
        <v>371</v>
      </c>
      <c r="B11802" s="24"/>
      <c r="C11802" s="24"/>
      <c r="D11802" s="24"/>
      <c r="E11802" s="24"/>
      <c r="F11802" s="24"/>
      <c r="G11802" s="24"/>
      <c r="H11802" s="24"/>
      <c r="I11802" s="24"/>
      <c r="J11802" s="24"/>
      <c r="K11802" s="24"/>
    </row>
    <row r="11803" customFormat="false" ht="15" hidden="false" customHeight="false" outlineLevel="0" collapsed="false">
      <c r="A11803" s="23" t="s">
        <v>372</v>
      </c>
      <c r="B11803" s="24"/>
      <c r="C11803" s="24"/>
      <c r="D11803" s="24"/>
      <c r="E11803" s="24"/>
      <c r="F11803" s="24"/>
      <c r="G11803" s="24"/>
      <c r="H11803" s="24"/>
      <c r="I11803" s="24"/>
      <c r="J11803" s="24"/>
      <c r="K11803" s="24"/>
    </row>
    <row r="11804" customFormat="false" ht="15" hidden="false" customHeight="false" outlineLevel="0" collapsed="false">
      <c r="A11804" s="3" t="s">
        <v>373</v>
      </c>
      <c r="G11804" s="32" t="n">
        <f aca="false">IF(G11687&gt;0,G11791/G11687,99)</f>
        <v>3.81499621093561</v>
      </c>
      <c r="H11804" s="32" t="n">
        <f aca="false">IF(H11687&gt;0,H11791/H11687,99)</f>
        <v>3.57106135590274</v>
      </c>
      <c r="I11804" s="32" t="n">
        <f aca="false">IF(I11687&gt;0,I11791/I11687,99)</f>
        <v>3.37127895073947</v>
      </c>
      <c r="J11804" s="32" t="n">
        <f aca="false">IF(J11687&gt;0,J11791/J11687,99)</f>
        <v>3.11138215930188</v>
      </c>
      <c r="K11804" s="32" t="n">
        <f aca="false">IF(K11687&gt;0,K11791/K11687,99)</f>
        <v>2.85760751729209</v>
      </c>
    </row>
    <row r="11805" customFormat="false" ht="15" hidden="false" customHeight="false" outlineLevel="0" collapsed="false">
      <c r="A11805" s="3" t="s">
        <v>374</v>
      </c>
      <c r="G11805" s="33" t="n">
        <f aca="false">Assumptions!$G$65</f>
        <v>5.25</v>
      </c>
      <c r="H11805" s="33" t="n">
        <f aca="false">Assumptions!$H$65</f>
        <v>5.25</v>
      </c>
      <c r="I11805" s="33" t="n">
        <f aca="false">Assumptions!$I$65</f>
        <v>5</v>
      </c>
      <c r="J11805" s="33" t="n">
        <f aca="false">Assumptions!$J$65</f>
        <v>5</v>
      </c>
      <c r="K11805" s="33" t="n">
        <f aca="false">Assumptions!$K$65</f>
        <v>5</v>
      </c>
    </row>
    <row r="11806" customFormat="false" ht="15" hidden="false" customHeight="false" outlineLevel="0" collapsed="false">
      <c r="A11806" s="3" t="s">
        <v>375</v>
      </c>
      <c r="G11806" s="32" t="n">
        <f aca="false">G11805-G11804</f>
        <v>1.43500378906439</v>
      </c>
      <c r="H11806" s="32" t="n">
        <f aca="false">H11805-H11804</f>
        <v>1.67893864409726</v>
      </c>
      <c r="I11806" s="32" t="n">
        <f aca="false">I11805-I11804</f>
        <v>1.62872104926053</v>
      </c>
      <c r="J11806" s="32" t="n">
        <f aca="false">J11805-J11804</f>
        <v>1.88861784069812</v>
      </c>
      <c r="K11806" s="32" t="n">
        <f aca="false">K11805-K11804</f>
        <v>2.14239248270791</v>
      </c>
    </row>
    <row r="11807" customFormat="false" ht="15" hidden="false" customHeight="false" outlineLevel="0" collapsed="false">
      <c r="A11807" s="3" t="s">
        <v>376</v>
      </c>
      <c r="G11807" s="21" t="n">
        <f aca="false">IF(G11805=0,0,G11806/ABS(G11805))</f>
        <v>0.273334055059884</v>
      </c>
      <c r="H11807" s="21" t="n">
        <f aca="false">IF(H11805=0,0,H11806/ABS(H11805))</f>
        <v>0.319797836970907</v>
      </c>
      <c r="I11807" s="21" t="n">
        <f aca="false">IF(I11805=0,0,I11806/ABS(I11805))</f>
        <v>0.325744209852106</v>
      </c>
      <c r="J11807" s="21" t="n">
        <f aca="false">IF(J11805=0,0,J11806/ABS(J11805))</f>
        <v>0.377723568139623</v>
      </c>
      <c r="K11807" s="21" t="n">
        <f aca="false">IF(K11805=0,0,K11806/ABS(K11805))</f>
        <v>0.428478496541582</v>
      </c>
    </row>
    <row r="11808" customFormat="false" ht="15" hidden="false" customHeight="false" outlineLevel="0" collapsed="false">
      <c r="A11808" s="3" t="s">
        <v>377</v>
      </c>
      <c r="G11808" s="20" t="n">
        <f aca="false">IF(G11806&lt;0,1,0)</f>
        <v>0</v>
      </c>
      <c r="H11808" s="20" t="n">
        <f aca="false">IF(H11806&lt;0,1,0)</f>
        <v>0</v>
      </c>
      <c r="I11808" s="20" t="n">
        <f aca="false">IF(I11806&lt;0,1,0)</f>
        <v>0</v>
      </c>
      <c r="J11808" s="20" t="n">
        <f aca="false">IF(J11806&lt;0,1,0)</f>
        <v>0</v>
      </c>
      <c r="K11808" s="20" t="n">
        <f aca="false">IF(K11806&lt;0,1,0)</f>
        <v>0</v>
      </c>
    </row>
    <row r="11809" customFormat="false" ht="15" hidden="false" customHeight="false" outlineLevel="0" collapsed="false">
      <c r="A11809" s="3" t="s">
        <v>378</v>
      </c>
      <c r="C11809" s="20" t="n">
        <f aca="false">IFERROR(INDEX($G$11677:$K$11677,MATCH(1,$G$11808:$K$11808,0)),0)</f>
        <v>0</v>
      </c>
    </row>
    <row r="11810" customFormat="false" ht="15" hidden="false" customHeight="false" outlineLevel="0" collapsed="false">
      <c r="A11810" s="3" t="s">
        <v>379</v>
      </c>
      <c r="C11810" s="21" t="n">
        <f aca="false">MIN($G$11807:$K$11807)</f>
        <v>0.273334055059884</v>
      </c>
    </row>
    <row r="11811" customFormat="false" ht="15" hidden="false" customHeight="false" outlineLevel="0" collapsed="false">
      <c r="A11811" s="23" t="s">
        <v>380</v>
      </c>
      <c r="B11811" s="24"/>
      <c r="C11811" s="24"/>
      <c r="D11811" s="24"/>
      <c r="E11811" s="24"/>
      <c r="F11811" s="24"/>
      <c r="G11811" s="24"/>
      <c r="H11811" s="24"/>
      <c r="I11811" s="24"/>
      <c r="J11811" s="24"/>
      <c r="K11811" s="24"/>
    </row>
    <row r="11812" customFormat="false" ht="15" hidden="false" customHeight="false" outlineLevel="0" collapsed="false">
      <c r="A11812" s="3" t="s">
        <v>373</v>
      </c>
      <c r="G11812" s="32" t="n">
        <f aca="false">IF(G11691&gt;0,G11687/G11691,99)</f>
        <v>1.92563899625449</v>
      </c>
      <c r="H11812" s="32" t="n">
        <f aca="false">IF(H11691&gt;0,H11687/H11691,99)</f>
        <v>1.84861343640431</v>
      </c>
      <c r="I11812" s="32" t="n">
        <f aca="false">IF(I11691&gt;0,I11687/I11691,99)</f>
        <v>1.75842750947116</v>
      </c>
      <c r="J11812" s="32" t="n">
        <f aca="false">IF(J11691&gt;0,J11687/J11691,99)</f>
        <v>1.89848422719182</v>
      </c>
      <c r="K11812" s="32" t="n">
        <f aca="false">IF(K11691&gt;0,K11687/K11691,99)</f>
        <v>1.81444838125289</v>
      </c>
    </row>
    <row r="11813" customFormat="false" ht="15" hidden="false" customHeight="false" outlineLevel="0" collapsed="false">
      <c r="A11813" s="3" t="s">
        <v>374</v>
      </c>
      <c r="G11813" s="33" t="n">
        <f aca="false">Assumptions!$G$66</f>
        <v>1.4</v>
      </c>
      <c r="H11813" s="33" t="n">
        <f aca="false">Assumptions!$H$66</f>
        <v>1.4</v>
      </c>
      <c r="I11813" s="33" t="n">
        <f aca="false">Assumptions!$I$66</f>
        <v>1.4</v>
      </c>
      <c r="J11813" s="33" t="n">
        <f aca="false">Assumptions!$J$66</f>
        <v>1.5</v>
      </c>
      <c r="K11813" s="33" t="n">
        <f aca="false">Assumptions!$K$66</f>
        <v>1.5</v>
      </c>
    </row>
    <row r="11814" customFormat="false" ht="15" hidden="false" customHeight="false" outlineLevel="0" collapsed="false">
      <c r="A11814" s="3" t="s">
        <v>375</v>
      </c>
      <c r="G11814" s="32" t="n">
        <f aca="false">G11812-G11813</f>
        <v>0.525638996254489</v>
      </c>
      <c r="H11814" s="32" t="n">
        <f aca="false">H11812-H11813</f>
        <v>0.448613436404309</v>
      </c>
      <c r="I11814" s="32" t="n">
        <f aca="false">I11812-I11813</f>
        <v>0.358427509471156</v>
      </c>
      <c r="J11814" s="32" t="n">
        <f aca="false">J11812-J11813</f>
        <v>0.398484227191822</v>
      </c>
      <c r="K11814" s="32" t="n">
        <f aca="false">K11812-K11813</f>
        <v>0.31444838125289</v>
      </c>
    </row>
    <row r="11815" customFormat="false" ht="15" hidden="false" customHeight="false" outlineLevel="0" collapsed="false">
      <c r="A11815" s="3" t="s">
        <v>376</v>
      </c>
      <c r="G11815" s="21" t="n">
        <f aca="false">IF(G11813=0,0,G11814/ABS(G11813))</f>
        <v>0.375456425896063</v>
      </c>
      <c r="H11815" s="21" t="n">
        <f aca="false">IF(H11813=0,0,H11814/ABS(H11813))</f>
        <v>0.320438168860221</v>
      </c>
      <c r="I11815" s="21" t="n">
        <f aca="false">IF(I11813=0,0,I11814/ABS(I11813))</f>
        <v>0.256019649622254</v>
      </c>
      <c r="J11815" s="21" t="n">
        <f aca="false">IF(J11813=0,0,J11814/ABS(J11813))</f>
        <v>0.265656151461215</v>
      </c>
      <c r="K11815" s="21" t="n">
        <f aca="false">IF(K11813=0,0,K11814/ABS(K11813))</f>
        <v>0.209632254168593</v>
      </c>
    </row>
    <row r="11816" customFormat="false" ht="15" hidden="false" customHeight="false" outlineLevel="0" collapsed="false">
      <c r="A11816" s="3" t="s">
        <v>377</v>
      </c>
      <c r="G11816" s="20" t="n">
        <f aca="false">IF(G11814&lt;0,1,0)</f>
        <v>0</v>
      </c>
      <c r="H11816" s="20" t="n">
        <f aca="false">IF(H11814&lt;0,1,0)</f>
        <v>0</v>
      </c>
      <c r="I11816" s="20" t="n">
        <f aca="false">IF(I11814&lt;0,1,0)</f>
        <v>0</v>
      </c>
      <c r="J11816" s="20" t="n">
        <f aca="false">IF(J11814&lt;0,1,0)</f>
        <v>0</v>
      </c>
      <c r="K11816" s="20" t="n">
        <f aca="false">IF(K11814&lt;0,1,0)</f>
        <v>0</v>
      </c>
    </row>
    <row r="11817" customFormat="false" ht="15" hidden="false" customHeight="false" outlineLevel="0" collapsed="false">
      <c r="A11817" s="3" t="s">
        <v>378</v>
      </c>
      <c r="C11817" s="20" t="n">
        <f aca="false">IFERROR(INDEX($G$11677:$K$11677,MATCH(1,$G$11816:$K$11816,0)),0)</f>
        <v>0</v>
      </c>
    </row>
    <row r="11818" customFormat="false" ht="15" hidden="false" customHeight="false" outlineLevel="0" collapsed="false">
      <c r="A11818" s="3" t="s">
        <v>379</v>
      </c>
      <c r="C11818" s="21" t="n">
        <f aca="false">MIN($G$11815:$K$11815)</f>
        <v>0.209632254168593</v>
      </c>
    </row>
    <row r="11819" customFormat="false" ht="15" hidden="false" customHeight="false" outlineLevel="0" collapsed="false">
      <c r="A11819" s="23" t="s">
        <v>381</v>
      </c>
      <c r="B11819" s="24"/>
      <c r="C11819" s="24"/>
      <c r="D11819" s="24"/>
      <c r="E11819" s="24"/>
      <c r="F11819" s="24"/>
      <c r="G11819" s="24"/>
      <c r="H11819" s="24"/>
      <c r="I11819" s="24"/>
      <c r="J11819" s="24"/>
      <c r="K11819" s="24"/>
    </row>
    <row r="11820" customFormat="false" ht="15" hidden="false" customHeight="false" outlineLevel="0" collapsed="false">
      <c r="A11820" s="3" t="s">
        <v>373</v>
      </c>
      <c r="G11820" s="25" t="n">
        <f aca="false">G11798</f>
        <v>589.86335403</v>
      </c>
      <c r="H11820" s="25" t="n">
        <f aca="false">H11798</f>
        <v>706.0173737988</v>
      </c>
      <c r="I11820" s="25" t="n">
        <f aca="false">I11798</f>
        <v>390.575377766904</v>
      </c>
      <c r="J11820" s="25" t="n">
        <f aca="false">J11798</f>
        <v>499.440625970316</v>
      </c>
      <c r="K11820" s="25" t="n">
        <f aca="false">K11798</f>
        <v>599.128348849095</v>
      </c>
    </row>
    <row r="11821" customFormat="false" ht="15" hidden="false" customHeight="false" outlineLevel="0" collapsed="false">
      <c r="A11821" s="3" t="s">
        <v>374</v>
      </c>
      <c r="G11821" s="29" t="n">
        <f aca="false">Assumptions!$G$67</f>
        <v>200</v>
      </c>
      <c r="H11821" s="29" t="n">
        <f aca="false">Assumptions!$H$67</f>
        <v>200</v>
      </c>
      <c r="I11821" s="29" t="n">
        <f aca="false">Assumptions!$I$67</f>
        <v>200</v>
      </c>
      <c r="J11821" s="29" t="n">
        <f aca="false">Assumptions!$J$67</f>
        <v>200</v>
      </c>
      <c r="K11821" s="29" t="n">
        <f aca="false">Assumptions!$K$67</f>
        <v>200</v>
      </c>
    </row>
    <row r="11822" customFormat="false" ht="15" hidden="false" customHeight="false" outlineLevel="0" collapsed="false">
      <c r="A11822" s="3" t="s">
        <v>375</v>
      </c>
      <c r="G11822" s="25" t="n">
        <f aca="false">G11820-G11821</f>
        <v>389.86335403</v>
      </c>
      <c r="H11822" s="25" t="n">
        <f aca="false">H11820-H11821</f>
        <v>506.0173737988</v>
      </c>
      <c r="I11822" s="25" t="n">
        <f aca="false">I11820-I11821</f>
        <v>190.575377766904</v>
      </c>
      <c r="J11822" s="25" t="n">
        <f aca="false">J11820-J11821</f>
        <v>299.440625970316</v>
      </c>
      <c r="K11822" s="25" t="n">
        <f aca="false">K11820-K11821</f>
        <v>399.128348849095</v>
      </c>
    </row>
    <row r="11823" customFormat="false" ht="15" hidden="false" customHeight="false" outlineLevel="0" collapsed="false">
      <c r="A11823" s="3" t="s">
        <v>376</v>
      </c>
      <c r="G11823" s="21" t="n">
        <f aca="false">IF(G11821=0,0,G11822/ABS(G11821))</f>
        <v>1.94931677015</v>
      </c>
      <c r="H11823" s="21" t="n">
        <f aca="false">IF(H11821=0,0,H11822/ABS(H11821))</f>
        <v>2.530086868994</v>
      </c>
      <c r="I11823" s="21" t="n">
        <f aca="false">IF(I11821=0,0,I11822/ABS(I11821))</f>
        <v>0.95287688883452</v>
      </c>
      <c r="J11823" s="21" t="n">
        <f aca="false">IF(J11821=0,0,J11822/ABS(J11821))</f>
        <v>1.49720312985158</v>
      </c>
      <c r="K11823" s="21" t="n">
        <f aca="false">IF(K11821=0,0,K11822/ABS(K11821))</f>
        <v>1.99564174424547</v>
      </c>
    </row>
    <row r="11824" customFormat="false" ht="15" hidden="false" customHeight="false" outlineLevel="0" collapsed="false">
      <c r="A11824" s="3" t="s">
        <v>377</v>
      </c>
      <c r="G11824" s="20" t="n">
        <f aca="false">IF(G11822&lt;0,1,0)</f>
        <v>0</v>
      </c>
      <c r="H11824" s="20" t="n">
        <f aca="false">IF(H11822&lt;0,1,0)</f>
        <v>0</v>
      </c>
      <c r="I11824" s="20" t="n">
        <f aca="false">IF(I11822&lt;0,1,0)</f>
        <v>0</v>
      </c>
      <c r="J11824" s="20" t="n">
        <f aca="false">IF(J11822&lt;0,1,0)</f>
        <v>0</v>
      </c>
      <c r="K11824" s="20" t="n">
        <f aca="false">IF(K11822&lt;0,1,0)</f>
        <v>0</v>
      </c>
    </row>
    <row r="11825" customFormat="false" ht="15" hidden="false" customHeight="false" outlineLevel="0" collapsed="false">
      <c r="A11825" s="3" t="s">
        <v>378</v>
      </c>
      <c r="C11825" s="20" t="n">
        <f aca="false">IFERROR(INDEX($G$11677:$K$11677,MATCH(1,$G$11824:$K$11824,0)),0)</f>
        <v>0</v>
      </c>
    </row>
    <row r="11826" customFormat="false" ht="15" hidden="false" customHeight="false" outlineLevel="0" collapsed="false">
      <c r="A11826" s="3" t="s">
        <v>379</v>
      </c>
      <c r="C11826" s="21" t="n">
        <f aca="false">MIN($G$11823:$K$11823)</f>
        <v>0.95287688883452</v>
      </c>
    </row>
    <row r="11827" customFormat="false" ht="15" hidden="false" customHeight="false" outlineLevel="0" collapsed="false">
      <c r="A11827" s="3" t="s">
        <v>382</v>
      </c>
      <c r="G11827" s="20" t="n">
        <f aca="false">G11808+G11816+G11824</f>
        <v>0</v>
      </c>
      <c r="H11827" s="20" t="n">
        <f aca="false">H11808+H11816+H11824</f>
        <v>0</v>
      </c>
      <c r="I11827" s="20" t="n">
        <f aca="false">I11808+I11816+I11824</f>
        <v>0</v>
      </c>
      <c r="J11827" s="20" t="n">
        <f aca="false">J11808+J11816+J11824</f>
        <v>0</v>
      </c>
      <c r="K11827" s="20" t="n">
        <f aca="false">K11808+K11816+K11824</f>
        <v>0</v>
      </c>
    </row>
    <row r="11828" customFormat="false" ht="15" hidden="false" customHeight="false" outlineLevel="0" collapsed="false">
      <c r="A11828" s="3" t="s">
        <v>383</v>
      </c>
      <c r="C11828" s="20" t="n">
        <f aca="false">SUM($G$11827:$K$11827)</f>
        <v>0</v>
      </c>
    </row>
    <row r="11829" customFormat="false" ht="15" hidden="false" customHeight="false" outlineLevel="0" collapsed="false">
      <c r="A11829" s="3" t="s">
        <v>384</v>
      </c>
      <c r="C11829" s="21" t="n">
        <f aca="false">MIN(C11810,C11818,C11826)</f>
        <v>0.209632254168593</v>
      </c>
    </row>
    <row r="11831" customFormat="false" ht="15" hidden="false" customHeight="false" outlineLevel="0" collapsed="false">
      <c r="A11831" s="23" t="s">
        <v>486</v>
      </c>
      <c r="B11831" s="24"/>
      <c r="C11831" s="24"/>
      <c r="D11831" s="24"/>
      <c r="E11831" s="24"/>
      <c r="F11831" s="24"/>
      <c r="G11831" s="24"/>
      <c r="H11831" s="24"/>
      <c r="I11831" s="24"/>
      <c r="J11831" s="24"/>
      <c r="K11831" s="24"/>
    </row>
    <row r="11832" customFormat="false" ht="15" hidden="false" customHeight="false" outlineLevel="0" collapsed="false">
      <c r="A11832" s="3" t="s">
        <v>487</v>
      </c>
      <c r="G11832" s="20" t="n">
        <f aca="false">IF($C$11833=1,G11785,IF(G11687=MIN($G$11687:$K$11687),1,0))</f>
        <v>0</v>
      </c>
      <c r="H11832" s="20" t="n">
        <f aca="false">IF($C$11833=1,H11785,IF(AND(H11687=MIN($G$11687:$K$11687),SUM($G$11832:G11832)=0),1,0))</f>
        <v>0</v>
      </c>
      <c r="I11832" s="20" t="n">
        <f aca="false">IF($C$11833=1,I11785,IF(AND(I11687=MIN($G$11687:$K$11687),SUM($G$11832:H11832)=0),1,0))</f>
        <v>0</v>
      </c>
      <c r="J11832" s="20" t="n">
        <f aca="false">IF($C$11833=1,J11785,IF(AND(J11687=MIN($G$11687:$K$11687),SUM($G$11832:I11832)=0),1,0))</f>
        <v>0</v>
      </c>
      <c r="K11832" s="20" t="n">
        <f aca="false">IF($C$11833=1,K11785,IF(AND(K11687=MIN($G$11687:$K$11687),SUM($G$11832:J11832)=0),1,0))</f>
        <v>1</v>
      </c>
    </row>
    <row r="11833" customFormat="false" ht="15" hidden="false" customHeight="false" outlineLevel="0" collapsed="false">
      <c r="A11833" s="3" t="s">
        <v>488</v>
      </c>
      <c r="C11833" s="20" t="n">
        <f aca="false">IF(SUM($G$11785:$K$11785)&gt;0,1,0)</f>
        <v>0</v>
      </c>
    </row>
    <row r="11834" customFormat="false" ht="15" hidden="false" customHeight="false" outlineLevel="0" collapsed="false">
      <c r="A11834" s="3" t="s">
        <v>489</v>
      </c>
      <c r="C11834" s="20" t="n">
        <f aca="false">SUMPRODUCT($G$11832:$K$11832,$G$11677:$K$11677)</f>
        <v>2031</v>
      </c>
    </row>
    <row r="11835" customFormat="false" ht="15" hidden="false" customHeight="false" outlineLevel="0" collapsed="false">
      <c r="A11835" s="3" t="s">
        <v>490</v>
      </c>
      <c r="C11835" s="25" t="n">
        <f aca="false">SUMPRODUCT($G$11832:$K$11832,$G$11687:$K$11687)</f>
        <v>250.548630915336</v>
      </c>
    </row>
    <row r="11836" customFormat="false" ht="15" hidden="false" customHeight="false" outlineLevel="0" collapsed="false">
      <c r="A11836" s="3" t="s">
        <v>491</v>
      </c>
      <c r="C11836" s="25" t="n">
        <f aca="false">MAX(0,SUMPRODUCT($G$11832:$K$11832,$G$11782:$K$11782))</f>
        <v>599.128348849095</v>
      </c>
    </row>
    <row r="11837" customFormat="false" ht="15" hidden="false" customHeight="false" outlineLevel="0" collapsed="false">
      <c r="A11837" s="3" t="s">
        <v>492</v>
      </c>
      <c r="C11837" s="25" t="n">
        <f aca="false">(CHOOSE($C$11670,Assumptions!$C$84,Assumptions!$C$103,Assumptions!$C$122)+$C$11674)*C11835</f>
        <v>1252.74315457668</v>
      </c>
    </row>
    <row r="11838" customFormat="false" ht="15" hidden="false" customHeight="false" outlineLevel="0" collapsed="false">
      <c r="A11838" s="3" t="s">
        <v>493</v>
      </c>
      <c r="C11838" s="25" t="n">
        <f aca="false">Assumptions!$C$30*(1-CHOOSE($C$11670,Assumptions!$C$85,Assumptions!$C$104,Assumptions!$C$123))*CHOOSE($C$11670,Assumptions!$C$86,Assumptions!$C$105,Assumptions!$C$124)</f>
        <v>736.4913</v>
      </c>
    </row>
    <row r="11839" customFormat="false" ht="15" hidden="false" customHeight="false" outlineLevel="0" collapsed="false">
      <c r="A11839" s="3" t="s">
        <v>494</v>
      </c>
      <c r="C11839" s="25" t="n">
        <f aca="false">MAX(C11837,C11838)+C11836</f>
        <v>1851.87150342577</v>
      </c>
    </row>
    <row r="11840" customFormat="false" ht="15" hidden="false" customHeight="false" outlineLevel="0" collapsed="false">
      <c r="A11840" s="2" t="s">
        <v>495</v>
      </c>
      <c r="C11840" s="16" t="n">
        <f aca="false">IF(ISNUMBER(Assumptions!$C$14),Assumptions!$C$14,C11839)</f>
        <v>1851.87150342577</v>
      </c>
    </row>
    <row r="11841" customFormat="false" ht="15" hidden="false" customHeight="false" outlineLevel="0" collapsed="false">
      <c r="A11841" s="3" t="s">
        <v>496</v>
      </c>
      <c r="C11841" s="25" t="n">
        <f aca="false">C11840*Assumptions!$C$15</f>
        <v>74.074860137031</v>
      </c>
    </row>
    <row r="11842" customFormat="false" ht="15" hidden="false" customHeight="false" outlineLevel="0" collapsed="false">
      <c r="A11842" s="2" t="s">
        <v>497</v>
      </c>
      <c r="C11842" s="16" t="n">
        <f aca="false">C11840-C11841</f>
        <v>1777.79664328874</v>
      </c>
    </row>
    <row r="11843" customFormat="false" ht="15" hidden="false" customHeight="false" outlineLevel="0" collapsed="false">
      <c r="A11843" s="23" t="s">
        <v>498</v>
      </c>
      <c r="B11843" s="24"/>
      <c r="C11843" s="24"/>
      <c r="D11843" s="24"/>
      <c r="E11843" s="24"/>
      <c r="F11843" s="24"/>
      <c r="G11843" s="24"/>
      <c r="H11843" s="24"/>
      <c r="I11843" s="24"/>
      <c r="J11843" s="24"/>
      <c r="K11843" s="24"/>
    </row>
    <row r="11844" customFormat="false" ht="15" hidden="false" customHeight="false" outlineLevel="0" collapsed="false">
      <c r="A11844" s="3" t="s">
        <v>499</v>
      </c>
      <c r="C11844" s="25" t="n">
        <f aca="false">SUMPRODUCT($G$11832:$K$11832,$G$11724:$K$11724)*(1+SUMPRODUCT($G$11832:$K$11832,$G$11716:$K$11716)*Assumptions!$C$16/12)</f>
        <v>1349.6193225</v>
      </c>
    </row>
    <row r="11845" customFormat="false" ht="15" hidden="false" customHeight="false" outlineLevel="0" collapsed="false">
      <c r="A11845" s="3" t="s">
        <v>500</v>
      </c>
      <c r="C11845" s="25" t="n">
        <f aca="false">SUMPRODUCT($G$11832:$K$11832,$G$11737:$K$11737)*(1+SUMPRODUCT($G$11832:$K$11832,$G$11729:$K$11729)*Assumptions!$C$16/12)</f>
        <v>0</v>
      </c>
    </row>
    <row r="11846" customFormat="false" ht="15" hidden="false" customHeight="false" outlineLevel="0" collapsed="false">
      <c r="A11846" s="3" t="s">
        <v>501</v>
      </c>
      <c r="C11846" s="25" t="n">
        <f aca="false">SUMPRODUCT($G$11832:$K$11832,$G$11750:$K$11750)*(1+SUMPRODUCT($G$11832:$K$11832,$G$11742:$K$11742)*Assumptions!$C$16/12)</f>
        <v>0</v>
      </c>
    </row>
    <row r="11847" customFormat="false" ht="15" hidden="false" customHeight="false" outlineLevel="0" collapsed="false">
      <c r="A11847" s="23" t="s">
        <v>502</v>
      </c>
      <c r="B11847" s="24"/>
      <c r="C11847" s="24"/>
      <c r="D11847" s="24"/>
      <c r="E11847" s="24"/>
      <c r="F11847" s="24"/>
      <c r="G11847" s="24"/>
      <c r="H11847" s="24"/>
      <c r="I11847" s="24"/>
      <c r="J11847" s="24"/>
      <c r="K11847" s="24"/>
    </row>
    <row r="11848" customFormat="false" ht="15" hidden="false" customHeight="false" outlineLevel="0" collapsed="false">
      <c r="A11848" s="3" t="s">
        <v>499</v>
      </c>
      <c r="C11848" s="27" t="n">
        <f aca="false">Assumptions!$M$56</f>
        <v>1</v>
      </c>
    </row>
    <row r="11849" customFormat="false" ht="15" hidden="false" customHeight="false" outlineLevel="0" collapsed="false">
      <c r="A11849" s="3" t="s">
        <v>500</v>
      </c>
      <c r="C11849" s="27" t="n">
        <f aca="false">Assumptions!$M$57</f>
        <v>2</v>
      </c>
    </row>
    <row r="11850" customFormat="false" ht="15" hidden="false" customHeight="false" outlineLevel="0" collapsed="false">
      <c r="A11850" s="3" t="s">
        <v>501</v>
      </c>
      <c r="C11850" s="27" t="n">
        <f aca="false">Assumptions!$M$58</f>
        <v>2</v>
      </c>
    </row>
    <row r="11851" customFormat="false" ht="15" hidden="false" customHeight="false" outlineLevel="0" collapsed="false">
      <c r="A11851" s="23" t="s">
        <v>503</v>
      </c>
      <c r="B11851" s="24"/>
      <c r="C11851" s="24"/>
      <c r="D11851" s="24"/>
      <c r="E11851" s="24"/>
      <c r="F11851" s="24"/>
      <c r="G11851" s="24"/>
      <c r="H11851" s="24"/>
      <c r="I11851" s="24"/>
      <c r="J11851" s="24"/>
      <c r="K11851" s="24"/>
    </row>
    <row r="11852" customFormat="false" ht="15" hidden="false" customHeight="false" outlineLevel="0" collapsed="false">
      <c r="A11852" s="3" t="s">
        <v>499</v>
      </c>
      <c r="C11852" s="35" t="n">
        <f aca="false">Assumptions!$Q$56</f>
        <v>0</v>
      </c>
    </row>
    <row r="11853" customFormat="false" ht="15" hidden="false" customHeight="false" outlineLevel="0" collapsed="false">
      <c r="A11853" s="3" t="s">
        <v>500</v>
      </c>
      <c r="C11853" s="35" t="n">
        <f aca="false">Assumptions!$Q$57</f>
        <v>0</v>
      </c>
    </row>
    <row r="11854" customFormat="false" ht="15" hidden="false" customHeight="false" outlineLevel="0" collapsed="false">
      <c r="A11854" s="3" t="s">
        <v>501</v>
      </c>
      <c r="C11854" s="35" t="n">
        <f aca="false">Assumptions!$Q$58</f>
        <v>0</v>
      </c>
    </row>
    <row r="11855" customFormat="false" ht="15" hidden="false" customHeight="false" outlineLevel="0" collapsed="false">
      <c r="A11855" s="23" t="s">
        <v>504</v>
      </c>
      <c r="B11855" s="24"/>
      <c r="C11855" s="24"/>
      <c r="D11855" s="24"/>
      <c r="E11855" s="24"/>
      <c r="F11855" s="24"/>
      <c r="G11855" s="24"/>
      <c r="H11855" s="24"/>
      <c r="I11855" s="24"/>
      <c r="J11855" s="24"/>
      <c r="K11855" s="24"/>
    </row>
    <row r="11856" customFormat="false" ht="15" hidden="false" customHeight="false" outlineLevel="0" collapsed="false">
      <c r="A11856" s="3" t="s">
        <v>499</v>
      </c>
      <c r="C11856" s="25" t="n">
        <f aca="false">IF(C11852&gt;0,MIN(C11844,C11852*$C$11842),0)</f>
        <v>0</v>
      </c>
    </row>
    <row r="11857" customFormat="false" ht="15" hidden="false" customHeight="false" outlineLevel="0" collapsed="false">
      <c r="A11857" s="3" t="s">
        <v>500</v>
      </c>
      <c r="C11857" s="25" t="n">
        <f aca="false">IF(C11853&gt;0,MIN(C11845,C11853*$C$11842),0)</f>
        <v>0</v>
      </c>
    </row>
    <row r="11858" customFormat="false" ht="15" hidden="false" customHeight="false" outlineLevel="0" collapsed="false">
      <c r="A11858" s="3" t="s">
        <v>501</v>
      </c>
      <c r="C11858" s="25" t="n">
        <f aca="false">IF(C11854&gt;0,MIN(C11846,C11854*$C$11842),0)</f>
        <v>0</v>
      </c>
    </row>
    <row r="11859" customFormat="false" ht="15" hidden="false" customHeight="false" outlineLevel="0" collapsed="false">
      <c r="A11859" s="23" t="s">
        <v>505</v>
      </c>
      <c r="B11859" s="24"/>
      <c r="C11859" s="24"/>
      <c r="D11859" s="24"/>
      <c r="E11859" s="24"/>
      <c r="F11859" s="24"/>
      <c r="G11859" s="24"/>
      <c r="H11859" s="24"/>
      <c r="I11859" s="24"/>
      <c r="J11859" s="24"/>
      <c r="K11859" s="24"/>
    </row>
    <row r="11860" customFormat="false" ht="15" hidden="false" customHeight="false" outlineLevel="0" collapsed="false">
      <c r="A11860" s="3" t="s">
        <v>499</v>
      </c>
      <c r="C11860" s="25" t="n">
        <f aca="false">IF(C11852&gt;0,C11844-C11856,0)</f>
        <v>0</v>
      </c>
      <c r="G11860" s="20" t="n">
        <f aca="false">IF(AND(G11714=1,G11711=1),1,0)</f>
        <v>0</v>
      </c>
      <c r="H11860" s="20" t="n">
        <f aca="false">IF(G11860=1,1,IF(AND(H11714=1,H11711=1),1,0))</f>
        <v>0</v>
      </c>
      <c r="I11860" s="20" t="n">
        <f aca="false">IF(H11860=1,1,IF(AND(I11714=1,I11711=1),1,0))</f>
        <v>0</v>
      </c>
      <c r="J11860" s="20" t="n">
        <f aca="false">IF(I11860=1,1,IF(AND(J11714=1,J11711=1),1,0))</f>
        <v>0</v>
      </c>
      <c r="K11860" s="20" t="n">
        <f aca="false">IF(J11860=1,1,IF(AND(K11714=1,K11711=1),1,0))</f>
        <v>0</v>
      </c>
    </row>
    <row r="11861" customFormat="false" ht="15" hidden="false" customHeight="false" outlineLevel="0" collapsed="false">
      <c r="A11861" s="3" t="s">
        <v>500</v>
      </c>
      <c r="C11861" s="25" t="n">
        <f aca="false">IF(C11853&gt;0,C11845-C11857,0)</f>
        <v>0</v>
      </c>
      <c r="G11861" s="20" t="n">
        <f aca="false">IF(AND(G11727=1,G11711=1),1,0)</f>
        <v>0</v>
      </c>
      <c r="H11861" s="20" t="n">
        <f aca="false">IF(G11861=1,1,IF(AND(H11727=1,H11711=1),1,0))</f>
        <v>0</v>
      </c>
      <c r="I11861" s="20" t="n">
        <f aca="false">IF(H11861=1,1,IF(AND(I11727=1,I11711=1),1,0))</f>
        <v>1</v>
      </c>
      <c r="J11861" s="20" t="n">
        <f aca="false">IF(I11861=1,1,IF(AND(J11727=1,J11711=1),1,0))</f>
        <v>1</v>
      </c>
      <c r="K11861" s="20" t="n">
        <f aca="false">IF(J11861=1,1,IF(AND(K11727=1,K11711=1),1,0))</f>
        <v>1</v>
      </c>
    </row>
    <row r="11862" customFormat="false" ht="15" hidden="false" customHeight="false" outlineLevel="0" collapsed="false">
      <c r="A11862" s="3" t="s">
        <v>501</v>
      </c>
      <c r="C11862" s="25" t="n">
        <f aca="false">IF(C11854&gt;0,C11846-C11858,0)</f>
        <v>0</v>
      </c>
      <c r="G11862" s="20" t="n">
        <f aca="false">IF(AND(G11740=1,G11711=1),1,0)</f>
        <v>0</v>
      </c>
      <c r="H11862" s="20" t="n">
        <f aca="false">IF(G11862=1,1,IF(AND(H11740=1,H11711=1),1,0))</f>
        <v>0</v>
      </c>
      <c r="I11862" s="20" t="n">
        <f aca="false">IF(H11862=1,1,IF(AND(I11740=1,I11711=1),1,0))</f>
        <v>1</v>
      </c>
      <c r="J11862" s="20" t="n">
        <f aca="false">IF(I11862=1,1,IF(AND(J11740=1,J11711=1),1,0))</f>
        <v>1</v>
      </c>
      <c r="K11862" s="20" t="n">
        <f aca="false">IF(J11862=1,1,IF(AND(K11740=1,K11711=1),1,0))</f>
        <v>1</v>
      </c>
    </row>
    <row r="11863" customFormat="false" ht="15" hidden="false" customHeight="false" outlineLevel="0" collapsed="false">
      <c r="A11863" s="23" t="s">
        <v>506</v>
      </c>
      <c r="B11863" s="24"/>
      <c r="C11863" s="24"/>
      <c r="D11863" s="24"/>
      <c r="E11863" s="24"/>
      <c r="F11863" s="24"/>
      <c r="G11863" s="24"/>
      <c r="H11863" s="24"/>
      <c r="I11863" s="24"/>
      <c r="J11863" s="24"/>
      <c r="K11863" s="24"/>
    </row>
    <row r="11864" customFormat="false" ht="15" hidden="false" customHeight="false" outlineLevel="0" collapsed="false">
      <c r="A11864" s="3" t="s">
        <v>499</v>
      </c>
      <c r="C11864" s="25" t="n">
        <f aca="false">IF(C11852&gt;0,C11860,C11844)</f>
        <v>1349.6193225</v>
      </c>
    </row>
    <row r="11865" customFormat="false" ht="15" hidden="false" customHeight="false" outlineLevel="0" collapsed="false">
      <c r="A11865" s="3" t="s">
        <v>500</v>
      </c>
      <c r="C11865" s="25" t="n">
        <f aca="false">IF(C11853&gt;0,C11861,C11845)</f>
        <v>0</v>
      </c>
    </row>
    <row r="11866" customFormat="false" ht="15" hidden="false" customHeight="false" outlineLevel="0" collapsed="false">
      <c r="A11866" s="3" t="s">
        <v>501</v>
      </c>
      <c r="C11866" s="25" t="n">
        <f aca="false">IF(C11854&gt;0,C11862,C11846)</f>
        <v>0</v>
      </c>
    </row>
    <row r="11867" customFormat="false" ht="15" hidden="false" customHeight="false" outlineLevel="0" collapsed="false">
      <c r="A11867" s="23" t="s">
        <v>507</v>
      </c>
      <c r="B11867" s="24"/>
      <c r="C11867" s="24"/>
      <c r="D11867" s="24"/>
      <c r="E11867" s="24"/>
      <c r="F11867" s="24"/>
      <c r="G11867" s="24"/>
      <c r="H11867" s="24"/>
      <c r="I11867" s="24"/>
      <c r="J11867" s="24"/>
      <c r="K11867" s="24"/>
    </row>
    <row r="11868" customFormat="false" ht="15" hidden="false" customHeight="false" outlineLevel="0" collapsed="false">
      <c r="A11868" s="3" t="s">
        <v>499</v>
      </c>
      <c r="C11868" s="20" t="n">
        <f aca="false">IF(C11852&gt;0,Assumptions!$C$17,C11848)</f>
        <v>1</v>
      </c>
    </row>
    <row r="11869" customFormat="false" ht="15" hidden="false" customHeight="false" outlineLevel="0" collapsed="false">
      <c r="A11869" s="3" t="s">
        <v>500</v>
      </c>
      <c r="C11869" s="20" t="n">
        <f aca="false">IF(C11853&gt;0,Assumptions!$C$17,C11849)</f>
        <v>2</v>
      </c>
    </row>
    <row r="11870" customFormat="false" ht="15" hidden="false" customHeight="false" outlineLevel="0" collapsed="false">
      <c r="A11870" s="3" t="s">
        <v>501</v>
      </c>
      <c r="C11870" s="20" t="n">
        <f aca="false">IF(C11854&gt;0,Assumptions!$C$17,C11850)</f>
        <v>2</v>
      </c>
    </row>
    <row r="11871" customFormat="false" ht="15" hidden="false" customHeight="false" outlineLevel="0" collapsed="false">
      <c r="A11871" s="23" t="s">
        <v>508</v>
      </c>
      <c r="B11871" s="24"/>
      <c r="C11871" s="24"/>
      <c r="D11871" s="24"/>
      <c r="E11871" s="24"/>
      <c r="F11871" s="24"/>
      <c r="G11871" s="24"/>
      <c r="H11871" s="24"/>
      <c r="I11871" s="24"/>
      <c r="J11871" s="24"/>
      <c r="K11871" s="24"/>
    </row>
    <row r="11872" customFormat="false" ht="15" hidden="false" customHeight="false" outlineLevel="0" collapsed="false">
      <c r="A11872" s="3" t="s">
        <v>499</v>
      </c>
      <c r="C11872" s="25" t="n">
        <f aca="false">SUMPRODUCT(($C$11868:$C$11870&lt;C11868)*$C$11864:$C$11866)</f>
        <v>0</v>
      </c>
    </row>
    <row r="11873" customFormat="false" ht="15" hidden="false" customHeight="false" outlineLevel="0" collapsed="false">
      <c r="A11873" s="3" t="s">
        <v>500</v>
      </c>
      <c r="C11873" s="25" t="n">
        <f aca="false">SUMPRODUCT(($C$11868:$C$11870&lt;C11869)*$C$11864:$C$11866)</f>
        <v>1349.6193225</v>
      </c>
    </row>
    <row r="11874" customFormat="false" ht="15" hidden="false" customHeight="false" outlineLevel="0" collapsed="false">
      <c r="A11874" s="3" t="s">
        <v>501</v>
      </c>
      <c r="C11874" s="25" t="n">
        <f aca="false">SUMPRODUCT(($C$11868:$C$11870&lt;C11870)*$C$11864:$C$11866)</f>
        <v>1349.6193225</v>
      </c>
    </row>
    <row r="11875" customFormat="false" ht="15" hidden="false" customHeight="false" outlineLevel="0" collapsed="false">
      <c r="A11875" s="23" t="s">
        <v>509</v>
      </c>
      <c r="B11875" s="24"/>
      <c r="C11875" s="24"/>
      <c r="D11875" s="24"/>
      <c r="E11875" s="24"/>
      <c r="F11875" s="24"/>
      <c r="G11875" s="24"/>
      <c r="H11875" s="24"/>
      <c r="I11875" s="24"/>
      <c r="J11875" s="24"/>
      <c r="K11875" s="24"/>
    </row>
    <row r="11876" customFormat="false" ht="15" hidden="false" customHeight="false" outlineLevel="0" collapsed="false">
      <c r="A11876" s="3" t="s">
        <v>499</v>
      </c>
      <c r="C11876" s="25" t="n">
        <f aca="false">SUMPRODUCT(($C$11868:$C$11870=C11868)*$C$11864:$C$11866)</f>
        <v>1349.6193225</v>
      </c>
    </row>
    <row r="11877" customFormat="false" ht="15" hidden="false" customHeight="false" outlineLevel="0" collapsed="false">
      <c r="A11877" s="3" t="s">
        <v>500</v>
      </c>
      <c r="C11877" s="25" t="n">
        <f aca="false">SUMPRODUCT(($C$11868:$C$11870=C11869)*$C$11864:$C$11866)</f>
        <v>0</v>
      </c>
    </row>
    <row r="11878" customFormat="false" ht="15" hidden="false" customHeight="false" outlineLevel="0" collapsed="false">
      <c r="A11878" s="3" t="s">
        <v>501</v>
      </c>
      <c r="C11878" s="25" t="n">
        <f aca="false">SUMPRODUCT(($C$11868:$C$11870=C11870)*$C$11864:$C$11866)</f>
        <v>0</v>
      </c>
    </row>
    <row r="11879" customFormat="false" ht="15" hidden="false" customHeight="false" outlineLevel="0" collapsed="false">
      <c r="A11879" s="23" t="s">
        <v>510</v>
      </c>
      <c r="B11879" s="24"/>
      <c r="C11879" s="24"/>
      <c r="D11879" s="24"/>
      <c r="E11879" s="24"/>
      <c r="F11879" s="24"/>
      <c r="G11879" s="24"/>
      <c r="H11879" s="24"/>
      <c r="I11879" s="24"/>
      <c r="J11879" s="24"/>
      <c r="K11879" s="24"/>
    </row>
    <row r="11880" customFormat="false" ht="15" hidden="false" customHeight="false" outlineLevel="0" collapsed="false">
      <c r="A11880" s="3" t="s">
        <v>499</v>
      </c>
      <c r="C11880" s="25" t="n">
        <f aca="false">IF(C11876=0,0,C11864/C11876*MAX(0,MIN(C11876,$C$11842-SUM($C$11856:$C$11858)-C11872)))</f>
        <v>1349.6193225</v>
      </c>
    </row>
    <row r="11881" customFormat="false" ht="15" hidden="false" customHeight="false" outlineLevel="0" collapsed="false">
      <c r="A11881" s="3" t="s">
        <v>500</v>
      </c>
      <c r="C11881" s="25" t="n">
        <f aca="false">IF(C11877=0,0,C11865/C11877*MAX(0,MIN(C11877,$C$11842-SUM($C$11856:$C$11858)-C11873)))</f>
        <v>0</v>
      </c>
    </row>
    <row r="11882" customFormat="false" ht="15" hidden="false" customHeight="false" outlineLevel="0" collapsed="false">
      <c r="A11882" s="3" t="s">
        <v>501</v>
      </c>
      <c r="C11882" s="25" t="n">
        <f aca="false">IF(C11878=0,0,C11866/C11878*MAX(0,MIN(C11878,$C$11842-SUM($C$11856:$C$11858)-C11874)))</f>
        <v>0</v>
      </c>
    </row>
    <row r="11883" customFormat="false" ht="15" hidden="false" customHeight="false" outlineLevel="0" collapsed="false">
      <c r="A11883" s="23" t="s">
        <v>511</v>
      </c>
      <c r="B11883" s="24"/>
      <c r="C11883" s="24"/>
      <c r="D11883" s="24"/>
      <c r="E11883" s="24"/>
      <c r="F11883" s="24"/>
      <c r="G11883" s="24"/>
      <c r="H11883" s="24"/>
      <c r="I11883" s="24"/>
      <c r="J11883" s="24"/>
      <c r="K11883" s="24"/>
    </row>
    <row r="11884" customFormat="false" ht="15" hidden="false" customHeight="false" outlineLevel="0" collapsed="false">
      <c r="A11884" s="2" t="s">
        <v>499</v>
      </c>
      <c r="C11884" s="16" t="n">
        <f aca="false">C11856+C11880</f>
        <v>1349.6193225</v>
      </c>
    </row>
    <row r="11885" customFormat="false" ht="15" hidden="false" customHeight="false" outlineLevel="0" collapsed="false">
      <c r="A11885" s="2" t="s">
        <v>500</v>
      </c>
      <c r="C11885" s="16" t="n">
        <f aca="false">C11857+C11881</f>
        <v>0</v>
      </c>
    </row>
    <row r="11886" customFormat="false" ht="15" hidden="false" customHeight="false" outlineLevel="0" collapsed="false">
      <c r="A11886" s="2" t="s">
        <v>501</v>
      </c>
      <c r="C11886" s="16" t="n">
        <f aca="false">C11858+C11882</f>
        <v>0</v>
      </c>
    </row>
    <row r="11887" customFormat="false" ht="15" hidden="false" customHeight="false" outlineLevel="0" collapsed="false">
      <c r="A11887" s="23" t="s">
        <v>512</v>
      </c>
      <c r="B11887" s="24"/>
      <c r="C11887" s="24"/>
      <c r="D11887" s="24"/>
      <c r="E11887" s="24"/>
      <c r="F11887" s="24"/>
      <c r="G11887" s="24"/>
      <c r="H11887" s="24"/>
      <c r="I11887" s="24"/>
      <c r="J11887" s="24"/>
      <c r="K11887" s="24"/>
    </row>
    <row r="11888" customFormat="false" ht="15" hidden="false" customHeight="false" outlineLevel="0" collapsed="false">
      <c r="A11888" s="3" t="s">
        <v>499</v>
      </c>
      <c r="C11888" s="21" t="n">
        <f aca="false">IF(C11844=0,1,C11884/C11844)</f>
        <v>1</v>
      </c>
    </row>
    <row r="11889" customFormat="false" ht="15" hidden="false" customHeight="false" outlineLevel="0" collapsed="false">
      <c r="A11889" s="3" t="s">
        <v>500</v>
      </c>
      <c r="C11889" s="21" t="n">
        <f aca="false">IF(C11845=0,1,C11885/C11845)</f>
        <v>1</v>
      </c>
    </row>
    <row r="11890" customFormat="false" ht="15" hidden="false" customHeight="false" outlineLevel="0" collapsed="false">
      <c r="A11890" s="3" t="s">
        <v>501</v>
      </c>
      <c r="C11890" s="21" t="n">
        <f aca="false">IF(C11846=0,1,C11886/C11846)</f>
        <v>1</v>
      </c>
    </row>
    <row r="11891" customFormat="false" ht="15" hidden="false" customHeight="false" outlineLevel="0" collapsed="false">
      <c r="A11891" s="23" t="s">
        <v>513</v>
      </c>
      <c r="B11891" s="24"/>
      <c r="C11891" s="24"/>
      <c r="D11891" s="24"/>
      <c r="E11891" s="24"/>
      <c r="F11891" s="24"/>
      <c r="G11891" s="24"/>
      <c r="H11891" s="24"/>
      <c r="I11891" s="24"/>
      <c r="J11891" s="24"/>
      <c r="K11891" s="24"/>
    </row>
    <row r="11892" customFormat="false" ht="15" hidden="false" customHeight="false" outlineLevel="0" collapsed="false">
      <c r="A11892" s="3" t="s">
        <v>499</v>
      </c>
      <c r="C11892" s="25" t="n">
        <f aca="false">C11844-C11884</f>
        <v>0</v>
      </c>
    </row>
    <row r="11893" customFormat="false" ht="15" hidden="false" customHeight="false" outlineLevel="0" collapsed="false">
      <c r="A11893" s="3" t="s">
        <v>500</v>
      </c>
      <c r="C11893" s="25" t="n">
        <f aca="false">C11845-C11885</f>
        <v>0</v>
      </c>
    </row>
    <row r="11894" customFormat="false" ht="15" hidden="false" customHeight="false" outlineLevel="0" collapsed="false">
      <c r="A11894" s="3" t="s">
        <v>501</v>
      </c>
      <c r="C11894" s="25" t="n">
        <f aca="false">C11846-C11886</f>
        <v>0</v>
      </c>
    </row>
    <row r="11895" customFormat="false" ht="15" hidden="false" customHeight="false" outlineLevel="0" collapsed="false">
      <c r="A11895" s="23" t="s">
        <v>514</v>
      </c>
      <c r="B11895" s="24"/>
      <c r="C11895" s="24"/>
      <c r="D11895" s="24"/>
      <c r="E11895" s="24"/>
      <c r="F11895" s="24"/>
      <c r="G11895" s="24"/>
      <c r="H11895" s="24"/>
      <c r="I11895" s="24"/>
      <c r="J11895" s="24"/>
      <c r="K11895" s="24"/>
    </row>
    <row r="11896" customFormat="false" ht="15" hidden="false" customHeight="false" outlineLevel="0" collapsed="false">
      <c r="A11896" s="3" t="s">
        <v>499</v>
      </c>
      <c r="C11896" s="21" t="n">
        <f aca="false">IF(C11844=0,0,C11892/C11844)</f>
        <v>0</v>
      </c>
    </row>
    <row r="11897" customFormat="false" ht="15" hidden="false" customHeight="false" outlineLevel="0" collapsed="false">
      <c r="A11897" s="3" t="s">
        <v>500</v>
      </c>
      <c r="C11897" s="21" t="n">
        <f aca="false">IF(C11845=0,0,C11893/C11845)</f>
        <v>0</v>
      </c>
    </row>
    <row r="11898" customFormat="false" ht="15" hidden="false" customHeight="false" outlineLevel="0" collapsed="false">
      <c r="A11898" s="3" t="s">
        <v>501</v>
      </c>
      <c r="C11898" s="21" t="n">
        <f aca="false">IF(C11846=0,0,C11894/C11846)</f>
        <v>0</v>
      </c>
    </row>
    <row r="11899" customFormat="false" ht="15" hidden="false" customHeight="false" outlineLevel="0" collapsed="false">
      <c r="A11899" s="2" t="s">
        <v>515</v>
      </c>
      <c r="C11899" s="16" t="n">
        <f aca="false">MAX(0,$C$11842-SUM($C$11856:$C$11858)-SUM($C$11864:$C$11866))</f>
        <v>428.177320788743</v>
      </c>
    </row>
    <row r="11900" customFormat="false" ht="15" hidden="false" customHeight="false" outlineLevel="0" collapsed="false">
      <c r="A11900" s="3" t="s">
        <v>516</v>
      </c>
      <c r="C11900" s="25" t="n">
        <f aca="false">SUM($C$11884:$C$11886)+C11899+C11841-C11840</f>
        <v>0</v>
      </c>
    </row>
    <row r="11902" customFormat="false" ht="15" hidden="false" customHeight="false" outlineLevel="0" collapsed="false">
      <c r="A11902" s="23" t="s">
        <v>519</v>
      </c>
      <c r="B11902" s="24"/>
      <c r="C11902" s="24"/>
      <c r="D11902" s="24"/>
      <c r="E11902" s="24"/>
      <c r="F11902" s="24"/>
      <c r="G11902" s="24"/>
      <c r="H11902" s="24"/>
      <c r="I11902" s="24"/>
      <c r="J11902" s="24"/>
      <c r="K11902" s="24"/>
    </row>
    <row r="11903" customFormat="false" ht="15" hidden="false" customHeight="false" outlineLevel="0" collapsed="false">
      <c r="A11903" s="3" t="s">
        <v>520</v>
      </c>
      <c r="C11903" s="27" t="n">
        <f aca="false">Assumptions!$C$33</f>
        <v>1</v>
      </c>
    </row>
    <row r="11904" customFormat="false" ht="15" hidden="false" customHeight="false" outlineLevel="0" collapsed="false">
      <c r="A11904" s="3" t="s">
        <v>521</v>
      </c>
      <c r="C11904" s="29" t="n">
        <f aca="false">Assumptions!$C$34</f>
        <v>100</v>
      </c>
    </row>
    <row r="11905" customFormat="false" ht="15" hidden="false" customHeight="false" outlineLevel="0" collapsed="false">
      <c r="A11905" s="3" t="s">
        <v>522</v>
      </c>
      <c r="C11905" s="40" t="n">
        <f aca="false">Assumptions!$C$35</f>
        <v>95</v>
      </c>
    </row>
    <row r="11906" customFormat="false" ht="15" hidden="false" customHeight="false" outlineLevel="0" collapsed="false">
      <c r="A11906" s="3" t="s">
        <v>523</v>
      </c>
      <c r="C11906" s="25" t="n">
        <f aca="false">C11904*C11905/100*(1+Assumptions!$C$36)</f>
        <v>95</v>
      </c>
    </row>
    <row r="11907" customFormat="false" ht="15" hidden="false" customHeight="false" outlineLevel="0" collapsed="false">
      <c r="A11907" s="3" t="s">
        <v>524</v>
      </c>
      <c r="C11907" s="27" t="n">
        <f aca="false">Assumptions!$C$37</f>
        <v>3</v>
      </c>
    </row>
    <row r="11908" customFormat="false" ht="15" hidden="false" customHeight="false" outlineLevel="0" collapsed="false">
      <c r="A11908" s="3" t="s">
        <v>525</v>
      </c>
      <c r="C11908" s="20" t="n">
        <f aca="false">IF(C11833=1,SUMPRODUCT($G$11785:$K$11785,$G$11678:$K$11678),0)</f>
        <v>0</v>
      </c>
    </row>
    <row r="11909" customFormat="false" ht="15" hidden="false" customHeight="false" outlineLevel="0" collapsed="false">
      <c r="A11909" s="3" t="s">
        <v>526</v>
      </c>
      <c r="C11909" s="21" t="n">
        <f aca="false">IFERROR(C11904/CHOOSE(C11903,SUMPRODUCT($G$11832:$K$11832,$G$11724:$K$11724),SUMPRODUCT($G$11832:$K$11832,$G$11737:$K$11737),SUMPRODUCT($G$11832:$K$11832,$G$11750:$K$11750)),0)</f>
        <v>0.0760399605200525</v>
      </c>
    </row>
    <row r="11910" customFormat="false" ht="15" hidden="false" customHeight="false" outlineLevel="0" collapsed="false">
      <c r="A11910" s="3" t="s">
        <v>527</v>
      </c>
      <c r="C11910" s="25" t="n">
        <f aca="false">CHOOSE(C11903,C11884,C11885,C11886)*C11909</f>
        <v>102.625</v>
      </c>
    </row>
    <row r="11911" customFormat="false" ht="15" hidden="false" customHeight="false" outlineLevel="0" collapsed="false">
      <c r="A11911" s="3" t="s">
        <v>528</v>
      </c>
      <c r="C11911" s="21" t="n">
        <f aca="false">CHOOSE(C11903,C11888,C11889,C11890)</f>
        <v>1</v>
      </c>
    </row>
    <row r="11912" customFormat="false" ht="15" hidden="false" customHeight="false" outlineLevel="0" collapsed="false">
      <c r="A11912" s="3" t="s">
        <v>529</v>
      </c>
      <c r="C11912" s="20" t="n">
        <f aca="false">IF(C11833=1,C11908,C11907)</f>
        <v>3</v>
      </c>
    </row>
    <row r="11913" customFormat="false" ht="15" hidden="false" customHeight="false" outlineLevel="0" collapsed="false">
      <c r="A11913" s="3" t="s">
        <v>530</v>
      </c>
      <c r="C11913" s="34" t="n">
        <f aca="false">CHOOSE($C$11670,Assumptions!$C$83,Assumptions!$C$102,Assumptions!$C$121)</f>
        <v>100</v>
      </c>
    </row>
    <row r="11914" customFormat="false" ht="15" hidden="false" customHeight="false" outlineLevel="0" collapsed="false">
      <c r="A11914" s="3" t="s">
        <v>531</v>
      </c>
      <c r="C11914" s="25" t="n">
        <f aca="false">INDEX($G$11687:$K$11687,C11907)*CHOOSE($C$11670,Assumptions!$C$82,Assumptions!$C$101,Assumptions!$C$120)+MAX(0,INDEX($G$11782:$K$11782,C11907))</f>
        <v>1898.86777853863</v>
      </c>
    </row>
    <row r="11915" customFormat="false" ht="15" hidden="false" customHeight="false" outlineLevel="0" collapsed="false">
      <c r="A11915" s="23" t="s">
        <v>532</v>
      </c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</row>
    <row r="11916" customFormat="false" ht="15" hidden="false" customHeight="false" outlineLevel="0" collapsed="false">
      <c r="A11916" s="3" t="s">
        <v>499</v>
      </c>
      <c r="C11916" s="25" t="n">
        <f aca="false">INDEX($G$11724:$K$11724,C11907)</f>
        <v>1315.098</v>
      </c>
    </row>
    <row r="11917" customFormat="false" ht="15" hidden="false" customHeight="false" outlineLevel="0" collapsed="false">
      <c r="A11917" s="3" t="s">
        <v>500</v>
      </c>
      <c r="C11917" s="25" t="n">
        <f aca="false">INDEX($G$11737:$K$11737,C11907)</f>
        <v>0</v>
      </c>
    </row>
    <row r="11918" customFormat="false" ht="15" hidden="false" customHeight="false" outlineLevel="0" collapsed="false">
      <c r="A11918" s="3" t="s">
        <v>501</v>
      </c>
      <c r="C11918" s="25" t="n">
        <f aca="false">INDEX($G$11750:$K$11750,C11907)</f>
        <v>0</v>
      </c>
    </row>
    <row r="11919" customFormat="false" ht="15" hidden="false" customHeight="false" outlineLevel="0" collapsed="false">
      <c r="A11919" s="23" t="s">
        <v>502</v>
      </c>
      <c r="B11919" s="24"/>
      <c r="C11919" s="24"/>
      <c r="D11919" s="24"/>
      <c r="E11919" s="24"/>
      <c r="F11919" s="24"/>
      <c r="G11919" s="24"/>
      <c r="H11919" s="24"/>
      <c r="I11919" s="24"/>
      <c r="J11919" s="24"/>
      <c r="K11919" s="24"/>
    </row>
    <row r="11920" customFormat="false" ht="15" hidden="false" customHeight="false" outlineLevel="0" collapsed="false">
      <c r="A11920" s="3" t="s">
        <v>499</v>
      </c>
      <c r="C11920" s="27" t="n">
        <f aca="false">Assumptions!$M$56</f>
        <v>1</v>
      </c>
    </row>
    <row r="11921" customFormat="false" ht="15" hidden="false" customHeight="false" outlineLevel="0" collapsed="false">
      <c r="A11921" s="3" t="s">
        <v>500</v>
      </c>
      <c r="C11921" s="27" t="n">
        <f aca="false">Assumptions!$M$57</f>
        <v>2</v>
      </c>
    </row>
    <row r="11922" customFormat="false" ht="15" hidden="false" customHeight="false" outlineLevel="0" collapsed="false">
      <c r="A11922" s="3" t="s">
        <v>501</v>
      </c>
      <c r="C11922" s="27" t="n">
        <f aca="false">Assumptions!$M$58</f>
        <v>2</v>
      </c>
    </row>
    <row r="11923" customFormat="false" ht="15" hidden="false" customHeight="false" outlineLevel="0" collapsed="false">
      <c r="A11923" s="23" t="s">
        <v>503</v>
      </c>
      <c r="B11923" s="24"/>
      <c r="C11923" s="24"/>
      <c r="D11923" s="24"/>
      <c r="E11923" s="24"/>
      <c r="F11923" s="24"/>
      <c r="G11923" s="24"/>
      <c r="H11923" s="24"/>
      <c r="I11923" s="24"/>
      <c r="J11923" s="24"/>
      <c r="K11923" s="24"/>
    </row>
    <row r="11924" customFormat="false" ht="15" hidden="false" customHeight="false" outlineLevel="0" collapsed="false">
      <c r="A11924" s="3" t="s">
        <v>499</v>
      </c>
      <c r="C11924" s="35" t="n">
        <f aca="false">Assumptions!$Q$56</f>
        <v>0</v>
      </c>
    </row>
    <row r="11925" customFormat="false" ht="15" hidden="false" customHeight="false" outlineLevel="0" collapsed="false">
      <c r="A11925" s="3" t="s">
        <v>500</v>
      </c>
      <c r="C11925" s="35" t="n">
        <f aca="false">Assumptions!$Q$57</f>
        <v>0</v>
      </c>
    </row>
    <row r="11926" customFormat="false" ht="15" hidden="false" customHeight="false" outlineLevel="0" collapsed="false">
      <c r="A11926" s="3" t="s">
        <v>501</v>
      </c>
      <c r="C11926" s="35" t="n">
        <f aca="false">Assumptions!$Q$58</f>
        <v>0</v>
      </c>
    </row>
    <row r="11927" customFormat="false" ht="15" hidden="false" customHeight="false" outlineLevel="0" collapsed="false">
      <c r="A11927" s="23" t="s">
        <v>504</v>
      </c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</row>
    <row r="11928" customFormat="false" ht="15" hidden="false" customHeight="false" outlineLevel="0" collapsed="false">
      <c r="A11928" s="3" t="s">
        <v>499</v>
      </c>
      <c r="C11928" s="25" t="n">
        <f aca="false">IF(C11924&gt;0,MIN(C11916,C11924*$C$11914),0)</f>
        <v>0</v>
      </c>
    </row>
    <row r="11929" customFormat="false" ht="15" hidden="false" customHeight="false" outlineLevel="0" collapsed="false">
      <c r="A11929" s="3" t="s">
        <v>500</v>
      </c>
      <c r="C11929" s="25" t="n">
        <f aca="false">IF(C11925&gt;0,MIN(C11917,C11925*$C$11914),0)</f>
        <v>0</v>
      </c>
    </row>
    <row r="11930" customFormat="false" ht="15" hidden="false" customHeight="false" outlineLevel="0" collapsed="false">
      <c r="A11930" s="3" t="s">
        <v>501</v>
      </c>
      <c r="C11930" s="25" t="n">
        <f aca="false">IF(C11926&gt;0,MIN(C11918,C11926*$C$11914),0)</f>
        <v>0</v>
      </c>
    </row>
    <row r="11931" customFormat="false" ht="15" hidden="false" customHeight="false" outlineLevel="0" collapsed="false">
      <c r="A11931" s="23" t="s">
        <v>505</v>
      </c>
      <c r="B11931" s="24"/>
      <c r="C11931" s="24"/>
      <c r="D11931" s="24"/>
      <c r="E11931" s="24"/>
      <c r="F11931" s="24"/>
      <c r="G11931" s="24"/>
      <c r="H11931" s="24"/>
      <c r="I11931" s="24"/>
      <c r="J11931" s="24"/>
      <c r="K11931" s="24"/>
    </row>
    <row r="11932" customFormat="false" ht="15" hidden="false" customHeight="false" outlineLevel="0" collapsed="false">
      <c r="A11932" s="3" t="s">
        <v>499</v>
      </c>
      <c r="C11932" s="25" t="n">
        <f aca="false">IF(C11924&gt;0,C11916-C11928,0)</f>
        <v>0</v>
      </c>
    </row>
    <row r="11933" customFormat="false" ht="15" hidden="false" customHeight="false" outlineLevel="0" collapsed="false">
      <c r="A11933" s="3" t="s">
        <v>500</v>
      </c>
      <c r="C11933" s="25" t="n">
        <f aca="false">IF(C11925&gt;0,C11917-C11929,0)</f>
        <v>0</v>
      </c>
    </row>
    <row r="11934" customFormat="false" ht="15" hidden="false" customHeight="false" outlineLevel="0" collapsed="false">
      <c r="A11934" s="3" t="s">
        <v>501</v>
      </c>
      <c r="C11934" s="25" t="n">
        <f aca="false">IF(C11926&gt;0,C11918-C11930,0)</f>
        <v>0</v>
      </c>
    </row>
    <row r="11935" customFormat="false" ht="15" hidden="false" customHeight="false" outlineLevel="0" collapsed="false">
      <c r="A11935" s="23" t="s">
        <v>506</v>
      </c>
      <c r="B11935" s="24"/>
      <c r="C11935" s="24"/>
      <c r="D11935" s="24"/>
      <c r="E11935" s="24"/>
      <c r="F11935" s="24"/>
      <c r="G11935" s="24"/>
      <c r="H11935" s="24"/>
      <c r="I11935" s="24"/>
      <c r="J11935" s="24"/>
      <c r="K11935" s="24"/>
    </row>
    <row r="11936" customFormat="false" ht="15" hidden="false" customHeight="false" outlineLevel="0" collapsed="false">
      <c r="A11936" s="3" t="s">
        <v>499</v>
      </c>
      <c r="C11936" s="25" t="n">
        <f aca="false">IF(C11924&gt;0,C11932,C11916)</f>
        <v>1315.098</v>
      </c>
    </row>
    <row r="11937" customFormat="false" ht="15" hidden="false" customHeight="false" outlineLevel="0" collapsed="false">
      <c r="A11937" s="3" t="s">
        <v>500</v>
      </c>
      <c r="C11937" s="25" t="n">
        <f aca="false">IF(C11925&gt;0,C11933,C11917)</f>
        <v>0</v>
      </c>
    </row>
    <row r="11938" customFormat="false" ht="15" hidden="false" customHeight="false" outlineLevel="0" collapsed="false">
      <c r="A11938" s="3" t="s">
        <v>501</v>
      </c>
      <c r="C11938" s="25" t="n">
        <f aca="false">IF(C11926&gt;0,C11934,C11918)</f>
        <v>0</v>
      </c>
    </row>
    <row r="11939" customFormat="false" ht="15" hidden="false" customHeight="false" outlineLevel="0" collapsed="false">
      <c r="A11939" s="23" t="s">
        <v>507</v>
      </c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</row>
    <row r="11940" customFormat="false" ht="15" hidden="false" customHeight="false" outlineLevel="0" collapsed="false">
      <c r="A11940" s="3" t="s">
        <v>499</v>
      </c>
      <c r="C11940" s="20" t="n">
        <f aca="false">IF(C11924&gt;0,Assumptions!$C$17,C11920)</f>
        <v>1</v>
      </c>
    </row>
    <row r="11941" customFormat="false" ht="15" hidden="false" customHeight="false" outlineLevel="0" collapsed="false">
      <c r="A11941" s="3" t="s">
        <v>500</v>
      </c>
      <c r="C11941" s="20" t="n">
        <f aca="false">IF(C11925&gt;0,Assumptions!$C$17,C11921)</f>
        <v>2</v>
      </c>
    </row>
    <row r="11942" customFormat="false" ht="15" hidden="false" customHeight="false" outlineLevel="0" collapsed="false">
      <c r="A11942" s="3" t="s">
        <v>501</v>
      </c>
      <c r="C11942" s="20" t="n">
        <f aca="false">IF(C11926&gt;0,Assumptions!$C$17,C11922)</f>
        <v>2</v>
      </c>
    </row>
    <row r="11943" customFormat="false" ht="15" hidden="false" customHeight="false" outlineLevel="0" collapsed="false">
      <c r="A11943" s="23" t="s">
        <v>508</v>
      </c>
      <c r="B11943" s="24"/>
      <c r="C11943" s="24"/>
      <c r="D11943" s="24"/>
      <c r="E11943" s="24"/>
      <c r="F11943" s="24"/>
      <c r="G11943" s="24"/>
      <c r="H11943" s="24"/>
      <c r="I11943" s="24"/>
      <c r="J11943" s="24"/>
      <c r="K11943" s="24"/>
    </row>
    <row r="11944" customFormat="false" ht="15" hidden="false" customHeight="false" outlineLevel="0" collapsed="false">
      <c r="A11944" s="3" t="s">
        <v>499</v>
      </c>
      <c r="C11944" s="25" t="n">
        <f aca="false">SUMPRODUCT(($C$11940:$C$11942&lt;C11940)*$C$11936:$C$11938)</f>
        <v>0</v>
      </c>
    </row>
    <row r="11945" customFormat="false" ht="15" hidden="false" customHeight="false" outlineLevel="0" collapsed="false">
      <c r="A11945" s="3" t="s">
        <v>500</v>
      </c>
      <c r="C11945" s="25" t="n">
        <f aca="false">SUMPRODUCT(($C$11940:$C$11942&lt;C11941)*$C$11936:$C$11938)</f>
        <v>1315.098</v>
      </c>
    </row>
    <row r="11946" customFormat="false" ht="15" hidden="false" customHeight="false" outlineLevel="0" collapsed="false">
      <c r="A11946" s="3" t="s">
        <v>501</v>
      </c>
      <c r="C11946" s="25" t="n">
        <f aca="false">SUMPRODUCT(($C$11940:$C$11942&lt;C11942)*$C$11936:$C$11938)</f>
        <v>1315.098</v>
      </c>
    </row>
    <row r="11947" customFormat="false" ht="15" hidden="false" customHeight="false" outlineLevel="0" collapsed="false">
      <c r="A11947" s="23" t="s">
        <v>509</v>
      </c>
      <c r="B11947" s="24"/>
      <c r="C11947" s="24"/>
      <c r="D11947" s="24"/>
      <c r="E11947" s="24"/>
      <c r="F11947" s="24"/>
      <c r="G11947" s="24"/>
      <c r="H11947" s="24"/>
      <c r="I11947" s="24"/>
      <c r="J11947" s="24"/>
      <c r="K11947" s="24"/>
    </row>
    <row r="11948" customFormat="false" ht="15" hidden="false" customHeight="false" outlineLevel="0" collapsed="false">
      <c r="A11948" s="3" t="s">
        <v>499</v>
      </c>
      <c r="C11948" s="25" t="n">
        <f aca="false">SUMPRODUCT(($C$11940:$C$11942=C11940)*$C$11936:$C$11938)</f>
        <v>1315.098</v>
      </c>
    </row>
    <row r="11949" customFormat="false" ht="15" hidden="false" customHeight="false" outlineLevel="0" collapsed="false">
      <c r="A11949" s="3" t="s">
        <v>500</v>
      </c>
      <c r="C11949" s="25" t="n">
        <f aca="false">SUMPRODUCT(($C$11940:$C$11942=C11941)*$C$11936:$C$11938)</f>
        <v>0</v>
      </c>
    </row>
    <row r="11950" customFormat="false" ht="15" hidden="false" customHeight="false" outlineLevel="0" collapsed="false">
      <c r="A11950" s="3" t="s">
        <v>501</v>
      </c>
      <c r="C11950" s="25" t="n">
        <f aca="false">SUMPRODUCT(($C$11940:$C$11942=C11942)*$C$11936:$C$11938)</f>
        <v>0</v>
      </c>
    </row>
    <row r="11951" customFormat="false" ht="15" hidden="false" customHeight="false" outlineLevel="0" collapsed="false">
      <c r="A11951" s="23" t="s">
        <v>510</v>
      </c>
      <c r="B11951" s="24"/>
      <c r="C11951" s="24"/>
      <c r="D11951" s="24"/>
      <c r="E11951" s="24"/>
      <c r="F11951" s="24"/>
      <c r="G11951" s="24"/>
      <c r="H11951" s="24"/>
      <c r="I11951" s="24"/>
      <c r="J11951" s="24"/>
      <c r="K11951" s="24"/>
    </row>
    <row r="11952" customFormat="false" ht="15" hidden="false" customHeight="false" outlineLevel="0" collapsed="false">
      <c r="A11952" s="3" t="s">
        <v>499</v>
      </c>
      <c r="C11952" s="25" t="n">
        <f aca="false">IF(C11948=0,0,C11936/C11948*MAX(0,MIN(C11948,$C$11914-SUM($C$11928:$C$11930)-C11944)))</f>
        <v>1315.098</v>
      </c>
    </row>
    <row r="11953" customFormat="false" ht="15" hidden="false" customHeight="false" outlineLevel="0" collapsed="false">
      <c r="A11953" s="3" t="s">
        <v>500</v>
      </c>
      <c r="C11953" s="25" t="n">
        <f aca="false">IF(C11949=0,0,C11937/C11949*MAX(0,MIN(C11949,$C$11914-SUM($C$11928:$C$11930)-C11945)))</f>
        <v>0</v>
      </c>
    </row>
    <row r="11954" customFormat="false" ht="15" hidden="false" customHeight="false" outlineLevel="0" collapsed="false">
      <c r="A11954" s="3" t="s">
        <v>501</v>
      </c>
      <c r="C11954" s="25" t="n">
        <f aca="false">IF(C11950=0,0,C11938/C11950*MAX(0,MIN(C11950,$C$11914-SUM($C$11928:$C$11930)-C11946)))</f>
        <v>0</v>
      </c>
    </row>
    <row r="11955" customFormat="false" ht="15" hidden="false" customHeight="false" outlineLevel="0" collapsed="false">
      <c r="A11955" s="23" t="s">
        <v>511</v>
      </c>
      <c r="B11955" s="24"/>
      <c r="C11955" s="24"/>
      <c r="D11955" s="24"/>
      <c r="E11955" s="24"/>
      <c r="F11955" s="24"/>
      <c r="G11955" s="24"/>
      <c r="H11955" s="24"/>
      <c r="I11955" s="24"/>
      <c r="J11955" s="24"/>
      <c r="K11955" s="24"/>
    </row>
    <row r="11956" customFormat="false" ht="15" hidden="false" customHeight="false" outlineLevel="0" collapsed="false">
      <c r="A11956" s="2" t="s">
        <v>499</v>
      </c>
      <c r="C11956" s="16" t="n">
        <f aca="false">C11928+C11952</f>
        <v>1315.098</v>
      </c>
    </row>
    <row r="11957" customFormat="false" ht="15" hidden="false" customHeight="false" outlineLevel="0" collapsed="false">
      <c r="A11957" s="2" t="s">
        <v>500</v>
      </c>
      <c r="C11957" s="16" t="n">
        <f aca="false">C11929+C11953</f>
        <v>0</v>
      </c>
    </row>
    <row r="11958" customFormat="false" ht="15" hidden="false" customHeight="false" outlineLevel="0" collapsed="false">
      <c r="A11958" s="2" t="s">
        <v>501</v>
      </c>
      <c r="C11958" s="16" t="n">
        <f aca="false">C11930+C11954</f>
        <v>0</v>
      </c>
    </row>
    <row r="11959" customFormat="false" ht="15" hidden="false" customHeight="false" outlineLevel="0" collapsed="false">
      <c r="A11959" s="23" t="s">
        <v>512</v>
      </c>
      <c r="B11959" s="24"/>
      <c r="C11959" s="24"/>
      <c r="D11959" s="24"/>
      <c r="E11959" s="24"/>
      <c r="F11959" s="24"/>
      <c r="G11959" s="24"/>
      <c r="H11959" s="24"/>
      <c r="I11959" s="24"/>
      <c r="J11959" s="24"/>
      <c r="K11959" s="24"/>
    </row>
    <row r="11960" customFormat="false" ht="15" hidden="false" customHeight="false" outlineLevel="0" collapsed="false">
      <c r="A11960" s="3" t="s">
        <v>499</v>
      </c>
      <c r="C11960" s="21" t="n">
        <f aca="false">IF(C11916=0,1,C11956/C11916)</f>
        <v>1</v>
      </c>
    </row>
    <row r="11961" customFormat="false" ht="15" hidden="false" customHeight="false" outlineLevel="0" collapsed="false">
      <c r="A11961" s="3" t="s">
        <v>500</v>
      </c>
      <c r="C11961" s="21" t="n">
        <f aca="false">IF(C11917=0,1,C11957/C11917)</f>
        <v>1</v>
      </c>
    </row>
    <row r="11962" customFormat="false" ht="15" hidden="false" customHeight="false" outlineLevel="0" collapsed="false">
      <c r="A11962" s="3" t="s">
        <v>501</v>
      </c>
      <c r="C11962" s="21" t="n">
        <f aca="false">IF(C11918=0,1,C11958/C11918)</f>
        <v>1</v>
      </c>
    </row>
    <row r="11963" customFormat="false" ht="15" hidden="false" customHeight="false" outlineLevel="0" collapsed="false">
      <c r="A11963" s="23" t="s">
        <v>513</v>
      </c>
      <c r="B11963" s="24"/>
      <c r="C11963" s="24"/>
      <c r="D11963" s="24"/>
      <c r="E11963" s="24"/>
      <c r="F11963" s="24"/>
      <c r="G11963" s="24"/>
      <c r="H11963" s="24"/>
      <c r="I11963" s="24"/>
      <c r="J11963" s="24"/>
      <c r="K11963" s="24"/>
    </row>
    <row r="11964" customFormat="false" ht="15" hidden="false" customHeight="false" outlineLevel="0" collapsed="false">
      <c r="A11964" s="3" t="s">
        <v>499</v>
      </c>
      <c r="C11964" s="25" t="n">
        <f aca="false">C11916-C11956</f>
        <v>0</v>
      </c>
    </row>
    <row r="11965" customFormat="false" ht="15" hidden="false" customHeight="false" outlineLevel="0" collapsed="false">
      <c r="A11965" s="3" t="s">
        <v>500</v>
      </c>
      <c r="C11965" s="25" t="n">
        <f aca="false">C11917-C11957</f>
        <v>0</v>
      </c>
    </row>
    <row r="11966" customFormat="false" ht="15" hidden="false" customHeight="false" outlineLevel="0" collapsed="false">
      <c r="A11966" s="3" t="s">
        <v>501</v>
      </c>
      <c r="C11966" s="25" t="n">
        <f aca="false">C11918-C11958</f>
        <v>0</v>
      </c>
    </row>
    <row r="11967" customFormat="false" ht="15" hidden="false" customHeight="false" outlineLevel="0" collapsed="false">
      <c r="A11967" s="23" t="s">
        <v>514</v>
      </c>
      <c r="B11967" s="24"/>
      <c r="C11967" s="24"/>
      <c r="D11967" s="24"/>
      <c r="E11967" s="24"/>
      <c r="F11967" s="24"/>
      <c r="G11967" s="24"/>
      <c r="H11967" s="24"/>
      <c r="I11967" s="24"/>
      <c r="J11967" s="24"/>
      <c r="K11967" s="24"/>
    </row>
    <row r="11968" customFormat="false" ht="15" hidden="false" customHeight="false" outlineLevel="0" collapsed="false">
      <c r="A11968" s="3" t="s">
        <v>499</v>
      </c>
      <c r="C11968" s="21" t="n">
        <f aca="false">IF(C11916=0,0,C11964/C11916)</f>
        <v>0</v>
      </c>
    </row>
    <row r="11969" customFormat="false" ht="15" hidden="false" customHeight="false" outlineLevel="0" collapsed="false">
      <c r="A11969" s="3" t="s">
        <v>500</v>
      </c>
      <c r="C11969" s="21" t="n">
        <f aca="false">IF(C11917=0,0,C11965/C11917)</f>
        <v>0</v>
      </c>
    </row>
    <row r="11970" customFormat="false" ht="15" hidden="false" customHeight="false" outlineLevel="0" collapsed="false">
      <c r="A11970" s="3" t="s">
        <v>501</v>
      </c>
      <c r="C11970" s="21" t="n">
        <f aca="false">IF(C11918=0,0,C11966/C11918)</f>
        <v>0</v>
      </c>
    </row>
    <row r="11971" customFormat="false" ht="15" hidden="false" customHeight="false" outlineLevel="0" collapsed="false">
      <c r="A11971" s="2" t="s">
        <v>515</v>
      </c>
      <c r="C11971" s="16" t="n">
        <f aca="false">MAX(0,$C$11914-SUM($C$11928:$C$11930)-SUM($C$11936:$C$11938))</f>
        <v>583.769778538632</v>
      </c>
    </row>
    <row r="11972" customFormat="false" ht="15" hidden="false" customHeight="false" outlineLevel="0" collapsed="false">
      <c r="A11972" s="3" t="s">
        <v>533</v>
      </c>
      <c r="C11972" s="34" t="n">
        <f aca="false">MIN(C11913,100*CHOOSE(C11903,C11960,C11961,C11962))</f>
        <v>100</v>
      </c>
    </row>
    <row r="11973" customFormat="false" ht="15" hidden="false" customHeight="false" outlineLevel="0" collapsed="false">
      <c r="A11973" s="3" t="s">
        <v>534</v>
      </c>
      <c r="C11973" s="20" t="n">
        <f aca="false">IF(C11833=1,C11908+Assumptions!$C$39,C11907)</f>
        <v>3</v>
      </c>
    </row>
    <row r="11974" customFormat="false" ht="15" hidden="false" customHeight="false" outlineLevel="0" collapsed="false">
      <c r="A11974" s="23" t="s">
        <v>535</v>
      </c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</row>
    <row r="11975" customFormat="false" ht="15" hidden="false" customHeight="false" outlineLevel="0" collapsed="false">
      <c r="A11975" s="3" t="s">
        <v>536</v>
      </c>
      <c r="C11975" s="20" t="n">
        <f aca="false">COLUMN()-COLUMN($C$1)</f>
        <v>0</v>
      </c>
      <c r="D11975" s="20" t="n">
        <f aca="false">COLUMN()-COLUMN($C$1)</f>
        <v>1</v>
      </c>
      <c r="E11975" s="20" t="n">
        <f aca="false">COLUMN()-COLUMN($C$1)</f>
        <v>2</v>
      </c>
      <c r="F11975" s="20" t="n">
        <f aca="false">COLUMN()-COLUMN($C$1)</f>
        <v>3</v>
      </c>
      <c r="G11975" s="20" t="n">
        <f aca="false">COLUMN()-COLUMN($C$1)</f>
        <v>4</v>
      </c>
      <c r="H11975" s="20" t="n">
        <f aca="false">COLUMN()-COLUMN($C$1)</f>
        <v>5</v>
      </c>
      <c r="I11975" s="20" t="n">
        <f aca="false">COLUMN()-COLUMN($C$1)</f>
        <v>6</v>
      </c>
    </row>
    <row r="11976" customFormat="false" ht="15" hidden="false" customHeight="false" outlineLevel="0" collapsed="false">
      <c r="A11976" s="3" t="s">
        <v>537</v>
      </c>
      <c r="D11976" s="31" t="n">
        <f aca="false">CHOOSE($C$11903,G11716,G11729,G11742)</f>
        <v>0.105</v>
      </c>
      <c r="E11976" s="31" t="n">
        <f aca="false">CHOOSE($C$11903,H11716,H11729,H11742)</f>
        <v>0.105</v>
      </c>
      <c r="F11976" s="31" t="n">
        <f aca="false">CHOOSE($C$11903,I11716,I11729,I11742)</f>
        <v>0.105</v>
      </c>
      <c r="G11976" s="31" t="n">
        <f aca="false">CHOOSE($C$11903,J11716,J11729,J11742)</f>
        <v>0.105</v>
      </c>
      <c r="H11976" s="31" t="n">
        <f aca="false">CHOOSE($C$11903,K11716,K11729,K11742)</f>
        <v>0.105</v>
      </c>
    </row>
    <row r="11977" customFormat="false" ht="15" hidden="false" customHeight="false" outlineLevel="0" collapsed="false">
      <c r="A11977" s="3" t="s">
        <v>538</v>
      </c>
      <c r="D11977" s="25" t="n">
        <f aca="false">IF(D11975&lt;=$C$11912,$C$11904*D11976,0)</f>
        <v>10.5</v>
      </c>
      <c r="E11977" s="25" t="n">
        <f aca="false">IF(E11975&lt;=$C$11912,$C$11904*E11976,0)</f>
        <v>10.5</v>
      </c>
      <c r="F11977" s="25" t="n">
        <f aca="false">IF(F11975&lt;=$C$11912,$C$11904*F11976,0)</f>
        <v>10.5</v>
      </c>
      <c r="G11977" s="25" t="n">
        <f aca="false">IF(G11975&lt;=$C$11912,$C$11904*G11976,0)</f>
        <v>0</v>
      </c>
      <c r="H11977" s="25" t="n">
        <f aca="false">IF(H11975&lt;=$C$11912,$C$11904*H11976,0)</f>
        <v>0</v>
      </c>
    </row>
    <row r="11978" customFormat="false" ht="15" hidden="false" customHeight="false" outlineLevel="0" collapsed="false">
      <c r="A11978" s="3" t="s">
        <v>539</v>
      </c>
      <c r="D11978" s="25" t="n">
        <f aca="false">IF(AND($C$11833=0,D11975=$C$11907),$C$11904*$C$11972/100,0)+IF(AND($C$11833=1,D11975=$C$11973),$C$11910,0)</f>
        <v>0</v>
      </c>
      <c r="E11978" s="25" t="n">
        <f aca="false">IF(AND($C$11833=0,E11975=$C$11907),$C$11904*$C$11972/100,0)+IF(AND($C$11833=1,E11975=$C$11973),$C$11910,0)</f>
        <v>0</v>
      </c>
      <c r="F11978" s="25" t="n">
        <f aca="false">IF(AND($C$11833=0,F11975=$C$11907),$C$11904*$C$11972/100,0)+IF(AND($C$11833=1,F11975=$C$11973),$C$11910,0)</f>
        <v>100</v>
      </c>
      <c r="G11978" s="25" t="n">
        <f aca="false">IF(AND($C$11833=0,G11975=$C$11907),$C$11904*$C$11972/100,0)+IF(AND($C$11833=1,G11975=$C$11973),$C$11910,0)</f>
        <v>0</v>
      </c>
      <c r="H11978" s="25" t="n">
        <f aca="false">IF(AND($C$11833=0,H11975=$C$11907),$C$11904*$C$11972/100,0)+IF(AND($C$11833=1,H11975=$C$11973),$C$11910,0)</f>
        <v>0</v>
      </c>
      <c r="I11978" s="25" t="n">
        <f aca="false">IF(AND($C$11833=0,I11975=$C$11907),$C$11904*$C$11972/100,0)+IF(AND($C$11833=1,I11975=$C$11973),$C$11910,0)</f>
        <v>0</v>
      </c>
    </row>
    <row r="11979" customFormat="false" ht="15" hidden="false" customHeight="false" outlineLevel="0" collapsed="false">
      <c r="A11979" s="2" t="s">
        <v>540</v>
      </c>
      <c r="C11979" s="16" t="n">
        <f aca="false">-$C$11906</f>
        <v>-95</v>
      </c>
      <c r="D11979" s="16" t="n">
        <f aca="false">D11977+D11978</f>
        <v>10.5</v>
      </c>
      <c r="E11979" s="16" t="n">
        <f aca="false">E11977+E11978</f>
        <v>10.5</v>
      </c>
      <c r="F11979" s="16" t="n">
        <f aca="false">F11977+F11978</f>
        <v>110.5</v>
      </c>
      <c r="G11979" s="16" t="n">
        <f aca="false">G11977+G11978</f>
        <v>0</v>
      </c>
      <c r="H11979" s="16" t="n">
        <f aca="false">H11977+H11978</f>
        <v>0</v>
      </c>
      <c r="I11979" s="16" t="n">
        <f aca="false">I11977+I11978</f>
        <v>0</v>
      </c>
    </row>
    <row r="11980" customFormat="false" ht="15" hidden="false" customHeight="false" outlineLevel="0" collapsed="false">
      <c r="A11980" s="3" t="s">
        <v>541</v>
      </c>
      <c r="C11980" s="25" t="n">
        <f aca="false">SUM($C$11977:$I$11977)</f>
        <v>31.5</v>
      </c>
    </row>
    <row r="11981" customFormat="false" ht="15" hidden="false" customHeight="false" outlineLevel="0" collapsed="false">
      <c r="A11981" s="3" t="s">
        <v>542</v>
      </c>
      <c r="C11981" s="25" t="n">
        <f aca="false">SUM($C$11978:$I$11978)</f>
        <v>100</v>
      </c>
    </row>
    <row r="11982" customFormat="false" ht="15" hidden="false" customHeight="false" outlineLevel="0" collapsed="false">
      <c r="A11982" s="3" t="s">
        <v>543</v>
      </c>
      <c r="C11982" s="25" t="n">
        <f aca="false">C11980+C11981</f>
        <v>131.5</v>
      </c>
    </row>
    <row r="11983" customFormat="false" ht="15" hidden="false" customHeight="false" outlineLevel="0" collapsed="false">
      <c r="A11983" s="3" t="s">
        <v>544</v>
      </c>
      <c r="C11983" s="25" t="n">
        <f aca="false">C11981-C11904*C11905/100</f>
        <v>5</v>
      </c>
    </row>
    <row r="11984" customFormat="false" ht="15" hidden="false" customHeight="false" outlineLevel="0" collapsed="false">
      <c r="A11984" s="3" t="s">
        <v>545</v>
      </c>
      <c r="C11984" s="25" t="n">
        <f aca="false">C11982-C11906</f>
        <v>36.5</v>
      </c>
    </row>
    <row r="11985" customFormat="false" ht="15" hidden="false" customHeight="false" outlineLevel="0" collapsed="false">
      <c r="A11985" s="2" t="s">
        <v>427</v>
      </c>
      <c r="C11985" s="44" t="n">
        <f aca="false">C11982/C11906</f>
        <v>1.38421052631579</v>
      </c>
    </row>
    <row r="11986" customFormat="false" ht="15" hidden="false" customHeight="false" outlineLevel="0" collapsed="false">
      <c r="A11986" s="2" t="s">
        <v>426</v>
      </c>
      <c r="C11986" s="42" t="n">
        <f aca="false">IF(C11982&lt;=0,-1,IFERROR(IRR($C$11979:$I$11979,MAX(-0.9,C11985^(1/C11973)-1)),IRR($C$11979:$I$11979,0.1)))</f>
        <v>0.126033624615204</v>
      </c>
    </row>
    <row r="11987" customFormat="false" ht="15" hidden="false" customHeight="false" outlineLevel="0" collapsed="false">
      <c r="A11987" s="3" t="s">
        <v>546</v>
      </c>
      <c r="C11987" s="32" t="n">
        <f aca="false">MAX($G$11793:$K$11793)</f>
        <v>3.81499621093561</v>
      </c>
    </row>
    <row r="11988" customFormat="false" ht="15" hidden="false" customHeight="false" outlineLevel="0" collapsed="false">
      <c r="A11988" s="3" t="s">
        <v>547</v>
      </c>
      <c r="C11988" s="32" t="n">
        <f aca="false">MIN($G$11794:$K$11794)</f>
        <v>1.75842750947116</v>
      </c>
    </row>
    <row r="11989" customFormat="false" ht="15" hidden="false" customHeight="false" outlineLevel="0" collapsed="false">
      <c r="A11989" s="3" t="s">
        <v>548</v>
      </c>
      <c r="C11989" s="25" t="n">
        <f aca="false">SUM($G$11700:$K$11700)</f>
        <v>555.588348849095</v>
      </c>
    </row>
    <row r="11993" customFormat="false" ht="15" hidden="false" customHeight="false" outlineLevel="0" collapsed="false">
      <c r="A11993" s="9" t="s">
        <v>1051</v>
      </c>
      <c r="B11993" s="10"/>
      <c r="C11993" s="10"/>
      <c r="D11993" s="10"/>
      <c r="E11993" s="10"/>
      <c r="F11993" s="10"/>
      <c r="G11993" s="10"/>
      <c r="H11993" s="10"/>
      <c r="I11993" s="10"/>
      <c r="J11993" s="10"/>
      <c r="K11993" s="10"/>
    </row>
    <row r="11994" customFormat="false" ht="15" hidden="false" customHeight="false" outlineLevel="0" collapsed="false">
      <c r="A11994" s="3" t="s">
        <v>1010</v>
      </c>
      <c r="C11994" s="11" t="n">
        <v>1</v>
      </c>
    </row>
    <row r="11995" customFormat="false" ht="15" hidden="false" customHeight="false" outlineLevel="0" collapsed="false">
      <c r="A11995" s="3" t="s">
        <v>1011</v>
      </c>
      <c r="C11995" s="18" t="n">
        <v>0</v>
      </c>
    </row>
    <row r="11996" customFormat="false" ht="15" hidden="false" customHeight="false" outlineLevel="0" collapsed="false">
      <c r="A11996" s="3" t="s">
        <v>1012</v>
      </c>
      <c r="C11996" s="18" t="n">
        <v>0</v>
      </c>
    </row>
    <row r="11997" customFormat="false" ht="15" hidden="false" customHeight="false" outlineLevel="0" collapsed="false">
      <c r="A11997" s="3" t="s">
        <v>1013</v>
      </c>
      <c r="C11997" s="30" t="n">
        <f aca="false">Sensitivities!$A$54</f>
        <v>0.02</v>
      </c>
    </row>
    <row r="11998" customFormat="false" ht="15" hidden="false" customHeight="false" outlineLevel="0" collapsed="false">
      <c r="A11998" s="3" t="s">
        <v>1014</v>
      </c>
      <c r="C11998" s="15" t="n">
        <v>0</v>
      </c>
    </row>
    <row r="12000" customFormat="false" ht="15" hidden="false" customHeight="false" outlineLevel="0" collapsed="false">
      <c r="A12000" s="23" t="s">
        <v>281</v>
      </c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</row>
    <row r="12001" customFormat="false" ht="15" hidden="false" customHeight="false" outlineLevel="0" collapsed="false">
      <c r="A12001" s="3" t="s">
        <v>282</v>
      </c>
      <c r="F12001" s="27" t="n">
        <f aca="false">Assumptions!$C$6</f>
        <v>2026</v>
      </c>
      <c r="G12001" s="20" t="n">
        <f aca="false">F12001+1</f>
        <v>2027</v>
      </c>
      <c r="H12001" s="20" t="n">
        <f aca="false">G12001+1</f>
        <v>2028</v>
      </c>
      <c r="I12001" s="20" t="n">
        <f aca="false">H12001+1</f>
        <v>2029</v>
      </c>
      <c r="J12001" s="20" t="n">
        <f aca="false">I12001+1</f>
        <v>2030</v>
      </c>
      <c r="K12001" s="20" t="n">
        <f aca="false">J12001+1</f>
        <v>2031</v>
      </c>
    </row>
    <row r="12002" customFormat="false" ht="15" hidden="false" customHeight="false" outlineLevel="0" collapsed="false">
      <c r="A12002" s="3" t="s">
        <v>283</v>
      </c>
      <c r="G12002" s="20" t="n">
        <f aca="false">G12001-Assumptions!$C$6</f>
        <v>1</v>
      </c>
      <c r="H12002" s="20" t="n">
        <f aca="false">H12001-Assumptions!$C$6</f>
        <v>2</v>
      </c>
      <c r="I12002" s="20" t="n">
        <f aca="false">I12001-Assumptions!$C$6</f>
        <v>3</v>
      </c>
      <c r="J12002" s="20" t="n">
        <f aca="false">J12001-Assumptions!$C$6</f>
        <v>4</v>
      </c>
      <c r="K12002" s="20" t="n">
        <f aca="false">K12001-Assumptions!$C$6</f>
        <v>5</v>
      </c>
    </row>
    <row r="12003" customFormat="false" ht="15" hidden="false" customHeight="false" outlineLevel="0" collapsed="false">
      <c r="A12003" s="3" t="s">
        <v>165</v>
      </c>
      <c r="G12003" s="21" t="n">
        <f aca="false">CHOOSE($C$11994,Assumptions!$G$71,Assumptions!$G$90,Assumptions!$G$109)+$C$11995</f>
        <v>-0.045</v>
      </c>
      <c r="H12003" s="21" t="n">
        <f aca="false">CHOOSE($C$11994,Assumptions!$H$71,Assumptions!$H$90,Assumptions!$H$109)+$C$11995</f>
        <v>-0.04</v>
      </c>
      <c r="I12003" s="21" t="n">
        <f aca="false">CHOOSE($C$11994,Assumptions!$I$71,Assumptions!$I$90,Assumptions!$I$109)+$C$11995</f>
        <v>-0.035</v>
      </c>
      <c r="J12003" s="21" t="n">
        <f aca="false">CHOOSE($C$11994,Assumptions!$J$71,Assumptions!$J$90,Assumptions!$J$109)+$C$11995</f>
        <v>-0.03</v>
      </c>
      <c r="K12003" s="21" t="n">
        <f aca="false">CHOOSE($C$11994,Assumptions!$K$71,Assumptions!$K$90,Assumptions!$K$109)+$C$11995</f>
        <v>-0.03</v>
      </c>
    </row>
    <row r="12004" customFormat="false" ht="15" hidden="false" customHeight="false" outlineLevel="0" collapsed="false">
      <c r="A12004" s="3" t="s">
        <v>166</v>
      </c>
      <c r="G12004" s="21" t="n">
        <f aca="false">CHOOSE($C$11994,Assumptions!$G$72,Assumptions!$G$91,Assumptions!$G$110)</f>
        <v>0.483246670103635</v>
      </c>
      <c r="H12004" s="21" t="n">
        <f aca="false">CHOOSE($C$11994,Assumptions!$H$72,Assumptions!$H$91,Assumptions!$H$110)</f>
        <v>0.483246670103635</v>
      </c>
      <c r="I12004" s="21" t="n">
        <f aca="false">CHOOSE($C$11994,Assumptions!$I$72,Assumptions!$I$91,Assumptions!$I$110)</f>
        <v>0.481246670103635</v>
      </c>
      <c r="J12004" s="21" t="n">
        <f aca="false">CHOOSE($C$11994,Assumptions!$J$72,Assumptions!$J$91,Assumptions!$J$110)</f>
        <v>0.479246670103635</v>
      </c>
      <c r="K12004" s="21" t="n">
        <f aca="false">CHOOSE($C$11994,Assumptions!$K$72,Assumptions!$K$91,Assumptions!$K$110)</f>
        <v>0.477246670103635</v>
      </c>
    </row>
    <row r="12005" customFormat="false" ht="15" hidden="false" customHeight="false" outlineLevel="0" collapsed="false">
      <c r="A12005" s="3" t="s">
        <v>167</v>
      </c>
      <c r="G12005" s="21" t="n">
        <f aca="false">CHOOSE($C$11994,Assumptions!$G$73,Assumptions!$G$92,Assumptions!$G$111)+$C$11996</f>
        <v>0.14</v>
      </c>
      <c r="H12005" s="21" t="n">
        <f aca="false">CHOOSE($C$11994,Assumptions!$H$73,Assumptions!$H$92,Assumptions!$H$111)+$C$11996</f>
        <v>0.14</v>
      </c>
      <c r="I12005" s="21" t="n">
        <f aca="false">CHOOSE($C$11994,Assumptions!$I$73,Assumptions!$I$92,Assumptions!$I$111)+$C$11996</f>
        <v>0.138</v>
      </c>
      <c r="J12005" s="21" t="n">
        <f aca="false">CHOOSE($C$11994,Assumptions!$J$73,Assumptions!$J$92,Assumptions!$J$111)+$C$11996</f>
        <v>0.136</v>
      </c>
      <c r="K12005" s="21" t="n">
        <f aca="false">CHOOSE($C$11994,Assumptions!$K$73,Assumptions!$K$92,Assumptions!$K$111)+$C$11996</f>
        <v>0.134</v>
      </c>
    </row>
    <row r="12006" customFormat="false" ht="15" hidden="false" customHeight="false" outlineLevel="0" collapsed="false">
      <c r="A12006" s="23" t="s">
        <v>284</v>
      </c>
      <c r="B12006" s="24"/>
      <c r="C12006" s="24"/>
      <c r="D12006" s="24"/>
      <c r="E12006" s="24"/>
      <c r="F12006" s="24"/>
      <c r="G12006" s="24"/>
      <c r="H12006" s="24"/>
      <c r="I12006" s="24"/>
      <c r="J12006" s="24"/>
      <c r="K12006" s="24"/>
    </row>
    <row r="12007" customFormat="false" ht="15" hidden="false" customHeight="false" outlineLevel="0" collapsed="false">
      <c r="A12007" s="2" t="s">
        <v>256</v>
      </c>
      <c r="F12007" s="28" t="n">
        <f aca="false">'Historical Financials'!G23</f>
        <v>2246.166</v>
      </c>
      <c r="G12007" s="16" t="n">
        <f aca="false">F12007*(1+G12003)</f>
        <v>2145.08853</v>
      </c>
      <c r="H12007" s="16" t="n">
        <f aca="false">G12007*(1+H12003)</f>
        <v>2059.2849888</v>
      </c>
      <c r="I12007" s="16" t="n">
        <f aca="false">H12007*(1+I12003)</f>
        <v>1987.210014192</v>
      </c>
      <c r="J12007" s="16" t="n">
        <f aca="false">I12007*(1+J12003)</f>
        <v>1927.59371376624</v>
      </c>
      <c r="K12007" s="16" t="n">
        <f aca="false">J12007*(1+K12003)</f>
        <v>1869.76590235325</v>
      </c>
    </row>
    <row r="12008" customFormat="false" ht="15" hidden="false" customHeight="false" outlineLevel="0" collapsed="false">
      <c r="A12008" s="3" t="s">
        <v>257</v>
      </c>
      <c r="G12008" s="25" t="n">
        <f aca="false">G12007*(1-G12004)</f>
        <v>1108.4816408</v>
      </c>
      <c r="H12008" s="25" t="n">
        <f aca="false">H12007*(1-H12004)</f>
        <v>1064.142375168</v>
      </c>
      <c r="I12008" s="25" t="n">
        <f aca="false">I12007*(1-I12004)</f>
        <v>1030.8718120655</v>
      </c>
      <c r="J12008" s="25" t="n">
        <f aca="false">J12007*(1-J12004)</f>
        <v>1003.80084513107</v>
      </c>
      <c r="K12008" s="25" t="n">
        <f aca="false">K12007*(1-K12004)</f>
        <v>977.426351581845</v>
      </c>
    </row>
    <row r="12009" customFormat="false" ht="15" hidden="false" customHeight="false" outlineLevel="0" collapsed="false">
      <c r="A12009" s="2" t="s">
        <v>258</v>
      </c>
      <c r="G12009" s="16" t="n">
        <f aca="false">G12007-G12008</f>
        <v>1036.6068892</v>
      </c>
      <c r="H12009" s="16" t="n">
        <f aca="false">H12007-H12008</f>
        <v>995.142613632</v>
      </c>
      <c r="I12009" s="16" t="n">
        <f aca="false">I12007-I12008</f>
        <v>956.338202126496</v>
      </c>
      <c r="J12009" s="16" t="n">
        <f aca="false">J12007-J12008</f>
        <v>923.792868635169</v>
      </c>
      <c r="K12009" s="16" t="n">
        <f aca="false">K12007-K12008</f>
        <v>892.339550771407</v>
      </c>
    </row>
    <row r="12010" customFormat="false" ht="15" hidden="false" customHeight="false" outlineLevel="0" collapsed="false">
      <c r="A12010" s="3" t="s">
        <v>285</v>
      </c>
      <c r="G12010" s="25" t="n">
        <f aca="false">G12009-G12011</f>
        <v>736.294495</v>
      </c>
      <c r="H12010" s="25" t="n">
        <f aca="false">H12009-H12011</f>
        <v>706.8427152</v>
      </c>
      <c r="I12010" s="25" t="n">
        <f aca="false">I12009-I12011</f>
        <v>682.103220168</v>
      </c>
      <c r="J12010" s="25" t="n">
        <f aca="false">J12009-J12011</f>
        <v>661.64012356296</v>
      </c>
      <c r="K12010" s="25" t="n">
        <f aca="false">K12009-K12011</f>
        <v>641.790919856071</v>
      </c>
    </row>
    <row r="12011" customFormat="false" ht="15" hidden="false" customHeight="false" outlineLevel="0" collapsed="false">
      <c r="A12011" s="2" t="s">
        <v>286</v>
      </c>
      <c r="G12011" s="16" t="n">
        <f aca="false">G12007*G12005</f>
        <v>300.3123942</v>
      </c>
      <c r="H12011" s="16" t="n">
        <f aca="false">H12007*H12005</f>
        <v>288.299898432</v>
      </c>
      <c r="I12011" s="16" t="n">
        <f aca="false">I12007*I12005</f>
        <v>274.234981958496</v>
      </c>
      <c r="J12011" s="16" t="n">
        <f aca="false">J12007*J12005</f>
        <v>262.152745072209</v>
      </c>
      <c r="K12011" s="16" t="n">
        <f aca="false">K12007*K12005</f>
        <v>250.548630915336</v>
      </c>
    </row>
    <row r="12012" customFormat="false" ht="15" hidden="false" customHeight="false" outlineLevel="0" collapsed="false">
      <c r="A12012" s="3" t="s">
        <v>287</v>
      </c>
      <c r="G12012" s="25" t="n">
        <f aca="false">G12007*'Historical Financials'!G28/'Historical Financials'!G23</f>
        <v>81.45768</v>
      </c>
      <c r="H12012" s="25" t="n">
        <f aca="false">H12007*'Historical Financials'!G28/'Historical Financials'!G23</f>
        <v>78.1993728</v>
      </c>
      <c r="I12012" s="25" t="n">
        <f aca="false">I12007*'Historical Financials'!G28/'Historical Financials'!G23</f>
        <v>75.462394752</v>
      </c>
      <c r="J12012" s="25" t="n">
        <f aca="false">J12007*'Historical Financials'!G28/'Historical Financials'!G23</f>
        <v>73.19852290944</v>
      </c>
      <c r="K12012" s="25" t="n">
        <f aca="false">K12007*'Historical Financials'!G28/'Historical Financials'!G23</f>
        <v>71.0025672221568</v>
      </c>
    </row>
    <row r="12013" customFormat="false" ht="15" hidden="false" customHeight="false" outlineLevel="0" collapsed="false">
      <c r="A12013" s="3" t="s">
        <v>288</v>
      </c>
      <c r="G12013" s="25" t="n">
        <f aca="false">G12007*'Historical Financials'!G29/'Historical Financials'!G23</f>
        <v>23.25998</v>
      </c>
      <c r="H12013" s="25" t="n">
        <f aca="false">H12007*'Historical Financials'!G29/'Historical Financials'!G23</f>
        <v>22.3295808</v>
      </c>
      <c r="I12013" s="25" t="n">
        <f aca="false">I12007*'Historical Financials'!G29/'Historical Financials'!G23</f>
        <v>21.548045472</v>
      </c>
      <c r="J12013" s="25" t="n">
        <f aca="false">J12007*'Historical Financials'!G29/'Historical Financials'!G23</f>
        <v>20.90160410784</v>
      </c>
      <c r="K12013" s="25" t="n">
        <f aca="false">K12007*'Historical Financials'!G29/'Historical Financials'!G23</f>
        <v>20.2745559846048</v>
      </c>
    </row>
    <row r="12014" customFormat="false" ht="15" hidden="false" customHeight="false" outlineLevel="0" collapsed="false">
      <c r="A12014" s="2" t="s">
        <v>289</v>
      </c>
      <c r="G12014" s="16" t="n">
        <f aca="false">G12011-G12012-G12013</f>
        <v>195.5947342</v>
      </c>
      <c r="H12014" s="16" t="n">
        <f aca="false">H12011-H12012-H12013</f>
        <v>187.770944832</v>
      </c>
      <c r="I12014" s="16" t="n">
        <f aca="false">I12011-I12012-I12013</f>
        <v>177.224541734496</v>
      </c>
      <c r="J12014" s="16" t="n">
        <f aca="false">J12011-J12012-J12013</f>
        <v>168.052618054929</v>
      </c>
      <c r="K12014" s="16" t="n">
        <f aca="false">K12011-K12012-K12013</f>
        <v>159.271507708574</v>
      </c>
    </row>
    <row r="12015" customFormat="false" ht="15" hidden="false" customHeight="false" outlineLevel="0" collapsed="false">
      <c r="A12015" s="3" t="s">
        <v>290</v>
      </c>
      <c r="G12015" s="25" t="n">
        <f aca="false">G12041+G12054+G12067</f>
        <v>155.95467</v>
      </c>
      <c r="H12015" s="25" t="n">
        <f aca="false">H12041+H12054+H12067</f>
        <v>155.95467</v>
      </c>
      <c r="I12015" s="25" t="n">
        <f aca="false">I12041+I12054+I12067</f>
        <v>155.95467</v>
      </c>
      <c r="J12015" s="25" t="n">
        <f aca="false">J12041+J12054+J12067</f>
        <v>138.08529</v>
      </c>
      <c r="K12015" s="25" t="n">
        <f aca="false">K12041+K12054+K12067</f>
        <v>138.08529</v>
      </c>
    </row>
    <row r="12016" customFormat="false" ht="15" hidden="false" customHeight="false" outlineLevel="0" collapsed="false">
      <c r="A12016" s="3" t="s">
        <v>291</v>
      </c>
      <c r="G12016" s="25" t="n">
        <f aca="false">G12042+G12055+G12068</f>
        <v>0</v>
      </c>
      <c r="H12016" s="25" t="n">
        <f aca="false">H12042+H12055+H12068</f>
        <v>0</v>
      </c>
      <c r="I12016" s="25" t="n">
        <f aca="false">I12042+I12055+I12068</f>
        <v>0</v>
      </c>
      <c r="J12016" s="25" t="n">
        <f aca="false">J12042+J12055+J12068</f>
        <v>0</v>
      </c>
      <c r="K12016" s="25" t="n">
        <f aca="false">K12042+K12055+K12068</f>
        <v>0</v>
      </c>
    </row>
    <row r="12017" customFormat="false" ht="15" hidden="false" customHeight="false" outlineLevel="0" collapsed="false">
      <c r="A12017" s="3" t="s">
        <v>239</v>
      </c>
      <c r="G12017" s="25" t="n">
        <f aca="false">G12015+G12016</f>
        <v>155.95467</v>
      </c>
      <c r="H12017" s="25" t="n">
        <f aca="false">H12015+H12016</f>
        <v>155.95467</v>
      </c>
      <c r="I12017" s="25" t="n">
        <f aca="false">I12015+I12016</f>
        <v>155.95467</v>
      </c>
      <c r="J12017" s="25" t="n">
        <f aca="false">J12015+J12016</f>
        <v>138.08529</v>
      </c>
      <c r="K12017" s="25" t="n">
        <f aca="false">K12015+K12016</f>
        <v>138.08529</v>
      </c>
    </row>
    <row r="12018" customFormat="false" ht="15" hidden="false" customHeight="false" outlineLevel="0" collapsed="false">
      <c r="A12018" s="2" t="s">
        <v>264</v>
      </c>
      <c r="G12018" s="16" t="n">
        <f aca="false">G12014-G12017</f>
        <v>39.6400642</v>
      </c>
      <c r="H12018" s="16" t="n">
        <f aca="false">H12014-H12017</f>
        <v>31.816274832</v>
      </c>
      <c r="I12018" s="16" t="n">
        <f aca="false">I12014-I12017</f>
        <v>21.269871734496</v>
      </c>
      <c r="J12018" s="16" t="n">
        <f aca="false">J12014-J12017</f>
        <v>29.9673280549286</v>
      </c>
      <c r="K12018" s="16" t="n">
        <f aca="false">K12014-K12017</f>
        <v>21.1862177085742</v>
      </c>
    </row>
    <row r="12019" customFormat="false" ht="15" hidden="false" customHeight="false" outlineLevel="0" collapsed="false">
      <c r="A12019" s="3" t="s">
        <v>292</v>
      </c>
      <c r="G12019" s="25" t="n">
        <f aca="false">MAX(0,G12018)*Assumptions!$C$9</f>
        <v>9.91001604999999</v>
      </c>
      <c r="H12019" s="25" t="n">
        <f aca="false">MAX(0,H12018)*Assumptions!$C$9</f>
        <v>7.95406870799999</v>
      </c>
      <c r="I12019" s="25" t="n">
        <f aca="false">MAX(0,I12018)*Assumptions!$C$9</f>
        <v>5.317467933624</v>
      </c>
      <c r="J12019" s="25" t="n">
        <f aca="false">MAX(0,J12018)*Assumptions!$C$9</f>
        <v>7.49183201373215</v>
      </c>
      <c r="K12019" s="25" t="n">
        <f aca="false">MAX(0,K12018)*Assumptions!$C$9</f>
        <v>5.29655442714356</v>
      </c>
    </row>
    <row r="12020" customFormat="false" ht="15" hidden="false" customHeight="false" outlineLevel="0" collapsed="false">
      <c r="A12020" s="2" t="s">
        <v>293</v>
      </c>
      <c r="G12020" s="16" t="n">
        <f aca="false">G12018-G12019</f>
        <v>29.73004815</v>
      </c>
      <c r="H12020" s="16" t="n">
        <f aca="false">H12018-H12019</f>
        <v>23.862206124</v>
      </c>
      <c r="I12020" s="16" t="n">
        <f aca="false">I12018-I12019</f>
        <v>15.952403800872</v>
      </c>
      <c r="J12020" s="16" t="n">
        <f aca="false">J12018-J12019</f>
        <v>22.4754960411965</v>
      </c>
      <c r="K12020" s="16" t="n">
        <f aca="false">K12018-K12019</f>
        <v>15.8896632814307</v>
      </c>
    </row>
    <row r="12021" customFormat="false" ht="15" hidden="false" customHeight="false" outlineLevel="0" collapsed="false">
      <c r="A12021" s="23" t="s">
        <v>294</v>
      </c>
      <c r="B12021" s="24"/>
      <c r="C12021" s="24"/>
      <c r="D12021" s="24"/>
      <c r="E12021" s="24"/>
      <c r="F12021" s="24"/>
      <c r="G12021" s="24"/>
      <c r="H12021" s="24"/>
      <c r="I12021" s="24"/>
      <c r="J12021" s="24"/>
      <c r="K12021" s="24"/>
    </row>
    <row r="12022" customFormat="false" ht="15" hidden="false" customHeight="false" outlineLevel="0" collapsed="false">
      <c r="A12022" s="3" t="s">
        <v>169</v>
      </c>
      <c r="G12022" s="25" t="n">
        <f aca="false">G12007*CHOOSE($C$11994,Assumptions!$C$75,Assumptions!$C$94,Assumptions!$C$113)</f>
        <v>30.03123942</v>
      </c>
      <c r="H12022" s="25" t="n">
        <f aca="false">H12007*CHOOSE($C$11994,Assumptions!$C$75,Assumptions!$C$94,Assumptions!$C$113)</f>
        <v>28.8299898432</v>
      </c>
      <c r="I12022" s="25" t="n">
        <f aca="false">I12007*CHOOSE($C$11994,Assumptions!$C$75,Assumptions!$C$94,Assumptions!$C$113)</f>
        <v>27.820940198688</v>
      </c>
      <c r="J12022" s="25" t="n">
        <f aca="false">J12007*CHOOSE($C$11994,Assumptions!$C$75,Assumptions!$C$94,Assumptions!$C$113)</f>
        <v>26.9863119927274</v>
      </c>
      <c r="K12022" s="25" t="n">
        <f aca="false">K12007*CHOOSE($C$11994,Assumptions!$C$75,Assumptions!$C$94,Assumptions!$C$113)</f>
        <v>26.1767226329455</v>
      </c>
    </row>
    <row r="12023" customFormat="false" ht="15" hidden="false" customHeight="false" outlineLevel="0" collapsed="false">
      <c r="A12023" s="3" t="s">
        <v>295</v>
      </c>
      <c r="G12023" s="25" t="n">
        <f aca="false">CHOOSE($C$11994,Assumptions!$C$76,Assumptions!$C$95,Assumptions!$C$114)*(G12007-F12007)+CHOOSE($C$11994,Assumptions!$C$77,Assumptions!$C$96,Assumptions!$C$115)*G12007</f>
        <v>-21.4508853</v>
      </c>
      <c r="H12023" s="25" t="n">
        <f aca="false">CHOOSE($C$11994,Assumptions!$C$76,Assumptions!$C$95,Assumptions!$C$114)*(H12007-G12007)+CHOOSE($C$11994,Assumptions!$C$77,Assumptions!$C$96,Assumptions!$C$115)*H12007</f>
        <v>-20.592849888</v>
      </c>
      <c r="I12023" s="25" t="n">
        <f aca="false">CHOOSE($C$11994,Assumptions!$C$76,Assumptions!$C$95,Assumptions!$C$114)*(I12007-H12007)+CHOOSE($C$11994,Assumptions!$C$77,Assumptions!$C$96,Assumptions!$C$115)*I12007</f>
        <v>-19.87210014192</v>
      </c>
      <c r="J12023" s="25" t="n">
        <f aca="false">CHOOSE($C$11994,Assumptions!$C$76,Assumptions!$C$95,Assumptions!$C$114)*(J12007-I12007)+CHOOSE($C$11994,Assumptions!$C$77,Assumptions!$C$96,Assumptions!$C$115)*J12007</f>
        <v>-19.2759371376624</v>
      </c>
      <c r="K12023" s="25" t="n">
        <f aca="false">CHOOSE($C$11994,Assumptions!$C$76,Assumptions!$C$95,Assumptions!$C$114)*(K12007-J12007)+CHOOSE($C$11994,Assumptions!$C$77,Assumptions!$C$96,Assumptions!$C$115)*K12007</f>
        <v>-18.6976590235325</v>
      </c>
    </row>
    <row r="12024" customFormat="false" ht="15" hidden="false" customHeight="false" outlineLevel="0" collapsed="false">
      <c r="A12024" s="2" t="s">
        <v>296</v>
      </c>
      <c r="G12024" s="16" t="n">
        <f aca="false">G12020+G12012+G12013+G12016-G12022-G12023</f>
        <v>125.86735403</v>
      </c>
      <c r="H12024" s="16" t="n">
        <f aca="false">H12020+H12012+H12013+H12016-H12022-H12023</f>
        <v>116.1540197688</v>
      </c>
      <c r="I12024" s="16" t="n">
        <f aca="false">I12020+I12012+I12013+I12016-I12022-I12023</f>
        <v>105.014003968104</v>
      </c>
      <c r="J12024" s="16" t="n">
        <f aca="false">J12020+J12012+J12013+J12016-J12022-J12023</f>
        <v>108.865248203412</v>
      </c>
      <c r="K12024" s="16" t="n">
        <f aca="false">K12020+K12012+K12013+K12016-K12022-K12023</f>
        <v>99.6877228787792</v>
      </c>
    </row>
    <row r="12026" customFormat="false" ht="15" hidden="false" customHeight="false" outlineLevel="0" collapsed="false">
      <c r="A12026" s="23" t="s">
        <v>298</v>
      </c>
      <c r="B12026" s="24"/>
      <c r="C12026" s="24"/>
      <c r="D12026" s="24"/>
      <c r="E12026" s="24"/>
      <c r="F12026" s="24"/>
      <c r="G12026" s="24"/>
      <c r="H12026" s="24"/>
      <c r="I12026" s="24"/>
      <c r="J12026" s="24"/>
      <c r="K12026" s="24"/>
    </row>
    <row r="12027" customFormat="false" ht="15" hidden="false" customHeight="false" outlineLevel="0" collapsed="false">
      <c r="A12027" s="3" t="s">
        <v>299</v>
      </c>
      <c r="G12027" s="30" t="n">
        <f aca="false">Assumptions!$G$52</f>
        <v>0.039</v>
      </c>
      <c r="H12027" s="30" t="n">
        <f aca="false">Assumptions!$H$52</f>
        <v>0.0375</v>
      </c>
      <c r="I12027" s="30" t="n">
        <f aca="false">Assumptions!$I$52</f>
        <v>0.035</v>
      </c>
      <c r="J12027" s="30" t="n">
        <f aca="false">Assumptions!$J$52</f>
        <v>0.035</v>
      </c>
      <c r="K12027" s="30" t="n">
        <f aca="false">Assumptions!$K$52</f>
        <v>0.035</v>
      </c>
    </row>
    <row r="12028" customFormat="false" ht="15" hidden="false" customHeight="false" outlineLevel="0" collapsed="false">
      <c r="A12028" s="3" t="s">
        <v>300</v>
      </c>
      <c r="C12028" s="31" t="n">
        <f aca="false">CHOOSE($C$11994,Assumptions!$C$78,Assumptions!$C$97,Assumptions!$C$116)+$C$11997</f>
        <v>0.02</v>
      </c>
    </row>
    <row r="12029" customFormat="false" ht="15" hidden="false" customHeight="false" outlineLevel="0" collapsed="false">
      <c r="A12029" s="3" t="s">
        <v>301</v>
      </c>
      <c r="C12029" s="31" t="n">
        <f aca="false">CHOOSE($C$11994,Assumptions!$C$79,Assumptions!$C$98,Assumptions!$C$117)</f>
        <v>0.11</v>
      </c>
    </row>
    <row r="12030" customFormat="false" ht="15" hidden="false" customHeight="false" outlineLevel="0" collapsed="false">
      <c r="A12030" s="3" t="s">
        <v>302</v>
      </c>
      <c r="C12030" s="32" t="n">
        <f aca="false">CHOOSE($C$11994,Assumptions!$C$80,Assumptions!$C$99,Assumptions!$C$118)</f>
        <v>6</v>
      </c>
    </row>
    <row r="12031" customFormat="false" ht="15" hidden="false" customHeight="false" outlineLevel="0" collapsed="false">
      <c r="A12031" s="3" t="s">
        <v>303</v>
      </c>
      <c r="C12031" s="32" t="n">
        <f aca="false">CHOOSE($C$11994,Assumptions!$C$81,Assumptions!$C$100,Assumptions!$C$119)</f>
        <v>1.25</v>
      </c>
    </row>
    <row r="12032" customFormat="false" ht="15" hidden="false" customHeight="false" outlineLevel="0" collapsed="false">
      <c r="A12032" s="3" t="s">
        <v>304</v>
      </c>
      <c r="G12032" s="25" t="n">
        <f aca="false">G12037+G12050+G12063</f>
        <v>1735.554</v>
      </c>
      <c r="H12032" s="25" t="n">
        <f aca="false">H12037+H12050+H12063</f>
        <v>1735.554</v>
      </c>
      <c r="I12032" s="25" t="n">
        <f aca="false">I12037+I12050+I12063</f>
        <v>1735.554</v>
      </c>
      <c r="J12032" s="25" t="n">
        <f aca="false">J12037+J12050+J12063</f>
        <v>1315.098</v>
      </c>
      <c r="K12032" s="25" t="n">
        <f aca="false">K12037+K12050+K12063</f>
        <v>1315.098</v>
      </c>
    </row>
    <row r="12033" customFormat="false" ht="15" hidden="false" customHeight="false" outlineLevel="0" collapsed="false">
      <c r="A12033" s="3" t="s">
        <v>305</v>
      </c>
      <c r="G12033" s="25" t="n">
        <f aca="false">F12106</f>
        <v>463.996</v>
      </c>
      <c r="H12033" s="25" t="n">
        <f aca="false">G12106</f>
        <v>589.86335403</v>
      </c>
      <c r="I12033" s="25" t="n">
        <f aca="false">H12106</f>
        <v>706.0173737988</v>
      </c>
      <c r="J12033" s="25" t="n">
        <f aca="false">I12106</f>
        <v>390.575377766904</v>
      </c>
      <c r="K12033" s="25" t="n">
        <f aca="false">J12106</f>
        <v>499.440625970316</v>
      </c>
    </row>
    <row r="12034" customFormat="false" ht="15" hidden="false" customHeight="false" outlineLevel="0" collapsed="false">
      <c r="A12034" s="3" t="s">
        <v>306</v>
      </c>
      <c r="G12034" s="25" t="n">
        <f aca="false">G12037*IF(G12038=1,$C$12029,IF(Assumptions!$I$56=1,MAX(G12027,Assumptions!$G$56)+Assumptions!$F$56+$C$12028,Assumptions!$E$56))+G12050*IF(G12051=1,$C$12029,IF(Assumptions!$I$57=1,MAX(G12027,Assumptions!$G$57)+Assumptions!$F$57+$C$12028,Assumptions!$E$57))+G12063*IF(G12064=1,$C$12029,IF(Assumptions!$I$58=1,MAX(G12027,Assumptions!$G$58)+Assumptions!$F$58+$C$12028,Assumptions!$E$58))</f>
        <v>155.95467</v>
      </c>
      <c r="H12034" s="25" t="n">
        <f aca="false">H12037*IF(OR(H12038=1,G12184=1),$C$12029,IF(Assumptions!$I$56=1,MAX(H12027,Assumptions!$G$56)+Assumptions!$F$56+$C$12028,Assumptions!$E$56))+H12050*IF(OR(H12051=1,G12185=1),$C$12029,IF(Assumptions!$I$57=1,MAX(H12027,Assumptions!$G$57)+Assumptions!$F$57+$C$12028,Assumptions!$E$57))+H12063*IF(OR(H12064=1,G12186=1),$C$12029,IF(Assumptions!$I$58=1,MAX(H12027,Assumptions!$G$58)+Assumptions!$F$58+$C$12028,Assumptions!$E$58))</f>
        <v>155.95467</v>
      </c>
      <c r="I12034" s="25" t="n">
        <f aca="false">I12037*IF(OR(I12038=1,H12184=1),$C$12029,IF(Assumptions!$I$56=1,MAX(I12027,Assumptions!$G$56)+Assumptions!$F$56+$C$12028,Assumptions!$E$56))+I12050*IF(OR(I12051=1,H12185=1),$C$12029,IF(Assumptions!$I$57=1,MAX(I12027,Assumptions!$G$57)+Assumptions!$F$57+$C$12028,Assumptions!$E$57))+I12063*IF(OR(I12064=1,H12186=1),$C$12029,IF(Assumptions!$I$58=1,MAX(I12027,Assumptions!$G$58)+Assumptions!$F$58+$C$12028,Assumptions!$E$58))</f>
        <v>184.33545</v>
      </c>
      <c r="J12034" s="25" t="n">
        <f aca="false">J12037*IF(OR(J12038=1,I12184=1),$C$12029,IF(Assumptions!$I$56=1,MAX(J12027,Assumptions!$G$56)+Assumptions!$F$56+$C$12028,Assumptions!$E$56))+J12050*IF(OR(J12051=1,I12185=1),$C$12029,IF(Assumptions!$I$57=1,MAX(J12027,Assumptions!$G$57)+Assumptions!$F$57+$C$12028,Assumptions!$E$57))+J12063*IF(OR(J12064=1,I12186=1),$C$12029,IF(Assumptions!$I$58=1,MAX(J12027,Assumptions!$G$58)+Assumptions!$F$58+$C$12028,Assumptions!$E$58))</f>
        <v>138.08529</v>
      </c>
      <c r="K12034" s="25" t="n">
        <f aca="false">K12037*IF(OR(K12038=1,J12184=1),$C$12029,IF(Assumptions!$I$56=1,MAX(K12027,Assumptions!$G$56)+Assumptions!$F$56+$C$12028,Assumptions!$E$56))+K12050*IF(OR(K12051=1,J12185=1),$C$12029,IF(Assumptions!$I$57=1,MAX(K12027,Assumptions!$G$57)+Assumptions!$F$57+$C$12028,Assumptions!$E$57))+K12063*IF(OR(K12064=1,J12186=1),$C$12029,IF(Assumptions!$I$58=1,MAX(K12027,Assumptions!$G$58)+Assumptions!$F$58+$C$12028,Assumptions!$E$58))</f>
        <v>138.08529</v>
      </c>
    </row>
    <row r="12035" customFormat="false" ht="15" hidden="false" customHeight="false" outlineLevel="0" collapsed="false">
      <c r="A12035" s="3" t="s">
        <v>307</v>
      </c>
      <c r="G12035" s="20" t="n">
        <f aca="false">IF(G12011&lt;=0,0,IF(AND((G12032-G12033)/G12011&lt;=$C$12030,G12011/G12034&gt;=$C$12031),1,0))</f>
        <v>1</v>
      </c>
      <c r="H12035" s="20" t="n">
        <f aca="false">IF(H12011&lt;=0,0,IF(AND((H12032-H12033)/H12011&lt;=$C$12030,H12011/H12034&gt;=$C$12031),1,0))</f>
        <v>1</v>
      </c>
      <c r="I12035" s="20" t="n">
        <f aca="false">IF(I12011&lt;=0,0,IF(AND((I12032-I12033)/I12011&lt;=$C$12030,I12011/I12034&gt;=$C$12031),1,0))</f>
        <v>1</v>
      </c>
      <c r="J12035" s="20" t="n">
        <f aca="false">IF(J12011&lt;=0,0,IF(AND((J12032-J12033)/J12011&lt;=$C$12030,J12011/J12034&gt;=$C$12031),1,0))</f>
        <v>1</v>
      </c>
      <c r="K12035" s="20" t="n">
        <f aca="false">IF(K12011&lt;=0,0,IF(AND((K12032-K12033)/K12011&lt;=$C$12030,K12011/K12034&gt;=$C$12031),1,0))</f>
        <v>1</v>
      </c>
    </row>
    <row r="12036" customFormat="false" ht="15" hidden="false" customHeight="false" outlineLevel="0" collapsed="false">
      <c r="A12036" s="23" t="s">
        <v>308</v>
      </c>
      <c r="B12036" s="24"/>
      <c r="C12036" s="24"/>
      <c r="D12036" s="24"/>
      <c r="E12036" s="24"/>
      <c r="F12036" s="24"/>
      <c r="G12036" s="24"/>
      <c r="H12036" s="24"/>
      <c r="I12036" s="24"/>
      <c r="J12036" s="24"/>
      <c r="K12036" s="24"/>
    </row>
    <row r="12037" customFormat="false" ht="15" hidden="false" customHeight="false" outlineLevel="0" collapsed="false">
      <c r="A12037" s="3" t="s">
        <v>309</v>
      </c>
      <c r="G12037" s="25" t="n">
        <f aca="false">F12048</f>
        <v>1315.098</v>
      </c>
      <c r="H12037" s="25" t="n">
        <f aca="false">G12048</f>
        <v>1315.098</v>
      </c>
      <c r="I12037" s="25" t="n">
        <f aca="false">H12048</f>
        <v>1315.098</v>
      </c>
      <c r="J12037" s="25" t="n">
        <f aca="false">I12048</f>
        <v>1315.098</v>
      </c>
      <c r="K12037" s="25" t="n">
        <f aca="false">J12048</f>
        <v>1315.098</v>
      </c>
    </row>
    <row r="12038" customFormat="false" ht="15" hidden="false" customHeight="false" outlineLevel="0" collapsed="false">
      <c r="A12038" s="3" t="s">
        <v>310</v>
      </c>
      <c r="G12038" s="20" t="n">
        <f aca="false">IF(G12001=Assumptions!$K$56,1,0)</f>
        <v>0</v>
      </c>
      <c r="H12038" s="20" t="n">
        <f aca="false">IF(H12001=Assumptions!$K$56,1,0)</f>
        <v>0</v>
      </c>
      <c r="I12038" s="20" t="n">
        <f aca="false">IF(I12001=Assumptions!$K$56,1,0)</f>
        <v>0</v>
      </c>
      <c r="J12038" s="20" t="n">
        <f aca="false">IF(J12001=Assumptions!$K$56,1,0)</f>
        <v>0</v>
      </c>
      <c r="K12038" s="20" t="n">
        <f aca="false">IF(K12001=Assumptions!$K$56,1,0)</f>
        <v>0</v>
      </c>
    </row>
    <row r="12040" customFormat="false" ht="15" hidden="false" customHeight="false" outlineLevel="0" collapsed="false">
      <c r="A12040" s="3" t="s">
        <v>311</v>
      </c>
      <c r="G12040" s="31" t="n">
        <f aca="false">IF(Assumptions!$I$56=1,MAX(G12027,Assumptions!$G$56)+Assumptions!$F$56+$C$12028,Assumptions!$E$56)</f>
        <v>0.105</v>
      </c>
      <c r="H12040" s="31" t="n">
        <f aca="false">IF(G12184=1,$C$12029,IF(Assumptions!$I$56=1,MAX(H12027,Assumptions!$G$56)+Assumptions!$F$56+$C$12028,Assumptions!$E$56))</f>
        <v>0.105</v>
      </c>
      <c r="I12040" s="31" t="n">
        <f aca="false">IF(H12184=1,$C$12029,IF(Assumptions!$I$56=1,MAX(I12027,Assumptions!$G$56)+Assumptions!$F$56+$C$12028,Assumptions!$E$56))</f>
        <v>0.105</v>
      </c>
      <c r="J12040" s="31" t="n">
        <f aca="false">IF(I12184=1,$C$12029,IF(Assumptions!$I$56=1,MAX(J12027,Assumptions!$G$56)+Assumptions!$F$56+$C$12028,Assumptions!$E$56))</f>
        <v>0.105</v>
      </c>
      <c r="K12040" s="31" t="n">
        <f aca="false">IF(J12184=1,$C$12029,IF(Assumptions!$I$56=1,MAX(K12027,Assumptions!$G$56)+Assumptions!$F$56+$C$12028,Assumptions!$E$56))</f>
        <v>0.105</v>
      </c>
    </row>
    <row r="12041" customFormat="false" ht="15" hidden="false" customHeight="false" outlineLevel="0" collapsed="false">
      <c r="A12041" s="3" t="s">
        <v>312</v>
      </c>
      <c r="G12041" s="25" t="n">
        <f aca="false">G12037*G12040</f>
        <v>138.08529</v>
      </c>
      <c r="H12041" s="25" t="n">
        <f aca="false">H12037*H12040</f>
        <v>138.08529</v>
      </c>
      <c r="I12041" s="25" t="n">
        <f aca="false">I12037*I12040</f>
        <v>138.08529</v>
      </c>
      <c r="J12041" s="25" t="n">
        <f aca="false">J12037*J12040</f>
        <v>138.08529</v>
      </c>
      <c r="K12041" s="25" t="n">
        <f aca="false">K12037*K12040</f>
        <v>138.08529</v>
      </c>
    </row>
    <row r="12042" customFormat="false" ht="15" hidden="false" customHeight="false" outlineLevel="0" collapsed="false">
      <c r="A12042" s="3" t="s">
        <v>313</v>
      </c>
      <c r="G12042" s="25" t="n">
        <f aca="false">G12037*Assumptions!$H$56</f>
        <v>0</v>
      </c>
      <c r="H12042" s="25" t="n">
        <f aca="false">H12037*Assumptions!$H$56</f>
        <v>0</v>
      </c>
      <c r="I12042" s="25" t="n">
        <f aca="false">I12037*Assumptions!$H$56</f>
        <v>0</v>
      </c>
      <c r="J12042" s="25" t="n">
        <f aca="false">J12037*Assumptions!$H$56</f>
        <v>0</v>
      </c>
      <c r="K12042" s="25" t="n">
        <f aca="false">K12037*Assumptions!$H$56</f>
        <v>0</v>
      </c>
    </row>
    <row r="12043" customFormat="false" ht="15" hidden="false" customHeight="false" outlineLevel="0" collapsed="false">
      <c r="A12043" s="3" t="s">
        <v>314</v>
      </c>
      <c r="G12043" s="25" t="n">
        <f aca="false">MIN(G12037,Assumptions!$L$56*Assumptions!$C$56)</f>
        <v>0</v>
      </c>
      <c r="H12043" s="25" t="n">
        <f aca="false">MIN(H12037,Assumptions!$L$56*Assumptions!$C$56)</f>
        <v>0</v>
      </c>
      <c r="I12043" s="25" t="n">
        <f aca="false">MIN(I12037,Assumptions!$L$56*Assumptions!$C$56)</f>
        <v>0</v>
      </c>
      <c r="J12043" s="25" t="n">
        <f aca="false">MIN(J12037,Assumptions!$L$56*Assumptions!$C$56)</f>
        <v>0</v>
      </c>
      <c r="K12043" s="25" t="n">
        <f aca="false">MIN(K12037,Assumptions!$L$56*Assumptions!$C$56)</f>
        <v>0</v>
      </c>
    </row>
    <row r="12044" customFormat="false" ht="15" hidden="false" customHeight="false" outlineLevel="0" collapsed="false">
      <c r="A12044" s="3" t="s">
        <v>315</v>
      </c>
      <c r="G12044" s="25" t="n">
        <f aca="false">IF(AND(Assumptions!$P$56=1,G12001&lt;Assumptions!$K$56),MIN(MAX(0,-G12098),MAX(0,Assumptions!$D$56-G12037)),0)</f>
        <v>0</v>
      </c>
      <c r="H12044" s="25" t="n">
        <f aca="false">IF(AND(Assumptions!$P$56=1,OR(H12001&lt;Assumptions!$K$56,G12184=1)),MIN(MAX(0,-H12098),MAX(0,Assumptions!$D$56-H12037)),0)</f>
        <v>0</v>
      </c>
      <c r="I12044" s="25" t="n">
        <f aca="false">IF(AND(Assumptions!$P$56=1,OR(I12001&lt;Assumptions!$K$56,H12184=1)),MIN(MAX(0,-I12098),MAX(0,Assumptions!$D$56-I12037)),0)</f>
        <v>0</v>
      </c>
      <c r="J12044" s="25" t="n">
        <f aca="false">IF(AND(Assumptions!$P$56=1,OR(J12001&lt;Assumptions!$K$56,I12184=1)),MIN(MAX(0,-J12098),MAX(0,Assumptions!$D$56-J12037)),0)</f>
        <v>0</v>
      </c>
      <c r="K12044" s="25" t="n">
        <f aca="false">IF(AND(Assumptions!$P$56=1,OR(K12001&lt;Assumptions!$K$56,J12184=1)),MIN(MAX(0,-K12098),MAX(0,Assumptions!$D$56-K12037)),0)</f>
        <v>0</v>
      </c>
    </row>
    <row r="12045" customFormat="false" ht="15" hidden="false" customHeight="false" outlineLevel="0" collapsed="false">
      <c r="A12045" s="3" t="s">
        <v>316</v>
      </c>
      <c r="G12045" s="25" t="n">
        <f aca="false">G12038*MIN(G12037-G12043+G12042,MAX(0,G12100-Assumptions!$C$12*G12035))</f>
        <v>0</v>
      </c>
      <c r="H12045" s="25" t="n">
        <f aca="false">H12038*MIN(H12037-H12043+H12042,MAX(0,H12100-Assumptions!$C$12*H12035))</f>
        <v>0</v>
      </c>
      <c r="I12045" s="25" t="n">
        <f aca="false">I12038*MIN(I12037-I12043+I12042,MAX(0,I12100-Assumptions!$C$12*I12035))</f>
        <v>0</v>
      </c>
      <c r="J12045" s="25" t="n">
        <f aca="false">J12038*MIN(J12037-J12043+J12042,MAX(0,J12100-Assumptions!$C$12*J12035))</f>
        <v>0</v>
      </c>
      <c r="K12045" s="25" t="n">
        <f aca="false">K12038*MIN(K12037-K12043+K12042,MAX(0,K12100-Assumptions!$C$12*K12035))</f>
        <v>0</v>
      </c>
    </row>
    <row r="12046" customFormat="false" ht="15" hidden="false" customHeight="false" outlineLevel="0" collapsed="false">
      <c r="A12046" s="3" t="s">
        <v>317</v>
      </c>
      <c r="G12046" s="25" t="n">
        <f aca="false">Assumptions!$N$56*MIN(G12037+G12044+G12042-G12043-G12045,MAX(0,G12104))</f>
        <v>0</v>
      </c>
      <c r="H12046" s="25" t="n">
        <f aca="false">Assumptions!$N$56*MIN(H12037+H12044+H12042-H12043-H12045,MAX(0,H12104))</f>
        <v>0</v>
      </c>
      <c r="I12046" s="25" t="n">
        <f aca="false">Assumptions!$N$56*MIN(I12037+I12044+I12042-I12043-I12045,MAX(0,I12104))</f>
        <v>0</v>
      </c>
      <c r="J12046" s="25" t="n">
        <f aca="false">Assumptions!$N$56*MIN(J12037+J12044+J12042-J12043-J12045,MAX(0,J12104))</f>
        <v>0</v>
      </c>
      <c r="K12046" s="25" t="n">
        <f aca="false">Assumptions!$N$56*MIN(K12037+K12044+K12042-K12043-K12045,MAX(0,K12104))</f>
        <v>0</v>
      </c>
    </row>
    <row r="12047" customFormat="false" ht="15" hidden="false" customHeight="false" outlineLevel="0" collapsed="false">
      <c r="A12047" s="3" t="s">
        <v>318</v>
      </c>
      <c r="G12047" s="25" t="n">
        <f aca="false">G12038*(1-G12035)*(G12037-G12043+G12042-G12045)</f>
        <v>0</v>
      </c>
      <c r="H12047" s="25" t="n">
        <f aca="false">H12038*(1-H12035)*(H12037-H12043+H12042-H12045)</f>
        <v>0</v>
      </c>
      <c r="I12047" s="25" t="n">
        <f aca="false">I12038*(1-I12035)*(I12037-I12043+I12042-I12045)</f>
        <v>0</v>
      </c>
      <c r="J12047" s="25" t="n">
        <f aca="false">J12038*(1-J12035)*(J12037-J12043+J12042-J12045)</f>
        <v>0</v>
      </c>
      <c r="K12047" s="25" t="n">
        <f aca="false">K12038*(1-K12035)*(K12037-K12043+K12042-K12045)</f>
        <v>0</v>
      </c>
    </row>
    <row r="12048" customFormat="false" ht="15" hidden="false" customHeight="false" outlineLevel="0" collapsed="false">
      <c r="A12048" s="2" t="s">
        <v>319</v>
      </c>
      <c r="F12048" s="28" t="n">
        <f aca="false">Assumptions!$C$56</f>
        <v>1315.098</v>
      </c>
      <c r="G12048" s="16" t="n">
        <f aca="false">G12037+G12044+G12042-G12043-G12045-G12046</f>
        <v>1315.098</v>
      </c>
      <c r="H12048" s="16" t="n">
        <f aca="false">H12037+H12044+H12042-H12043-H12045-H12046</f>
        <v>1315.098</v>
      </c>
      <c r="I12048" s="16" t="n">
        <f aca="false">I12037+I12044+I12042-I12043-I12045-I12046</f>
        <v>1315.098</v>
      </c>
      <c r="J12048" s="16" t="n">
        <f aca="false">J12037+J12044+J12042-J12043-J12045-J12046</f>
        <v>1315.098</v>
      </c>
      <c r="K12048" s="16" t="n">
        <f aca="false">K12037+K12044+K12042-K12043-K12045-K12046</f>
        <v>1315.098</v>
      </c>
    </row>
    <row r="12049" customFormat="false" ht="15" hidden="false" customHeight="false" outlineLevel="0" collapsed="false">
      <c r="A12049" s="23" t="s">
        <v>320</v>
      </c>
      <c r="B12049" s="24"/>
      <c r="C12049" s="24"/>
      <c r="D12049" s="24"/>
      <c r="E12049" s="24"/>
      <c r="F12049" s="24"/>
      <c r="G12049" s="24"/>
      <c r="H12049" s="24"/>
      <c r="I12049" s="24"/>
      <c r="J12049" s="24"/>
      <c r="K12049" s="24"/>
    </row>
    <row r="12050" customFormat="false" ht="15" hidden="false" customHeight="false" outlineLevel="0" collapsed="false">
      <c r="A12050" s="3" t="s">
        <v>309</v>
      </c>
      <c r="G12050" s="25" t="n">
        <f aca="false">F12061</f>
        <v>276.706</v>
      </c>
      <c r="H12050" s="25" t="n">
        <f aca="false">G12061</f>
        <v>276.706</v>
      </c>
      <c r="I12050" s="25" t="n">
        <f aca="false">H12061</f>
        <v>276.706</v>
      </c>
      <c r="J12050" s="25" t="n">
        <f aca="false">I12061</f>
        <v>0</v>
      </c>
      <c r="K12050" s="25" t="n">
        <f aca="false">J12061</f>
        <v>0</v>
      </c>
    </row>
    <row r="12051" customFormat="false" ht="15" hidden="false" customHeight="false" outlineLevel="0" collapsed="false">
      <c r="A12051" s="3" t="s">
        <v>310</v>
      </c>
      <c r="G12051" s="20" t="n">
        <f aca="false">IF(G12001=Assumptions!$K$57,1,0)</f>
        <v>0</v>
      </c>
      <c r="H12051" s="20" t="n">
        <f aca="false">IF(H12001=Assumptions!$K$57,1,0)</f>
        <v>0</v>
      </c>
      <c r="I12051" s="20" t="n">
        <f aca="false">IF(I12001=Assumptions!$K$57,1,0)</f>
        <v>1</v>
      </c>
      <c r="J12051" s="20" t="n">
        <f aca="false">IF(J12001=Assumptions!$K$57,1,0)</f>
        <v>0</v>
      </c>
      <c r="K12051" s="20" t="n">
        <f aca="false">IF(K12001=Assumptions!$K$57,1,0)</f>
        <v>0</v>
      </c>
    </row>
    <row r="12053" customFormat="false" ht="15" hidden="false" customHeight="false" outlineLevel="0" collapsed="false">
      <c r="A12053" s="3" t="s">
        <v>311</v>
      </c>
      <c r="G12053" s="31" t="n">
        <f aca="false">IF(Assumptions!$I$57=1,MAX(G12027,Assumptions!$G$57)+Assumptions!$F$57+$C$12028,Assumptions!$E$57)</f>
        <v>0.0425</v>
      </c>
      <c r="H12053" s="31" t="n">
        <f aca="false">IF(G12185=1,$C$12029,IF(Assumptions!$I$57=1,MAX(H12027,Assumptions!$G$57)+Assumptions!$F$57+$C$12028,Assumptions!$E$57))</f>
        <v>0.0425</v>
      </c>
      <c r="I12053" s="31" t="n">
        <f aca="false">IF(H12185=1,$C$12029,IF(Assumptions!$I$57=1,MAX(I12027,Assumptions!$G$57)+Assumptions!$F$57+$C$12028,Assumptions!$E$57))</f>
        <v>0.0425</v>
      </c>
      <c r="J12053" s="31" t="n">
        <f aca="false">IF(I12185=1,$C$12029,IF(Assumptions!$I$57=1,MAX(J12027,Assumptions!$G$57)+Assumptions!$F$57+$C$12028,Assumptions!$E$57))</f>
        <v>0.11</v>
      </c>
      <c r="K12053" s="31" t="n">
        <f aca="false">IF(J12185=1,$C$12029,IF(Assumptions!$I$57=1,MAX(K12027,Assumptions!$G$57)+Assumptions!$F$57+$C$12028,Assumptions!$E$57))</f>
        <v>0.11</v>
      </c>
    </row>
    <row r="12054" customFormat="false" ht="15" hidden="false" customHeight="false" outlineLevel="0" collapsed="false">
      <c r="A12054" s="3" t="s">
        <v>312</v>
      </c>
      <c r="G12054" s="25" t="n">
        <f aca="false">G12050*G12053</f>
        <v>11.760005</v>
      </c>
      <c r="H12054" s="25" t="n">
        <f aca="false">H12050*H12053</f>
        <v>11.760005</v>
      </c>
      <c r="I12054" s="25" t="n">
        <f aca="false">I12050*I12053</f>
        <v>11.760005</v>
      </c>
      <c r="J12054" s="25" t="n">
        <f aca="false">J12050*J12053</f>
        <v>0</v>
      </c>
      <c r="K12054" s="25" t="n">
        <f aca="false">K12050*K12053</f>
        <v>0</v>
      </c>
    </row>
    <row r="12055" customFormat="false" ht="15" hidden="false" customHeight="false" outlineLevel="0" collapsed="false">
      <c r="A12055" s="3" t="s">
        <v>313</v>
      </c>
      <c r="G12055" s="25" t="n">
        <f aca="false">G12050*Assumptions!$H$57</f>
        <v>0</v>
      </c>
      <c r="H12055" s="25" t="n">
        <f aca="false">H12050*Assumptions!$H$57</f>
        <v>0</v>
      </c>
      <c r="I12055" s="25" t="n">
        <f aca="false">I12050*Assumptions!$H$57</f>
        <v>0</v>
      </c>
      <c r="J12055" s="25" t="n">
        <f aca="false">J12050*Assumptions!$H$57</f>
        <v>0</v>
      </c>
      <c r="K12055" s="25" t="n">
        <f aca="false">K12050*Assumptions!$H$57</f>
        <v>0</v>
      </c>
    </row>
    <row r="12056" customFormat="false" ht="15" hidden="false" customHeight="false" outlineLevel="0" collapsed="false">
      <c r="A12056" s="3" t="s">
        <v>314</v>
      </c>
      <c r="G12056" s="25" t="n">
        <f aca="false">MIN(G12050,Assumptions!$L$57*Assumptions!$C$57)</f>
        <v>0</v>
      </c>
      <c r="H12056" s="25" t="n">
        <f aca="false">MIN(H12050,Assumptions!$L$57*Assumptions!$C$57)</f>
        <v>0</v>
      </c>
      <c r="I12056" s="25" t="n">
        <f aca="false">MIN(I12050,Assumptions!$L$57*Assumptions!$C$57)</f>
        <v>0</v>
      </c>
      <c r="J12056" s="25" t="n">
        <f aca="false">MIN(J12050,Assumptions!$L$57*Assumptions!$C$57)</f>
        <v>0</v>
      </c>
      <c r="K12056" s="25" t="n">
        <f aca="false">MIN(K12050,Assumptions!$L$57*Assumptions!$C$57)</f>
        <v>0</v>
      </c>
    </row>
    <row r="12057" customFormat="false" ht="15" hidden="false" customHeight="false" outlineLevel="0" collapsed="false">
      <c r="A12057" s="3" t="s">
        <v>315</v>
      </c>
      <c r="G12057" s="25" t="n">
        <f aca="false">IF(AND(Assumptions!$P$57=1,G12001&lt;Assumptions!$K$57),MIN(MAX(0,-G12098),MAX(0,Assumptions!$D$57-G12050)),0)</f>
        <v>0</v>
      </c>
      <c r="H12057" s="25" t="n">
        <f aca="false">IF(AND(Assumptions!$P$57=1,OR(H12001&lt;Assumptions!$K$57,G12185=1)),MIN(MAX(0,-H12098),MAX(0,Assumptions!$D$57-H12050)),0)</f>
        <v>0</v>
      </c>
      <c r="I12057" s="25" t="n">
        <f aca="false">IF(AND(Assumptions!$P$57=1,OR(I12001&lt;Assumptions!$K$57,H12185=1)),MIN(MAX(0,-I12098),MAX(0,Assumptions!$D$57-I12050)),0)</f>
        <v>0</v>
      </c>
      <c r="J12057" s="25" t="n">
        <f aca="false">IF(AND(Assumptions!$P$57=1,OR(J12001&lt;Assumptions!$K$57,I12185=1)),MIN(MAX(0,-J12098),MAX(0,Assumptions!$D$57-J12050)),0)</f>
        <v>0</v>
      </c>
      <c r="K12057" s="25" t="n">
        <f aca="false">IF(AND(Assumptions!$P$57=1,OR(K12001&lt;Assumptions!$K$57,J12185=1)),MIN(MAX(0,-K12098),MAX(0,Assumptions!$D$57-K12050)),0)</f>
        <v>0</v>
      </c>
    </row>
    <row r="12058" customFormat="false" ht="15" hidden="false" customHeight="false" outlineLevel="0" collapsed="false">
      <c r="A12058" s="3" t="s">
        <v>316</v>
      </c>
      <c r="G12058" s="25" t="n">
        <f aca="false">G12051*MIN(G12050-G12056+G12055,MAX(0,G12100-Assumptions!$C$12*G12035-G12045))</f>
        <v>0</v>
      </c>
      <c r="H12058" s="25" t="n">
        <f aca="false">H12051*MIN(H12050-H12056+H12055,MAX(0,H12100-Assumptions!$C$12*H12035-H12045))</f>
        <v>0</v>
      </c>
      <c r="I12058" s="25" t="n">
        <f aca="false">I12051*MIN(I12050-I12056+I12055,MAX(0,I12100-Assumptions!$C$12*I12035-I12045))</f>
        <v>276.706</v>
      </c>
      <c r="J12058" s="25" t="n">
        <f aca="false">J12051*MIN(J12050-J12056+J12055,MAX(0,J12100-Assumptions!$C$12*J12035-J12045))</f>
        <v>0</v>
      </c>
      <c r="K12058" s="25" t="n">
        <f aca="false">K12051*MIN(K12050-K12056+K12055,MAX(0,K12100-Assumptions!$C$12*K12035-K12045))</f>
        <v>0</v>
      </c>
    </row>
    <row r="12059" customFormat="false" ht="15" hidden="false" customHeight="false" outlineLevel="0" collapsed="false">
      <c r="A12059" s="3" t="s">
        <v>317</v>
      </c>
      <c r="G12059" s="25" t="n">
        <f aca="false">Assumptions!$N$57*MIN(G12050+G12057+G12055-G12056-G12058,MAX(0,G12104-G12046))</f>
        <v>0</v>
      </c>
      <c r="H12059" s="25" t="n">
        <f aca="false">Assumptions!$N$57*MIN(H12050+H12057+H12055-H12056-H12058,MAX(0,H12104-H12046))</f>
        <v>0</v>
      </c>
      <c r="I12059" s="25" t="n">
        <f aca="false">Assumptions!$N$57*MIN(I12050+I12057+I12055-I12056-I12058,MAX(0,I12104-I12046))</f>
        <v>0</v>
      </c>
      <c r="J12059" s="25" t="n">
        <f aca="false">Assumptions!$N$57*MIN(J12050+J12057+J12055-J12056-J12058,MAX(0,J12104-J12046))</f>
        <v>0</v>
      </c>
      <c r="K12059" s="25" t="n">
        <f aca="false">Assumptions!$N$57*MIN(K12050+K12057+K12055-K12056-K12058,MAX(0,K12104-K12046))</f>
        <v>0</v>
      </c>
    </row>
    <row r="12060" customFormat="false" ht="15" hidden="false" customHeight="false" outlineLevel="0" collapsed="false">
      <c r="A12060" s="3" t="s">
        <v>318</v>
      </c>
      <c r="G12060" s="25" t="n">
        <f aca="false">G12051*(1-G12035)*(G12050-G12056+G12055-G12058)</f>
        <v>0</v>
      </c>
      <c r="H12060" s="25" t="n">
        <f aca="false">H12051*(1-H12035)*(H12050-H12056+H12055-H12058)</f>
        <v>0</v>
      </c>
      <c r="I12060" s="25" t="n">
        <f aca="false">I12051*(1-I12035)*(I12050-I12056+I12055-I12058)</f>
        <v>0</v>
      </c>
      <c r="J12060" s="25" t="n">
        <f aca="false">J12051*(1-J12035)*(J12050-J12056+J12055-J12058)</f>
        <v>0</v>
      </c>
      <c r="K12060" s="25" t="n">
        <f aca="false">K12051*(1-K12035)*(K12050-K12056+K12055-K12058)</f>
        <v>0</v>
      </c>
    </row>
    <row r="12061" customFormat="false" ht="15" hidden="false" customHeight="false" outlineLevel="0" collapsed="false">
      <c r="A12061" s="2" t="s">
        <v>319</v>
      </c>
      <c r="F12061" s="28" t="n">
        <f aca="false">Assumptions!$C$57</f>
        <v>276.706</v>
      </c>
      <c r="G12061" s="16" t="n">
        <f aca="false">G12050+G12057+G12055-G12056-G12058-G12059</f>
        <v>276.706</v>
      </c>
      <c r="H12061" s="16" t="n">
        <f aca="false">H12050+H12057+H12055-H12056-H12058-H12059</f>
        <v>276.706</v>
      </c>
      <c r="I12061" s="16" t="n">
        <f aca="false">I12050+I12057+I12055-I12056-I12058-I12059</f>
        <v>0</v>
      </c>
      <c r="J12061" s="16" t="n">
        <f aca="false">J12050+J12057+J12055-J12056-J12058-J12059</f>
        <v>0</v>
      </c>
      <c r="K12061" s="16" t="n">
        <f aca="false">K12050+K12057+K12055-K12056-K12058-K12059</f>
        <v>0</v>
      </c>
    </row>
    <row r="12062" customFormat="false" ht="15" hidden="false" customHeight="false" outlineLevel="0" collapsed="false">
      <c r="A12062" s="23" t="s">
        <v>321</v>
      </c>
      <c r="B12062" s="24"/>
      <c r="C12062" s="24"/>
      <c r="D12062" s="24"/>
      <c r="E12062" s="24"/>
      <c r="F12062" s="24"/>
      <c r="G12062" s="24"/>
      <c r="H12062" s="24"/>
      <c r="I12062" s="24"/>
      <c r="J12062" s="24"/>
      <c r="K12062" s="24"/>
    </row>
    <row r="12063" customFormat="false" ht="15" hidden="false" customHeight="false" outlineLevel="0" collapsed="false">
      <c r="A12063" s="3" t="s">
        <v>309</v>
      </c>
      <c r="G12063" s="25" t="n">
        <f aca="false">F12074</f>
        <v>143.75</v>
      </c>
      <c r="H12063" s="25" t="n">
        <f aca="false">G12074</f>
        <v>143.75</v>
      </c>
      <c r="I12063" s="25" t="n">
        <f aca="false">H12074</f>
        <v>143.75</v>
      </c>
      <c r="J12063" s="25" t="n">
        <f aca="false">I12074</f>
        <v>0</v>
      </c>
      <c r="K12063" s="25" t="n">
        <f aca="false">J12074</f>
        <v>0</v>
      </c>
    </row>
    <row r="12064" customFormat="false" ht="15" hidden="false" customHeight="false" outlineLevel="0" collapsed="false">
      <c r="A12064" s="3" t="s">
        <v>310</v>
      </c>
      <c r="G12064" s="20" t="n">
        <f aca="false">IF(G12001=Assumptions!$K$58,1,0)</f>
        <v>0</v>
      </c>
      <c r="H12064" s="20" t="n">
        <f aca="false">IF(H12001=Assumptions!$K$58,1,0)</f>
        <v>0</v>
      </c>
      <c r="I12064" s="20" t="n">
        <f aca="false">IF(I12001=Assumptions!$K$58,1,0)</f>
        <v>1</v>
      </c>
      <c r="J12064" s="20" t="n">
        <f aca="false">IF(J12001=Assumptions!$K$58,1,0)</f>
        <v>0</v>
      </c>
      <c r="K12064" s="20" t="n">
        <f aca="false">IF(K12001=Assumptions!$K$58,1,0)</f>
        <v>0</v>
      </c>
    </row>
    <row r="12066" customFormat="false" ht="15" hidden="false" customHeight="false" outlineLevel="0" collapsed="false">
      <c r="A12066" s="3" t="s">
        <v>311</v>
      </c>
      <c r="G12066" s="31" t="n">
        <f aca="false">IF(Assumptions!$I$58=1,MAX(G12027,Assumptions!$G$58)+Assumptions!$F$58+$C$12028,Assumptions!$E$58)</f>
        <v>0.0425</v>
      </c>
      <c r="H12066" s="31" t="n">
        <f aca="false">IF(G12186=1,$C$12029,IF(Assumptions!$I$58=1,MAX(H12027,Assumptions!$G$58)+Assumptions!$F$58+$C$12028,Assumptions!$E$58))</f>
        <v>0.0425</v>
      </c>
      <c r="I12066" s="31" t="n">
        <f aca="false">IF(H12186=1,$C$12029,IF(Assumptions!$I$58=1,MAX(I12027,Assumptions!$G$58)+Assumptions!$F$58+$C$12028,Assumptions!$E$58))</f>
        <v>0.0425</v>
      </c>
      <c r="J12066" s="31" t="n">
        <f aca="false">IF(I12186=1,$C$12029,IF(Assumptions!$I$58=1,MAX(J12027,Assumptions!$G$58)+Assumptions!$F$58+$C$12028,Assumptions!$E$58))</f>
        <v>0.11</v>
      </c>
      <c r="K12066" s="31" t="n">
        <f aca="false">IF(J12186=1,$C$12029,IF(Assumptions!$I$58=1,MAX(K12027,Assumptions!$G$58)+Assumptions!$F$58+$C$12028,Assumptions!$E$58))</f>
        <v>0.11</v>
      </c>
    </row>
    <row r="12067" customFormat="false" ht="15" hidden="false" customHeight="false" outlineLevel="0" collapsed="false">
      <c r="A12067" s="3" t="s">
        <v>312</v>
      </c>
      <c r="G12067" s="25" t="n">
        <f aca="false">G12063*G12066</f>
        <v>6.109375</v>
      </c>
      <c r="H12067" s="25" t="n">
        <f aca="false">H12063*H12066</f>
        <v>6.109375</v>
      </c>
      <c r="I12067" s="25" t="n">
        <f aca="false">I12063*I12066</f>
        <v>6.109375</v>
      </c>
      <c r="J12067" s="25" t="n">
        <f aca="false">J12063*J12066</f>
        <v>0</v>
      </c>
      <c r="K12067" s="25" t="n">
        <f aca="false">K12063*K12066</f>
        <v>0</v>
      </c>
    </row>
    <row r="12068" customFormat="false" ht="15" hidden="false" customHeight="false" outlineLevel="0" collapsed="false">
      <c r="A12068" s="3" t="s">
        <v>313</v>
      </c>
      <c r="G12068" s="25" t="n">
        <f aca="false">G12063*Assumptions!$H$58</f>
        <v>0</v>
      </c>
      <c r="H12068" s="25" t="n">
        <f aca="false">H12063*Assumptions!$H$58</f>
        <v>0</v>
      </c>
      <c r="I12068" s="25" t="n">
        <f aca="false">I12063*Assumptions!$H$58</f>
        <v>0</v>
      </c>
      <c r="J12068" s="25" t="n">
        <f aca="false">J12063*Assumptions!$H$58</f>
        <v>0</v>
      </c>
      <c r="K12068" s="25" t="n">
        <f aca="false">K12063*Assumptions!$H$58</f>
        <v>0</v>
      </c>
    </row>
    <row r="12069" customFormat="false" ht="15" hidden="false" customHeight="false" outlineLevel="0" collapsed="false">
      <c r="A12069" s="3" t="s">
        <v>314</v>
      </c>
      <c r="G12069" s="25" t="n">
        <f aca="false">MIN(G12063,Assumptions!$L$58*Assumptions!$C$58)</f>
        <v>0</v>
      </c>
      <c r="H12069" s="25" t="n">
        <f aca="false">MIN(H12063,Assumptions!$L$58*Assumptions!$C$58)</f>
        <v>0</v>
      </c>
      <c r="I12069" s="25" t="n">
        <f aca="false">MIN(I12063,Assumptions!$L$58*Assumptions!$C$58)</f>
        <v>0</v>
      </c>
      <c r="J12069" s="25" t="n">
        <f aca="false">MIN(J12063,Assumptions!$L$58*Assumptions!$C$58)</f>
        <v>0</v>
      </c>
      <c r="K12069" s="25" t="n">
        <f aca="false">MIN(K12063,Assumptions!$L$58*Assumptions!$C$58)</f>
        <v>0</v>
      </c>
    </row>
    <row r="12070" customFormat="false" ht="15" hidden="false" customHeight="false" outlineLevel="0" collapsed="false">
      <c r="A12070" s="3" t="s">
        <v>315</v>
      </c>
      <c r="G12070" s="25" t="n">
        <f aca="false">IF(AND(Assumptions!$P$58=1,G12001&lt;Assumptions!$K$58),MIN(MAX(0,-G12098),MAX(0,Assumptions!$D$58-G12063)),0)</f>
        <v>0</v>
      </c>
      <c r="H12070" s="25" t="n">
        <f aca="false">IF(AND(Assumptions!$P$58=1,OR(H12001&lt;Assumptions!$K$58,G12186=1)),MIN(MAX(0,-H12098),MAX(0,Assumptions!$D$58-H12063)),0)</f>
        <v>0</v>
      </c>
      <c r="I12070" s="25" t="n">
        <f aca="false">IF(AND(Assumptions!$P$58=1,OR(I12001&lt;Assumptions!$K$58,H12186=1)),MIN(MAX(0,-I12098),MAX(0,Assumptions!$D$58-I12063)),0)</f>
        <v>0</v>
      </c>
      <c r="J12070" s="25" t="n">
        <f aca="false">IF(AND(Assumptions!$P$58=1,OR(J12001&lt;Assumptions!$K$58,I12186=1)),MIN(MAX(0,-J12098),MAX(0,Assumptions!$D$58-J12063)),0)</f>
        <v>0</v>
      </c>
      <c r="K12070" s="25" t="n">
        <f aca="false">IF(AND(Assumptions!$P$58=1,OR(K12001&lt;Assumptions!$K$58,J12186=1)),MIN(MAX(0,-K12098),MAX(0,Assumptions!$D$58-K12063)),0)</f>
        <v>0</v>
      </c>
    </row>
    <row r="12071" customFormat="false" ht="15" hidden="false" customHeight="false" outlineLevel="0" collapsed="false">
      <c r="A12071" s="3" t="s">
        <v>316</v>
      </c>
      <c r="G12071" s="25" t="n">
        <f aca="false">G12064*MIN(G12063-G12069+G12068,MAX(0,G12100-Assumptions!$C$12*G12035-G12045-G12058))</f>
        <v>0</v>
      </c>
      <c r="H12071" s="25" t="n">
        <f aca="false">H12064*MIN(H12063-H12069+H12068,MAX(0,H12100-Assumptions!$C$12*H12035-H12045-H12058))</f>
        <v>0</v>
      </c>
      <c r="I12071" s="25" t="n">
        <f aca="false">I12064*MIN(I12063-I12069+I12068,MAX(0,I12100-Assumptions!$C$12*I12035-I12045-I12058))</f>
        <v>143.75</v>
      </c>
      <c r="J12071" s="25" t="n">
        <f aca="false">J12064*MIN(J12063-J12069+J12068,MAX(0,J12100-Assumptions!$C$12*J12035-J12045-J12058))</f>
        <v>0</v>
      </c>
      <c r="K12071" s="25" t="n">
        <f aca="false">K12064*MIN(K12063-K12069+K12068,MAX(0,K12100-Assumptions!$C$12*K12035-K12045-K12058))</f>
        <v>0</v>
      </c>
    </row>
    <row r="12072" customFormat="false" ht="15" hidden="false" customHeight="false" outlineLevel="0" collapsed="false">
      <c r="A12072" s="3" t="s">
        <v>317</v>
      </c>
      <c r="G12072" s="25" t="n">
        <f aca="false">Assumptions!$N$58*MIN(G12063+G12070+G12068-G12069-G12071,MAX(0,G12104-G12046-G12059))</f>
        <v>0</v>
      </c>
      <c r="H12072" s="25" t="n">
        <f aca="false">Assumptions!$N$58*MIN(H12063+H12070+H12068-H12069-H12071,MAX(0,H12104-H12046-H12059))</f>
        <v>0</v>
      </c>
      <c r="I12072" s="25" t="n">
        <f aca="false">Assumptions!$N$58*MIN(I12063+I12070+I12068-I12069-I12071,MAX(0,I12104-I12046-I12059))</f>
        <v>0</v>
      </c>
      <c r="J12072" s="25" t="n">
        <f aca="false">Assumptions!$N$58*MIN(J12063+J12070+J12068-J12069-J12071,MAX(0,J12104-J12046-J12059))</f>
        <v>0</v>
      </c>
      <c r="K12072" s="25" t="n">
        <f aca="false">Assumptions!$N$58*MIN(K12063+K12070+K12068-K12069-K12071,MAX(0,K12104-K12046-K12059))</f>
        <v>0</v>
      </c>
    </row>
    <row r="12073" customFormat="false" ht="15" hidden="false" customHeight="false" outlineLevel="0" collapsed="false">
      <c r="A12073" s="3" t="s">
        <v>318</v>
      </c>
      <c r="G12073" s="25" t="n">
        <f aca="false">G12064*(1-G12035)*(G12063-G12069+G12068-G12071)</f>
        <v>0</v>
      </c>
      <c r="H12073" s="25" t="n">
        <f aca="false">H12064*(1-H12035)*(H12063-H12069+H12068-H12071)</f>
        <v>0</v>
      </c>
      <c r="I12073" s="25" t="n">
        <f aca="false">I12064*(1-I12035)*(I12063-I12069+I12068-I12071)</f>
        <v>0</v>
      </c>
      <c r="J12073" s="25" t="n">
        <f aca="false">J12064*(1-J12035)*(J12063-J12069+J12068-J12071)</f>
        <v>0</v>
      </c>
      <c r="K12073" s="25" t="n">
        <f aca="false">K12064*(1-K12035)*(K12063-K12069+K12068-K12071)</f>
        <v>0</v>
      </c>
    </row>
    <row r="12074" customFormat="false" ht="15" hidden="false" customHeight="false" outlineLevel="0" collapsed="false">
      <c r="A12074" s="2" t="s">
        <v>319</v>
      </c>
      <c r="F12074" s="28" t="n">
        <f aca="false">Assumptions!$C$58</f>
        <v>143.75</v>
      </c>
      <c r="G12074" s="16" t="n">
        <f aca="false">G12063+G12070+G12068-G12069-G12071-G12072</f>
        <v>143.75</v>
      </c>
      <c r="H12074" s="16" t="n">
        <f aca="false">H12063+H12070+H12068-H12069-H12071-H12072</f>
        <v>143.75</v>
      </c>
      <c r="I12074" s="16" t="n">
        <f aca="false">I12063+I12070+I12068-I12069-I12071-I12072</f>
        <v>0</v>
      </c>
      <c r="J12074" s="16" t="n">
        <f aca="false">J12063+J12070+J12068-J12069-J12071-J12072</f>
        <v>0</v>
      </c>
      <c r="K12074" s="16" t="n">
        <f aca="false">K12063+K12070+K12068-K12069-K12071-K12072</f>
        <v>0</v>
      </c>
    </row>
    <row r="12075" customFormat="false" ht="15" hidden="false" customHeight="false" outlineLevel="0" collapsed="false">
      <c r="A12075" s="23" t="s">
        <v>322</v>
      </c>
      <c r="B12075" s="24"/>
      <c r="C12075" s="24"/>
      <c r="D12075" s="24"/>
      <c r="E12075" s="24"/>
      <c r="F12075" s="24"/>
      <c r="G12075" s="24"/>
      <c r="H12075" s="24"/>
      <c r="I12075" s="24"/>
      <c r="J12075" s="24"/>
      <c r="K12075" s="24"/>
    </row>
    <row r="12076" customFormat="false" ht="15" hidden="false" customHeight="false" outlineLevel="0" collapsed="false">
      <c r="A12076" s="2" t="s">
        <v>323</v>
      </c>
      <c r="F12076" s="16" t="n">
        <f aca="false">F12048+F12061+F12074</f>
        <v>1735.554</v>
      </c>
      <c r="G12076" s="16" t="n">
        <f aca="false">G12048+G12061+G12074</f>
        <v>1735.554</v>
      </c>
      <c r="H12076" s="16" t="n">
        <f aca="false">H12048+H12061+H12074</f>
        <v>1735.554</v>
      </c>
      <c r="I12076" s="16" t="n">
        <f aca="false">I12048+I12061+I12074</f>
        <v>1315.098</v>
      </c>
      <c r="J12076" s="16" t="n">
        <f aca="false">J12048+J12061+J12074</f>
        <v>1315.098</v>
      </c>
      <c r="K12076" s="16" t="n">
        <f aca="false">K12048+K12061+K12074</f>
        <v>1315.098</v>
      </c>
    </row>
    <row r="12077" customFormat="false" ht="15" hidden="false" customHeight="false" outlineLevel="0" collapsed="false">
      <c r="A12077" s="3" t="s">
        <v>324</v>
      </c>
      <c r="G12077" s="25" t="n">
        <f aca="false">G12038*Assumptions!$C$56+G12051*Assumptions!$C$57+G12064*Assumptions!$C$58</f>
        <v>0</v>
      </c>
      <c r="H12077" s="25" t="n">
        <f aca="false">H12038*Assumptions!$C$56+H12051*Assumptions!$C$57+H12064*Assumptions!$C$58</f>
        <v>0</v>
      </c>
      <c r="I12077" s="25" t="n">
        <f aca="false">I12038*Assumptions!$C$56+I12051*Assumptions!$C$57+I12064*Assumptions!$C$58</f>
        <v>420.456</v>
      </c>
      <c r="J12077" s="25" t="n">
        <f aca="false">J12038*Assumptions!$C$56+J12051*Assumptions!$C$57+J12064*Assumptions!$C$58</f>
        <v>0</v>
      </c>
      <c r="K12077" s="25" t="n">
        <f aca="false">K12038*Assumptions!$C$56+K12051*Assumptions!$C$57+K12064*Assumptions!$C$58</f>
        <v>0</v>
      </c>
    </row>
    <row r="12078" customFormat="false" ht="15" hidden="false" customHeight="false" outlineLevel="0" collapsed="false">
      <c r="A12078" s="23" t="s">
        <v>325</v>
      </c>
      <c r="B12078" s="24"/>
      <c r="C12078" s="24"/>
      <c r="D12078" s="24"/>
      <c r="E12078" s="24"/>
      <c r="F12078" s="24"/>
      <c r="G12078" s="24"/>
      <c r="H12078" s="24"/>
      <c r="I12078" s="24"/>
      <c r="J12078" s="24"/>
      <c r="K12078" s="24"/>
    </row>
    <row r="12079" customFormat="false" ht="15" hidden="false" customHeight="false" outlineLevel="0" collapsed="false">
      <c r="A12079" s="3" t="s">
        <v>326</v>
      </c>
      <c r="C12079" s="25" t="n">
        <f aca="false">SUMPRODUCT($G$12038:$K$12038,$G$12037:$K$12037-$G$12043:$K$12043+$G$12042:$K$12042)</f>
        <v>0</v>
      </c>
    </row>
    <row r="12080" customFormat="false" ht="15" hidden="false" customHeight="false" outlineLevel="0" collapsed="false">
      <c r="A12080" s="3" t="s">
        <v>327</v>
      </c>
      <c r="C12080" s="25" t="n">
        <f aca="false">SUMPRODUCT($G$12038:$K$12038,$G$12045:$K$12045)</f>
        <v>0</v>
      </c>
    </row>
    <row r="12081" customFormat="false" ht="15" hidden="false" customHeight="false" outlineLevel="0" collapsed="false">
      <c r="A12081" s="3" t="s">
        <v>328</v>
      </c>
      <c r="C12081" s="3" t="str">
        <f aca="false">IF(SUM($G$12038:$K$12038)=0,"n/a (beyond horizon)",IF(SUMPRODUCT($G$12038:$K$12038,$G$12035:$K$12035)&gt;0,"REFINANCING PASS","REFINANCING FAILURE"))</f>
        <v>n/a (beyond horizon)</v>
      </c>
    </row>
    <row r="12082" customFormat="false" ht="15" hidden="false" customHeight="false" outlineLevel="0" collapsed="false">
      <c r="A12082" s="3" t="s">
        <v>329</v>
      </c>
      <c r="C12082" s="3" t="str">
        <f aca="false">IF(SUM($G$12038:$K$12038)=0,"n/a",IF(C12080&gt;=C12079-0.001,"Repaid from cash",IF(SUMPRODUCT($G$12038:$K$12038,$G$12035:$K$12035)&gt;0,IF(C12080&gt;0,"Partly repaid; remainder refinanced","Refinanced"),IF(SUM($G$12047:$K$12047)&gt;0.001,IF(C12080&gt;0,"Partial repayment; PAYMENT DEFAULT","PAYMENT DEFAULT"),"Repaid from cash"))))</f>
        <v>n/a</v>
      </c>
    </row>
    <row r="12083" customFormat="false" ht="15" hidden="false" customHeight="false" outlineLevel="0" collapsed="false">
      <c r="A12083" s="3" t="s">
        <v>330</v>
      </c>
      <c r="C12083" s="25" t="n">
        <f aca="false">SUMPRODUCT($G$12051:$K$12051,$G$12050:$K$12050-$G$12056:$K$12056+$G$12055:$K$12055)</f>
        <v>276.706</v>
      </c>
    </row>
    <row r="12084" customFormat="false" ht="15" hidden="false" customHeight="false" outlineLevel="0" collapsed="false">
      <c r="A12084" s="3" t="s">
        <v>331</v>
      </c>
      <c r="C12084" s="25" t="n">
        <f aca="false">SUMPRODUCT($G$12051:$K$12051,$G$12058:$K$12058)</f>
        <v>276.706</v>
      </c>
    </row>
    <row r="12085" customFormat="false" ht="15" hidden="false" customHeight="false" outlineLevel="0" collapsed="false">
      <c r="A12085" s="3" t="s">
        <v>332</v>
      </c>
      <c r="C12085" s="3" t="str">
        <f aca="false">IF(SUM($G$12051:$K$12051)=0,"n/a (beyond horizon)",IF(SUMPRODUCT($G$12051:$K$12051,$G$12035:$K$12035)&gt;0,"REFINANCING PASS","REFINANCING FAILURE"))</f>
        <v>REFINANCING PASS</v>
      </c>
    </row>
    <row r="12086" customFormat="false" ht="15" hidden="false" customHeight="false" outlineLevel="0" collapsed="false">
      <c r="A12086" s="3" t="s">
        <v>333</v>
      </c>
      <c r="C12086" s="3" t="str">
        <f aca="false">IF(SUM($G$12051:$K$12051)=0,"n/a",IF(C12084&gt;=C12083-0.001,"Repaid from cash",IF(SUMPRODUCT($G$12051:$K$12051,$G$12035:$K$12035)&gt;0,IF(C12084&gt;0,"Partly repaid; remainder refinanced","Refinanced"),IF(SUM($G$12060:$K$12060)&gt;0.001,IF(C12084&gt;0,"Partial repayment; PAYMENT DEFAULT","PAYMENT DEFAULT"),"Repaid from cash"))))</f>
        <v>Repaid from cash</v>
      </c>
    </row>
    <row r="12087" customFormat="false" ht="15" hidden="false" customHeight="false" outlineLevel="0" collapsed="false">
      <c r="A12087" s="3" t="s">
        <v>334</v>
      </c>
      <c r="C12087" s="25" t="n">
        <f aca="false">SUMPRODUCT($G$12064:$K$12064,$G$12063:$K$12063-$G$12069:$K$12069+$G$12068:$K$12068)</f>
        <v>143.75</v>
      </c>
    </row>
    <row r="12088" customFormat="false" ht="15" hidden="false" customHeight="false" outlineLevel="0" collapsed="false">
      <c r="A12088" s="3" t="s">
        <v>335</v>
      </c>
      <c r="C12088" s="25" t="n">
        <f aca="false">SUMPRODUCT($G$12064:$K$12064,$G$12071:$K$12071)</f>
        <v>143.75</v>
      </c>
    </row>
    <row r="12089" customFormat="false" ht="15" hidden="false" customHeight="false" outlineLevel="0" collapsed="false">
      <c r="A12089" s="3" t="s">
        <v>336</v>
      </c>
      <c r="C12089" s="3" t="str">
        <f aca="false">IF(SUM($G$12064:$K$12064)=0,"n/a (beyond horizon)",IF(SUMPRODUCT($G$12064:$K$12064,$G$12035:$K$12035)&gt;0,"REFINANCING PASS","REFINANCING FAILURE"))</f>
        <v>REFINANCING PASS</v>
      </c>
    </row>
    <row r="12090" customFormat="false" ht="15" hidden="false" customHeight="false" outlineLevel="0" collapsed="false">
      <c r="A12090" s="3" t="s">
        <v>337</v>
      </c>
      <c r="C12090" s="3" t="str">
        <f aca="false">IF(SUM($G$12064:$K$12064)=0,"n/a",IF(C12088&gt;=C12087-0.001,"Repaid from cash",IF(SUMPRODUCT($G$12064:$K$12064,$G$12035:$K$12035)&gt;0,IF(C12088&gt;0,"Partly repaid; remainder refinanced","Refinanced"),IF(SUM($G$12073:$K$12073)&gt;0.001,IF(C12088&gt;0,"Partial repayment; PAYMENT DEFAULT","PAYMENT DEFAULT"),"Repaid from cash"))))</f>
        <v>Repaid from cash</v>
      </c>
    </row>
    <row r="12091" customFormat="false" ht="15" hidden="false" customHeight="false" outlineLevel="0" collapsed="false">
      <c r="A12091" s="3" t="s">
        <v>338</v>
      </c>
      <c r="C12091" s="20" t="n">
        <f aca="false">IF(C12081="REFINANCING FAILURE",1,0)+IF(C12085="REFINANCING FAILURE",1,0)+IF(C12089="REFINANCING FAILURE",1,0)</f>
        <v>0</v>
      </c>
    </row>
    <row r="12093" customFormat="false" ht="15" hidden="false" customHeight="false" outlineLevel="0" collapsed="false">
      <c r="A12093" s="23" t="s">
        <v>340</v>
      </c>
      <c r="B12093" s="24"/>
      <c r="C12093" s="24"/>
      <c r="D12093" s="24"/>
      <c r="E12093" s="24"/>
      <c r="F12093" s="24"/>
      <c r="G12093" s="24"/>
      <c r="H12093" s="24"/>
      <c r="I12093" s="24"/>
      <c r="J12093" s="24"/>
      <c r="K12093" s="24"/>
    </row>
    <row r="12094" customFormat="false" ht="15" hidden="false" customHeight="false" outlineLevel="0" collapsed="false">
      <c r="A12094" s="3" t="s">
        <v>305</v>
      </c>
      <c r="G12094" s="25" t="n">
        <f aca="false">F12106</f>
        <v>463.996</v>
      </c>
      <c r="H12094" s="25" t="n">
        <f aca="false">G12106</f>
        <v>589.86335403</v>
      </c>
      <c r="I12094" s="25" t="n">
        <f aca="false">H12106</f>
        <v>706.0173737988</v>
      </c>
      <c r="J12094" s="25" t="n">
        <f aca="false">I12106</f>
        <v>390.575377766904</v>
      </c>
      <c r="K12094" s="25" t="n">
        <f aca="false">J12106</f>
        <v>499.440625970316</v>
      </c>
    </row>
    <row r="12095" customFormat="false" ht="15" hidden="false" customHeight="false" outlineLevel="0" collapsed="false">
      <c r="A12095" s="3" t="s">
        <v>341</v>
      </c>
      <c r="G12095" s="25" t="n">
        <f aca="false">G12024</f>
        <v>125.86735403</v>
      </c>
      <c r="H12095" s="25" t="n">
        <f aca="false">H12024</f>
        <v>116.1540197688</v>
      </c>
      <c r="I12095" s="25" t="n">
        <f aca="false">I12024</f>
        <v>105.014003968104</v>
      </c>
      <c r="J12095" s="25" t="n">
        <f aca="false">J12024</f>
        <v>108.865248203412</v>
      </c>
      <c r="K12095" s="25" t="n">
        <f aca="false">K12024</f>
        <v>99.6877228787792</v>
      </c>
    </row>
    <row r="12096" customFormat="false" ht="15" hidden="false" customHeight="false" outlineLevel="0" collapsed="false">
      <c r="A12096" s="3" t="s">
        <v>342</v>
      </c>
      <c r="G12096" s="25" t="n">
        <f aca="false">CHOOSE($C$11994,Assumptions!$G$74,Assumptions!$G$93,Assumptions!$G$112)</f>
        <v>0</v>
      </c>
      <c r="H12096" s="25" t="n">
        <f aca="false">CHOOSE($C$11994,Assumptions!$H$74,Assumptions!$H$93,Assumptions!$H$112)</f>
        <v>0</v>
      </c>
      <c r="I12096" s="25" t="n">
        <f aca="false">CHOOSE($C$11994,Assumptions!$I$74,Assumptions!$I$93,Assumptions!$I$112)</f>
        <v>0</v>
      </c>
      <c r="J12096" s="25" t="n">
        <f aca="false">CHOOSE($C$11994,Assumptions!$J$74,Assumptions!$J$93,Assumptions!$J$112)</f>
        <v>0</v>
      </c>
      <c r="K12096" s="25" t="n">
        <f aca="false">CHOOSE($C$11994,Assumptions!$K$74,Assumptions!$K$93,Assumptions!$K$112)</f>
        <v>0</v>
      </c>
    </row>
    <row r="12097" customFormat="false" ht="15" hidden="false" customHeight="false" outlineLevel="0" collapsed="false">
      <c r="A12097" s="3" t="s">
        <v>343</v>
      </c>
      <c r="G12097" s="25" t="n">
        <f aca="false">G12043+G12056+G12069</f>
        <v>0</v>
      </c>
      <c r="H12097" s="25" t="n">
        <f aca="false">H12043+H12056+H12069</f>
        <v>0</v>
      </c>
      <c r="I12097" s="25" t="n">
        <f aca="false">I12043+I12056+I12069</f>
        <v>0</v>
      </c>
      <c r="J12097" s="25" t="n">
        <f aca="false">J12043+J12056+J12069</f>
        <v>0</v>
      </c>
      <c r="K12097" s="25" t="n">
        <f aca="false">K12043+K12056+K12069</f>
        <v>0</v>
      </c>
    </row>
    <row r="12098" customFormat="false" ht="15" hidden="false" customHeight="false" outlineLevel="0" collapsed="false">
      <c r="A12098" s="2" t="s">
        <v>344</v>
      </c>
      <c r="G12098" s="16" t="n">
        <f aca="false">G12094+G12095+G12096-G12097</f>
        <v>589.86335403</v>
      </c>
      <c r="H12098" s="16" t="n">
        <f aca="false">H12094+H12095+H12096-H12097</f>
        <v>706.0173737988</v>
      </c>
      <c r="I12098" s="16" t="n">
        <f aca="false">I12094+I12095+I12096-I12097</f>
        <v>811.031377766904</v>
      </c>
      <c r="J12098" s="16" t="n">
        <f aca="false">J12094+J12095+J12096-J12097</f>
        <v>499.440625970316</v>
      </c>
      <c r="K12098" s="16" t="n">
        <f aca="false">K12094+K12095+K12096-K12097</f>
        <v>599.128348849095</v>
      </c>
    </row>
    <row r="12099" customFormat="false" ht="15" hidden="false" customHeight="false" outlineLevel="0" collapsed="false">
      <c r="A12099" s="3" t="s">
        <v>345</v>
      </c>
      <c r="G12099" s="25" t="n">
        <f aca="false">G12044+G12057+G12070</f>
        <v>0</v>
      </c>
      <c r="H12099" s="25" t="n">
        <f aca="false">H12044+H12057+H12070</f>
        <v>0</v>
      </c>
      <c r="I12099" s="25" t="n">
        <f aca="false">I12044+I12057+I12070</f>
        <v>0</v>
      </c>
      <c r="J12099" s="25" t="n">
        <f aca="false">J12044+J12057+J12070</f>
        <v>0</v>
      </c>
      <c r="K12099" s="25" t="n">
        <f aca="false">K12044+K12057+K12070</f>
        <v>0</v>
      </c>
    </row>
    <row r="12100" customFormat="false" ht="15" hidden="false" customHeight="false" outlineLevel="0" collapsed="false">
      <c r="A12100" s="2" t="s">
        <v>346</v>
      </c>
      <c r="G12100" s="16" t="n">
        <f aca="false">G12098+G12099</f>
        <v>589.86335403</v>
      </c>
      <c r="H12100" s="16" t="n">
        <f aca="false">H12098+H12099</f>
        <v>706.0173737988</v>
      </c>
      <c r="I12100" s="16" t="n">
        <f aca="false">I12098+I12099</f>
        <v>811.031377766904</v>
      </c>
      <c r="J12100" s="16" t="n">
        <f aca="false">J12098+J12099</f>
        <v>499.440625970316</v>
      </c>
      <c r="K12100" s="16" t="n">
        <f aca="false">K12098+K12099</f>
        <v>599.128348849095</v>
      </c>
    </row>
    <row r="12101" customFormat="false" ht="15" hidden="false" customHeight="false" outlineLevel="0" collapsed="false">
      <c r="A12101" s="3" t="s">
        <v>347</v>
      </c>
      <c r="G12101" s="25" t="n">
        <f aca="false">G12045+G12058+G12071</f>
        <v>0</v>
      </c>
      <c r="H12101" s="25" t="n">
        <f aca="false">H12045+H12058+H12071</f>
        <v>0</v>
      </c>
      <c r="I12101" s="25" t="n">
        <f aca="false">I12045+I12058+I12071</f>
        <v>420.456</v>
      </c>
      <c r="J12101" s="25" t="n">
        <f aca="false">J12045+J12058+J12071</f>
        <v>0</v>
      </c>
      <c r="K12101" s="25" t="n">
        <f aca="false">K12045+K12058+K12071</f>
        <v>0</v>
      </c>
    </row>
    <row r="12102" customFormat="false" ht="15" hidden="false" customHeight="false" outlineLevel="0" collapsed="false">
      <c r="A12102" s="2" t="s">
        <v>348</v>
      </c>
      <c r="G12102" s="16" t="n">
        <f aca="false">G12100-G12101</f>
        <v>589.86335403</v>
      </c>
      <c r="H12102" s="16" t="n">
        <f aca="false">H12100-H12101</f>
        <v>706.0173737988</v>
      </c>
      <c r="I12102" s="16" t="n">
        <f aca="false">I12100-I12101</f>
        <v>390.575377766904</v>
      </c>
      <c r="J12102" s="16" t="n">
        <f aca="false">J12100-J12101</f>
        <v>499.440625970316</v>
      </c>
      <c r="K12102" s="16" t="n">
        <f aca="false">K12100-K12101</f>
        <v>599.128348849095</v>
      </c>
    </row>
    <row r="12103" customFormat="false" ht="15" hidden="false" customHeight="false" outlineLevel="0" collapsed="false">
      <c r="A12103" s="3" t="s">
        <v>349</v>
      </c>
      <c r="G12103" s="25" t="n">
        <f aca="false">MAX(0,-G12102)</f>
        <v>0</v>
      </c>
      <c r="H12103" s="25" t="n">
        <f aca="false">MAX(0,-H12102)</f>
        <v>0</v>
      </c>
      <c r="I12103" s="25" t="n">
        <f aca="false">MAX(0,-I12102)</f>
        <v>0</v>
      </c>
      <c r="J12103" s="25" t="n">
        <f aca="false">MAX(0,-J12102)</f>
        <v>0</v>
      </c>
      <c r="K12103" s="25" t="n">
        <f aca="false">MAX(0,-K12102)</f>
        <v>0</v>
      </c>
    </row>
    <row r="12104" customFormat="false" ht="15" hidden="false" customHeight="false" outlineLevel="0" collapsed="false">
      <c r="A12104" s="3" t="s">
        <v>350</v>
      </c>
      <c r="G12104" s="25" t="n">
        <f aca="false">MAX(0,G12102-Assumptions!$C$12)*Assumptions!$C$13</f>
        <v>0</v>
      </c>
      <c r="H12104" s="25" t="n">
        <f aca="false">MAX(0,H12102-Assumptions!$C$12)*Assumptions!$C$13</f>
        <v>0</v>
      </c>
      <c r="I12104" s="25" t="n">
        <f aca="false">MAX(0,I12102-Assumptions!$C$12)*Assumptions!$C$13</f>
        <v>0</v>
      </c>
      <c r="J12104" s="25" t="n">
        <f aca="false">MAX(0,J12102-Assumptions!$C$12)*Assumptions!$C$13</f>
        <v>0</v>
      </c>
      <c r="K12104" s="25" t="n">
        <f aca="false">MAX(0,K12102-Assumptions!$C$12)*Assumptions!$C$13</f>
        <v>0</v>
      </c>
    </row>
    <row r="12105" customFormat="false" ht="15" hidden="false" customHeight="false" outlineLevel="0" collapsed="false">
      <c r="A12105" s="3" t="s">
        <v>351</v>
      </c>
      <c r="G12105" s="25" t="n">
        <f aca="false">G12046+G12059+G12072</f>
        <v>0</v>
      </c>
      <c r="H12105" s="25" t="n">
        <f aca="false">H12046+H12059+H12072</f>
        <v>0</v>
      </c>
      <c r="I12105" s="25" t="n">
        <f aca="false">I12046+I12059+I12072</f>
        <v>0</v>
      </c>
      <c r="J12105" s="25" t="n">
        <f aca="false">J12046+J12059+J12072</f>
        <v>0</v>
      </c>
      <c r="K12105" s="25" t="n">
        <f aca="false">K12046+K12059+K12072</f>
        <v>0</v>
      </c>
    </row>
    <row r="12106" customFormat="false" ht="15" hidden="false" customHeight="false" outlineLevel="0" collapsed="false">
      <c r="A12106" s="2" t="s">
        <v>352</v>
      </c>
      <c r="F12106" s="28" t="n">
        <f aca="false">Assumptions!$C$11</f>
        <v>463.996</v>
      </c>
      <c r="G12106" s="16" t="n">
        <f aca="false">G12102-G12105</f>
        <v>589.86335403</v>
      </c>
      <c r="H12106" s="16" t="n">
        <f aca="false">H12102-H12105</f>
        <v>706.0173737988</v>
      </c>
      <c r="I12106" s="16" t="n">
        <f aca="false">I12102-I12105</f>
        <v>390.575377766904</v>
      </c>
      <c r="J12106" s="16" t="n">
        <f aca="false">J12102-J12105</f>
        <v>499.440625970316</v>
      </c>
      <c r="K12106" s="16" t="n">
        <f aca="false">K12102-K12105</f>
        <v>599.128348849095</v>
      </c>
    </row>
    <row r="12107" customFormat="false" ht="15" hidden="false" customHeight="false" outlineLevel="0" collapsed="false">
      <c r="A12107" s="3" t="s">
        <v>353</v>
      </c>
      <c r="G12107" s="25" t="n">
        <f aca="false">G12047+G12060+G12073</f>
        <v>0</v>
      </c>
      <c r="H12107" s="25" t="n">
        <f aca="false">H12047+H12060+H12073</f>
        <v>0</v>
      </c>
      <c r="I12107" s="25" t="n">
        <f aca="false">I12047+I12060+I12073</f>
        <v>0</v>
      </c>
      <c r="J12107" s="25" t="n">
        <f aca="false">J12047+J12060+J12073</f>
        <v>0</v>
      </c>
      <c r="K12107" s="25" t="n">
        <f aca="false">K12047+K12060+K12073</f>
        <v>0</v>
      </c>
    </row>
    <row r="12108" customFormat="false" ht="15" hidden="false" customHeight="false" outlineLevel="0" collapsed="false">
      <c r="A12108" s="3" t="s">
        <v>354</v>
      </c>
      <c r="G12108" s="20" t="n">
        <f aca="false">IF(OR(G12103&gt;0.001,G12107&gt;0.001),1,0)</f>
        <v>0</v>
      </c>
      <c r="H12108" s="20" t="n">
        <f aca="false">IF(OR(H12103&gt;0.001,H12107&gt;0.001),1,0)</f>
        <v>0</v>
      </c>
      <c r="I12108" s="20" t="n">
        <f aca="false">IF(OR(I12103&gt;0.001,I12107&gt;0.001),1,0)</f>
        <v>0</v>
      </c>
      <c r="J12108" s="20" t="n">
        <f aca="false">IF(OR(J12103&gt;0.001,J12107&gt;0.001),1,0)</f>
        <v>0</v>
      </c>
      <c r="K12108" s="20" t="n">
        <f aca="false">IF(OR(K12103&gt;0.001,K12107&gt;0.001),1,0)</f>
        <v>0</v>
      </c>
    </row>
    <row r="12109" customFormat="false" ht="15" hidden="false" customHeight="false" outlineLevel="0" collapsed="false">
      <c r="A12109" s="3" t="s">
        <v>355</v>
      </c>
      <c r="G12109" s="20" t="n">
        <f aca="false">IF(G12108=1,1,0)</f>
        <v>0</v>
      </c>
      <c r="H12109" s="20" t="n">
        <f aca="false">IF(AND(H12108=1,SUM($G$12108:G12108)=0),1,0)</f>
        <v>0</v>
      </c>
      <c r="I12109" s="20" t="n">
        <f aca="false">IF(AND(I12108=1,SUM($G$12108:H12108)=0),1,0)</f>
        <v>0</v>
      </c>
      <c r="J12109" s="20" t="n">
        <f aca="false">IF(AND(J12108=1,SUM($G$12108:I12108)=0),1,0)</f>
        <v>0</v>
      </c>
      <c r="K12109" s="20" t="n">
        <f aca="false">IF(AND(K12108=1,SUM($G$12108:J12108)=0),1,0)</f>
        <v>0</v>
      </c>
    </row>
    <row r="12110" customFormat="false" ht="15" hidden="false" customHeight="false" outlineLevel="0" collapsed="false">
      <c r="A12110" s="3" t="s">
        <v>356</v>
      </c>
      <c r="G12110" s="25" t="n">
        <f aca="false">(G12076-F12076)-(G12099+G12016-G12097-G12101-G12105)</f>
        <v>0</v>
      </c>
      <c r="H12110" s="25" t="n">
        <f aca="false">(H12076-G12076)-(H12099+H12016-H12097-H12101-H12105)</f>
        <v>0</v>
      </c>
      <c r="I12110" s="25" t="n">
        <f aca="false">(I12076-H12076)-(I12099+I12016-I12097-I12101-I12105)</f>
        <v>0</v>
      </c>
      <c r="J12110" s="25" t="n">
        <f aca="false">(J12076-I12076)-(J12099+J12016-J12097-J12101-J12105)</f>
        <v>0</v>
      </c>
      <c r="K12110" s="25" t="n">
        <f aca="false">(K12076-J12076)-(K12099+K12016-K12097-K12101-K12105)</f>
        <v>0</v>
      </c>
    </row>
    <row r="12112" customFormat="false" ht="15" hidden="false" customHeight="false" outlineLevel="0" collapsed="false">
      <c r="A12112" s="23" t="s">
        <v>358</v>
      </c>
      <c r="B12112" s="24"/>
      <c r="C12112" s="24"/>
      <c r="D12112" s="24"/>
      <c r="E12112" s="24"/>
      <c r="F12112" s="24"/>
      <c r="G12112" s="24"/>
      <c r="H12112" s="24"/>
      <c r="I12112" s="24"/>
      <c r="J12112" s="24"/>
      <c r="K12112" s="24"/>
    </row>
    <row r="12113" customFormat="false" ht="15" hidden="false" customHeight="false" outlineLevel="0" collapsed="false">
      <c r="A12113" s="3" t="s">
        <v>359</v>
      </c>
      <c r="G12113" s="25" t="n">
        <f aca="false">G12076</f>
        <v>1735.554</v>
      </c>
      <c r="H12113" s="25" t="n">
        <f aca="false">H12076</f>
        <v>1735.554</v>
      </c>
      <c r="I12113" s="25" t="n">
        <f aca="false">I12076</f>
        <v>1315.098</v>
      </c>
      <c r="J12113" s="25" t="n">
        <f aca="false">J12076</f>
        <v>1315.098</v>
      </c>
      <c r="K12113" s="25" t="n">
        <f aca="false">K12076</f>
        <v>1315.098</v>
      </c>
    </row>
    <row r="12114" customFormat="false" ht="15" hidden="false" customHeight="false" outlineLevel="0" collapsed="false">
      <c r="A12114" s="3" t="s">
        <v>360</v>
      </c>
      <c r="G12114" s="25" t="n">
        <f aca="false">Assumptions!$O$56*G12048+Assumptions!$O$57*G12061+Assumptions!$O$58*G12074</f>
        <v>1315.098</v>
      </c>
      <c r="H12114" s="25" t="n">
        <f aca="false">Assumptions!$O$56*H12048+Assumptions!$O$57*H12061+Assumptions!$O$58*H12074</f>
        <v>1315.098</v>
      </c>
      <c r="I12114" s="25" t="n">
        <f aca="false">Assumptions!$O$56*I12048+Assumptions!$O$57*I12061+Assumptions!$O$58*I12074</f>
        <v>1315.098</v>
      </c>
      <c r="J12114" s="25" t="n">
        <f aca="false">Assumptions!$O$56*J12048+Assumptions!$O$57*J12061+Assumptions!$O$58*J12074</f>
        <v>1315.098</v>
      </c>
      <c r="K12114" s="25" t="n">
        <f aca="false">Assumptions!$O$56*K12048+Assumptions!$O$57*K12061+Assumptions!$O$58*K12074</f>
        <v>1315.098</v>
      </c>
    </row>
    <row r="12115" customFormat="false" ht="15" hidden="false" customHeight="false" outlineLevel="0" collapsed="false">
      <c r="A12115" s="3" t="s">
        <v>361</v>
      </c>
      <c r="G12115" s="25" t="n">
        <f aca="false">G12113-G12106</f>
        <v>1145.69064597</v>
      </c>
      <c r="H12115" s="25" t="n">
        <f aca="false">H12113-H12106</f>
        <v>1029.5366262012</v>
      </c>
      <c r="I12115" s="25" t="n">
        <f aca="false">I12113-I12106</f>
        <v>924.522622233096</v>
      </c>
      <c r="J12115" s="25" t="n">
        <f aca="false">J12113-J12106</f>
        <v>815.657374029684</v>
      </c>
      <c r="K12115" s="25" t="n">
        <f aca="false">K12113-K12106</f>
        <v>715.969651150905</v>
      </c>
    </row>
    <row r="12116" customFormat="false" ht="15" hidden="false" customHeight="false" outlineLevel="0" collapsed="false">
      <c r="A12116" s="3" t="s">
        <v>362</v>
      </c>
      <c r="G12116" s="32" t="n">
        <f aca="false">IF(G12011&gt;0,G12113/G12011,0)</f>
        <v>5.77916207762031</v>
      </c>
      <c r="H12116" s="32" t="n">
        <f aca="false">IF(H12011&gt;0,H12113/H12011,0)</f>
        <v>6.01996049752115</v>
      </c>
      <c r="I12116" s="32" t="n">
        <f aca="false">IF(I12011&gt;0,I12113/I12011,0)</f>
        <v>4.79551511119407</v>
      </c>
      <c r="J12116" s="32" t="n">
        <f aca="false">IF(J12011&gt;0,J12113/J12011,0)</f>
        <v>5.01653339406293</v>
      </c>
      <c r="K12116" s="32" t="n">
        <f aca="false">IF(K12011&gt;0,K12113/K12011,0)</f>
        <v>5.2488732235156</v>
      </c>
    </row>
    <row r="12117" customFormat="false" ht="15" hidden="false" customHeight="false" outlineLevel="0" collapsed="false">
      <c r="A12117" s="3" t="s">
        <v>363</v>
      </c>
      <c r="G12117" s="32" t="n">
        <f aca="false">IF(G12011&gt;0,G12115/G12011,0)</f>
        <v>3.81499621093561</v>
      </c>
      <c r="H12117" s="32" t="n">
        <f aca="false">IF(H12011&gt;0,H12115/H12011,0)</f>
        <v>3.57106135590274</v>
      </c>
      <c r="I12117" s="32" t="n">
        <f aca="false">IF(I12011&gt;0,I12115/I12011,0)</f>
        <v>3.37127895073947</v>
      </c>
      <c r="J12117" s="32" t="n">
        <f aca="false">IF(J12011&gt;0,J12115/J12011,0)</f>
        <v>3.11138215930188</v>
      </c>
      <c r="K12117" s="32" t="n">
        <f aca="false">IF(K12011&gt;0,K12115/K12011,0)</f>
        <v>2.85760751729209</v>
      </c>
    </row>
    <row r="12118" customFormat="false" ht="15" hidden="false" customHeight="false" outlineLevel="0" collapsed="false">
      <c r="A12118" s="3" t="s">
        <v>364</v>
      </c>
      <c r="G12118" s="32" t="n">
        <f aca="false">IF(G12015&gt;0,G12011/G12015,0)</f>
        <v>1.92563899625449</v>
      </c>
      <c r="H12118" s="32" t="n">
        <f aca="false">IF(H12015&gt;0,H12011/H12015,0)</f>
        <v>1.84861343640431</v>
      </c>
      <c r="I12118" s="32" t="n">
        <f aca="false">IF(I12015&gt;0,I12011/I12015,0)</f>
        <v>1.75842750947116</v>
      </c>
      <c r="J12118" s="32" t="n">
        <f aca="false">IF(J12015&gt;0,J12011/J12015,0)</f>
        <v>1.89848422719182</v>
      </c>
      <c r="K12118" s="32" t="n">
        <f aca="false">IF(K12015&gt;0,K12011/K12015,0)</f>
        <v>1.81444838125289</v>
      </c>
    </row>
    <row r="12119" customFormat="false" ht="15" hidden="false" customHeight="false" outlineLevel="0" collapsed="false">
      <c r="A12119" s="3" t="s">
        <v>365</v>
      </c>
      <c r="G12119" s="32" t="n">
        <f aca="false">IF(G12015&gt;0,G12014/G12015,0)</f>
        <v>1.25417683356324</v>
      </c>
      <c r="H12119" s="32" t="n">
        <f aca="false">IF(H12015&gt;0,H12014/H12015,0)</f>
        <v>1.20400976022071</v>
      </c>
      <c r="I12119" s="32" t="n">
        <f aca="false">IF(I12015&gt;0,I12014/I12015,0)</f>
        <v>1.13638496195398</v>
      </c>
      <c r="J12119" s="32" t="n">
        <f aca="false">IF(J12015&gt;0,J12014/J12015,0)</f>
        <v>1.21702042306555</v>
      </c>
      <c r="K12119" s="32" t="n">
        <f aca="false">IF(K12015&gt;0,K12014/K12015,0)</f>
        <v>1.1534284912504</v>
      </c>
    </row>
    <row r="12120" customFormat="false" ht="15" hidden="false" customHeight="false" outlineLevel="0" collapsed="false">
      <c r="A12120" s="3" t="s">
        <v>198</v>
      </c>
      <c r="G12120" s="21" t="n">
        <f aca="false">IF(G12113&gt;0,G12024/G12113,0)</f>
        <v>0.0725228682196002</v>
      </c>
      <c r="H12120" s="21" t="n">
        <f aca="false">IF(H12113&gt;0,H12024/H12113,0)</f>
        <v>0.0669261917340515</v>
      </c>
      <c r="I12120" s="21" t="n">
        <f aca="false">IF(I12113&gt;0,I12024/I12113,0)</f>
        <v>0.0798526071578726</v>
      </c>
      <c r="J12120" s="21" t="n">
        <f aca="false">IF(J12113&gt;0,J12024/J12113,0)</f>
        <v>0.0827810917539313</v>
      </c>
      <c r="K12120" s="21" t="n">
        <f aca="false">IF(K12113&gt;0,K12024/K12113,0)</f>
        <v>0.0758025051203631</v>
      </c>
    </row>
    <row r="12121" customFormat="false" ht="15" hidden="false" customHeight="false" outlineLevel="0" collapsed="false">
      <c r="A12121" s="3" t="s">
        <v>366</v>
      </c>
      <c r="G12121" s="32" t="n">
        <f aca="false">IF(G12015+G12097&gt;0,(G12011-G12022-G12019)/(G12015+G12097),0)</f>
        <v>1.66953088823823</v>
      </c>
      <c r="H12121" s="32" t="n">
        <f aca="false">IF(H12015+H12097&gt;0,(H12011-H12022-H12019)/(H12015+H12097),0)</f>
        <v>1.6127496527087</v>
      </c>
      <c r="I12121" s="32" t="n">
        <f aca="false">IF(I12015+I12097&gt;0,(I12011-I12022-I12019)/(I12015+I12097),0)</f>
        <v>1.54594007236964</v>
      </c>
      <c r="J12121" s="32" t="n">
        <f aca="false">IF(J12015+J12097&gt;0,(J12011-J12022-J12019)/(J12015+J12097),0)</f>
        <v>1.64879692156745</v>
      </c>
      <c r="K12121" s="32" t="n">
        <f aca="false">IF(K12015+K12097&gt;0,(K12011-K12022-K12019)/(K12015+K12097),0)</f>
        <v>1.58652202457805</v>
      </c>
    </row>
    <row r="12122" customFormat="false" ht="15" hidden="false" customHeight="false" outlineLevel="0" collapsed="false">
      <c r="A12122" s="3" t="s">
        <v>367</v>
      </c>
      <c r="G12122" s="25" t="n">
        <f aca="false">MAX(0,G12106)+Assumptions!$P$56*MAX(0,Assumptions!$D$56-G12048)+Assumptions!$P$57*MAX(0,Assumptions!$D$57-G12061)+Assumptions!$P$58*MAX(0,Assumptions!$D$58-G12074)</f>
        <v>589.86335403</v>
      </c>
      <c r="H12122" s="25" t="n">
        <f aca="false">MAX(0,H12106)+Assumptions!$P$56*MAX(0,Assumptions!$D$56-H12048)+Assumptions!$P$57*MAX(0,Assumptions!$D$57-H12061)+Assumptions!$P$58*MAX(0,Assumptions!$D$58-H12074)</f>
        <v>706.0173737988</v>
      </c>
      <c r="I12122" s="25" t="n">
        <f aca="false">MAX(0,I12106)+Assumptions!$P$56*MAX(0,Assumptions!$D$56-I12048)+Assumptions!$P$57*MAX(0,Assumptions!$D$57-I12061)+Assumptions!$P$58*MAX(0,Assumptions!$D$58-I12074)</f>
        <v>390.575377766904</v>
      </c>
      <c r="J12122" s="25" t="n">
        <f aca="false">MAX(0,J12106)+Assumptions!$P$56*MAX(0,Assumptions!$D$56-J12048)+Assumptions!$P$57*MAX(0,Assumptions!$D$57-J12061)+Assumptions!$P$58*MAX(0,Assumptions!$D$58-J12074)</f>
        <v>499.440625970316</v>
      </c>
      <c r="K12122" s="25" t="n">
        <f aca="false">MAX(0,K12106)+Assumptions!$P$56*MAX(0,Assumptions!$D$56-K12048)+Assumptions!$P$57*MAX(0,Assumptions!$D$57-K12061)+Assumptions!$P$58*MAX(0,Assumptions!$D$58-K12074)</f>
        <v>599.128348849095</v>
      </c>
    </row>
    <row r="12123" customFormat="false" ht="15" hidden="false" customHeight="false" outlineLevel="0" collapsed="false">
      <c r="A12123" s="3" t="s">
        <v>368</v>
      </c>
      <c r="G12123" s="21" t="n">
        <f aca="false">IF(G12113&gt;0,G12113/(G12113+MAX(0,G12011*CHOOSE($C$11994,Assumptions!$C$82,Assumptions!$C$101,Assumptions!$C$120)-G12115)),0)</f>
        <v>0.774254240974845</v>
      </c>
      <c r="H12123" s="21" t="n">
        <f aca="false">IF(H12113&gt;0,H12113/(H12113+MAX(0,H12011*CHOOSE($C$11994,Assumptions!$C$82,Assumptions!$C$101,Assumptions!$C$120)-H12115)),0)</f>
        <v>0.757332605467614</v>
      </c>
      <c r="I12123" s="21" t="n">
        <f aca="false">IF(I12113&gt;0,I12113/(I12113+MAX(0,I12011*CHOOSE($C$11994,Assumptions!$C$82,Assumptions!$C$101,Assumptions!$C$120)-I12115)),0)</f>
        <v>0.692569548476987</v>
      </c>
      <c r="J12123" s="21" t="n">
        <f aca="false">IF(J12113&gt;0,J12113/(J12113+MAX(0,J12011*CHOOSE($C$11994,Assumptions!$C$82,Assumptions!$C$101,Assumptions!$C$120)-J12115)),0)</f>
        <v>0.677438344609961</v>
      </c>
      <c r="K12123" s="21" t="n">
        <f aca="false">IF(K12113&gt;0,K12113/(K12113+MAX(0,K12011*CHOOSE($C$11994,Assumptions!$C$82,Assumptions!$C$101,Assumptions!$C$120)-K12115)),0)</f>
        <v>0.665149726155595</v>
      </c>
    </row>
    <row r="12124" customFormat="false" ht="15" hidden="false" customHeight="false" outlineLevel="0" collapsed="false">
      <c r="A12124" s="3" t="s">
        <v>369</v>
      </c>
      <c r="G12124" s="21" t="n">
        <f aca="false">IF(G12113&gt;0,MAX(0,G12106)/G12113,0)</f>
        <v>0.339870354958705</v>
      </c>
      <c r="H12124" s="21" t="n">
        <f aca="false">IF(H12113&gt;0,MAX(0,H12106)/H12113,0)</f>
        <v>0.406796546692756</v>
      </c>
      <c r="I12124" s="21" t="n">
        <f aca="false">IF(I12113&gt;0,MAX(0,I12106)/I12113,0)</f>
        <v>0.296993363055</v>
      </c>
      <c r="J12124" s="21" t="n">
        <f aca="false">IF(J12113&gt;0,MAX(0,J12106)/J12113,0)</f>
        <v>0.379774454808931</v>
      </c>
      <c r="K12124" s="21" t="n">
        <f aca="false">IF(K12113&gt;0,MAX(0,K12106)/K12113,0)</f>
        <v>0.455576959929294</v>
      </c>
    </row>
    <row r="12125" customFormat="false" ht="15" hidden="false" customHeight="false" outlineLevel="0" collapsed="false">
      <c r="A12125" s="3" t="s">
        <v>370</v>
      </c>
      <c r="G12125" s="25" t="n">
        <f aca="false">Assumptions!$C$30*(1-CHOOSE($C$11994,Assumptions!$C$85,Assumptions!$C$104,Assumptions!$C$123))</f>
        <v>2454.971</v>
      </c>
      <c r="H12125" s="25" t="n">
        <f aca="false">Assumptions!$C$30*(1-CHOOSE($C$11994,Assumptions!$C$85,Assumptions!$C$104,Assumptions!$C$123))</f>
        <v>2454.971</v>
      </c>
      <c r="I12125" s="25" t="n">
        <f aca="false">Assumptions!$C$30*(1-CHOOSE($C$11994,Assumptions!$C$85,Assumptions!$C$104,Assumptions!$C$123))</f>
        <v>2454.971</v>
      </c>
      <c r="J12125" s="25" t="n">
        <f aca="false">Assumptions!$C$30*(1-CHOOSE($C$11994,Assumptions!$C$85,Assumptions!$C$104,Assumptions!$C$123))</f>
        <v>2454.971</v>
      </c>
      <c r="K12125" s="25" t="n">
        <f aca="false">Assumptions!$C$30*(1-CHOOSE($C$11994,Assumptions!$C$85,Assumptions!$C$104,Assumptions!$C$123))</f>
        <v>2454.971</v>
      </c>
    </row>
    <row r="12126" customFormat="false" ht="15" hidden="false" customHeight="false" outlineLevel="0" collapsed="false">
      <c r="A12126" s="23" t="s">
        <v>371</v>
      </c>
      <c r="B12126" s="24"/>
      <c r="C12126" s="24"/>
      <c r="D12126" s="24"/>
      <c r="E12126" s="24"/>
      <c r="F12126" s="24"/>
      <c r="G12126" s="24"/>
      <c r="H12126" s="24"/>
      <c r="I12126" s="24"/>
      <c r="J12126" s="24"/>
      <c r="K12126" s="24"/>
    </row>
    <row r="12127" customFormat="false" ht="15" hidden="false" customHeight="false" outlineLevel="0" collapsed="false">
      <c r="A12127" s="23" t="s">
        <v>372</v>
      </c>
      <c r="B12127" s="24"/>
      <c r="C12127" s="24"/>
      <c r="D12127" s="24"/>
      <c r="E12127" s="24"/>
      <c r="F12127" s="24"/>
      <c r="G12127" s="24"/>
      <c r="H12127" s="24"/>
      <c r="I12127" s="24"/>
      <c r="J12127" s="24"/>
      <c r="K12127" s="24"/>
    </row>
    <row r="12128" customFormat="false" ht="15" hidden="false" customHeight="false" outlineLevel="0" collapsed="false">
      <c r="A12128" s="3" t="s">
        <v>373</v>
      </c>
      <c r="G12128" s="32" t="n">
        <f aca="false">IF(G12011&gt;0,G12115/G12011,99)</f>
        <v>3.81499621093561</v>
      </c>
      <c r="H12128" s="32" t="n">
        <f aca="false">IF(H12011&gt;0,H12115/H12011,99)</f>
        <v>3.57106135590274</v>
      </c>
      <c r="I12128" s="32" t="n">
        <f aca="false">IF(I12011&gt;0,I12115/I12011,99)</f>
        <v>3.37127895073947</v>
      </c>
      <c r="J12128" s="32" t="n">
        <f aca="false">IF(J12011&gt;0,J12115/J12011,99)</f>
        <v>3.11138215930188</v>
      </c>
      <c r="K12128" s="32" t="n">
        <f aca="false">IF(K12011&gt;0,K12115/K12011,99)</f>
        <v>2.85760751729209</v>
      </c>
    </row>
    <row r="12129" customFormat="false" ht="15" hidden="false" customHeight="false" outlineLevel="0" collapsed="false">
      <c r="A12129" s="3" t="s">
        <v>374</v>
      </c>
      <c r="G12129" s="33" t="n">
        <f aca="false">Assumptions!$G$65</f>
        <v>5.25</v>
      </c>
      <c r="H12129" s="33" t="n">
        <f aca="false">Assumptions!$H$65</f>
        <v>5.25</v>
      </c>
      <c r="I12129" s="33" t="n">
        <f aca="false">Assumptions!$I$65</f>
        <v>5</v>
      </c>
      <c r="J12129" s="33" t="n">
        <f aca="false">Assumptions!$J$65</f>
        <v>5</v>
      </c>
      <c r="K12129" s="33" t="n">
        <f aca="false">Assumptions!$K$65</f>
        <v>5</v>
      </c>
    </row>
    <row r="12130" customFormat="false" ht="15" hidden="false" customHeight="false" outlineLevel="0" collapsed="false">
      <c r="A12130" s="3" t="s">
        <v>375</v>
      </c>
      <c r="G12130" s="32" t="n">
        <f aca="false">G12129-G12128</f>
        <v>1.43500378906439</v>
      </c>
      <c r="H12130" s="32" t="n">
        <f aca="false">H12129-H12128</f>
        <v>1.67893864409726</v>
      </c>
      <c r="I12130" s="32" t="n">
        <f aca="false">I12129-I12128</f>
        <v>1.62872104926053</v>
      </c>
      <c r="J12130" s="32" t="n">
        <f aca="false">J12129-J12128</f>
        <v>1.88861784069812</v>
      </c>
      <c r="K12130" s="32" t="n">
        <f aca="false">K12129-K12128</f>
        <v>2.14239248270791</v>
      </c>
    </row>
    <row r="12131" customFormat="false" ht="15" hidden="false" customHeight="false" outlineLevel="0" collapsed="false">
      <c r="A12131" s="3" t="s">
        <v>376</v>
      </c>
      <c r="G12131" s="21" t="n">
        <f aca="false">IF(G12129=0,0,G12130/ABS(G12129))</f>
        <v>0.273334055059884</v>
      </c>
      <c r="H12131" s="21" t="n">
        <f aca="false">IF(H12129=0,0,H12130/ABS(H12129))</f>
        <v>0.319797836970907</v>
      </c>
      <c r="I12131" s="21" t="n">
        <f aca="false">IF(I12129=0,0,I12130/ABS(I12129))</f>
        <v>0.325744209852106</v>
      </c>
      <c r="J12131" s="21" t="n">
        <f aca="false">IF(J12129=0,0,J12130/ABS(J12129))</f>
        <v>0.377723568139623</v>
      </c>
      <c r="K12131" s="21" t="n">
        <f aca="false">IF(K12129=0,0,K12130/ABS(K12129))</f>
        <v>0.428478496541582</v>
      </c>
    </row>
    <row r="12132" customFormat="false" ht="15" hidden="false" customHeight="false" outlineLevel="0" collapsed="false">
      <c r="A12132" s="3" t="s">
        <v>377</v>
      </c>
      <c r="G12132" s="20" t="n">
        <f aca="false">IF(G12130&lt;0,1,0)</f>
        <v>0</v>
      </c>
      <c r="H12132" s="20" t="n">
        <f aca="false">IF(H12130&lt;0,1,0)</f>
        <v>0</v>
      </c>
      <c r="I12132" s="20" t="n">
        <f aca="false">IF(I12130&lt;0,1,0)</f>
        <v>0</v>
      </c>
      <c r="J12132" s="20" t="n">
        <f aca="false">IF(J12130&lt;0,1,0)</f>
        <v>0</v>
      </c>
      <c r="K12132" s="20" t="n">
        <f aca="false">IF(K12130&lt;0,1,0)</f>
        <v>0</v>
      </c>
    </row>
    <row r="12133" customFormat="false" ht="15" hidden="false" customHeight="false" outlineLevel="0" collapsed="false">
      <c r="A12133" s="3" t="s">
        <v>378</v>
      </c>
      <c r="C12133" s="20" t="n">
        <f aca="false">IFERROR(INDEX($G$12001:$K$12001,MATCH(1,$G$12132:$K$12132,0)),0)</f>
        <v>0</v>
      </c>
    </row>
    <row r="12134" customFormat="false" ht="15" hidden="false" customHeight="false" outlineLevel="0" collapsed="false">
      <c r="A12134" s="3" t="s">
        <v>379</v>
      </c>
      <c r="C12134" s="21" t="n">
        <f aca="false">MIN($G$12131:$K$12131)</f>
        <v>0.273334055059884</v>
      </c>
    </row>
    <row r="12135" customFormat="false" ht="15" hidden="false" customHeight="false" outlineLevel="0" collapsed="false">
      <c r="A12135" s="23" t="s">
        <v>380</v>
      </c>
      <c r="B12135" s="24"/>
      <c r="C12135" s="24"/>
      <c r="D12135" s="24"/>
      <c r="E12135" s="24"/>
      <c r="F12135" s="24"/>
      <c r="G12135" s="24"/>
      <c r="H12135" s="24"/>
      <c r="I12135" s="24"/>
      <c r="J12135" s="24"/>
      <c r="K12135" s="24"/>
    </row>
    <row r="12136" customFormat="false" ht="15" hidden="false" customHeight="false" outlineLevel="0" collapsed="false">
      <c r="A12136" s="3" t="s">
        <v>373</v>
      </c>
      <c r="G12136" s="32" t="n">
        <f aca="false">IF(G12015&gt;0,G12011/G12015,99)</f>
        <v>1.92563899625449</v>
      </c>
      <c r="H12136" s="32" t="n">
        <f aca="false">IF(H12015&gt;0,H12011/H12015,99)</f>
        <v>1.84861343640431</v>
      </c>
      <c r="I12136" s="32" t="n">
        <f aca="false">IF(I12015&gt;0,I12011/I12015,99)</f>
        <v>1.75842750947116</v>
      </c>
      <c r="J12136" s="32" t="n">
        <f aca="false">IF(J12015&gt;0,J12011/J12015,99)</f>
        <v>1.89848422719182</v>
      </c>
      <c r="K12136" s="32" t="n">
        <f aca="false">IF(K12015&gt;0,K12011/K12015,99)</f>
        <v>1.81444838125289</v>
      </c>
    </row>
    <row r="12137" customFormat="false" ht="15" hidden="false" customHeight="false" outlineLevel="0" collapsed="false">
      <c r="A12137" s="3" t="s">
        <v>374</v>
      </c>
      <c r="G12137" s="33" t="n">
        <f aca="false">Assumptions!$G$66</f>
        <v>1.4</v>
      </c>
      <c r="H12137" s="33" t="n">
        <f aca="false">Assumptions!$H$66</f>
        <v>1.4</v>
      </c>
      <c r="I12137" s="33" t="n">
        <f aca="false">Assumptions!$I$66</f>
        <v>1.4</v>
      </c>
      <c r="J12137" s="33" t="n">
        <f aca="false">Assumptions!$J$66</f>
        <v>1.5</v>
      </c>
      <c r="K12137" s="33" t="n">
        <f aca="false">Assumptions!$K$66</f>
        <v>1.5</v>
      </c>
    </row>
    <row r="12138" customFormat="false" ht="15" hidden="false" customHeight="false" outlineLevel="0" collapsed="false">
      <c r="A12138" s="3" t="s">
        <v>375</v>
      </c>
      <c r="G12138" s="32" t="n">
        <f aca="false">G12136-G12137</f>
        <v>0.525638996254489</v>
      </c>
      <c r="H12138" s="32" t="n">
        <f aca="false">H12136-H12137</f>
        <v>0.448613436404309</v>
      </c>
      <c r="I12138" s="32" t="n">
        <f aca="false">I12136-I12137</f>
        <v>0.358427509471156</v>
      </c>
      <c r="J12138" s="32" t="n">
        <f aca="false">J12136-J12137</f>
        <v>0.398484227191822</v>
      </c>
      <c r="K12138" s="32" t="n">
        <f aca="false">K12136-K12137</f>
        <v>0.31444838125289</v>
      </c>
    </row>
    <row r="12139" customFormat="false" ht="15" hidden="false" customHeight="false" outlineLevel="0" collapsed="false">
      <c r="A12139" s="3" t="s">
        <v>376</v>
      </c>
      <c r="G12139" s="21" t="n">
        <f aca="false">IF(G12137=0,0,G12138/ABS(G12137))</f>
        <v>0.375456425896063</v>
      </c>
      <c r="H12139" s="21" t="n">
        <f aca="false">IF(H12137=0,0,H12138/ABS(H12137))</f>
        <v>0.320438168860221</v>
      </c>
      <c r="I12139" s="21" t="n">
        <f aca="false">IF(I12137=0,0,I12138/ABS(I12137))</f>
        <v>0.256019649622254</v>
      </c>
      <c r="J12139" s="21" t="n">
        <f aca="false">IF(J12137=0,0,J12138/ABS(J12137))</f>
        <v>0.265656151461215</v>
      </c>
      <c r="K12139" s="21" t="n">
        <f aca="false">IF(K12137=0,0,K12138/ABS(K12137))</f>
        <v>0.209632254168593</v>
      </c>
    </row>
    <row r="12140" customFormat="false" ht="15" hidden="false" customHeight="false" outlineLevel="0" collapsed="false">
      <c r="A12140" s="3" t="s">
        <v>377</v>
      </c>
      <c r="G12140" s="20" t="n">
        <f aca="false">IF(G12138&lt;0,1,0)</f>
        <v>0</v>
      </c>
      <c r="H12140" s="20" t="n">
        <f aca="false">IF(H12138&lt;0,1,0)</f>
        <v>0</v>
      </c>
      <c r="I12140" s="20" t="n">
        <f aca="false">IF(I12138&lt;0,1,0)</f>
        <v>0</v>
      </c>
      <c r="J12140" s="20" t="n">
        <f aca="false">IF(J12138&lt;0,1,0)</f>
        <v>0</v>
      </c>
      <c r="K12140" s="20" t="n">
        <f aca="false">IF(K12138&lt;0,1,0)</f>
        <v>0</v>
      </c>
    </row>
    <row r="12141" customFormat="false" ht="15" hidden="false" customHeight="false" outlineLevel="0" collapsed="false">
      <c r="A12141" s="3" t="s">
        <v>378</v>
      </c>
      <c r="C12141" s="20" t="n">
        <f aca="false">IFERROR(INDEX($G$12001:$K$12001,MATCH(1,$G$12140:$K$12140,0)),0)</f>
        <v>0</v>
      </c>
    </row>
    <row r="12142" customFormat="false" ht="15" hidden="false" customHeight="false" outlineLevel="0" collapsed="false">
      <c r="A12142" s="3" t="s">
        <v>379</v>
      </c>
      <c r="C12142" s="21" t="n">
        <f aca="false">MIN($G$12139:$K$12139)</f>
        <v>0.209632254168593</v>
      </c>
    </row>
    <row r="12143" customFormat="false" ht="15" hidden="false" customHeight="false" outlineLevel="0" collapsed="false">
      <c r="A12143" s="23" t="s">
        <v>381</v>
      </c>
      <c r="B12143" s="24"/>
      <c r="C12143" s="24"/>
      <c r="D12143" s="24"/>
      <c r="E12143" s="24"/>
      <c r="F12143" s="24"/>
      <c r="G12143" s="24"/>
      <c r="H12143" s="24"/>
      <c r="I12143" s="24"/>
      <c r="J12143" s="24"/>
      <c r="K12143" s="24"/>
    </row>
    <row r="12144" customFormat="false" ht="15" hidden="false" customHeight="false" outlineLevel="0" collapsed="false">
      <c r="A12144" s="3" t="s">
        <v>373</v>
      </c>
      <c r="G12144" s="25" t="n">
        <f aca="false">G12122</f>
        <v>589.86335403</v>
      </c>
      <c r="H12144" s="25" t="n">
        <f aca="false">H12122</f>
        <v>706.0173737988</v>
      </c>
      <c r="I12144" s="25" t="n">
        <f aca="false">I12122</f>
        <v>390.575377766904</v>
      </c>
      <c r="J12144" s="25" t="n">
        <f aca="false">J12122</f>
        <v>499.440625970316</v>
      </c>
      <c r="K12144" s="25" t="n">
        <f aca="false">K12122</f>
        <v>599.128348849095</v>
      </c>
    </row>
    <row r="12145" customFormat="false" ht="15" hidden="false" customHeight="false" outlineLevel="0" collapsed="false">
      <c r="A12145" s="3" t="s">
        <v>374</v>
      </c>
      <c r="G12145" s="29" t="n">
        <f aca="false">Assumptions!$G$67</f>
        <v>200</v>
      </c>
      <c r="H12145" s="29" t="n">
        <f aca="false">Assumptions!$H$67</f>
        <v>200</v>
      </c>
      <c r="I12145" s="29" t="n">
        <f aca="false">Assumptions!$I$67</f>
        <v>200</v>
      </c>
      <c r="J12145" s="29" t="n">
        <f aca="false">Assumptions!$J$67</f>
        <v>200</v>
      </c>
      <c r="K12145" s="29" t="n">
        <f aca="false">Assumptions!$K$67</f>
        <v>200</v>
      </c>
    </row>
    <row r="12146" customFormat="false" ht="15" hidden="false" customHeight="false" outlineLevel="0" collapsed="false">
      <c r="A12146" s="3" t="s">
        <v>375</v>
      </c>
      <c r="G12146" s="25" t="n">
        <f aca="false">G12144-G12145</f>
        <v>389.86335403</v>
      </c>
      <c r="H12146" s="25" t="n">
        <f aca="false">H12144-H12145</f>
        <v>506.0173737988</v>
      </c>
      <c r="I12146" s="25" t="n">
        <f aca="false">I12144-I12145</f>
        <v>190.575377766904</v>
      </c>
      <c r="J12146" s="25" t="n">
        <f aca="false">J12144-J12145</f>
        <v>299.440625970316</v>
      </c>
      <c r="K12146" s="25" t="n">
        <f aca="false">K12144-K12145</f>
        <v>399.128348849095</v>
      </c>
    </row>
    <row r="12147" customFormat="false" ht="15" hidden="false" customHeight="false" outlineLevel="0" collapsed="false">
      <c r="A12147" s="3" t="s">
        <v>376</v>
      </c>
      <c r="G12147" s="21" t="n">
        <f aca="false">IF(G12145=0,0,G12146/ABS(G12145))</f>
        <v>1.94931677015</v>
      </c>
      <c r="H12147" s="21" t="n">
        <f aca="false">IF(H12145=0,0,H12146/ABS(H12145))</f>
        <v>2.530086868994</v>
      </c>
      <c r="I12147" s="21" t="n">
        <f aca="false">IF(I12145=0,0,I12146/ABS(I12145))</f>
        <v>0.95287688883452</v>
      </c>
      <c r="J12147" s="21" t="n">
        <f aca="false">IF(J12145=0,0,J12146/ABS(J12145))</f>
        <v>1.49720312985158</v>
      </c>
      <c r="K12147" s="21" t="n">
        <f aca="false">IF(K12145=0,0,K12146/ABS(K12145))</f>
        <v>1.99564174424547</v>
      </c>
    </row>
    <row r="12148" customFormat="false" ht="15" hidden="false" customHeight="false" outlineLevel="0" collapsed="false">
      <c r="A12148" s="3" t="s">
        <v>377</v>
      </c>
      <c r="G12148" s="20" t="n">
        <f aca="false">IF(G12146&lt;0,1,0)</f>
        <v>0</v>
      </c>
      <c r="H12148" s="20" t="n">
        <f aca="false">IF(H12146&lt;0,1,0)</f>
        <v>0</v>
      </c>
      <c r="I12148" s="20" t="n">
        <f aca="false">IF(I12146&lt;0,1,0)</f>
        <v>0</v>
      </c>
      <c r="J12148" s="20" t="n">
        <f aca="false">IF(J12146&lt;0,1,0)</f>
        <v>0</v>
      </c>
      <c r="K12148" s="20" t="n">
        <f aca="false">IF(K12146&lt;0,1,0)</f>
        <v>0</v>
      </c>
    </row>
    <row r="12149" customFormat="false" ht="15" hidden="false" customHeight="false" outlineLevel="0" collapsed="false">
      <c r="A12149" s="3" t="s">
        <v>378</v>
      </c>
      <c r="C12149" s="20" t="n">
        <f aca="false">IFERROR(INDEX($G$12001:$K$12001,MATCH(1,$G$12148:$K$12148,0)),0)</f>
        <v>0</v>
      </c>
    </row>
    <row r="12150" customFormat="false" ht="15" hidden="false" customHeight="false" outlineLevel="0" collapsed="false">
      <c r="A12150" s="3" t="s">
        <v>379</v>
      </c>
      <c r="C12150" s="21" t="n">
        <f aca="false">MIN($G$12147:$K$12147)</f>
        <v>0.95287688883452</v>
      </c>
    </row>
    <row r="12151" customFormat="false" ht="15" hidden="false" customHeight="false" outlineLevel="0" collapsed="false">
      <c r="A12151" s="3" t="s">
        <v>382</v>
      </c>
      <c r="G12151" s="20" t="n">
        <f aca="false">G12132+G12140+G12148</f>
        <v>0</v>
      </c>
      <c r="H12151" s="20" t="n">
        <f aca="false">H12132+H12140+H12148</f>
        <v>0</v>
      </c>
      <c r="I12151" s="20" t="n">
        <f aca="false">I12132+I12140+I12148</f>
        <v>0</v>
      </c>
      <c r="J12151" s="20" t="n">
        <f aca="false">J12132+J12140+J12148</f>
        <v>0</v>
      </c>
      <c r="K12151" s="20" t="n">
        <f aca="false">K12132+K12140+K12148</f>
        <v>0</v>
      </c>
    </row>
    <row r="12152" customFormat="false" ht="15" hidden="false" customHeight="false" outlineLevel="0" collapsed="false">
      <c r="A12152" s="3" t="s">
        <v>383</v>
      </c>
      <c r="C12152" s="20" t="n">
        <f aca="false">SUM($G$12151:$K$12151)</f>
        <v>0</v>
      </c>
    </row>
    <row r="12153" customFormat="false" ht="15" hidden="false" customHeight="false" outlineLevel="0" collapsed="false">
      <c r="A12153" s="3" t="s">
        <v>384</v>
      </c>
      <c r="C12153" s="21" t="n">
        <f aca="false">MIN(C12134,C12142,C12150)</f>
        <v>0.209632254168593</v>
      </c>
    </row>
    <row r="12155" customFormat="false" ht="15" hidden="false" customHeight="false" outlineLevel="0" collapsed="false">
      <c r="A12155" s="23" t="s">
        <v>486</v>
      </c>
      <c r="B12155" s="24"/>
      <c r="C12155" s="24"/>
      <c r="D12155" s="24"/>
      <c r="E12155" s="24"/>
      <c r="F12155" s="24"/>
      <c r="G12155" s="24"/>
      <c r="H12155" s="24"/>
      <c r="I12155" s="24"/>
      <c r="J12155" s="24"/>
      <c r="K12155" s="24"/>
    </row>
    <row r="12156" customFormat="false" ht="15" hidden="false" customHeight="false" outlineLevel="0" collapsed="false">
      <c r="A12156" s="3" t="s">
        <v>487</v>
      </c>
      <c r="G12156" s="20" t="n">
        <f aca="false">IF($C$12157=1,G12109,IF(G12011=MIN($G$12011:$K$12011),1,0))</f>
        <v>0</v>
      </c>
      <c r="H12156" s="20" t="n">
        <f aca="false">IF($C$12157=1,H12109,IF(AND(H12011=MIN($G$12011:$K$12011),SUM($G$12156:G12156)=0),1,0))</f>
        <v>0</v>
      </c>
      <c r="I12156" s="20" t="n">
        <f aca="false">IF($C$12157=1,I12109,IF(AND(I12011=MIN($G$12011:$K$12011),SUM($G$12156:H12156)=0),1,0))</f>
        <v>0</v>
      </c>
      <c r="J12156" s="20" t="n">
        <f aca="false">IF($C$12157=1,J12109,IF(AND(J12011=MIN($G$12011:$K$12011),SUM($G$12156:I12156)=0),1,0))</f>
        <v>0</v>
      </c>
      <c r="K12156" s="20" t="n">
        <f aca="false">IF($C$12157=1,K12109,IF(AND(K12011=MIN($G$12011:$K$12011),SUM($G$12156:J12156)=0),1,0))</f>
        <v>1</v>
      </c>
    </row>
    <row r="12157" customFormat="false" ht="15" hidden="false" customHeight="false" outlineLevel="0" collapsed="false">
      <c r="A12157" s="3" t="s">
        <v>488</v>
      </c>
      <c r="C12157" s="20" t="n">
        <f aca="false">IF(SUM($G$12109:$K$12109)&gt;0,1,0)</f>
        <v>0</v>
      </c>
    </row>
    <row r="12158" customFormat="false" ht="15" hidden="false" customHeight="false" outlineLevel="0" collapsed="false">
      <c r="A12158" s="3" t="s">
        <v>489</v>
      </c>
      <c r="C12158" s="20" t="n">
        <f aca="false">SUMPRODUCT($G$12156:$K$12156,$G$12001:$K$12001)</f>
        <v>2031</v>
      </c>
    </row>
    <row r="12159" customFormat="false" ht="15" hidden="false" customHeight="false" outlineLevel="0" collapsed="false">
      <c r="A12159" s="3" t="s">
        <v>490</v>
      </c>
      <c r="C12159" s="25" t="n">
        <f aca="false">SUMPRODUCT($G$12156:$K$12156,$G$12011:$K$12011)</f>
        <v>250.548630915336</v>
      </c>
    </row>
    <row r="12160" customFormat="false" ht="15" hidden="false" customHeight="false" outlineLevel="0" collapsed="false">
      <c r="A12160" s="3" t="s">
        <v>491</v>
      </c>
      <c r="C12160" s="25" t="n">
        <f aca="false">MAX(0,SUMPRODUCT($G$12156:$K$12156,$G$12106:$K$12106))</f>
        <v>599.128348849095</v>
      </c>
    </row>
    <row r="12161" customFormat="false" ht="15" hidden="false" customHeight="false" outlineLevel="0" collapsed="false">
      <c r="A12161" s="3" t="s">
        <v>492</v>
      </c>
      <c r="C12161" s="25" t="n">
        <f aca="false">(CHOOSE($C$11994,Assumptions!$C$84,Assumptions!$C$103,Assumptions!$C$122)+$C$11998)*C12159</f>
        <v>1252.74315457668</v>
      </c>
    </row>
    <row r="12162" customFormat="false" ht="15" hidden="false" customHeight="false" outlineLevel="0" collapsed="false">
      <c r="A12162" s="3" t="s">
        <v>493</v>
      </c>
      <c r="C12162" s="25" t="n">
        <f aca="false">Assumptions!$C$30*(1-CHOOSE($C$11994,Assumptions!$C$85,Assumptions!$C$104,Assumptions!$C$123))*CHOOSE($C$11994,Assumptions!$C$86,Assumptions!$C$105,Assumptions!$C$124)</f>
        <v>736.4913</v>
      </c>
    </row>
    <row r="12163" customFormat="false" ht="15" hidden="false" customHeight="false" outlineLevel="0" collapsed="false">
      <c r="A12163" s="3" t="s">
        <v>494</v>
      </c>
      <c r="C12163" s="25" t="n">
        <f aca="false">MAX(C12161,C12162)+C12160</f>
        <v>1851.87150342577</v>
      </c>
    </row>
    <row r="12164" customFormat="false" ht="15" hidden="false" customHeight="false" outlineLevel="0" collapsed="false">
      <c r="A12164" s="2" t="s">
        <v>495</v>
      </c>
      <c r="C12164" s="16" t="n">
        <f aca="false">IF(ISNUMBER(Assumptions!$C$14),Assumptions!$C$14,C12163)</f>
        <v>1851.87150342577</v>
      </c>
    </row>
    <row r="12165" customFormat="false" ht="15" hidden="false" customHeight="false" outlineLevel="0" collapsed="false">
      <c r="A12165" s="3" t="s">
        <v>496</v>
      </c>
      <c r="C12165" s="25" t="n">
        <f aca="false">C12164*Assumptions!$C$15</f>
        <v>74.074860137031</v>
      </c>
    </row>
    <row r="12166" customFormat="false" ht="15" hidden="false" customHeight="false" outlineLevel="0" collapsed="false">
      <c r="A12166" s="2" t="s">
        <v>497</v>
      </c>
      <c r="C12166" s="16" t="n">
        <f aca="false">C12164-C12165</f>
        <v>1777.79664328874</v>
      </c>
    </row>
    <row r="12167" customFormat="false" ht="15" hidden="false" customHeight="false" outlineLevel="0" collapsed="false">
      <c r="A12167" s="23" t="s">
        <v>498</v>
      </c>
      <c r="B12167" s="24"/>
      <c r="C12167" s="24"/>
      <c r="D12167" s="24"/>
      <c r="E12167" s="24"/>
      <c r="F12167" s="24"/>
      <c r="G12167" s="24"/>
      <c r="H12167" s="24"/>
      <c r="I12167" s="24"/>
      <c r="J12167" s="24"/>
      <c r="K12167" s="24"/>
    </row>
    <row r="12168" customFormat="false" ht="15" hidden="false" customHeight="false" outlineLevel="0" collapsed="false">
      <c r="A12168" s="3" t="s">
        <v>499</v>
      </c>
      <c r="C12168" s="25" t="n">
        <f aca="false">SUMPRODUCT($G$12156:$K$12156,$G$12048:$K$12048)*(1+SUMPRODUCT($G$12156:$K$12156,$G$12040:$K$12040)*Assumptions!$C$16/12)</f>
        <v>1349.6193225</v>
      </c>
    </row>
    <row r="12169" customFormat="false" ht="15" hidden="false" customHeight="false" outlineLevel="0" collapsed="false">
      <c r="A12169" s="3" t="s">
        <v>500</v>
      </c>
      <c r="C12169" s="25" t="n">
        <f aca="false">SUMPRODUCT($G$12156:$K$12156,$G$12061:$K$12061)*(1+SUMPRODUCT($G$12156:$K$12156,$G$12053:$K$12053)*Assumptions!$C$16/12)</f>
        <v>0</v>
      </c>
    </row>
    <row r="12170" customFormat="false" ht="15" hidden="false" customHeight="false" outlineLevel="0" collapsed="false">
      <c r="A12170" s="3" t="s">
        <v>501</v>
      </c>
      <c r="C12170" s="25" t="n">
        <f aca="false">SUMPRODUCT($G$12156:$K$12156,$G$12074:$K$12074)*(1+SUMPRODUCT($G$12156:$K$12156,$G$12066:$K$12066)*Assumptions!$C$16/12)</f>
        <v>0</v>
      </c>
    </row>
    <row r="12171" customFormat="false" ht="15" hidden="false" customHeight="false" outlineLevel="0" collapsed="false">
      <c r="A12171" s="23" t="s">
        <v>502</v>
      </c>
      <c r="B12171" s="24"/>
      <c r="C12171" s="24"/>
      <c r="D12171" s="24"/>
      <c r="E12171" s="24"/>
      <c r="F12171" s="24"/>
      <c r="G12171" s="24"/>
      <c r="H12171" s="24"/>
      <c r="I12171" s="24"/>
      <c r="J12171" s="24"/>
      <c r="K12171" s="24"/>
    </row>
    <row r="12172" customFormat="false" ht="15" hidden="false" customHeight="false" outlineLevel="0" collapsed="false">
      <c r="A12172" s="3" t="s">
        <v>499</v>
      </c>
      <c r="C12172" s="27" t="n">
        <f aca="false">Assumptions!$M$56</f>
        <v>1</v>
      </c>
    </row>
    <row r="12173" customFormat="false" ht="15" hidden="false" customHeight="false" outlineLevel="0" collapsed="false">
      <c r="A12173" s="3" t="s">
        <v>500</v>
      </c>
      <c r="C12173" s="27" t="n">
        <f aca="false">Assumptions!$M$57</f>
        <v>2</v>
      </c>
    </row>
    <row r="12174" customFormat="false" ht="15" hidden="false" customHeight="false" outlineLevel="0" collapsed="false">
      <c r="A12174" s="3" t="s">
        <v>501</v>
      </c>
      <c r="C12174" s="27" t="n">
        <f aca="false">Assumptions!$M$58</f>
        <v>2</v>
      </c>
    </row>
    <row r="12175" customFormat="false" ht="15" hidden="false" customHeight="false" outlineLevel="0" collapsed="false">
      <c r="A12175" s="23" t="s">
        <v>503</v>
      </c>
      <c r="B12175" s="24"/>
      <c r="C12175" s="24"/>
      <c r="D12175" s="24"/>
      <c r="E12175" s="24"/>
      <c r="F12175" s="24"/>
      <c r="G12175" s="24"/>
      <c r="H12175" s="24"/>
      <c r="I12175" s="24"/>
      <c r="J12175" s="24"/>
      <c r="K12175" s="24"/>
    </row>
    <row r="12176" customFormat="false" ht="15" hidden="false" customHeight="false" outlineLevel="0" collapsed="false">
      <c r="A12176" s="3" t="s">
        <v>499</v>
      </c>
      <c r="C12176" s="35" t="n">
        <f aca="false">Assumptions!$Q$56</f>
        <v>0</v>
      </c>
    </row>
    <row r="12177" customFormat="false" ht="15" hidden="false" customHeight="false" outlineLevel="0" collapsed="false">
      <c r="A12177" s="3" t="s">
        <v>500</v>
      </c>
      <c r="C12177" s="35" t="n">
        <f aca="false">Assumptions!$Q$57</f>
        <v>0</v>
      </c>
    </row>
    <row r="12178" customFormat="false" ht="15" hidden="false" customHeight="false" outlineLevel="0" collapsed="false">
      <c r="A12178" s="3" t="s">
        <v>501</v>
      </c>
      <c r="C12178" s="35" t="n">
        <f aca="false">Assumptions!$Q$58</f>
        <v>0</v>
      </c>
    </row>
    <row r="12179" customFormat="false" ht="15" hidden="false" customHeight="false" outlineLevel="0" collapsed="false">
      <c r="A12179" s="23" t="s">
        <v>504</v>
      </c>
      <c r="B12179" s="24"/>
      <c r="C12179" s="24"/>
      <c r="D12179" s="24"/>
      <c r="E12179" s="24"/>
      <c r="F12179" s="24"/>
      <c r="G12179" s="24"/>
      <c r="H12179" s="24"/>
      <c r="I12179" s="24"/>
      <c r="J12179" s="24"/>
      <c r="K12179" s="24"/>
    </row>
    <row r="12180" customFormat="false" ht="15" hidden="false" customHeight="false" outlineLevel="0" collapsed="false">
      <c r="A12180" s="3" t="s">
        <v>499</v>
      </c>
      <c r="C12180" s="25" t="n">
        <f aca="false">IF(C12176&gt;0,MIN(C12168,C12176*$C$12166),0)</f>
        <v>0</v>
      </c>
    </row>
    <row r="12181" customFormat="false" ht="15" hidden="false" customHeight="false" outlineLevel="0" collapsed="false">
      <c r="A12181" s="3" t="s">
        <v>500</v>
      </c>
      <c r="C12181" s="25" t="n">
        <f aca="false">IF(C12177&gt;0,MIN(C12169,C12177*$C$12166),0)</f>
        <v>0</v>
      </c>
    </row>
    <row r="12182" customFormat="false" ht="15" hidden="false" customHeight="false" outlineLevel="0" collapsed="false">
      <c r="A12182" s="3" t="s">
        <v>501</v>
      </c>
      <c r="C12182" s="25" t="n">
        <f aca="false">IF(C12178&gt;0,MIN(C12170,C12178*$C$12166),0)</f>
        <v>0</v>
      </c>
    </row>
    <row r="12183" customFormat="false" ht="15" hidden="false" customHeight="false" outlineLevel="0" collapsed="false">
      <c r="A12183" s="23" t="s">
        <v>505</v>
      </c>
      <c r="B12183" s="24"/>
      <c r="C12183" s="24"/>
      <c r="D12183" s="24"/>
      <c r="E12183" s="24"/>
      <c r="F12183" s="24"/>
      <c r="G12183" s="24"/>
      <c r="H12183" s="24"/>
      <c r="I12183" s="24"/>
      <c r="J12183" s="24"/>
      <c r="K12183" s="24"/>
    </row>
    <row r="12184" customFormat="false" ht="15" hidden="false" customHeight="false" outlineLevel="0" collapsed="false">
      <c r="A12184" s="3" t="s">
        <v>499</v>
      </c>
      <c r="C12184" s="25" t="n">
        <f aca="false">IF(C12176&gt;0,C12168-C12180,0)</f>
        <v>0</v>
      </c>
      <c r="G12184" s="20" t="n">
        <f aca="false">IF(AND(G12038=1,G12035=1),1,0)</f>
        <v>0</v>
      </c>
      <c r="H12184" s="20" t="n">
        <f aca="false">IF(G12184=1,1,IF(AND(H12038=1,H12035=1),1,0))</f>
        <v>0</v>
      </c>
      <c r="I12184" s="20" t="n">
        <f aca="false">IF(H12184=1,1,IF(AND(I12038=1,I12035=1),1,0))</f>
        <v>0</v>
      </c>
      <c r="J12184" s="20" t="n">
        <f aca="false">IF(I12184=1,1,IF(AND(J12038=1,J12035=1),1,0))</f>
        <v>0</v>
      </c>
      <c r="K12184" s="20" t="n">
        <f aca="false">IF(J12184=1,1,IF(AND(K12038=1,K12035=1),1,0))</f>
        <v>0</v>
      </c>
    </row>
    <row r="12185" customFormat="false" ht="15" hidden="false" customHeight="false" outlineLevel="0" collapsed="false">
      <c r="A12185" s="3" t="s">
        <v>500</v>
      </c>
      <c r="C12185" s="25" t="n">
        <f aca="false">IF(C12177&gt;0,C12169-C12181,0)</f>
        <v>0</v>
      </c>
      <c r="G12185" s="20" t="n">
        <f aca="false">IF(AND(G12051=1,G12035=1),1,0)</f>
        <v>0</v>
      </c>
      <c r="H12185" s="20" t="n">
        <f aca="false">IF(G12185=1,1,IF(AND(H12051=1,H12035=1),1,0))</f>
        <v>0</v>
      </c>
      <c r="I12185" s="20" t="n">
        <f aca="false">IF(H12185=1,1,IF(AND(I12051=1,I12035=1),1,0))</f>
        <v>1</v>
      </c>
      <c r="J12185" s="20" t="n">
        <f aca="false">IF(I12185=1,1,IF(AND(J12051=1,J12035=1),1,0))</f>
        <v>1</v>
      </c>
      <c r="K12185" s="20" t="n">
        <f aca="false">IF(J12185=1,1,IF(AND(K12051=1,K12035=1),1,0))</f>
        <v>1</v>
      </c>
    </row>
    <row r="12186" customFormat="false" ht="15" hidden="false" customHeight="false" outlineLevel="0" collapsed="false">
      <c r="A12186" s="3" t="s">
        <v>501</v>
      </c>
      <c r="C12186" s="25" t="n">
        <f aca="false">IF(C12178&gt;0,C12170-C12182,0)</f>
        <v>0</v>
      </c>
      <c r="G12186" s="20" t="n">
        <f aca="false">IF(AND(G12064=1,G12035=1),1,0)</f>
        <v>0</v>
      </c>
      <c r="H12186" s="20" t="n">
        <f aca="false">IF(G12186=1,1,IF(AND(H12064=1,H12035=1),1,0))</f>
        <v>0</v>
      </c>
      <c r="I12186" s="20" t="n">
        <f aca="false">IF(H12186=1,1,IF(AND(I12064=1,I12035=1),1,0))</f>
        <v>1</v>
      </c>
      <c r="J12186" s="20" t="n">
        <f aca="false">IF(I12186=1,1,IF(AND(J12064=1,J12035=1),1,0))</f>
        <v>1</v>
      </c>
      <c r="K12186" s="20" t="n">
        <f aca="false">IF(J12186=1,1,IF(AND(K12064=1,K12035=1),1,0))</f>
        <v>1</v>
      </c>
    </row>
    <row r="12187" customFormat="false" ht="15" hidden="false" customHeight="false" outlineLevel="0" collapsed="false">
      <c r="A12187" s="23" t="s">
        <v>506</v>
      </c>
      <c r="B12187" s="24"/>
      <c r="C12187" s="24"/>
      <c r="D12187" s="24"/>
      <c r="E12187" s="24"/>
      <c r="F12187" s="24"/>
      <c r="G12187" s="24"/>
      <c r="H12187" s="24"/>
      <c r="I12187" s="24"/>
      <c r="J12187" s="24"/>
      <c r="K12187" s="24"/>
    </row>
    <row r="12188" customFormat="false" ht="15" hidden="false" customHeight="false" outlineLevel="0" collapsed="false">
      <c r="A12188" s="3" t="s">
        <v>499</v>
      </c>
      <c r="C12188" s="25" t="n">
        <f aca="false">IF(C12176&gt;0,C12184,C12168)</f>
        <v>1349.6193225</v>
      </c>
    </row>
    <row r="12189" customFormat="false" ht="15" hidden="false" customHeight="false" outlineLevel="0" collapsed="false">
      <c r="A12189" s="3" t="s">
        <v>500</v>
      </c>
      <c r="C12189" s="25" t="n">
        <f aca="false">IF(C12177&gt;0,C12185,C12169)</f>
        <v>0</v>
      </c>
    </row>
    <row r="12190" customFormat="false" ht="15" hidden="false" customHeight="false" outlineLevel="0" collapsed="false">
      <c r="A12190" s="3" t="s">
        <v>501</v>
      </c>
      <c r="C12190" s="25" t="n">
        <f aca="false">IF(C12178&gt;0,C12186,C12170)</f>
        <v>0</v>
      </c>
    </row>
    <row r="12191" customFormat="false" ht="15" hidden="false" customHeight="false" outlineLevel="0" collapsed="false">
      <c r="A12191" s="23" t="s">
        <v>507</v>
      </c>
      <c r="B12191" s="24"/>
      <c r="C12191" s="24"/>
      <c r="D12191" s="24"/>
      <c r="E12191" s="24"/>
      <c r="F12191" s="24"/>
      <c r="G12191" s="24"/>
      <c r="H12191" s="24"/>
      <c r="I12191" s="24"/>
      <c r="J12191" s="24"/>
      <c r="K12191" s="24"/>
    </row>
    <row r="12192" customFormat="false" ht="15" hidden="false" customHeight="false" outlineLevel="0" collapsed="false">
      <c r="A12192" s="3" t="s">
        <v>499</v>
      </c>
      <c r="C12192" s="20" t="n">
        <f aca="false">IF(C12176&gt;0,Assumptions!$C$17,C12172)</f>
        <v>1</v>
      </c>
    </row>
    <row r="12193" customFormat="false" ht="15" hidden="false" customHeight="false" outlineLevel="0" collapsed="false">
      <c r="A12193" s="3" t="s">
        <v>500</v>
      </c>
      <c r="C12193" s="20" t="n">
        <f aca="false">IF(C12177&gt;0,Assumptions!$C$17,C12173)</f>
        <v>2</v>
      </c>
    </row>
    <row r="12194" customFormat="false" ht="15" hidden="false" customHeight="false" outlineLevel="0" collapsed="false">
      <c r="A12194" s="3" t="s">
        <v>501</v>
      </c>
      <c r="C12194" s="20" t="n">
        <f aca="false">IF(C12178&gt;0,Assumptions!$C$17,C12174)</f>
        <v>2</v>
      </c>
    </row>
    <row r="12195" customFormat="false" ht="15" hidden="false" customHeight="false" outlineLevel="0" collapsed="false">
      <c r="A12195" s="23" t="s">
        <v>508</v>
      </c>
      <c r="B12195" s="24"/>
      <c r="C12195" s="24"/>
      <c r="D12195" s="24"/>
      <c r="E12195" s="24"/>
      <c r="F12195" s="24"/>
      <c r="G12195" s="24"/>
      <c r="H12195" s="24"/>
      <c r="I12195" s="24"/>
      <c r="J12195" s="24"/>
      <c r="K12195" s="24"/>
    </row>
    <row r="12196" customFormat="false" ht="15" hidden="false" customHeight="false" outlineLevel="0" collapsed="false">
      <c r="A12196" s="3" t="s">
        <v>499</v>
      </c>
      <c r="C12196" s="25" t="n">
        <f aca="false">SUMPRODUCT(($C$12192:$C$12194&lt;C12192)*$C$12188:$C$12190)</f>
        <v>0</v>
      </c>
    </row>
    <row r="12197" customFormat="false" ht="15" hidden="false" customHeight="false" outlineLevel="0" collapsed="false">
      <c r="A12197" s="3" t="s">
        <v>500</v>
      </c>
      <c r="C12197" s="25" t="n">
        <f aca="false">SUMPRODUCT(($C$12192:$C$12194&lt;C12193)*$C$12188:$C$12190)</f>
        <v>1349.6193225</v>
      </c>
    </row>
    <row r="12198" customFormat="false" ht="15" hidden="false" customHeight="false" outlineLevel="0" collapsed="false">
      <c r="A12198" s="3" t="s">
        <v>501</v>
      </c>
      <c r="C12198" s="25" t="n">
        <f aca="false">SUMPRODUCT(($C$12192:$C$12194&lt;C12194)*$C$12188:$C$12190)</f>
        <v>1349.6193225</v>
      </c>
    </row>
    <row r="12199" customFormat="false" ht="15" hidden="false" customHeight="false" outlineLevel="0" collapsed="false">
      <c r="A12199" s="23" t="s">
        <v>509</v>
      </c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</row>
    <row r="12200" customFormat="false" ht="15" hidden="false" customHeight="false" outlineLevel="0" collapsed="false">
      <c r="A12200" s="3" t="s">
        <v>499</v>
      </c>
      <c r="C12200" s="25" t="n">
        <f aca="false">SUMPRODUCT(($C$12192:$C$12194=C12192)*$C$12188:$C$12190)</f>
        <v>1349.6193225</v>
      </c>
    </row>
    <row r="12201" customFormat="false" ht="15" hidden="false" customHeight="false" outlineLevel="0" collapsed="false">
      <c r="A12201" s="3" t="s">
        <v>500</v>
      </c>
      <c r="C12201" s="25" t="n">
        <f aca="false">SUMPRODUCT(($C$12192:$C$12194=C12193)*$C$12188:$C$12190)</f>
        <v>0</v>
      </c>
    </row>
    <row r="12202" customFormat="false" ht="15" hidden="false" customHeight="false" outlineLevel="0" collapsed="false">
      <c r="A12202" s="3" t="s">
        <v>501</v>
      </c>
      <c r="C12202" s="25" t="n">
        <f aca="false">SUMPRODUCT(($C$12192:$C$12194=C12194)*$C$12188:$C$12190)</f>
        <v>0</v>
      </c>
    </row>
    <row r="12203" customFormat="false" ht="15" hidden="false" customHeight="false" outlineLevel="0" collapsed="false">
      <c r="A12203" s="23" t="s">
        <v>510</v>
      </c>
      <c r="B12203" s="24"/>
      <c r="C12203" s="24"/>
      <c r="D12203" s="24"/>
      <c r="E12203" s="24"/>
      <c r="F12203" s="24"/>
      <c r="G12203" s="24"/>
      <c r="H12203" s="24"/>
      <c r="I12203" s="24"/>
      <c r="J12203" s="24"/>
      <c r="K12203" s="24"/>
    </row>
    <row r="12204" customFormat="false" ht="15" hidden="false" customHeight="false" outlineLevel="0" collapsed="false">
      <c r="A12204" s="3" t="s">
        <v>499</v>
      </c>
      <c r="C12204" s="25" t="n">
        <f aca="false">IF(C12200=0,0,C12188/C12200*MAX(0,MIN(C12200,$C$12166-SUM($C$12180:$C$12182)-C12196)))</f>
        <v>1349.6193225</v>
      </c>
    </row>
    <row r="12205" customFormat="false" ht="15" hidden="false" customHeight="false" outlineLevel="0" collapsed="false">
      <c r="A12205" s="3" t="s">
        <v>500</v>
      </c>
      <c r="C12205" s="25" t="n">
        <f aca="false">IF(C12201=0,0,C12189/C12201*MAX(0,MIN(C12201,$C$12166-SUM($C$12180:$C$12182)-C12197)))</f>
        <v>0</v>
      </c>
    </row>
    <row r="12206" customFormat="false" ht="15" hidden="false" customHeight="false" outlineLevel="0" collapsed="false">
      <c r="A12206" s="3" t="s">
        <v>501</v>
      </c>
      <c r="C12206" s="25" t="n">
        <f aca="false">IF(C12202=0,0,C12190/C12202*MAX(0,MIN(C12202,$C$12166-SUM($C$12180:$C$12182)-C12198)))</f>
        <v>0</v>
      </c>
    </row>
    <row r="12207" customFormat="false" ht="15" hidden="false" customHeight="false" outlineLevel="0" collapsed="false">
      <c r="A12207" s="23" t="s">
        <v>511</v>
      </c>
      <c r="B12207" s="24"/>
      <c r="C12207" s="24"/>
      <c r="D12207" s="24"/>
      <c r="E12207" s="24"/>
      <c r="F12207" s="24"/>
      <c r="G12207" s="24"/>
      <c r="H12207" s="24"/>
      <c r="I12207" s="24"/>
      <c r="J12207" s="24"/>
      <c r="K12207" s="24"/>
    </row>
    <row r="12208" customFormat="false" ht="15" hidden="false" customHeight="false" outlineLevel="0" collapsed="false">
      <c r="A12208" s="2" t="s">
        <v>499</v>
      </c>
      <c r="C12208" s="16" t="n">
        <f aca="false">C12180+C12204</f>
        <v>1349.6193225</v>
      </c>
    </row>
    <row r="12209" customFormat="false" ht="15" hidden="false" customHeight="false" outlineLevel="0" collapsed="false">
      <c r="A12209" s="2" t="s">
        <v>500</v>
      </c>
      <c r="C12209" s="16" t="n">
        <f aca="false">C12181+C12205</f>
        <v>0</v>
      </c>
    </row>
    <row r="12210" customFormat="false" ht="15" hidden="false" customHeight="false" outlineLevel="0" collapsed="false">
      <c r="A12210" s="2" t="s">
        <v>501</v>
      </c>
      <c r="C12210" s="16" t="n">
        <f aca="false">C12182+C12206</f>
        <v>0</v>
      </c>
    </row>
    <row r="12211" customFormat="false" ht="15" hidden="false" customHeight="false" outlineLevel="0" collapsed="false">
      <c r="A12211" s="23" t="s">
        <v>512</v>
      </c>
      <c r="B12211" s="24"/>
      <c r="C12211" s="24"/>
      <c r="D12211" s="24"/>
      <c r="E12211" s="24"/>
      <c r="F12211" s="24"/>
      <c r="G12211" s="24"/>
      <c r="H12211" s="24"/>
      <c r="I12211" s="24"/>
      <c r="J12211" s="24"/>
      <c r="K12211" s="24"/>
    </row>
    <row r="12212" customFormat="false" ht="15" hidden="false" customHeight="false" outlineLevel="0" collapsed="false">
      <c r="A12212" s="3" t="s">
        <v>499</v>
      </c>
      <c r="C12212" s="21" t="n">
        <f aca="false">IF(C12168=0,1,C12208/C12168)</f>
        <v>1</v>
      </c>
    </row>
    <row r="12213" customFormat="false" ht="15" hidden="false" customHeight="false" outlineLevel="0" collapsed="false">
      <c r="A12213" s="3" t="s">
        <v>500</v>
      </c>
      <c r="C12213" s="21" t="n">
        <f aca="false">IF(C12169=0,1,C12209/C12169)</f>
        <v>1</v>
      </c>
    </row>
    <row r="12214" customFormat="false" ht="15" hidden="false" customHeight="false" outlineLevel="0" collapsed="false">
      <c r="A12214" s="3" t="s">
        <v>501</v>
      </c>
      <c r="C12214" s="21" t="n">
        <f aca="false">IF(C12170=0,1,C12210/C12170)</f>
        <v>1</v>
      </c>
    </row>
    <row r="12215" customFormat="false" ht="15" hidden="false" customHeight="false" outlineLevel="0" collapsed="false">
      <c r="A12215" s="23" t="s">
        <v>513</v>
      </c>
      <c r="B12215" s="24"/>
      <c r="C12215" s="24"/>
      <c r="D12215" s="24"/>
      <c r="E12215" s="24"/>
      <c r="F12215" s="24"/>
      <c r="G12215" s="24"/>
      <c r="H12215" s="24"/>
      <c r="I12215" s="24"/>
      <c r="J12215" s="24"/>
      <c r="K12215" s="24"/>
    </row>
    <row r="12216" customFormat="false" ht="15" hidden="false" customHeight="false" outlineLevel="0" collapsed="false">
      <c r="A12216" s="3" t="s">
        <v>499</v>
      </c>
      <c r="C12216" s="25" t="n">
        <f aca="false">C12168-C12208</f>
        <v>0</v>
      </c>
    </row>
    <row r="12217" customFormat="false" ht="15" hidden="false" customHeight="false" outlineLevel="0" collapsed="false">
      <c r="A12217" s="3" t="s">
        <v>500</v>
      </c>
      <c r="C12217" s="25" t="n">
        <f aca="false">C12169-C12209</f>
        <v>0</v>
      </c>
    </row>
    <row r="12218" customFormat="false" ht="15" hidden="false" customHeight="false" outlineLevel="0" collapsed="false">
      <c r="A12218" s="3" t="s">
        <v>501</v>
      </c>
      <c r="C12218" s="25" t="n">
        <f aca="false">C12170-C12210</f>
        <v>0</v>
      </c>
    </row>
    <row r="12219" customFormat="false" ht="15" hidden="false" customHeight="false" outlineLevel="0" collapsed="false">
      <c r="A12219" s="23" t="s">
        <v>514</v>
      </c>
      <c r="B12219" s="24"/>
      <c r="C12219" s="24"/>
      <c r="D12219" s="24"/>
      <c r="E12219" s="24"/>
      <c r="F12219" s="24"/>
      <c r="G12219" s="24"/>
      <c r="H12219" s="24"/>
      <c r="I12219" s="24"/>
      <c r="J12219" s="24"/>
      <c r="K12219" s="24"/>
    </row>
    <row r="12220" customFormat="false" ht="15" hidden="false" customHeight="false" outlineLevel="0" collapsed="false">
      <c r="A12220" s="3" t="s">
        <v>499</v>
      </c>
      <c r="C12220" s="21" t="n">
        <f aca="false">IF(C12168=0,0,C12216/C12168)</f>
        <v>0</v>
      </c>
    </row>
    <row r="12221" customFormat="false" ht="15" hidden="false" customHeight="false" outlineLevel="0" collapsed="false">
      <c r="A12221" s="3" t="s">
        <v>500</v>
      </c>
      <c r="C12221" s="21" t="n">
        <f aca="false">IF(C12169=0,0,C12217/C12169)</f>
        <v>0</v>
      </c>
    </row>
    <row r="12222" customFormat="false" ht="15" hidden="false" customHeight="false" outlineLevel="0" collapsed="false">
      <c r="A12222" s="3" t="s">
        <v>501</v>
      </c>
      <c r="C12222" s="21" t="n">
        <f aca="false">IF(C12170=0,0,C12218/C12170)</f>
        <v>0</v>
      </c>
    </row>
    <row r="12223" customFormat="false" ht="15" hidden="false" customHeight="false" outlineLevel="0" collapsed="false">
      <c r="A12223" s="2" t="s">
        <v>515</v>
      </c>
      <c r="C12223" s="16" t="n">
        <f aca="false">MAX(0,$C$12166-SUM($C$12180:$C$12182)-SUM($C$12188:$C$12190))</f>
        <v>428.177320788743</v>
      </c>
    </row>
    <row r="12224" customFormat="false" ht="15" hidden="false" customHeight="false" outlineLevel="0" collapsed="false">
      <c r="A12224" s="3" t="s">
        <v>516</v>
      </c>
      <c r="C12224" s="25" t="n">
        <f aca="false">SUM($C$12208:$C$12210)+C12223+C12165-C12164</f>
        <v>0</v>
      </c>
    </row>
    <row r="12226" customFormat="false" ht="15" hidden="false" customHeight="false" outlineLevel="0" collapsed="false">
      <c r="A12226" s="23" t="s">
        <v>519</v>
      </c>
      <c r="B12226" s="24"/>
      <c r="C12226" s="24"/>
      <c r="D12226" s="24"/>
      <c r="E12226" s="24"/>
      <c r="F12226" s="24"/>
      <c r="G12226" s="24"/>
      <c r="H12226" s="24"/>
      <c r="I12226" s="24"/>
      <c r="J12226" s="24"/>
      <c r="K12226" s="24"/>
    </row>
    <row r="12227" customFormat="false" ht="15" hidden="false" customHeight="false" outlineLevel="0" collapsed="false">
      <c r="A12227" s="3" t="s">
        <v>520</v>
      </c>
      <c r="C12227" s="27" t="n">
        <f aca="false">Assumptions!$C$33</f>
        <v>1</v>
      </c>
    </row>
    <row r="12228" customFormat="false" ht="15" hidden="false" customHeight="false" outlineLevel="0" collapsed="false">
      <c r="A12228" s="3" t="s">
        <v>521</v>
      </c>
      <c r="C12228" s="29" t="n">
        <f aca="false">Assumptions!$C$34</f>
        <v>100</v>
      </c>
    </row>
    <row r="12229" customFormat="false" ht="15" hidden="false" customHeight="false" outlineLevel="0" collapsed="false">
      <c r="A12229" s="3" t="s">
        <v>522</v>
      </c>
      <c r="C12229" s="40" t="n">
        <f aca="false">Assumptions!$C$35</f>
        <v>95</v>
      </c>
    </row>
    <row r="12230" customFormat="false" ht="15" hidden="false" customHeight="false" outlineLevel="0" collapsed="false">
      <c r="A12230" s="3" t="s">
        <v>523</v>
      </c>
      <c r="C12230" s="25" t="n">
        <f aca="false">C12228*C12229/100*(1+Assumptions!$C$36)</f>
        <v>95</v>
      </c>
    </row>
    <row r="12231" customFormat="false" ht="15" hidden="false" customHeight="false" outlineLevel="0" collapsed="false">
      <c r="A12231" s="3" t="s">
        <v>524</v>
      </c>
      <c r="C12231" s="27" t="n">
        <f aca="false">Assumptions!$C$37</f>
        <v>3</v>
      </c>
    </row>
    <row r="12232" customFormat="false" ht="15" hidden="false" customHeight="false" outlineLevel="0" collapsed="false">
      <c r="A12232" s="3" t="s">
        <v>525</v>
      </c>
      <c r="C12232" s="20" t="n">
        <f aca="false">IF(C12157=1,SUMPRODUCT($G$12109:$K$12109,$G$12002:$K$12002),0)</f>
        <v>0</v>
      </c>
    </row>
    <row r="12233" customFormat="false" ht="15" hidden="false" customHeight="false" outlineLevel="0" collapsed="false">
      <c r="A12233" s="3" t="s">
        <v>526</v>
      </c>
      <c r="C12233" s="21" t="n">
        <f aca="false">IFERROR(C12228/CHOOSE(C12227,SUMPRODUCT($G$12156:$K$12156,$G$12048:$K$12048),SUMPRODUCT($G$12156:$K$12156,$G$12061:$K$12061),SUMPRODUCT($G$12156:$K$12156,$G$12074:$K$12074)),0)</f>
        <v>0.0760399605200525</v>
      </c>
    </row>
    <row r="12234" customFormat="false" ht="15" hidden="false" customHeight="false" outlineLevel="0" collapsed="false">
      <c r="A12234" s="3" t="s">
        <v>527</v>
      </c>
      <c r="C12234" s="25" t="n">
        <f aca="false">CHOOSE(C12227,C12208,C12209,C12210)*C12233</f>
        <v>102.625</v>
      </c>
    </row>
    <row r="12235" customFormat="false" ht="15" hidden="false" customHeight="false" outlineLevel="0" collapsed="false">
      <c r="A12235" s="3" t="s">
        <v>528</v>
      </c>
      <c r="C12235" s="21" t="n">
        <f aca="false">CHOOSE(C12227,C12212,C12213,C12214)</f>
        <v>1</v>
      </c>
    </row>
    <row r="12236" customFormat="false" ht="15" hidden="false" customHeight="false" outlineLevel="0" collapsed="false">
      <c r="A12236" s="3" t="s">
        <v>529</v>
      </c>
      <c r="C12236" s="20" t="n">
        <f aca="false">IF(C12157=1,C12232,C12231)</f>
        <v>3</v>
      </c>
    </row>
    <row r="12237" customFormat="false" ht="15" hidden="false" customHeight="false" outlineLevel="0" collapsed="false">
      <c r="A12237" s="3" t="s">
        <v>530</v>
      </c>
      <c r="C12237" s="34" t="n">
        <f aca="false">CHOOSE($C$11994,Assumptions!$C$83,Assumptions!$C$102,Assumptions!$C$121)</f>
        <v>100</v>
      </c>
    </row>
    <row r="12238" customFormat="false" ht="15" hidden="false" customHeight="false" outlineLevel="0" collapsed="false">
      <c r="A12238" s="3" t="s">
        <v>531</v>
      </c>
      <c r="C12238" s="25" t="n">
        <f aca="false">INDEX($G$12011:$K$12011,C12231)*CHOOSE($C$11994,Assumptions!$C$82,Assumptions!$C$101,Assumptions!$C$120)+MAX(0,INDEX($G$12106:$K$12106,C12231))</f>
        <v>1898.86777853863</v>
      </c>
    </row>
    <row r="12239" customFormat="false" ht="15" hidden="false" customHeight="false" outlineLevel="0" collapsed="false">
      <c r="A12239" s="23" t="s">
        <v>532</v>
      </c>
      <c r="B12239" s="24"/>
      <c r="C12239" s="24"/>
      <c r="D12239" s="24"/>
      <c r="E12239" s="24"/>
      <c r="F12239" s="24"/>
      <c r="G12239" s="24"/>
      <c r="H12239" s="24"/>
      <c r="I12239" s="24"/>
      <c r="J12239" s="24"/>
      <c r="K12239" s="24"/>
    </row>
    <row r="12240" customFormat="false" ht="15" hidden="false" customHeight="false" outlineLevel="0" collapsed="false">
      <c r="A12240" s="3" t="s">
        <v>499</v>
      </c>
      <c r="C12240" s="25" t="n">
        <f aca="false">INDEX($G$12048:$K$12048,C12231)</f>
        <v>1315.098</v>
      </c>
    </row>
    <row r="12241" customFormat="false" ht="15" hidden="false" customHeight="false" outlineLevel="0" collapsed="false">
      <c r="A12241" s="3" t="s">
        <v>500</v>
      </c>
      <c r="C12241" s="25" t="n">
        <f aca="false">INDEX($G$12061:$K$12061,C12231)</f>
        <v>0</v>
      </c>
    </row>
    <row r="12242" customFormat="false" ht="15" hidden="false" customHeight="false" outlineLevel="0" collapsed="false">
      <c r="A12242" s="3" t="s">
        <v>501</v>
      </c>
      <c r="C12242" s="25" t="n">
        <f aca="false">INDEX($G$12074:$K$12074,C12231)</f>
        <v>0</v>
      </c>
    </row>
    <row r="12243" customFormat="false" ht="15" hidden="false" customHeight="false" outlineLevel="0" collapsed="false">
      <c r="A12243" s="23" t="s">
        <v>502</v>
      </c>
      <c r="B12243" s="24"/>
      <c r="C12243" s="24"/>
      <c r="D12243" s="24"/>
      <c r="E12243" s="24"/>
      <c r="F12243" s="24"/>
      <c r="G12243" s="24"/>
      <c r="H12243" s="24"/>
      <c r="I12243" s="24"/>
      <c r="J12243" s="24"/>
      <c r="K12243" s="24"/>
    </row>
    <row r="12244" customFormat="false" ht="15" hidden="false" customHeight="false" outlineLevel="0" collapsed="false">
      <c r="A12244" s="3" t="s">
        <v>499</v>
      </c>
      <c r="C12244" s="27" t="n">
        <f aca="false">Assumptions!$M$56</f>
        <v>1</v>
      </c>
    </row>
    <row r="12245" customFormat="false" ht="15" hidden="false" customHeight="false" outlineLevel="0" collapsed="false">
      <c r="A12245" s="3" t="s">
        <v>500</v>
      </c>
      <c r="C12245" s="27" t="n">
        <f aca="false">Assumptions!$M$57</f>
        <v>2</v>
      </c>
    </row>
    <row r="12246" customFormat="false" ht="15" hidden="false" customHeight="false" outlineLevel="0" collapsed="false">
      <c r="A12246" s="3" t="s">
        <v>501</v>
      </c>
      <c r="C12246" s="27" t="n">
        <f aca="false">Assumptions!$M$58</f>
        <v>2</v>
      </c>
    </row>
    <row r="12247" customFormat="false" ht="15" hidden="false" customHeight="false" outlineLevel="0" collapsed="false">
      <c r="A12247" s="23" t="s">
        <v>503</v>
      </c>
      <c r="B12247" s="24"/>
      <c r="C12247" s="24"/>
      <c r="D12247" s="24"/>
      <c r="E12247" s="24"/>
      <c r="F12247" s="24"/>
      <c r="G12247" s="24"/>
      <c r="H12247" s="24"/>
      <c r="I12247" s="24"/>
      <c r="J12247" s="24"/>
      <c r="K12247" s="24"/>
    </row>
    <row r="12248" customFormat="false" ht="15" hidden="false" customHeight="false" outlineLevel="0" collapsed="false">
      <c r="A12248" s="3" t="s">
        <v>499</v>
      </c>
      <c r="C12248" s="35" t="n">
        <f aca="false">Assumptions!$Q$56</f>
        <v>0</v>
      </c>
    </row>
    <row r="12249" customFormat="false" ht="15" hidden="false" customHeight="false" outlineLevel="0" collapsed="false">
      <c r="A12249" s="3" t="s">
        <v>500</v>
      </c>
      <c r="C12249" s="35" t="n">
        <f aca="false">Assumptions!$Q$57</f>
        <v>0</v>
      </c>
    </row>
    <row r="12250" customFormat="false" ht="15" hidden="false" customHeight="false" outlineLevel="0" collapsed="false">
      <c r="A12250" s="3" t="s">
        <v>501</v>
      </c>
      <c r="C12250" s="35" t="n">
        <f aca="false">Assumptions!$Q$58</f>
        <v>0</v>
      </c>
    </row>
    <row r="12251" customFormat="false" ht="15" hidden="false" customHeight="false" outlineLevel="0" collapsed="false">
      <c r="A12251" s="23" t="s">
        <v>504</v>
      </c>
      <c r="B12251" s="24"/>
      <c r="C12251" s="24"/>
      <c r="D12251" s="24"/>
      <c r="E12251" s="24"/>
      <c r="F12251" s="24"/>
      <c r="G12251" s="24"/>
      <c r="H12251" s="24"/>
      <c r="I12251" s="24"/>
      <c r="J12251" s="24"/>
      <c r="K12251" s="24"/>
    </row>
    <row r="12252" customFormat="false" ht="15" hidden="false" customHeight="false" outlineLevel="0" collapsed="false">
      <c r="A12252" s="3" t="s">
        <v>499</v>
      </c>
      <c r="C12252" s="25" t="n">
        <f aca="false">IF(C12248&gt;0,MIN(C12240,C12248*$C$12238),0)</f>
        <v>0</v>
      </c>
    </row>
    <row r="12253" customFormat="false" ht="15" hidden="false" customHeight="false" outlineLevel="0" collapsed="false">
      <c r="A12253" s="3" t="s">
        <v>500</v>
      </c>
      <c r="C12253" s="25" t="n">
        <f aca="false">IF(C12249&gt;0,MIN(C12241,C12249*$C$12238),0)</f>
        <v>0</v>
      </c>
    </row>
    <row r="12254" customFormat="false" ht="15" hidden="false" customHeight="false" outlineLevel="0" collapsed="false">
      <c r="A12254" s="3" t="s">
        <v>501</v>
      </c>
      <c r="C12254" s="25" t="n">
        <f aca="false">IF(C12250&gt;0,MIN(C12242,C12250*$C$12238),0)</f>
        <v>0</v>
      </c>
    </row>
    <row r="12255" customFormat="false" ht="15" hidden="false" customHeight="false" outlineLevel="0" collapsed="false">
      <c r="A12255" s="23" t="s">
        <v>505</v>
      </c>
      <c r="B12255" s="24"/>
      <c r="C12255" s="24"/>
      <c r="D12255" s="24"/>
      <c r="E12255" s="24"/>
      <c r="F12255" s="24"/>
      <c r="G12255" s="24"/>
      <c r="H12255" s="24"/>
      <c r="I12255" s="24"/>
      <c r="J12255" s="24"/>
      <c r="K12255" s="24"/>
    </row>
    <row r="12256" customFormat="false" ht="15" hidden="false" customHeight="false" outlineLevel="0" collapsed="false">
      <c r="A12256" s="3" t="s">
        <v>499</v>
      </c>
      <c r="C12256" s="25" t="n">
        <f aca="false">IF(C12248&gt;0,C12240-C12252,0)</f>
        <v>0</v>
      </c>
    </row>
    <row r="12257" customFormat="false" ht="15" hidden="false" customHeight="false" outlineLevel="0" collapsed="false">
      <c r="A12257" s="3" t="s">
        <v>500</v>
      </c>
      <c r="C12257" s="25" t="n">
        <f aca="false">IF(C12249&gt;0,C12241-C12253,0)</f>
        <v>0</v>
      </c>
    </row>
    <row r="12258" customFormat="false" ht="15" hidden="false" customHeight="false" outlineLevel="0" collapsed="false">
      <c r="A12258" s="3" t="s">
        <v>501</v>
      </c>
      <c r="C12258" s="25" t="n">
        <f aca="false">IF(C12250&gt;0,C12242-C12254,0)</f>
        <v>0</v>
      </c>
    </row>
    <row r="12259" customFormat="false" ht="15" hidden="false" customHeight="false" outlineLevel="0" collapsed="false">
      <c r="A12259" s="23" t="s">
        <v>506</v>
      </c>
      <c r="B12259" s="24"/>
      <c r="C12259" s="24"/>
      <c r="D12259" s="24"/>
      <c r="E12259" s="24"/>
      <c r="F12259" s="24"/>
      <c r="G12259" s="24"/>
      <c r="H12259" s="24"/>
      <c r="I12259" s="24"/>
      <c r="J12259" s="24"/>
      <c r="K12259" s="24"/>
    </row>
    <row r="12260" customFormat="false" ht="15" hidden="false" customHeight="false" outlineLevel="0" collapsed="false">
      <c r="A12260" s="3" t="s">
        <v>499</v>
      </c>
      <c r="C12260" s="25" t="n">
        <f aca="false">IF(C12248&gt;0,C12256,C12240)</f>
        <v>1315.098</v>
      </c>
    </row>
    <row r="12261" customFormat="false" ht="15" hidden="false" customHeight="false" outlineLevel="0" collapsed="false">
      <c r="A12261" s="3" t="s">
        <v>500</v>
      </c>
      <c r="C12261" s="25" t="n">
        <f aca="false">IF(C12249&gt;0,C12257,C12241)</f>
        <v>0</v>
      </c>
    </row>
    <row r="12262" customFormat="false" ht="15" hidden="false" customHeight="false" outlineLevel="0" collapsed="false">
      <c r="A12262" s="3" t="s">
        <v>501</v>
      </c>
      <c r="C12262" s="25" t="n">
        <f aca="false">IF(C12250&gt;0,C12258,C12242)</f>
        <v>0</v>
      </c>
    </row>
    <row r="12263" customFormat="false" ht="15" hidden="false" customHeight="false" outlineLevel="0" collapsed="false">
      <c r="A12263" s="23" t="s">
        <v>507</v>
      </c>
      <c r="B12263" s="24"/>
      <c r="C12263" s="24"/>
      <c r="D12263" s="24"/>
      <c r="E12263" s="24"/>
      <c r="F12263" s="24"/>
      <c r="G12263" s="24"/>
      <c r="H12263" s="24"/>
      <c r="I12263" s="24"/>
      <c r="J12263" s="24"/>
      <c r="K12263" s="24"/>
    </row>
    <row r="12264" customFormat="false" ht="15" hidden="false" customHeight="false" outlineLevel="0" collapsed="false">
      <c r="A12264" s="3" t="s">
        <v>499</v>
      </c>
      <c r="C12264" s="20" t="n">
        <f aca="false">IF(C12248&gt;0,Assumptions!$C$17,C12244)</f>
        <v>1</v>
      </c>
    </row>
    <row r="12265" customFormat="false" ht="15" hidden="false" customHeight="false" outlineLevel="0" collapsed="false">
      <c r="A12265" s="3" t="s">
        <v>500</v>
      </c>
      <c r="C12265" s="20" t="n">
        <f aca="false">IF(C12249&gt;0,Assumptions!$C$17,C12245)</f>
        <v>2</v>
      </c>
    </row>
    <row r="12266" customFormat="false" ht="15" hidden="false" customHeight="false" outlineLevel="0" collapsed="false">
      <c r="A12266" s="3" t="s">
        <v>501</v>
      </c>
      <c r="C12266" s="20" t="n">
        <f aca="false">IF(C12250&gt;0,Assumptions!$C$17,C12246)</f>
        <v>2</v>
      </c>
    </row>
    <row r="12267" customFormat="false" ht="15" hidden="false" customHeight="false" outlineLevel="0" collapsed="false">
      <c r="A12267" s="23" t="s">
        <v>508</v>
      </c>
      <c r="B12267" s="24"/>
      <c r="C12267" s="24"/>
      <c r="D12267" s="24"/>
      <c r="E12267" s="24"/>
      <c r="F12267" s="24"/>
      <c r="G12267" s="24"/>
      <c r="H12267" s="24"/>
      <c r="I12267" s="24"/>
      <c r="J12267" s="24"/>
      <c r="K12267" s="24"/>
    </row>
    <row r="12268" customFormat="false" ht="15" hidden="false" customHeight="false" outlineLevel="0" collapsed="false">
      <c r="A12268" s="3" t="s">
        <v>499</v>
      </c>
      <c r="C12268" s="25" t="n">
        <f aca="false">SUMPRODUCT(($C$12264:$C$12266&lt;C12264)*$C$12260:$C$12262)</f>
        <v>0</v>
      </c>
    </row>
    <row r="12269" customFormat="false" ht="15" hidden="false" customHeight="false" outlineLevel="0" collapsed="false">
      <c r="A12269" s="3" t="s">
        <v>500</v>
      </c>
      <c r="C12269" s="25" t="n">
        <f aca="false">SUMPRODUCT(($C$12264:$C$12266&lt;C12265)*$C$12260:$C$12262)</f>
        <v>1315.098</v>
      </c>
    </row>
    <row r="12270" customFormat="false" ht="15" hidden="false" customHeight="false" outlineLevel="0" collapsed="false">
      <c r="A12270" s="3" t="s">
        <v>501</v>
      </c>
      <c r="C12270" s="25" t="n">
        <f aca="false">SUMPRODUCT(($C$12264:$C$12266&lt;C12266)*$C$12260:$C$12262)</f>
        <v>1315.098</v>
      </c>
    </row>
    <row r="12271" customFormat="false" ht="15" hidden="false" customHeight="false" outlineLevel="0" collapsed="false">
      <c r="A12271" s="23" t="s">
        <v>509</v>
      </c>
      <c r="B12271" s="24"/>
      <c r="C12271" s="24"/>
      <c r="D12271" s="24"/>
      <c r="E12271" s="24"/>
      <c r="F12271" s="24"/>
      <c r="G12271" s="24"/>
      <c r="H12271" s="24"/>
      <c r="I12271" s="24"/>
      <c r="J12271" s="24"/>
      <c r="K12271" s="24"/>
    </row>
    <row r="12272" customFormat="false" ht="15" hidden="false" customHeight="false" outlineLevel="0" collapsed="false">
      <c r="A12272" s="3" t="s">
        <v>499</v>
      </c>
      <c r="C12272" s="25" t="n">
        <f aca="false">SUMPRODUCT(($C$12264:$C$12266=C12264)*$C$12260:$C$12262)</f>
        <v>1315.098</v>
      </c>
    </row>
    <row r="12273" customFormat="false" ht="15" hidden="false" customHeight="false" outlineLevel="0" collapsed="false">
      <c r="A12273" s="3" t="s">
        <v>500</v>
      </c>
      <c r="C12273" s="25" t="n">
        <f aca="false">SUMPRODUCT(($C$12264:$C$12266=C12265)*$C$12260:$C$12262)</f>
        <v>0</v>
      </c>
    </row>
    <row r="12274" customFormat="false" ht="15" hidden="false" customHeight="false" outlineLevel="0" collapsed="false">
      <c r="A12274" s="3" t="s">
        <v>501</v>
      </c>
      <c r="C12274" s="25" t="n">
        <f aca="false">SUMPRODUCT(($C$12264:$C$12266=C12266)*$C$12260:$C$12262)</f>
        <v>0</v>
      </c>
    </row>
    <row r="12275" customFormat="false" ht="15" hidden="false" customHeight="false" outlineLevel="0" collapsed="false">
      <c r="A12275" s="23" t="s">
        <v>510</v>
      </c>
      <c r="B12275" s="24"/>
      <c r="C12275" s="24"/>
      <c r="D12275" s="24"/>
      <c r="E12275" s="24"/>
      <c r="F12275" s="24"/>
      <c r="G12275" s="24"/>
      <c r="H12275" s="24"/>
      <c r="I12275" s="24"/>
      <c r="J12275" s="24"/>
      <c r="K12275" s="24"/>
    </row>
    <row r="12276" customFormat="false" ht="15" hidden="false" customHeight="false" outlineLevel="0" collapsed="false">
      <c r="A12276" s="3" t="s">
        <v>499</v>
      </c>
      <c r="C12276" s="25" t="n">
        <f aca="false">IF(C12272=0,0,C12260/C12272*MAX(0,MIN(C12272,$C$12238-SUM($C$12252:$C$12254)-C12268)))</f>
        <v>1315.098</v>
      </c>
    </row>
    <row r="12277" customFormat="false" ht="15" hidden="false" customHeight="false" outlineLevel="0" collapsed="false">
      <c r="A12277" s="3" t="s">
        <v>500</v>
      </c>
      <c r="C12277" s="25" t="n">
        <f aca="false">IF(C12273=0,0,C12261/C12273*MAX(0,MIN(C12273,$C$12238-SUM($C$12252:$C$12254)-C12269)))</f>
        <v>0</v>
      </c>
    </row>
    <row r="12278" customFormat="false" ht="15" hidden="false" customHeight="false" outlineLevel="0" collapsed="false">
      <c r="A12278" s="3" t="s">
        <v>501</v>
      </c>
      <c r="C12278" s="25" t="n">
        <f aca="false">IF(C12274=0,0,C12262/C12274*MAX(0,MIN(C12274,$C$12238-SUM($C$12252:$C$12254)-C12270)))</f>
        <v>0</v>
      </c>
    </row>
    <row r="12279" customFormat="false" ht="15" hidden="false" customHeight="false" outlineLevel="0" collapsed="false">
      <c r="A12279" s="23" t="s">
        <v>511</v>
      </c>
      <c r="B12279" s="24"/>
      <c r="C12279" s="24"/>
      <c r="D12279" s="24"/>
      <c r="E12279" s="24"/>
      <c r="F12279" s="24"/>
      <c r="G12279" s="24"/>
      <c r="H12279" s="24"/>
      <c r="I12279" s="24"/>
      <c r="J12279" s="24"/>
      <c r="K12279" s="24"/>
    </row>
    <row r="12280" customFormat="false" ht="15" hidden="false" customHeight="false" outlineLevel="0" collapsed="false">
      <c r="A12280" s="2" t="s">
        <v>499</v>
      </c>
      <c r="C12280" s="16" t="n">
        <f aca="false">C12252+C12276</f>
        <v>1315.098</v>
      </c>
    </row>
    <row r="12281" customFormat="false" ht="15" hidden="false" customHeight="false" outlineLevel="0" collapsed="false">
      <c r="A12281" s="2" t="s">
        <v>500</v>
      </c>
      <c r="C12281" s="16" t="n">
        <f aca="false">C12253+C12277</f>
        <v>0</v>
      </c>
    </row>
    <row r="12282" customFormat="false" ht="15" hidden="false" customHeight="false" outlineLevel="0" collapsed="false">
      <c r="A12282" s="2" t="s">
        <v>501</v>
      </c>
      <c r="C12282" s="16" t="n">
        <f aca="false">C12254+C12278</f>
        <v>0</v>
      </c>
    </row>
    <row r="12283" customFormat="false" ht="15" hidden="false" customHeight="false" outlineLevel="0" collapsed="false">
      <c r="A12283" s="23" t="s">
        <v>512</v>
      </c>
      <c r="B12283" s="24"/>
      <c r="C12283" s="24"/>
      <c r="D12283" s="24"/>
      <c r="E12283" s="24"/>
      <c r="F12283" s="24"/>
      <c r="G12283" s="24"/>
      <c r="H12283" s="24"/>
      <c r="I12283" s="24"/>
      <c r="J12283" s="24"/>
      <c r="K12283" s="24"/>
    </row>
    <row r="12284" customFormat="false" ht="15" hidden="false" customHeight="false" outlineLevel="0" collapsed="false">
      <c r="A12284" s="3" t="s">
        <v>499</v>
      </c>
      <c r="C12284" s="21" t="n">
        <f aca="false">IF(C12240=0,1,C12280/C12240)</f>
        <v>1</v>
      </c>
    </row>
    <row r="12285" customFormat="false" ht="15" hidden="false" customHeight="false" outlineLevel="0" collapsed="false">
      <c r="A12285" s="3" t="s">
        <v>500</v>
      </c>
      <c r="C12285" s="21" t="n">
        <f aca="false">IF(C12241=0,1,C12281/C12241)</f>
        <v>1</v>
      </c>
    </row>
    <row r="12286" customFormat="false" ht="15" hidden="false" customHeight="false" outlineLevel="0" collapsed="false">
      <c r="A12286" s="3" t="s">
        <v>501</v>
      </c>
      <c r="C12286" s="21" t="n">
        <f aca="false">IF(C12242=0,1,C12282/C12242)</f>
        <v>1</v>
      </c>
    </row>
    <row r="12287" customFormat="false" ht="15" hidden="false" customHeight="false" outlineLevel="0" collapsed="false">
      <c r="A12287" s="23" t="s">
        <v>513</v>
      </c>
      <c r="B12287" s="24"/>
      <c r="C12287" s="24"/>
      <c r="D12287" s="24"/>
      <c r="E12287" s="24"/>
      <c r="F12287" s="24"/>
      <c r="G12287" s="24"/>
      <c r="H12287" s="24"/>
      <c r="I12287" s="24"/>
      <c r="J12287" s="24"/>
      <c r="K12287" s="24"/>
    </row>
    <row r="12288" customFormat="false" ht="15" hidden="false" customHeight="false" outlineLevel="0" collapsed="false">
      <c r="A12288" s="3" t="s">
        <v>499</v>
      </c>
      <c r="C12288" s="25" t="n">
        <f aca="false">C12240-C12280</f>
        <v>0</v>
      </c>
    </row>
    <row r="12289" customFormat="false" ht="15" hidden="false" customHeight="false" outlineLevel="0" collapsed="false">
      <c r="A12289" s="3" t="s">
        <v>500</v>
      </c>
      <c r="C12289" s="25" t="n">
        <f aca="false">C12241-C12281</f>
        <v>0</v>
      </c>
    </row>
    <row r="12290" customFormat="false" ht="15" hidden="false" customHeight="false" outlineLevel="0" collapsed="false">
      <c r="A12290" s="3" t="s">
        <v>501</v>
      </c>
      <c r="C12290" s="25" t="n">
        <f aca="false">C12242-C12282</f>
        <v>0</v>
      </c>
    </row>
    <row r="12291" customFormat="false" ht="15" hidden="false" customHeight="false" outlineLevel="0" collapsed="false">
      <c r="A12291" s="23" t="s">
        <v>514</v>
      </c>
      <c r="B12291" s="24"/>
      <c r="C12291" s="24"/>
      <c r="D12291" s="24"/>
      <c r="E12291" s="24"/>
      <c r="F12291" s="24"/>
      <c r="G12291" s="24"/>
      <c r="H12291" s="24"/>
      <c r="I12291" s="24"/>
      <c r="J12291" s="24"/>
      <c r="K12291" s="24"/>
    </row>
    <row r="12292" customFormat="false" ht="15" hidden="false" customHeight="false" outlineLevel="0" collapsed="false">
      <c r="A12292" s="3" t="s">
        <v>499</v>
      </c>
      <c r="C12292" s="21" t="n">
        <f aca="false">IF(C12240=0,0,C12288/C12240)</f>
        <v>0</v>
      </c>
    </row>
    <row r="12293" customFormat="false" ht="15" hidden="false" customHeight="false" outlineLevel="0" collapsed="false">
      <c r="A12293" s="3" t="s">
        <v>500</v>
      </c>
      <c r="C12293" s="21" t="n">
        <f aca="false">IF(C12241=0,0,C12289/C12241)</f>
        <v>0</v>
      </c>
    </row>
    <row r="12294" customFormat="false" ht="15" hidden="false" customHeight="false" outlineLevel="0" collapsed="false">
      <c r="A12294" s="3" t="s">
        <v>501</v>
      </c>
      <c r="C12294" s="21" t="n">
        <f aca="false">IF(C12242=0,0,C12290/C12242)</f>
        <v>0</v>
      </c>
    </row>
    <row r="12295" customFormat="false" ht="15" hidden="false" customHeight="false" outlineLevel="0" collapsed="false">
      <c r="A12295" s="2" t="s">
        <v>515</v>
      </c>
      <c r="C12295" s="16" t="n">
        <f aca="false">MAX(0,$C$12238-SUM($C$12252:$C$12254)-SUM($C$12260:$C$12262))</f>
        <v>583.769778538632</v>
      </c>
    </row>
    <row r="12296" customFormat="false" ht="15" hidden="false" customHeight="false" outlineLevel="0" collapsed="false">
      <c r="A12296" s="3" t="s">
        <v>533</v>
      </c>
      <c r="C12296" s="34" t="n">
        <f aca="false">MIN(C12237,100*CHOOSE(C12227,C12284,C12285,C12286))</f>
        <v>100</v>
      </c>
    </row>
    <row r="12297" customFormat="false" ht="15" hidden="false" customHeight="false" outlineLevel="0" collapsed="false">
      <c r="A12297" s="3" t="s">
        <v>534</v>
      </c>
      <c r="C12297" s="20" t="n">
        <f aca="false">IF(C12157=1,C12232+Assumptions!$C$39,C12231)</f>
        <v>3</v>
      </c>
    </row>
    <row r="12298" customFormat="false" ht="15" hidden="false" customHeight="false" outlineLevel="0" collapsed="false">
      <c r="A12298" s="23" t="s">
        <v>535</v>
      </c>
      <c r="B12298" s="24"/>
      <c r="C12298" s="24"/>
      <c r="D12298" s="24"/>
      <c r="E12298" s="24"/>
      <c r="F12298" s="24"/>
      <c r="G12298" s="24"/>
      <c r="H12298" s="24"/>
      <c r="I12298" s="24"/>
      <c r="J12298" s="24"/>
      <c r="K12298" s="24"/>
    </row>
    <row r="12299" customFormat="false" ht="15" hidden="false" customHeight="false" outlineLevel="0" collapsed="false">
      <c r="A12299" s="3" t="s">
        <v>536</v>
      </c>
      <c r="C12299" s="20" t="n">
        <f aca="false">COLUMN()-COLUMN($C$1)</f>
        <v>0</v>
      </c>
      <c r="D12299" s="20" t="n">
        <f aca="false">COLUMN()-COLUMN($C$1)</f>
        <v>1</v>
      </c>
      <c r="E12299" s="20" t="n">
        <f aca="false">COLUMN()-COLUMN($C$1)</f>
        <v>2</v>
      </c>
      <c r="F12299" s="20" t="n">
        <f aca="false">COLUMN()-COLUMN($C$1)</f>
        <v>3</v>
      </c>
      <c r="G12299" s="20" t="n">
        <f aca="false">COLUMN()-COLUMN($C$1)</f>
        <v>4</v>
      </c>
      <c r="H12299" s="20" t="n">
        <f aca="false">COLUMN()-COLUMN($C$1)</f>
        <v>5</v>
      </c>
      <c r="I12299" s="20" t="n">
        <f aca="false">COLUMN()-COLUMN($C$1)</f>
        <v>6</v>
      </c>
    </row>
    <row r="12300" customFormat="false" ht="15" hidden="false" customHeight="false" outlineLevel="0" collapsed="false">
      <c r="A12300" s="3" t="s">
        <v>537</v>
      </c>
      <c r="D12300" s="31" t="n">
        <f aca="false">CHOOSE($C$12227,G12040,G12053,G12066)</f>
        <v>0.105</v>
      </c>
      <c r="E12300" s="31" t="n">
        <f aca="false">CHOOSE($C$12227,H12040,H12053,H12066)</f>
        <v>0.105</v>
      </c>
      <c r="F12300" s="31" t="n">
        <f aca="false">CHOOSE($C$12227,I12040,I12053,I12066)</f>
        <v>0.105</v>
      </c>
      <c r="G12300" s="31" t="n">
        <f aca="false">CHOOSE($C$12227,J12040,J12053,J12066)</f>
        <v>0.105</v>
      </c>
      <c r="H12300" s="31" t="n">
        <f aca="false">CHOOSE($C$12227,K12040,K12053,K12066)</f>
        <v>0.105</v>
      </c>
    </row>
    <row r="12301" customFormat="false" ht="15" hidden="false" customHeight="false" outlineLevel="0" collapsed="false">
      <c r="A12301" s="3" t="s">
        <v>538</v>
      </c>
      <c r="D12301" s="25" t="n">
        <f aca="false">IF(D12299&lt;=$C$12236,$C$12228*D12300,0)</f>
        <v>10.5</v>
      </c>
      <c r="E12301" s="25" t="n">
        <f aca="false">IF(E12299&lt;=$C$12236,$C$12228*E12300,0)</f>
        <v>10.5</v>
      </c>
      <c r="F12301" s="25" t="n">
        <f aca="false">IF(F12299&lt;=$C$12236,$C$12228*F12300,0)</f>
        <v>10.5</v>
      </c>
      <c r="G12301" s="25" t="n">
        <f aca="false">IF(G12299&lt;=$C$12236,$C$12228*G12300,0)</f>
        <v>0</v>
      </c>
      <c r="H12301" s="25" t="n">
        <f aca="false">IF(H12299&lt;=$C$12236,$C$12228*H12300,0)</f>
        <v>0</v>
      </c>
    </row>
    <row r="12302" customFormat="false" ht="15" hidden="false" customHeight="false" outlineLevel="0" collapsed="false">
      <c r="A12302" s="3" t="s">
        <v>539</v>
      </c>
      <c r="D12302" s="25" t="n">
        <f aca="false">IF(AND($C$12157=0,D12299=$C$12231),$C$12228*$C$12296/100,0)+IF(AND($C$12157=1,D12299=$C$12297),$C$12234,0)</f>
        <v>0</v>
      </c>
      <c r="E12302" s="25" t="n">
        <f aca="false">IF(AND($C$12157=0,E12299=$C$12231),$C$12228*$C$12296/100,0)+IF(AND($C$12157=1,E12299=$C$12297),$C$12234,0)</f>
        <v>0</v>
      </c>
      <c r="F12302" s="25" t="n">
        <f aca="false">IF(AND($C$12157=0,F12299=$C$12231),$C$12228*$C$12296/100,0)+IF(AND($C$12157=1,F12299=$C$12297),$C$12234,0)</f>
        <v>100</v>
      </c>
      <c r="G12302" s="25" t="n">
        <f aca="false">IF(AND($C$12157=0,G12299=$C$12231),$C$12228*$C$12296/100,0)+IF(AND($C$12157=1,G12299=$C$12297),$C$12234,0)</f>
        <v>0</v>
      </c>
      <c r="H12302" s="25" t="n">
        <f aca="false">IF(AND($C$12157=0,H12299=$C$12231),$C$12228*$C$12296/100,0)+IF(AND($C$12157=1,H12299=$C$12297),$C$12234,0)</f>
        <v>0</v>
      </c>
      <c r="I12302" s="25" t="n">
        <f aca="false">IF(AND($C$12157=0,I12299=$C$12231),$C$12228*$C$12296/100,0)+IF(AND($C$12157=1,I12299=$C$12297),$C$12234,0)</f>
        <v>0</v>
      </c>
    </row>
    <row r="12303" customFormat="false" ht="15" hidden="false" customHeight="false" outlineLevel="0" collapsed="false">
      <c r="A12303" s="2" t="s">
        <v>540</v>
      </c>
      <c r="C12303" s="16" t="n">
        <f aca="false">-$C$12230</f>
        <v>-95</v>
      </c>
      <c r="D12303" s="16" t="n">
        <f aca="false">D12301+D12302</f>
        <v>10.5</v>
      </c>
      <c r="E12303" s="16" t="n">
        <f aca="false">E12301+E12302</f>
        <v>10.5</v>
      </c>
      <c r="F12303" s="16" t="n">
        <f aca="false">F12301+F12302</f>
        <v>110.5</v>
      </c>
      <c r="G12303" s="16" t="n">
        <f aca="false">G12301+G12302</f>
        <v>0</v>
      </c>
      <c r="H12303" s="16" t="n">
        <f aca="false">H12301+H12302</f>
        <v>0</v>
      </c>
      <c r="I12303" s="16" t="n">
        <f aca="false">I12301+I12302</f>
        <v>0</v>
      </c>
    </row>
    <row r="12304" customFormat="false" ht="15" hidden="false" customHeight="false" outlineLevel="0" collapsed="false">
      <c r="A12304" s="3" t="s">
        <v>541</v>
      </c>
      <c r="C12304" s="25" t="n">
        <f aca="false">SUM($C$12301:$I$12301)</f>
        <v>31.5</v>
      </c>
    </row>
    <row r="12305" customFormat="false" ht="15" hidden="false" customHeight="false" outlineLevel="0" collapsed="false">
      <c r="A12305" s="3" t="s">
        <v>542</v>
      </c>
      <c r="C12305" s="25" t="n">
        <f aca="false">SUM($C$12302:$I$12302)</f>
        <v>100</v>
      </c>
    </row>
    <row r="12306" customFormat="false" ht="15" hidden="false" customHeight="false" outlineLevel="0" collapsed="false">
      <c r="A12306" s="3" t="s">
        <v>543</v>
      </c>
      <c r="C12306" s="25" t="n">
        <f aca="false">C12304+C12305</f>
        <v>131.5</v>
      </c>
    </row>
    <row r="12307" customFormat="false" ht="15" hidden="false" customHeight="false" outlineLevel="0" collapsed="false">
      <c r="A12307" s="3" t="s">
        <v>544</v>
      </c>
      <c r="C12307" s="25" t="n">
        <f aca="false">C12305-C12228*C12229/100</f>
        <v>5</v>
      </c>
    </row>
    <row r="12308" customFormat="false" ht="15" hidden="false" customHeight="false" outlineLevel="0" collapsed="false">
      <c r="A12308" s="3" t="s">
        <v>545</v>
      </c>
      <c r="C12308" s="25" t="n">
        <f aca="false">C12306-C12230</f>
        <v>36.5</v>
      </c>
    </row>
    <row r="12309" customFormat="false" ht="15" hidden="false" customHeight="false" outlineLevel="0" collapsed="false">
      <c r="A12309" s="2" t="s">
        <v>427</v>
      </c>
      <c r="C12309" s="44" t="n">
        <f aca="false">C12306/C12230</f>
        <v>1.38421052631579</v>
      </c>
    </row>
    <row r="12310" customFormat="false" ht="15" hidden="false" customHeight="false" outlineLevel="0" collapsed="false">
      <c r="A12310" s="2" t="s">
        <v>426</v>
      </c>
      <c r="C12310" s="42" t="n">
        <f aca="false">IF(C12306&lt;=0,-1,IFERROR(IRR($C$12303:$I$12303,MAX(-0.9,C12309^(1/C12297)-1)),IRR($C$12303:$I$12303,0.1)))</f>
        <v>0.126033624615204</v>
      </c>
    </row>
    <row r="12311" customFormat="false" ht="15" hidden="false" customHeight="false" outlineLevel="0" collapsed="false">
      <c r="A12311" s="3" t="s">
        <v>546</v>
      </c>
      <c r="C12311" s="32" t="n">
        <f aca="false">MAX($G$12117:$K$12117)</f>
        <v>3.81499621093561</v>
      </c>
    </row>
    <row r="12312" customFormat="false" ht="15" hidden="false" customHeight="false" outlineLevel="0" collapsed="false">
      <c r="A12312" s="3" t="s">
        <v>547</v>
      </c>
      <c r="C12312" s="32" t="n">
        <f aca="false">MIN($G$12118:$K$12118)</f>
        <v>1.75842750947116</v>
      </c>
    </row>
    <row r="12313" customFormat="false" ht="15" hidden="false" customHeight="false" outlineLevel="0" collapsed="false">
      <c r="A12313" s="3" t="s">
        <v>548</v>
      </c>
      <c r="C12313" s="25" t="n">
        <f aca="false">SUM($G$12024:$K$12024)</f>
        <v>555.588348849095</v>
      </c>
    </row>
    <row r="12317" customFormat="false" ht="15" hidden="false" customHeight="false" outlineLevel="0" collapsed="false">
      <c r="A12317" s="9" t="s">
        <v>1052</v>
      </c>
      <c r="B12317" s="10"/>
      <c r="C12317" s="10"/>
      <c r="D12317" s="10"/>
      <c r="E12317" s="10"/>
      <c r="F12317" s="10"/>
      <c r="G12317" s="10"/>
      <c r="H12317" s="10"/>
      <c r="I12317" s="10"/>
      <c r="J12317" s="10"/>
      <c r="K12317" s="10"/>
    </row>
    <row r="12318" customFormat="false" ht="15" hidden="false" customHeight="false" outlineLevel="0" collapsed="false">
      <c r="A12318" s="3" t="s">
        <v>1010</v>
      </c>
      <c r="C12318" s="11" t="n">
        <v>2</v>
      </c>
    </row>
    <row r="12319" customFormat="false" ht="15" hidden="false" customHeight="false" outlineLevel="0" collapsed="false">
      <c r="A12319" s="3" t="s">
        <v>1011</v>
      </c>
      <c r="C12319" s="18" t="n">
        <v>0</v>
      </c>
    </row>
    <row r="12320" customFormat="false" ht="15" hidden="false" customHeight="false" outlineLevel="0" collapsed="false">
      <c r="A12320" s="3" t="s">
        <v>1012</v>
      </c>
      <c r="C12320" s="18" t="n">
        <v>0</v>
      </c>
    </row>
    <row r="12321" customFormat="false" ht="15" hidden="false" customHeight="false" outlineLevel="0" collapsed="false">
      <c r="A12321" s="3" t="s">
        <v>1013</v>
      </c>
      <c r="C12321" s="30" t="n">
        <f aca="false">Sensitivities!$A$50</f>
        <v>-0.01</v>
      </c>
    </row>
    <row r="12322" customFormat="false" ht="15" hidden="false" customHeight="false" outlineLevel="0" collapsed="false">
      <c r="A12322" s="3" t="s">
        <v>1014</v>
      </c>
      <c r="C12322" s="15" t="n">
        <v>0</v>
      </c>
    </row>
    <row r="12324" customFormat="false" ht="15" hidden="false" customHeight="false" outlineLevel="0" collapsed="false">
      <c r="A12324" s="23" t="s">
        <v>281</v>
      </c>
      <c r="B12324" s="24"/>
      <c r="C12324" s="24"/>
      <c r="D12324" s="24"/>
      <c r="E12324" s="24"/>
      <c r="F12324" s="24"/>
      <c r="G12324" s="24"/>
      <c r="H12324" s="24"/>
      <c r="I12324" s="24"/>
      <c r="J12324" s="24"/>
      <c r="K12324" s="24"/>
    </row>
    <row r="12325" customFormat="false" ht="15" hidden="false" customHeight="false" outlineLevel="0" collapsed="false">
      <c r="A12325" s="3" t="s">
        <v>282</v>
      </c>
      <c r="F12325" s="27" t="n">
        <f aca="false">Assumptions!$C$6</f>
        <v>2026</v>
      </c>
      <c r="G12325" s="20" t="n">
        <f aca="false">F12325+1</f>
        <v>2027</v>
      </c>
      <c r="H12325" s="20" t="n">
        <f aca="false">G12325+1</f>
        <v>2028</v>
      </c>
      <c r="I12325" s="20" t="n">
        <f aca="false">H12325+1</f>
        <v>2029</v>
      </c>
      <c r="J12325" s="20" t="n">
        <f aca="false">I12325+1</f>
        <v>2030</v>
      </c>
      <c r="K12325" s="20" t="n">
        <f aca="false">J12325+1</f>
        <v>2031</v>
      </c>
    </row>
    <row r="12326" customFormat="false" ht="15" hidden="false" customHeight="false" outlineLevel="0" collapsed="false">
      <c r="A12326" s="3" t="s">
        <v>283</v>
      </c>
      <c r="G12326" s="20" t="n">
        <f aca="false">G12325-Assumptions!$C$6</f>
        <v>1</v>
      </c>
      <c r="H12326" s="20" t="n">
        <f aca="false">H12325-Assumptions!$C$6</f>
        <v>2</v>
      </c>
      <c r="I12326" s="20" t="n">
        <f aca="false">I12325-Assumptions!$C$6</f>
        <v>3</v>
      </c>
      <c r="J12326" s="20" t="n">
        <f aca="false">J12325-Assumptions!$C$6</f>
        <v>4</v>
      </c>
      <c r="K12326" s="20" t="n">
        <f aca="false">K12325-Assumptions!$C$6</f>
        <v>5</v>
      </c>
    </row>
    <row r="12327" customFormat="false" ht="15" hidden="false" customHeight="false" outlineLevel="0" collapsed="false">
      <c r="A12327" s="3" t="s">
        <v>165</v>
      </c>
      <c r="G12327" s="21" t="n">
        <f aca="false">CHOOSE($C$12318,Assumptions!$G$71,Assumptions!$G$90,Assumptions!$G$109)+$C$12319</f>
        <v>-0.08</v>
      </c>
      <c r="H12327" s="21" t="n">
        <f aca="false">CHOOSE($C$12318,Assumptions!$H$71,Assumptions!$H$90,Assumptions!$H$109)+$C$12319</f>
        <v>-0.07</v>
      </c>
      <c r="I12327" s="21" t="n">
        <f aca="false">CHOOSE($C$12318,Assumptions!$I$71,Assumptions!$I$90,Assumptions!$I$109)+$C$12319</f>
        <v>-0.06</v>
      </c>
      <c r="J12327" s="21" t="n">
        <f aca="false">CHOOSE($C$12318,Assumptions!$J$71,Assumptions!$J$90,Assumptions!$J$109)+$C$12319</f>
        <v>-0.05</v>
      </c>
      <c r="K12327" s="21" t="n">
        <f aca="false">CHOOSE($C$12318,Assumptions!$K$71,Assumptions!$K$90,Assumptions!$K$109)+$C$12319</f>
        <v>-0.05</v>
      </c>
    </row>
    <row r="12328" customFormat="false" ht="15" hidden="false" customHeight="false" outlineLevel="0" collapsed="false">
      <c r="A12328" s="3" t="s">
        <v>166</v>
      </c>
      <c r="G12328" s="21" t="n">
        <f aca="false">CHOOSE($C$12318,Assumptions!$G$72,Assumptions!$G$91,Assumptions!$G$110)</f>
        <v>0.463246670103635</v>
      </c>
      <c r="H12328" s="21" t="n">
        <f aca="false">CHOOSE($C$12318,Assumptions!$H$72,Assumptions!$H$91,Assumptions!$H$110)</f>
        <v>0.453246670103635</v>
      </c>
      <c r="I12328" s="21" t="n">
        <f aca="false">CHOOSE($C$12318,Assumptions!$I$72,Assumptions!$I$91,Assumptions!$I$110)</f>
        <v>0.448246670103634</v>
      </c>
      <c r="J12328" s="21" t="n">
        <f aca="false">CHOOSE($C$12318,Assumptions!$J$72,Assumptions!$J$91,Assumptions!$J$110)</f>
        <v>0.443246670103635</v>
      </c>
      <c r="K12328" s="21" t="n">
        <f aca="false">CHOOSE($C$12318,Assumptions!$K$72,Assumptions!$K$91,Assumptions!$K$110)</f>
        <v>0.443246670103635</v>
      </c>
    </row>
    <row r="12329" customFormat="false" ht="15" hidden="false" customHeight="false" outlineLevel="0" collapsed="false">
      <c r="A12329" s="3" t="s">
        <v>167</v>
      </c>
      <c r="G12329" s="21" t="n">
        <f aca="false">CHOOSE($C$12318,Assumptions!$G$73,Assumptions!$G$92,Assumptions!$G$111)+$C$12320</f>
        <v>0.12</v>
      </c>
      <c r="H12329" s="21" t="n">
        <f aca="false">CHOOSE($C$12318,Assumptions!$H$73,Assumptions!$H$92,Assumptions!$H$111)+$C$12320</f>
        <v>0.11</v>
      </c>
      <c r="I12329" s="21" t="n">
        <f aca="false">CHOOSE($C$12318,Assumptions!$I$73,Assumptions!$I$92,Assumptions!$I$111)+$C$12320</f>
        <v>0.105</v>
      </c>
      <c r="J12329" s="21" t="n">
        <f aca="false">CHOOSE($C$12318,Assumptions!$J$73,Assumptions!$J$92,Assumptions!$J$111)+$C$12320</f>
        <v>0.1</v>
      </c>
      <c r="K12329" s="21" t="n">
        <f aca="false">CHOOSE($C$12318,Assumptions!$K$73,Assumptions!$K$92,Assumptions!$K$111)+$C$12320</f>
        <v>0.1</v>
      </c>
    </row>
    <row r="12330" customFormat="false" ht="15" hidden="false" customHeight="false" outlineLevel="0" collapsed="false">
      <c r="A12330" s="23" t="s">
        <v>284</v>
      </c>
      <c r="B12330" s="24"/>
      <c r="C12330" s="24"/>
      <c r="D12330" s="24"/>
      <c r="E12330" s="24"/>
      <c r="F12330" s="24"/>
      <c r="G12330" s="24"/>
      <c r="H12330" s="24"/>
      <c r="I12330" s="24"/>
      <c r="J12330" s="24"/>
      <c r="K12330" s="24"/>
    </row>
    <row r="12331" customFormat="false" ht="15" hidden="false" customHeight="false" outlineLevel="0" collapsed="false">
      <c r="A12331" s="2" t="s">
        <v>256</v>
      </c>
      <c r="F12331" s="28" t="n">
        <f aca="false">'Historical Financials'!G23</f>
        <v>2246.166</v>
      </c>
      <c r="G12331" s="16" t="n">
        <f aca="false">F12331*(1+G12327)</f>
        <v>2066.47272</v>
      </c>
      <c r="H12331" s="16" t="n">
        <f aca="false">G12331*(1+H12327)</f>
        <v>1921.8196296</v>
      </c>
      <c r="I12331" s="16" t="n">
        <f aca="false">H12331*(1+I12327)</f>
        <v>1806.510451824</v>
      </c>
      <c r="J12331" s="16" t="n">
        <f aca="false">I12331*(1+J12327)</f>
        <v>1716.1849292328</v>
      </c>
      <c r="K12331" s="16" t="n">
        <f aca="false">J12331*(1+K12327)</f>
        <v>1630.37568277116</v>
      </c>
    </row>
    <row r="12332" customFormat="false" ht="15" hidden="false" customHeight="false" outlineLevel="0" collapsed="false">
      <c r="A12332" s="3" t="s">
        <v>257</v>
      </c>
      <c r="G12332" s="25" t="n">
        <f aca="false">G12331*(1-G12328)</f>
        <v>1109.1861136</v>
      </c>
      <c r="H12332" s="25" t="n">
        <f aca="false">H12331*(1-H12328)</f>
        <v>1050.761281944</v>
      </c>
      <c r="I12332" s="25" t="n">
        <f aca="false">I12331*(1-I12328)</f>
        <v>996.74815728648</v>
      </c>
      <c r="J12332" s="25" t="n">
        <f aca="false">J12331*(1-J12328)</f>
        <v>955.49167406832</v>
      </c>
      <c r="K12332" s="25" t="n">
        <f aca="false">K12331*(1-K12328)</f>
        <v>907.717090364904</v>
      </c>
    </row>
    <row r="12333" customFormat="false" ht="15" hidden="false" customHeight="false" outlineLevel="0" collapsed="false">
      <c r="A12333" s="2" t="s">
        <v>258</v>
      </c>
      <c r="G12333" s="16" t="n">
        <f aca="false">G12331-G12332</f>
        <v>957.2866064</v>
      </c>
      <c r="H12333" s="16" t="n">
        <f aca="false">H12331-H12332</f>
        <v>871.058347656</v>
      </c>
      <c r="I12333" s="16" t="n">
        <f aca="false">I12331-I12332</f>
        <v>809.76229453752</v>
      </c>
      <c r="J12333" s="16" t="n">
        <f aca="false">J12331-J12332</f>
        <v>760.69325516448</v>
      </c>
      <c r="K12333" s="16" t="n">
        <f aca="false">K12331-K12332</f>
        <v>722.658592406256</v>
      </c>
    </row>
    <row r="12334" customFormat="false" ht="15" hidden="false" customHeight="false" outlineLevel="0" collapsed="false">
      <c r="A12334" s="3" t="s">
        <v>285</v>
      </c>
      <c r="G12334" s="25" t="n">
        <f aca="false">G12333-G12335</f>
        <v>709.30988</v>
      </c>
      <c r="H12334" s="25" t="n">
        <f aca="false">H12333-H12335</f>
        <v>659.6581884</v>
      </c>
      <c r="I12334" s="25" t="n">
        <f aca="false">I12333-I12335</f>
        <v>620.078697096</v>
      </c>
      <c r="J12334" s="25" t="n">
        <f aca="false">J12333-J12335</f>
        <v>589.0747622412</v>
      </c>
      <c r="K12334" s="25" t="n">
        <f aca="false">K12333-K12335</f>
        <v>559.62102412914</v>
      </c>
    </row>
    <row r="12335" customFormat="false" ht="15" hidden="false" customHeight="false" outlineLevel="0" collapsed="false">
      <c r="A12335" s="2" t="s">
        <v>286</v>
      </c>
      <c r="G12335" s="16" t="n">
        <f aca="false">G12331*G12329</f>
        <v>247.9767264</v>
      </c>
      <c r="H12335" s="16" t="n">
        <f aca="false">H12331*H12329</f>
        <v>211.400159256</v>
      </c>
      <c r="I12335" s="16" t="n">
        <f aca="false">I12331*I12329</f>
        <v>189.68359744152</v>
      </c>
      <c r="J12335" s="16" t="n">
        <f aca="false">J12331*J12329</f>
        <v>171.61849292328</v>
      </c>
      <c r="K12335" s="16" t="n">
        <f aca="false">K12331*K12329</f>
        <v>163.037568277116</v>
      </c>
    </row>
    <row r="12336" customFormat="false" ht="15" hidden="false" customHeight="false" outlineLevel="0" collapsed="false">
      <c r="A12336" s="3" t="s">
        <v>287</v>
      </c>
      <c r="G12336" s="25" t="n">
        <f aca="false">G12331*'Historical Financials'!G28/'Historical Financials'!G23</f>
        <v>78.47232</v>
      </c>
      <c r="H12336" s="25" t="n">
        <f aca="false">H12331*'Historical Financials'!G28/'Historical Financials'!G23</f>
        <v>72.9792576</v>
      </c>
      <c r="I12336" s="25" t="n">
        <f aca="false">I12331*'Historical Financials'!G28/'Historical Financials'!G23</f>
        <v>68.600502144</v>
      </c>
      <c r="J12336" s="25" t="n">
        <f aca="false">J12331*'Historical Financials'!G28/'Historical Financials'!G23</f>
        <v>65.1704770368</v>
      </c>
      <c r="K12336" s="25" t="n">
        <f aca="false">K12331*'Historical Financials'!G28/'Historical Financials'!G23</f>
        <v>61.91195318496</v>
      </c>
    </row>
    <row r="12337" customFormat="false" ht="15" hidden="false" customHeight="false" outlineLevel="0" collapsed="false">
      <c r="A12337" s="3" t="s">
        <v>288</v>
      </c>
      <c r="G12337" s="25" t="n">
        <f aca="false">G12331*'Historical Financials'!G29/'Historical Financials'!G23</f>
        <v>22.40752</v>
      </c>
      <c r="H12337" s="25" t="n">
        <f aca="false">H12331*'Historical Financials'!G29/'Historical Financials'!G23</f>
        <v>20.8389936</v>
      </c>
      <c r="I12337" s="25" t="n">
        <f aca="false">I12331*'Historical Financials'!G29/'Historical Financials'!G23</f>
        <v>19.588653984</v>
      </c>
      <c r="J12337" s="25" t="n">
        <f aca="false">J12331*'Historical Financials'!G29/'Historical Financials'!G23</f>
        <v>18.6092212848</v>
      </c>
      <c r="K12337" s="25" t="n">
        <f aca="false">K12331*'Historical Financials'!G29/'Historical Financials'!G23</f>
        <v>17.67876022056</v>
      </c>
    </row>
    <row r="12338" customFormat="false" ht="15" hidden="false" customHeight="false" outlineLevel="0" collapsed="false">
      <c r="A12338" s="2" t="s">
        <v>289</v>
      </c>
      <c r="G12338" s="16" t="n">
        <f aca="false">G12335-G12336-G12337</f>
        <v>147.0968864</v>
      </c>
      <c r="H12338" s="16" t="n">
        <f aca="false">H12335-H12336-H12337</f>
        <v>117.581908056</v>
      </c>
      <c r="I12338" s="16" t="n">
        <f aca="false">I12335-I12336-I12337</f>
        <v>101.49444131352</v>
      </c>
      <c r="J12338" s="16" t="n">
        <f aca="false">J12335-J12336-J12337</f>
        <v>87.83879460168</v>
      </c>
      <c r="K12338" s="16" t="n">
        <f aca="false">K12335-K12336-K12337</f>
        <v>83.446854871596</v>
      </c>
    </row>
    <row r="12339" customFormat="false" ht="15" hidden="false" customHeight="false" outlineLevel="0" collapsed="false">
      <c r="A12339" s="3" t="s">
        <v>290</v>
      </c>
      <c r="G12339" s="25" t="n">
        <f aca="false">G12365+G12378+G12391</f>
        <v>155.95467</v>
      </c>
      <c r="H12339" s="25" t="n">
        <f aca="false">H12365+H12378+H12391</f>
        <v>155.95467</v>
      </c>
      <c r="I12339" s="25" t="n">
        <f aca="false">I12365+I12378+I12391</f>
        <v>155.95467</v>
      </c>
      <c r="J12339" s="25" t="n">
        <f aca="false">J12365+J12378+J12391</f>
        <v>138.08529</v>
      </c>
      <c r="K12339" s="25" t="n">
        <f aca="false">K12365+K12378+K12391</f>
        <v>138.08529</v>
      </c>
    </row>
    <row r="12340" customFormat="false" ht="15" hidden="false" customHeight="false" outlineLevel="0" collapsed="false">
      <c r="A12340" s="3" t="s">
        <v>291</v>
      </c>
      <c r="G12340" s="25" t="n">
        <f aca="false">G12366+G12379+G12392</f>
        <v>0</v>
      </c>
      <c r="H12340" s="25" t="n">
        <f aca="false">H12366+H12379+H12392</f>
        <v>0</v>
      </c>
      <c r="I12340" s="25" t="n">
        <f aca="false">I12366+I12379+I12392</f>
        <v>0</v>
      </c>
      <c r="J12340" s="25" t="n">
        <f aca="false">J12366+J12379+J12392</f>
        <v>0</v>
      </c>
      <c r="K12340" s="25" t="n">
        <f aca="false">K12366+K12379+K12392</f>
        <v>0</v>
      </c>
    </row>
    <row r="12341" customFormat="false" ht="15" hidden="false" customHeight="false" outlineLevel="0" collapsed="false">
      <c r="A12341" s="3" t="s">
        <v>239</v>
      </c>
      <c r="G12341" s="25" t="n">
        <f aca="false">G12339+G12340</f>
        <v>155.95467</v>
      </c>
      <c r="H12341" s="25" t="n">
        <f aca="false">H12339+H12340</f>
        <v>155.95467</v>
      </c>
      <c r="I12341" s="25" t="n">
        <f aca="false">I12339+I12340</f>
        <v>155.95467</v>
      </c>
      <c r="J12341" s="25" t="n">
        <f aca="false">J12339+J12340</f>
        <v>138.08529</v>
      </c>
      <c r="K12341" s="25" t="n">
        <f aca="false">K12339+K12340</f>
        <v>138.08529</v>
      </c>
    </row>
    <row r="12342" customFormat="false" ht="15" hidden="false" customHeight="false" outlineLevel="0" collapsed="false">
      <c r="A12342" s="2" t="s">
        <v>264</v>
      </c>
      <c r="G12342" s="16" t="n">
        <f aca="false">G12338-G12341</f>
        <v>-8.85778360000006</v>
      </c>
      <c r="H12342" s="16" t="n">
        <f aca="false">H12338-H12341</f>
        <v>-38.372761944</v>
      </c>
      <c r="I12342" s="16" t="n">
        <f aca="false">I12338-I12341</f>
        <v>-54.46022868648</v>
      </c>
      <c r="J12342" s="16" t="n">
        <f aca="false">J12338-J12341</f>
        <v>-50.24649539832</v>
      </c>
      <c r="K12342" s="16" t="n">
        <f aca="false">K12338-K12341</f>
        <v>-54.638435128404</v>
      </c>
    </row>
    <row r="12343" customFormat="false" ht="15" hidden="false" customHeight="false" outlineLevel="0" collapsed="false">
      <c r="A12343" s="3" t="s">
        <v>292</v>
      </c>
      <c r="G12343" s="25" t="n">
        <f aca="false">MAX(0,G12342)*Assumptions!$C$9</f>
        <v>0</v>
      </c>
      <c r="H12343" s="25" t="n">
        <f aca="false">MAX(0,H12342)*Assumptions!$C$9</f>
        <v>0</v>
      </c>
      <c r="I12343" s="25" t="n">
        <f aca="false">MAX(0,I12342)*Assumptions!$C$9</f>
        <v>0</v>
      </c>
      <c r="J12343" s="25" t="n">
        <f aca="false">MAX(0,J12342)*Assumptions!$C$9</f>
        <v>0</v>
      </c>
      <c r="K12343" s="25" t="n">
        <f aca="false">MAX(0,K12342)*Assumptions!$C$9</f>
        <v>0</v>
      </c>
    </row>
    <row r="12344" customFormat="false" ht="15" hidden="false" customHeight="false" outlineLevel="0" collapsed="false">
      <c r="A12344" s="2" t="s">
        <v>293</v>
      </c>
      <c r="G12344" s="16" t="n">
        <f aca="false">G12342-G12343</f>
        <v>-8.85778360000006</v>
      </c>
      <c r="H12344" s="16" t="n">
        <f aca="false">H12342-H12343</f>
        <v>-38.372761944</v>
      </c>
      <c r="I12344" s="16" t="n">
        <f aca="false">I12342-I12343</f>
        <v>-54.46022868648</v>
      </c>
      <c r="J12344" s="16" t="n">
        <f aca="false">J12342-J12343</f>
        <v>-50.24649539832</v>
      </c>
      <c r="K12344" s="16" t="n">
        <f aca="false">K12342-K12343</f>
        <v>-54.638435128404</v>
      </c>
    </row>
    <row r="12345" customFormat="false" ht="15" hidden="false" customHeight="false" outlineLevel="0" collapsed="false">
      <c r="A12345" s="23" t="s">
        <v>294</v>
      </c>
      <c r="B12345" s="24"/>
      <c r="C12345" s="24"/>
      <c r="D12345" s="24"/>
      <c r="E12345" s="24"/>
      <c r="F12345" s="24"/>
      <c r="G12345" s="24"/>
      <c r="H12345" s="24"/>
      <c r="I12345" s="24"/>
      <c r="J12345" s="24"/>
      <c r="K12345" s="24"/>
    </row>
    <row r="12346" customFormat="false" ht="15" hidden="false" customHeight="false" outlineLevel="0" collapsed="false">
      <c r="A12346" s="3" t="s">
        <v>169</v>
      </c>
      <c r="G12346" s="25" t="n">
        <f aca="false">G12331*CHOOSE($C$12318,Assumptions!$C$75,Assumptions!$C$94,Assumptions!$C$113)</f>
        <v>26.86414536</v>
      </c>
      <c r="H12346" s="25" t="n">
        <f aca="false">H12331*CHOOSE($C$12318,Assumptions!$C$75,Assumptions!$C$94,Assumptions!$C$113)</f>
        <v>24.9836551848</v>
      </c>
      <c r="I12346" s="25" t="n">
        <f aca="false">I12331*CHOOSE($C$12318,Assumptions!$C$75,Assumptions!$C$94,Assumptions!$C$113)</f>
        <v>23.484635873712</v>
      </c>
      <c r="J12346" s="25" t="n">
        <f aca="false">J12331*CHOOSE($C$12318,Assumptions!$C$75,Assumptions!$C$94,Assumptions!$C$113)</f>
        <v>22.3104040800264</v>
      </c>
      <c r="K12346" s="25" t="n">
        <f aca="false">K12331*CHOOSE($C$12318,Assumptions!$C$75,Assumptions!$C$94,Assumptions!$C$113)</f>
        <v>21.1948838760251</v>
      </c>
    </row>
    <row r="12347" customFormat="false" ht="15" hidden="false" customHeight="false" outlineLevel="0" collapsed="false">
      <c r="A12347" s="3" t="s">
        <v>295</v>
      </c>
      <c r="G12347" s="25" t="n">
        <f aca="false">CHOOSE($C$12318,Assumptions!$C$76,Assumptions!$C$95,Assumptions!$C$114)*(G12331-F12331)+CHOOSE($C$12318,Assumptions!$C$77,Assumptions!$C$96,Assumptions!$C$115)*G12331</f>
        <v>10.3323636</v>
      </c>
      <c r="H12347" s="25" t="n">
        <f aca="false">CHOOSE($C$12318,Assumptions!$C$76,Assumptions!$C$95,Assumptions!$C$114)*(H12331-G12331)+CHOOSE($C$12318,Assumptions!$C$77,Assumptions!$C$96,Assumptions!$C$115)*H12331</f>
        <v>9.609098148</v>
      </c>
      <c r="I12347" s="25" t="n">
        <f aca="false">CHOOSE($C$12318,Assumptions!$C$76,Assumptions!$C$95,Assumptions!$C$114)*(I12331-H12331)+CHOOSE($C$12318,Assumptions!$C$77,Assumptions!$C$96,Assumptions!$C$115)*I12331</f>
        <v>9.03255225912</v>
      </c>
      <c r="J12347" s="25" t="n">
        <f aca="false">CHOOSE($C$12318,Assumptions!$C$76,Assumptions!$C$95,Assumptions!$C$114)*(J12331-I12331)+CHOOSE($C$12318,Assumptions!$C$77,Assumptions!$C$96,Assumptions!$C$115)*J12331</f>
        <v>8.580924646164</v>
      </c>
      <c r="K12347" s="25" t="n">
        <f aca="false">CHOOSE($C$12318,Assumptions!$C$76,Assumptions!$C$95,Assumptions!$C$114)*(K12331-J12331)+CHOOSE($C$12318,Assumptions!$C$77,Assumptions!$C$96,Assumptions!$C$115)*K12331</f>
        <v>8.1518784138558</v>
      </c>
    </row>
    <row r="12348" customFormat="false" ht="15" hidden="false" customHeight="false" outlineLevel="0" collapsed="false">
      <c r="A12348" s="2" t="s">
        <v>296</v>
      </c>
      <c r="G12348" s="16" t="n">
        <f aca="false">G12344+G12336+G12337+G12340-G12346-G12347</f>
        <v>54.8255474399999</v>
      </c>
      <c r="H12348" s="16" t="n">
        <f aca="false">H12344+H12336+H12337+H12340-H12346-H12347</f>
        <v>20.8527359232</v>
      </c>
      <c r="I12348" s="16" t="n">
        <f aca="false">I12344+I12336+I12337+I12340-I12346-I12347</f>
        <v>1.21173930868796</v>
      </c>
      <c r="J12348" s="16" t="n">
        <f aca="false">J12344+J12336+J12337+J12340-J12346-J12347</f>
        <v>2.6418741970896</v>
      </c>
      <c r="K12348" s="16" t="n">
        <f aca="false">K12344+K12336+K12337+K12340-K12346-K12347</f>
        <v>-4.39448401276491</v>
      </c>
    </row>
    <row r="12350" customFormat="false" ht="15" hidden="false" customHeight="false" outlineLevel="0" collapsed="false">
      <c r="A12350" s="23" t="s">
        <v>298</v>
      </c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</row>
    <row r="12351" customFormat="false" ht="15" hidden="false" customHeight="false" outlineLevel="0" collapsed="false">
      <c r="A12351" s="3" t="s">
        <v>299</v>
      </c>
      <c r="G12351" s="30" t="n">
        <f aca="false">Assumptions!$G$52</f>
        <v>0.039</v>
      </c>
      <c r="H12351" s="30" t="n">
        <f aca="false">Assumptions!$H$52</f>
        <v>0.0375</v>
      </c>
      <c r="I12351" s="30" t="n">
        <f aca="false">Assumptions!$I$52</f>
        <v>0.035</v>
      </c>
      <c r="J12351" s="30" t="n">
        <f aca="false">Assumptions!$J$52</f>
        <v>0.035</v>
      </c>
      <c r="K12351" s="30" t="n">
        <f aca="false">Assumptions!$K$52</f>
        <v>0.035</v>
      </c>
    </row>
    <row r="12352" customFormat="false" ht="15" hidden="false" customHeight="false" outlineLevel="0" collapsed="false">
      <c r="A12352" s="3" t="s">
        <v>300</v>
      </c>
      <c r="C12352" s="31" t="n">
        <f aca="false">CHOOSE($C$12318,Assumptions!$C$78,Assumptions!$C$97,Assumptions!$C$116)+$C$12321</f>
        <v>0.005</v>
      </c>
    </row>
    <row r="12353" customFormat="false" ht="15" hidden="false" customHeight="false" outlineLevel="0" collapsed="false">
      <c r="A12353" s="3" t="s">
        <v>301</v>
      </c>
      <c r="C12353" s="31" t="n">
        <f aca="false">CHOOSE($C$12318,Assumptions!$C$79,Assumptions!$C$98,Assumptions!$C$117)</f>
        <v>0.13</v>
      </c>
    </row>
    <row r="12354" customFormat="false" ht="15" hidden="false" customHeight="false" outlineLevel="0" collapsed="false">
      <c r="A12354" s="3" t="s">
        <v>302</v>
      </c>
      <c r="C12354" s="32" t="n">
        <f aca="false">CHOOSE($C$12318,Assumptions!$C$80,Assumptions!$C$99,Assumptions!$C$118)</f>
        <v>5.5</v>
      </c>
    </row>
    <row r="12355" customFormat="false" ht="15" hidden="false" customHeight="false" outlineLevel="0" collapsed="false">
      <c r="A12355" s="3" t="s">
        <v>303</v>
      </c>
      <c r="C12355" s="32" t="n">
        <f aca="false">CHOOSE($C$12318,Assumptions!$C$81,Assumptions!$C$100,Assumptions!$C$119)</f>
        <v>1.5</v>
      </c>
    </row>
    <row r="12356" customFormat="false" ht="15" hidden="false" customHeight="false" outlineLevel="0" collapsed="false">
      <c r="A12356" s="3" t="s">
        <v>304</v>
      </c>
      <c r="G12356" s="25" t="n">
        <f aca="false">G12361+G12374+G12387</f>
        <v>1735.554</v>
      </c>
      <c r="H12356" s="25" t="n">
        <f aca="false">H12361+H12374+H12387</f>
        <v>1735.554</v>
      </c>
      <c r="I12356" s="25" t="n">
        <f aca="false">I12361+I12374+I12387</f>
        <v>1735.554</v>
      </c>
      <c r="J12356" s="25" t="n">
        <f aca="false">J12361+J12374+J12387</f>
        <v>1315.098</v>
      </c>
      <c r="K12356" s="25" t="n">
        <f aca="false">K12361+K12374+K12387</f>
        <v>1315.098</v>
      </c>
    </row>
    <row r="12357" customFormat="false" ht="15" hidden="false" customHeight="false" outlineLevel="0" collapsed="false">
      <c r="A12357" s="3" t="s">
        <v>305</v>
      </c>
      <c r="G12357" s="25" t="n">
        <f aca="false">F12430</f>
        <v>463.996</v>
      </c>
      <c r="H12357" s="25" t="n">
        <f aca="false">G12430</f>
        <v>518.82154744</v>
      </c>
      <c r="I12357" s="25" t="n">
        <f aca="false">H12430</f>
        <v>539.6742833632</v>
      </c>
      <c r="J12357" s="25" t="n">
        <f aca="false">I12430</f>
        <v>120.430022671888</v>
      </c>
      <c r="K12357" s="25" t="n">
        <f aca="false">J12430</f>
        <v>123.071896868977</v>
      </c>
    </row>
    <row r="12358" customFormat="false" ht="15" hidden="false" customHeight="false" outlineLevel="0" collapsed="false">
      <c r="A12358" s="3" t="s">
        <v>306</v>
      </c>
      <c r="G12358" s="25" t="n">
        <f aca="false">G12361*IF(G12362=1,$C$12353,IF(Assumptions!$I$56=1,MAX(G12351,Assumptions!$G$56)+Assumptions!$F$56+$C$12352,Assumptions!$E$56))+G12374*IF(G12375=1,$C$12353,IF(Assumptions!$I$57=1,MAX(G12351,Assumptions!$G$57)+Assumptions!$F$57+$C$12352,Assumptions!$E$57))+G12387*IF(G12388=1,$C$12353,IF(Assumptions!$I$58=1,MAX(G12351,Assumptions!$G$58)+Assumptions!$F$58+$C$12352,Assumptions!$E$58))</f>
        <v>155.95467</v>
      </c>
      <c r="H12358" s="25" t="n">
        <f aca="false">H12361*IF(OR(H12362=1,G12508=1),$C$12353,IF(Assumptions!$I$56=1,MAX(H12351,Assumptions!$G$56)+Assumptions!$F$56+$C$12352,Assumptions!$E$56))+H12374*IF(OR(H12375=1,G12509=1),$C$12353,IF(Assumptions!$I$57=1,MAX(H12351,Assumptions!$G$57)+Assumptions!$F$57+$C$12352,Assumptions!$E$57))+H12387*IF(OR(H12388=1,G12510=1),$C$12353,IF(Assumptions!$I$58=1,MAX(H12351,Assumptions!$G$58)+Assumptions!$F$58+$C$12352,Assumptions!$E$58))</f>
        <v>155.95467</v>
      </c>
      <c r="I12358" s="25" t="n">
        <f aca="false">I12361*IF(OR(I12362=1,H12508=1),$C$12353,IF(Assumptions!$I$56=1,MAX(I12351,Assumptions!$G$56)+Assumptions!$F$56+$C$12352,Assumptions!$E$56))+I12374*IF(OR(I12375=1,H12509=1),$C$12353,IF(Assumptions!$I$57=1,MAX(I12351,Assumptions!$G$57)+Assumptions!$F$57+$C$12352,Assumptions!$E$57))+I12387*IF(OR(I12388=1,H12510=1),$C$12353,IF(Assumptions!$I$58=1,MAX(I12351,Assumptions!$G$58)+Assumptions!$F$58+$C$12352,Assumptions!$E$58))</f>
        <v>192.74457</v>
      </c>
      <c r="J12358" s="25" t="n">
        <f aca="false">J12361*IF(OR(J12362=1,I12508=1),$C$12353,IF(Assumptions!$I$56=1,MAX(J12351,Assumptions!$G$56)+Assumptions!$F$56+$C$12352,Assumptions!$E$56))+J12374*IF(OR(J12375=1,I12509=1),$C$12353,IF(Assumptions!$I$57=1,MAX(J12351,Assumptions!$G$57)+Assumptions!$F$57+$C$12352,Assumptions!$E$57))+J12387*IF(OR(J12388=1,I12510=1),$C$12353,IF(Assumptions!$I$58=1,MAX(J12351,Assumptions!$G$58)+Assumptions!$F$58+$C$12352,Assumptions!$E$58))</f>
        <v>138.08529</v>
      </c>
      <c r="K12358" s="25" t="n">
        <f aca="false">K12361*IF(OR(K12362=1,J12508=1),$C$12353,IF(Assumptions!$I$56=1,MAX(K12351,Assumptions!$G$56)+Assumptions!$F$56+$C$12352,Assumptions!$E$56))+K12374*IF(OR(K12375=1,J12509=1),$C$12353,IF(Assumptions!$I$57=1,MAX(K12351,Assumptions!$G$57)+Assumptions!$F$57+$C$12352,Assumptions!$E$57))+K12387*IF(OR(K12388=1,J12510=1),$C$12353,IF(Assumptions!$I$58=1,MAX(K12351,Assumptions!$G$58)+Assumptions!$F$58+$C$12352,Assumptions!$E$58))</f>
        <v>138.08529</v>
      </c>
    </row>
    <row r="12359" customFormat="false" ht="15" hidden="false" customHeight="false" outlineLevel="0" collapsed="false">
      <c r="A12359" s="3" t="s">
        <v>307</v>
      </c>
      <c r="G12359" s="20" t="n">
        <f aca="false">IF(G12335&lt;=0,0,IF(AND((G12356-G12357)/G12335&lt;=$C$12354,G12335/G12358&gt;=$C$12355),1,0))</f>
        <v>1</v>
      </c>
      <c r="H12359" s="20" t="n">
        <f aca="false">IF(H12335&lt;=0,0,IF(AND((H12356-H12357)/H12335&lt;=$C$12354,H12335/H12358&gt;=$C$12355),1,0))</f>
        <v>0</v>
      </c>
      <c r="I12359" s="20" t="n">
        <f aca="false">IF(I12335&lt;=0,0,IF(AND((I12356-I12357)/I12335&lt;=$C$12354,I12335/I12358&gt;=$C$12355),1,0))</f>
        <v>0</v>
      </c>
      <c r="J12359" s="20" t="n">
        <f aca="false">IF(J12335&lt;=0,0,IF(AND((J12356-J12357)/J12335&lt;=$C$12354,J12335/J12358&gt;=$C$12355),1,0))</f>
        <v>0</v>
      </c>
      <c r="K12359" s="20" t="n">
        <f aca="false">IF(K12335&lt;=0,0,IF(AND((K12356-K12357)/K12335&lt;=$C$12354,K12335/K12358&gt;=$C$12355),1,0))</f>
        <v>0</v>
      </c>
    </row>
    <row r="12360" customFormat="false" ht="15" hidden="false" customHeight="false" outlineLevel="0" collapsed="false">
      <c r="A12360" s="23" t="s">
        <v>308</v>
      </c>
      <c r="B12360" s="24"/>
      <c r="C12360" s="24"/>
      <c r="D12360" s="24"/>
      <c r="E12360" s="24"/>
      <c r="F12360" s="24"/>
      <c r="G12360" s="24"/>
      <c r="H12360" s="24"/>
      <c r="I12360" s="24"/>
      <c r="J12360" s="24"/>
      <c r="K12360" s="24"/>
    </row>
    <row r="12361" customFormat="false" ht="15" hidden="false" customHeight="false" outlineLevel="0" collapsed="false">
      <c r="A12361" s="3" t="s">
        <v>309</v>
      </c>
      <c r="G12361" s="25" t="n">
        <f aca="false">F12372</f>
        <v>1315.098</v>
      </c>
      <c r="H12361" s="25" t="n">
        <f aca="false">G12372</f>
        <v>1315.098</v>
      </c>
      <c r="I12361" s="25" t="n">
        <f aca="false">H12372</f>
        <v>1315.098</v>
      </c>
      <c r="J12361" s="25" t="n">
        <f aca="false">I12372</f>
        <v>1315.098</v>
      </c>
      <c r="K12361" s="25" t="n">
        <f aca="false">J12372</f>
        <v>1315.098</v>
      </c>
    </row>
    <row r="12362" customFormat="false" ht="15" hidden="false" customHeight="false" outlineLevel="0" collapsed="false">
      <c r="A12362" s="3" t="s">
        <v>310</v>
      </c>
      <c r="G12362" s="20" t="n">
        <f aca="false">IF(G12325=Assumptions!$K$56,1,0)</f>
        <v>0</v>
      </c>
      <c r="H12362" s="20" t="n">
        <f aca="false">IF(H12325=Assumptions!$K$56,1,0)</f>
        <v>0</v>
      </c>
      <c r="I12362" s="20" t="n">
        <f aca="false">IF(I12325=Assumptions!$K$56,1,0)</f>
        <v>0</v>
      </c>
      <c r="J12362" s="20" t="n">
        <f aca="false">IF(J12325=Assumptions!$K$56,1,0)</f>
        <v>0</v>
      </c>
      <c r="K12362" s="20" t="n">
        <f aca="false">IF(K12325=Assumptions!$K$56,1,0)</f>
        <v>0</v>
      </c>
    </row>
    <row r="12364" customFormat="false" ht="15" hidden="false" customHeight="false" outlineLevel="0" collapsed="false">
      <c r="A12364" s="3" t="s">
        <v>311</v>
      </c>
      <c r="G12364" s="31" t="n">
        <f aca="false">IF(Assumptions!$I$56=1,MAX(G12351,Assumptions!$G$56)+Assumptions!$F$56+$C$12352,Assumptions!$E$56)</f>
        <v>0.105</v>
      </c>
      <c r="H12364" s="31" t="n">
        <f aca="false">IF(G12508=1,$C$12353,IF(Assumptions!$I$56=1,MAX(H12351,Assumptions!$G$56)+Assumptions!$F$56+$C$12352,Assumptions!$E$56))</f>
        <v>0.105</v>
      </c>
      <c r="I12364" s="31" t="n">
        <f aca="false">IF(H12508=1,$C$12353,IF(Assumptions!$I$56=1,MAX(I12351,Assumptions!$G$56)+Assumptions!$F$56+$C$12352,Assumptions!$E$56))</f>
        <v>0.105</v>
      </c>
      <c r="J12364" s="31" t="n">
        <f aca="false">IF(I12508=1,$C$12353,IF(Assumptions!$I$56=1,MAX(J12351,Assumptions!$G$56)+Assumptions!$F$56+$C$12352,Assumptions!$E$56))</f>
        <v>0.105</v>
      </c>
      <c r="K12364" s="31" t="n">
        <f aca="false">IF(J12508=1,$C$12353,IF(Assumptions!$I$56=1,MAX(K12351,Assumptions!$G$56)+Assumptions!$F$56+$C$12352,Assumptions!$E$56))</f>
        <v>0.105</v>
      </c>
    </row>
    <row r="12365" customFormat="false" ht="15" hidden="false" customHeight="false" outlineLevel="0" collapsed="false">
      <c r="A12365" s="3" t="s">
        <v>312</v>
      </c>
      <c r="G12365" s="25" t="n">
        <f aca="false">G12361*G12364</f>
        <v>138.08529</v>
      </c>
      <c r="H12365" s="25" t="n">
        <f aca="false">H12361*H12364</f>
        <v>138.08529</v>
      </c>
      <c r="I12365" s="25" t="n">
        <f aca="false">I12361*I12364</f>
        <v>138.08529</v>
      </c>
      <c r="J12365" s="25" t="n">
        <f aca="false">J12361*J12364</f>
        <v>138.08529</v>
      </c>
      <c r="K12365" s="25" t="n">
        <f aca="false">K12361*K12364</f>
        <v>138.08529</v>
      </c>
    </row>
    <row r="12366" customFormat="false" ht="15" hidden="false" customHeight="false" outlineLevel="0" collapsed="false">
      <c r="A12366" s="3" t="s">
        <v>313</v>
      </c>
      <c r="G12366" s="25" t="n">
        <f aca="false">G12361*Assumptions!$H$56</f>
        <v>0</v>
      </c>
      <c r="H12366" s="25" t="n">
        <f aca="false">H12361*Assumptions!$H$56</f>
        <v>0</v>
      </c>
      <c r="I12366" s="25" t="n">
        <f aca="false">I12361*Assumptions!$H$56</f>
        <v>0</v>
      </c>
      <c r="J12366" s="25" t="n">
        <f aca="false">J12361*Assumptions!$H$56</f>
        <v>0</v>
      </c>
      <c r="K12366" s="25" t="n">
        <f aca="false">K12361*Assumptions!$H$56</f>
        <v>0</v>
      </c>
    </row>
    <row r="12367" customFormat="false" ht="15" hidden="false" customHeight="false" outlineLevel="0" collapsed="false">
      <c r="A12367" s="3" t="s">
        <v>314</v>
      </c>
      <c r="G12367" s="25" t="n">
        <f aca="false">MIN(G12361,Assumptions!$L$56*Assumptions!$C$56)</f>
        <v>0</v>
      </c>
      <c r="H12367" s="25" t="n">
        <f aca="false">MIN(H12361,Assumptions!$L$56*Assumptions!$C$56)</f>
        <v>0</v>
      </c>
      <c r="I12367" s="25" t="n">
        <f aca="false">MIN(I12361,Assumptions!$L$56*Assumptions!$C$56)</f>
        <v>0</v>
      </c>
      <c r="J12367" s="25" t="n">
        <f aca="false">MIN(J12361,Assumptions!$L$56*Assumptions!$C$56)</f>
        <v>0</v>
      </c>
      <c r="K12367" s="25" t="n">
        <f aca="false">MIN(K12361,Assumptions!$L$56*Assumptions!$C$56)</f>
        <v>0</v>
      </c>
    </row>
    <row r="12368" customFormat="false" ht="15" hidden="false" customHeight="false" outlineLevel="0" collapsed="false">
      <c r="A12368" s="3" t="s">
        <v>315</v>
      </c>
      <c r="G12368" s="25" t="n">
        <f aca="false">IF(AND(Assumptions!$P$56=1,G12325&lt;Assumptions!$K$56),MIN(MAX(0,-G12422),MAX(0,Assumptions!$D$56-G12361)),0)</f>
        <v>0</v>
      </c>
      <c r="H12368" s="25" t="n">
        <f aca="false">IF(AND(Assumptions!$P$56=1,OR(H12325&lt;Assumptions!$K$56,G12508=1)),MIN(MAX(0,-H12422),MAX(0,Assumptions!$D$56-H12361)),0)</f>
        <v>0</v>
      </c>
      <c r="I12368" s="25" t="n">
        <f aca="false">IF(AND(Assumptions!$P$56=1,OR(I12325&lt;Assumptions!$K$56,H12508=1)),MIN(MAX(0,-I12422),MAX(0,Assumptions!$D$56-I12361)),0)</f>
        <v>0</v>
      </c>
      <c r="J12368" s="25" t="n">
        <f aca="false">IF(AND(Assumptions!$P$56=1,OR(J12325&lt;Assumptions!$K$56,I12508=1)),MIN(MAX(0,-J12422),MAX(0,Assumptions!$D$56-J12361)),0)</f>
        <v>0</v>
      </c>
      <c r="K12368" s="25" t="n">
        <f aca="false">IF(AND(Assumptions!$P$56=1,OR(K12325&lt;Assumptions!$K$56,J12508=1)),MIN(MAX(0,-K12422),MAX(0,Assumptions!$D$56-K12361)),0)</f>
        <v>0</v>
      </c>
    </row>
    <row r="12369" customFormat="false" ht="15" hidden="false" customHeight="false" outlineLevel="0" collapsed="false">
      <c r="A12369" s="3" t="s">
        <v>316</v>
      </c>
      <c r="G12369" s="25" t="n">
        <f aca="false">G12362*MIN(G12361-G12367+G12366,MAX(0,G12424-Assumptions!$C$12*G12359))</f>
        <v>0</v>
      </c>
      <c r="H12369" s="25" t="n">
        <f aca="false">H12362*MIN(H12361-H12367+H12366,MAX(0,H12424-Assumptions!$C$12*H12359))</f>
        <v>0</v>
      </c>
      <c r="I12369" s="25" t="n">
        <f aca="false">I12362*MIN(I12361-I12367+I12366,MAX(0,I12424-Assumptions!$C$12*I12359))</f>
        <v>0</v>
      </c>
      <c r="J12369" s="25" t="n">
        <f aca="false">J12362*MIN(J12361-J12367+J12366,MAX(0,J12424-Assumptions!$C$12*J12359))</f>
        <v>0</v>
      </c>
      <c r="K12369" s="25" t="n">
        <f aca="false">K12362*MIN(K12361-K12367+K12366,MAX(0,K12424-Assumptions!$C$12*K12359))</f>
        <v>0</v>
      </c>
    </row>
    <row r="12370" customFormat="false" ht="15" hidden="false" customHeight="false" outlineLevel="0" collapsed="false">
      <c r="A12370" s="3" t="s">
        <v>317</v>
      </c>
      <c r="G12370" s="25" t="n">
        <f aca="false">Assumptions!$N$56*MIN(G12361+G12368+G12366-G12367-G12369,MAX(0,G12428))</f>
        <v>0</v>
      </c>
      <c r="H12370" s="25" t="n">
        <f aca="false">Assumptions!$N$56*MIN(H12361+H12368+H12366-H12367-H12369,MAX(0,H12428))</f>
        <v>0</v>
      </c>
      <c r="I12370" s="25" t="n">
        <f aca="false">Assumptions!$N$56*MIN(I12361+I12368+I12366-I12367-I12369,MAX(0,I12428))</f>
        <v>0</v>
      </c>
      <c r="J12370" s="25" t="n">
        <f aca="false">Assumptions!$N$56*MIN(J12361+J12368+J12366-J12367-J12369,MAX(0,J12428))</f>
        <v>0</v>
      </c>
      <c r="K12370" s="25" t="n">
        <f aca="false">Assumptions!$N$56*MIN(K12361+K12368+K12366-K12367-K12369,MAX(0,K12428))</f>
        <v>0</v>
      </c>
    </row>
    <row r="12371" customFormat="false" ht="15" hidden="false" customHeight="false" outlineLevel="0" collapsed="false">
      <c r="A12371" s="3" t="s">
        <v>318</v>
      </c>
      <c r="G12371" s="25" t="n">
        <f aca="false">G12362*(1-G12359)*(G12361-G12367+G12366-G12369)</f>
        <v>0</v>
      </c>
      <c r="H12371" s="25" t="n">
        <f aca="false">H12362*(1-H12359)*(H12361-H12367+H12366-H12369)</f>
        <v>0</v>
      </c>
      <c r="I12371" s="25" t="n">
        <f aca="false">I12362*(1-I12359)*(I12361-I12367+I12366-I12369)</f>
        <v>0</v>
      </c>
      <c r="J12371" s="25" t="n">
        <f aca="false">J12362*(1-J12359)*(J12361-J12367+J12366-J12369)</f>
        <v>0</v>
      </c>
      <c r="K12371" s="25" t="n">
        <f aca="false">K12362*(1-K12359)*(K12361-K12367+K12366-K12369)</f>
        <v>0</v>
      </c>
    </row>
    <row r="12372" customFormat="false" ht="15" hidden="false" customHeight="false" outlineLevel="0" collapsed="false">
      <c r="A12372" s="2" t="s">
        <v>319</v>
      </c>
      <c r="F12372" s="28" t="n">
        <f aca="false">Assumptions!$C$56</f>
        <v>1315.098</v>
      </c>
      <c r="G12372" s="16" t="n">
        <f aca="false">G12361+G12368+G12366-G12367-G12369-G12370</f>
        <v>1315.098</v>
      </c>
      <c r="H12372" s="16" t="n">
        <f aca="false">H12361+H12368+H12366-H12367-H12369-H12370</f>
        <v>1315.098</v>
      </c>
      <c r="I12372" s="16" t="n">
        <f aca="false">I12361+I12368+I12366-I12367-I12369-I12370</f>
        <v>1315.098</v>
      </c>
      <c r="J12372" s="16" t="n">
        <f aca="false">J12361+J12368+J12366-J12367-J12369-J12370</f>
        <v>1315.098</v>
      </c>
      <c r="K12372" s="16" t="n">
        <f aca="false">K12361+K12368+K12366-K12367-K12369-K12370</f>
        <v>1315.098</v>
      </c>
    </row>
    <row r="12373" customFormat="false" ht="15" hidden="false" customHeight="false" outlineLevel="0" collapsed="false">
      <c r="A12373" s="23" t="s">
        <v>320</v>
      </c>
      <c r="B12373" s="24"/>
      <c r="C12373" s="24"/>
      <c r="D12373" s="24"/>
      <c r="E12373" s="24"/>
      <c r="F12373" s="24"/>
      <c r="G12373" s="24"/>
      <c r="H12373" s="24"/>
      <c r="I12373" s="24"/>
      <c r="J12373" s="24"/>
      <c r="K12373" s="24"/>
    </row>
    <row r="12374" customFormat="false" ht="15" hidden="false" customHeight="false" outlineLevel="0" collapsed="false">
      <c r="A12374" s="3" t="s">
        <v>309</v>
      </c>
      <c r="G12374" s="25" t="n">
        <f aca="false">F12385</f>
        <v>276.706</v>
      </c>
      <c r="H12374" s="25" t="n">
        <f aca="false">G12385</f>
        <v>276.706</v>
      </c>
      <c r="I12374" s="25" t="n">
        <f aca="false">H12385</f>
        <v>276.706</v>
      </c>
      <c r="J12374" s="25" t="n">
        <f aca="false">I12385</f>
        <v>0</v>
      </c>
      <c r="K12374" s="25" t="n">
        <f aca="false">J12385</f>
        <v>0</v>
      </c>
    </row>
    <row r="12375" customFormat="false" ht="15" hidden="false" customHeight="false" outlineLevel="0" collapsed="false">
      <c r="A12375" s="3" t="s">
        <v>310</v>
      </c>
      <c r="G12375" s="20" t="n">
        <f aca="false">IF(G12325=Assumptions!$K$57,1,0)</f>
        <v>0</v>
      </c>
      <c r="H12375" s="20" t="n">
        <f aca="false">IF(H12325=Assumptions!$K$57,1,0)</f>
        <v>0</v>
      </c>
      <c r="I12375" s="20" t="n">
        <f aca="false">IF(I12325=Assumptions!$K$57,1,0)</f>
        <v>1</v>
      </c>
      <c r="J12375" s="20" t="n">
        <f aca="false">IF(J12325=Assumptions!$K$57,1,0)</f>
        <v>0</v>
      </c>
      <c r="K12375" s="20" t="n">
        <f aca="false">IF(K12325=Assumptions!$K$57,1,0)</f>
        <v>0</v>
      </c>
    </row>
    <row r="12377" customFormat="false" ht="15" hidden="false" customHeight="false" outlineLevel="0" collapsed="false">
      <c r="A12377" s="3" t="s">
        <v>311</v>
      </c>
      <c r="G12377" s="31" t="n">
        <f aca="false">IF(Assumptions!$I$57=1,MAX(G12351,Assumptions!$G$57)+Assumptions!$F$57+$C$12352,Assumptions!$E$57)</f>
        <v>0.0425</v>
      </c>
      <c r="H12377" s="31" t="n">
        <f aca="false">IF(G12509=1,$C$12353,IF(Assumptions!$I$57=1,MAX(H12351,Assumptions!$G$57)+Assumptions!$F$57+$C$12352,Assumptions!$E$57))</f>
        <v>0.0425</v>
      </c>
      <c r="I12377" s="31" t="n">
        <f aca="false">IF(H12509=1,$C$12353,IF(Assumptions!$I$57=1,MAX(I12351,Assumptions!$G$57)+Assumptions!$F$57+$C$12352,Assumptions!$E$57))</f>
        <v>0.0425</v>
      </c>
      <c r="J12377" s="31" t="n">
        <f aca="false">IF(I12509=1,$C$12353,IF(Assumptions!$I$57=1,MAX(J12351,Assumptions!$G$57)+Assumptions!$F$57+$C$12352,Assumptions!$E$57))</f>
        <v>0.0425</v>
      </c>
      <c r="K12377" s="31" t="n">
        <f aca="false">IF(J12509=1,$C$12353,IF(Assumptions!$I$57=1,MAX(K12351,Assumptions!$G$57)+Assumptions!$F$57+$C$12352,Assumptions!$E$57))</f>
        <v>0.0425</v>
      </c>
    </row>
    <row r="12378" customFormat="false" ht="15" hidden="false" customHeight="false" outlineLevel="0" collapsed="false">
      <c r="A12378" s="3" t="s">
        <v>312</v>
      </c>
      <c r="G12378" s="25" t="n">
        <f aca="false">G12374*G12377</f>
        <v>11.760005</v>
      </c>
      <c r="H12378" s="25" t="n">
        <f aca="false">H12374*H12377</f>
        <v>11.760005</v>
      </c>
      <c r="I12378" s="25" t="n">
        <f aca="false">I12374*I12377</f>
        <v>11.760005</v>
      </c>
      <c r="J12378" s="25" t="n">
        <f aca="false">J12374*J12377</f>
        <v>0</v>
      </c>
      <c r="K12378" s="25" t="n">
        <f aca="false">K12374*K12377</f>
        <v>0</v>
      </c>
    </row>
    <row r="12379" customFormat="false" ht="15" hidden="false" customHeight="false" outlineLevel="0" collapsed="false">
      <c r="A12379" s="3" t="s">
        <v>313</v>
      </c>
      <c r="G12379" s="25" t="n">
        <f aca="false">G12374*Assumptions!$H$57</f>
        <v>0</v>
      </c>
      <c r="H12379" s="25" t="n">
        <f aca="false">H12374*Assumptions!$H$57</f>
        <v>0</v>
      </c>
      <c r="I12379" s="25" t="n">
        <f aca="false">I12374*Assumptions!$H$57</f>
        <v>0</v>
      </c>
      <c r="J12379" s="25" t="n">
        <f aca="false">J12374*Assumptions!$H$57</f>
        <v>0</v>
      </c>
      <c r="K12379" s="25" t="n">
        <f aca="false">K12374*Assumptions!$H$57</f>
        <v>0</v>
      </c>
    </row>
    <row r="12380" customFormat="false" ht="15" hidden="false" customHeight="false" outlineLevel="0" collapsed="false">
      <c r="A12380" s="3" t="s">
        <v>314</v>
      </c>
      <c r="G12380" s="25" t="n">
        <f aca="false">MIN(G12374,Assumptions!$L$57*Assumptions!$C$57)</f>
        <v>0</v>
      </c>
      <c r="H12380" s="25" t="n">
        <f aca="false">MIN(H12374,Assumptions!$L$57*Assumptions!$C$57)</f>
        <v>0</v>
      </c>
      <c r="I12380" s="25" t="n">
        <f aca="false">MIN(I12374,Assumptions!$L$57*Assumptions!$C$57)</f>
        <v>0</v>
      </c>
      <c r="J12380" s="25" t="n">
        <f aca="false">MIN(J12374,Assumptions!$L$57*Assumptions!$C$57)</f>
        <v>0</v>
      </c>
      <c r="K12380" s="25" t="n">
        <f aca="false">MIN(K12374,Assumptions!$L$57*Assumptions!$C$57)</f>
        <v>0</v>
      </c>
    </row>
    <row r="12381" customFormat="false" ht="15" hidden="false" customHeight="false" outlineLevel="0" collapsed="false">
      <c r="A12381" s="3" t="s">
        <v>315</v>
      </c>
      <c r="G12381" s="25" t="n">
        <f aca="false">IF(AND(Assumptions!$P$57=1,G12325&lt;Assumptions!$K$57),MIN(MAX(0,-G12422),MAX(0,Assumptions!$D$57-G12374)),0)</f>
        <v>0</v>
      </c>
      <c r="H12381" s="25" t="n">
        <f aca="false">IF(AND(Assumptions!$P$57=1,OR(H12325&lt;Assumptions!$K$57,G12509=1)),MIN(MAX(0,-H12422),MAX(0,Assumptions!$D$57-H12374)),0)</f>
        <v>0</v>
      </c>
      <c r="I12381" s="25" t="n">
        <f aca="false">IF(AND(Assumptions!$P$57=1,OR(I12325&lt;Assumptions!$K$57,H12509=1)),MIN(MAX(0,-I12422),MAX(0,Assumptions!$D$57-I12374)),0)</f>
        <v>0</v>
      </c>
      <c r="J12381" s="25" t="n">
        <f aca="false">IF(AND(Assumptions!$P$57=1,OR(J12325&lt;Assumptions!$K$57,I12509=1)),MIN(MAX(0,-J12422),MAX(0,Assumptions!$D$57-J12374)),0)</f>
        <v>0</v>
      </c>
      <c r="K12381" s="25" t="n">
        <f aca="false">IF(AND(Assumptions!$P$57=1,OR(K12325&lt;Assumptions!$K$57,J12509=1)),MIN(MAX(0,-K12422),MAX(0,Assumptions!$D$57-K12374)),0)</f>
        <v>0</v>
      </c>
    </row>
    <row r="12382" customFormat="false" ht="15" hidden="false" customHeight="false" outlineLevel="0" collapsed="false">
      <c r="A12382" s="3" t="s">
        <v>316</v>
      </c>
      <c r="G12382" s="25" t="n">
        <f aca="false">G12375*MIN(G12374-G12380+G12379,MAX(0,G12424-Assumptions!$C$12*G12359-G12369))</f>
        <v>0</v>
      </c>
      <c r="H12382" s="25" t="n">
        <f aca="false">H12375*MIN(H12374-H12380+H12379,MAX(0,H12424-Assumptions!$C$12*H12359-H12369))</f>
        <v>0</v>
      </c>
      <c r="I12382" s="25" t="n">
        <f aca="false">I12375*MIN(I12374-I12380+I12379,MAX(0,I12424-Assumptions!$C$12*I12359-I12369))</f>
        <v>276.706</v>
      </c>
      <c r="J12382" s="25" t="n">
        <f aca="false">J12375*MIN(J12374-J12380+J12379,MAX(0,J12424-Assumptions!$C$12*J12359-J12369))</f>
        <v>0</v>
      </c>
      <c r="K12382" s="25" t="n">
        <f aca="false">K12375*MIN(K12374-K12380+K12379,MAX(0,K12424-Assumptions!$C$12*K12359-K12369))</f>
        <v>0</v>
      </c>
    </row>
    <row r="12383" customFormat="false" ht="15" hidden="false" customHeight="false" outlineLevel="0" collapsed="false">
      <c r="A12383" s="3" t="s">
        <v>317</v>
      </c>
      <c r="G12383" s="25" t="n">
        <f aca="false">Assumptions!$N$57*MIN(G12374+G12381+G12379-G12380-G12382,MAX(0,G12428-G12370))</f>
        <v>0</v>
      </c>
      <c r="H12383" s="25" t="n">
        <f aca="false">Assumptions!$N$57*MIN(H12374+H12381+H12379-H12380-H12382,MAX(0,H12428-H12370))</f>
        <v>0</v>
      </c>
      <c r="I12383" s="25" t="n">
        <f aca="false">Assumptions!$N$57*MIN(I12374+I12381+I12379-I12380-I12382,MAX(0,I12428-I12370))</f>
        <v>0</v>
      </c>
      <c r="J12383" s="25" t="n">
        <f aca="false">Assumptions!$N$57*MIN(J12374+J12381+J12379-J12380-J12382,MAX(0,J12428-J12370))</f>
        <v>0</v>
      </c>
      <c r="K12383" s="25" t="n">
        <f aca="false">Assumptions!$N$57*MIN(K12374+K12381+K12379-K12380-K12382,MAX(0,K12428-K12370))</f>
        <v>0</v>
      </c>
    </row>
    <row r="12384" customFormat="false" ht="15" hidden="false" customHeight="false" outlineLevel="0" collapsed="false">
      <c r="A12384" s="3" t="s">
        <v>318</v>
      </c>
      <c r="G12384" s="25" t="n">
        <f aca="false">G12375*(1-G12359)*(G12374-G12380+G12379-G12382)</f>
        <v>0</v>
      </c>
      <c r="H12384" s="25" t="n">
        <f aca="false">H12375*(1-H12359)*(H12374-H12380+H12379-H12382)</f>
        <v>0</v>
      </c>
      <c r="I12384" s="25" t="n">
        <f aca="false">I12375*(1-I12359)*(I12374-I12380+I12379-I12382)</f>
        <v>0</v>
      </c>
      <c r="J12384" s="25" t="n">
        <f aca="false">J12375*(1-J12359)*(J12374-J12380+J12379-J12382)</f>
        <v>0</v>
      </c>
      <c r="K12384" s="25" t="n">
        <f aca="false">K12375*(1-K12359)*(K12374-K12380+K12379-K12382)</f>
        <v>0</v>
      </c>
    </row>
    <row r="12385" customFormat="false" ht="15" hidden="false" customHeight="false" outlineLevel="0" collapsed="false">
      <c r="A12385" s="2" t="s">
        <v>319</v>
      </c>
      <c r="F12385" s="28" t="n">
        <f aca="false">Assumptions!$C$57</f>
        <v>276.706</v>
      </c>
      <c r="G12385" s="16" t="n">
        <f aca="false">G12374+G12381+G12379-G12380-G12382-G12383</f>
        <v>276.706</v>
      </c>
      <c r="H12385" s="16" t="n">
        <f aca="false">H12374+H12381+H12379-H12380-H12382-H12383</f>
        <v>276.706</v>
      </c>
      <c r="I12385" s="16" t="n">
        <f aca="false">I12374+I12381+I12379-I12380-I12382-I12383</f>
        <v>0</v>
      </c>
      <c r="J12385" s="16" t="n">
        <f aca="false">J12374+J12381+J12379-J12380-J12382-J12383</f>
        <v>0</v>
      </c>
      <c r="K12385" s="16" t="n">
        <f aca="false">K12374+K12381+K12379-K12380-K12382-K12383</f>
        <v>0</v>
      </c>
    </row>
    <row r="12386" customFormat="false" ht="15" hidden="false" customHeight="false" outlineLevel="0" collapsed="false">
      <c r="A12386" s="23" t="s">
        <v>321</v>
      </c>
      <c r="B12386" s="24"/>
      <c r="C12386" s="24"/>
      <c r="D12386" s="24"/>
      <c r="E12386" s="24"/>
      <c r="F12386" s="24"/>
      <c r="G12386" s="24"/>
      <c r="H12386" s="24"/>
      <c r="I12386" s="24"/>
      <c r="J12386" s="24"/>
      <c r="K12386" s="24"/>
    </row>
    <row r="12387" customFormat="false" ht="15" hidden="false" customHeight="false" outlineLevel="0" collapsed="false">
      <c r="A12387" s="3" t="s">
        <v>309</v>
      </c>
      <c r="G12387" s="25" t="n">
        <f aca="false">F12398</f>
        <v>143.75</v>
      </c>
      <c r="H12387" s="25" t="n">
        <f aca="false">G12398</f>
        <v>143.75</v>
      </c>
      <c r="I12387" s="25" t="n">
        <f aca="false">H12398</f>
        <v>143.75</v>
      </c>
      <c r="J12387" s="25" t="n">
        <f aca="false">I12398</f>
        <v>0</v>
      </c>
      <c r="K12387" s="25" t="n">
        <f aca="false">J12398</f>
        <v>0</v>
      </c>
    </row>
    <row r="12388" customFormat="false" ht="15" hidden="false" customHeight="false" outlineLevel="0" collapsed="false">
      <c r="A12388" s="3" t="s">
        <v>310</v>
      </c>
      <c r="G12388" s="20" t="n">
        <f aca="false">IF(G12325=Assumptions!$K$58,1,0)</f>
        <v>0</v>
      </c>
      <c r="H12388" s="20" t="n">
        <f aca="false">IF(H12325=Assumptions!$K$58,1,0)</f>
        <v>0</v>
      </c>
      <c r="I12388" s="20" t="n">
        <f aca="false">IF(I12325=Assumptions!$K$58,1,0)</f>
        <v>1</v>
      </c>
      <c r="J12388" s="20" t="n">
        <f aca="false">IF(J12325=Assumptions!$K$58,1,0)</f>
        <v>0</v>
      </c>
      <c r="K12388" s="20" t="n">
        <f aca="false">IF(K12325=Assumptions!$K$58,1,0)</f>
        <v>0</v>
      </c>
    </row>
    <row r="12390" customFormat="false" ht="15" hidden="false" customHeight="false" outlineLevel="0" collapsed="false">
      <c r="A12390" s="3" t="s">
        <v>311</v>
      </c>
      <c r="G12390" s="31" t="n">
        <f aca="false">IF(Assumptions!$I$58=1,MAX(G12351,Assumptions!$G$58)+Assumptions!$F$58+$C$12352,Assumptions!$E$58)</f>
        <v>0.0425</v>
      </c>
      <c r="H12390" s="31" t="n">
        <f aca="false">IF(G12510=1,$C$12353,IF(Assumptions!$I$58=1,MAX(H12351,Assumptions!$G$58)+Assumptions!$F$58+$C$12352,Assumptions!$E$58))</f>
        <v>0.0425</v>
      </c>
      <c r="I12390" s="31" t="n">
        <f aca="false">IF(H12510=1,$C$12353,IF(Assumptions!$I$58=1,MAX(I12351,Assumptions!$G$58)+Assumptions!$F$58+$C$12352,Assumptions!$E$58))</f>
        <v>0.0425</v>
      </c>
      <c r="J12390" s="31" t="n">
        <f aca="false">IF(I12510=1,$C$12353,IF(Assumptions!$I$58=1,MAX(J12351,Assumptions!$G$58)+Assumptions!$F$58+$C$12352,Assumptions!$E$58))</f>
        <v>0.0425</v>
      </c>
      <c r="K12390" s="31" t="n">
        <f aca="false">IF(J12510=1,$C$12353,IF(Assumptions!$I$58=1,MAX(K12351,Assumptions!$G$58)+Assumptions!$F$58+$C$12352,Assumptions!$E$58))</f>
        <v>0.0425</v>
      </c>
    </row>
    <row r="12391" customFormat="false" ht="15" hidden="false" customHeight="false" outlineLevel="0" collapsed="false">
      <c r="A12391" s="3" t="s">
        <v>312</v>
      </c>
      <c r="G12391" s="25" t="n">
        <f aca="false">G12387*G12390</f>
        <v>6.109375</v>
      </c>
      <c r="H12391" s="25" t="n">
        <f aca="false">H12387*H12390</f>
        <v>6.109375</v>
      </c>
      <c r="I12391" s="25" t="n">
        <f aca="false">I12387*I12390</f>
        <v>6.109375</v>
      </c>
      <c r="J12391" s="25" t="n">
        <f aca="false">J12387*J12390</f>
        <v>0</v>
      </c>
      <c r="K12391" s="25" t="n">
        <f aca="false">K12387*K12390</f>
        <v>0</v>
      </c>
    </row>
    <row r="12392" customFormat="false" ht="15" hidden="false" customHeight="false" outlineLevel="0" collapsed="false">
      <c r="A12392" s="3" t="s">
        <v>313</v>
      </c>
      <c r="G12392" s="25" t="n">
        <f aca="false">G12387*Assumptions!$H$58</f>
        <v>0</v>
      </c>
      <c r="H12392" s="25" t="n">
        <f aca="false">H12387*Assumptions!$H$58</f>
        <v>0</v>
      </c>
      <c r="I12392" s="25" t="n">
        <f aca="false">I12387*Assumptions!$H$58</f>
        <v>0</v>
      </c>
      <c r="J12392" s="25" t="n">
        <f aca="false">J12387*Assumptions!$H$58</f>
        <v>0</v>
      </c>
      <c r="K12392" s="25" t="n">
        <f aca="false">K12387*Assumptions!$H$58</f>
        <v>0</v>
      </c>
    </row>
    <row r="12393" customFormat="false" ht="15" hidden="false" customHeight="false" outlineLevel="0" collapsed="false">
      <c r="A12393" s="3" t="s">
        <v>314</v>
      </c>
      <c r="G12393" s="25" t="n">
        <f aca="false">MIN(G12387,Assumptions!$L$58*Assumptions!$C$58)</f>
        <v>0</v>
      </c>
      <c r="H12393" s="25" t="n">
        <f aca="false">MIN(H12387,Assumptions!$L$58*Assumptions!$C$58)</f>
        <v>0</v>
      </c>
      <c r="I12393" s="25" t="n">
        <f aca="false">MIN(I12387,Assumptions!$L$58*Assumptions!$C$58)</f>
        <v>0</v>
      </c>
      <c r="J12393" s="25" t="n">
        <f aca="false">MIN(J12387,Assumptions!$L$58*Assumptions!$C$58)</f>
        <v>0</v>
      </c>
      <c r="K12393" s="25" t="n">
        <f aca="false">MIN(K12387,Assumptions!$L$58*Assumptions!$C$58)</f>
        <v>0</v>
      </c>
    </row>
    <row r="12394" customFormat="false" ht="15" hidden="false" customHeight="false" outlineLevel="0" collapsed="false">
      <c r="A12394" s="3" t="s">
        <v>315</v>
      </c>
      <c r="G12394" s="25" t="n">
        <f aca="false">IF(AND(Assumptions!$P$58=1,G12325&lt;Assumptions!$K$58),MIN(MAX(0,-G12422),MAX(0,Assumptions!$D$58-G12387)),0)</f>
        <v>0</v>
      </c>
      <c r="H12394" s="25" t="n">
        <f aca="false">IF(AND(Assumptions!$P$58=1,OR(H12325&lt;Assumptions!$K$58,G12510=1)),MIN(MAX(0,-H12422),MAX(0,Assumptions!$D$58-H12387)),0)</f>
        <v>0</v>
      </c>
      <c r="I12394" s="25" t="n">
        <f aca="false">IF(AND(Assumptions!$P$58=1,OR(I12325&lt;Assumptions!$K$58,H12510=1)),MIN(MAX(0,-I12422),MAX(0,Assumptions!$D$58-I12387)),0)</f>
        <v>0</v>
      </c>
      <c r="J12394" s="25" t="n">
        <f aca="false">IF(AND(Assumptions!$P$58=1,OR(J12325&lt;Assumptions!$K$58,I12510=1)),MIN(MAX(0,-J12422),MAX(0,Assumptions!$D$58-J12387)),0)</f>
        <v>0</v>
      </c>
      <c r="K12394" s="25" t="n">
        <f aca="false">IF(AND(Assumptions!$P$58=1,OR(K12325&lt;Assumptions!$K$58,J12510=1)),MIN(MAX(0,-K12422),MAX(0,Assumptions!$D$58-K12387)),0)</f>
        <v>0</v>
      </c>
    </row>
    <row r="12395" customFormat="false" ht="15" hidden="false" customHeight="false" outlineLevel="0" collapsed="false">
      <c r="A12395" s="3" t="s">
        <v>316</v>
      </c>
      <c r="G12395" s="25" t="n">
        <f aca="false">G12388*MIN(G12387-G12393+G12392,MAX(0,G12424-Assumptions!$C$12*G12359-G12369-G12382))</f>
        <v>0</v>
      </c>
      <c r="H12395" s="25" t="n">
        <f aca="false">H12388*MIN(H12387-H12393+H12392,MAX(0,H12424-Assumptions!$C$12*H12359-H12369-H12382))</f>
        <v>0</v>
      </c>
      <c r="I12395" s="25" t="n">
        <f aca="false">I12388*MIN(I12387-I12393+I12392,MAX(0,I12424-Assumptions!$C$12*I12359-I12369-I12382))</f>
        <v>143.75</v>
      </c>
      <c r="J12395" s="25" t="n">
        <f aca="false">J12388*MIN(J12387-J12393+J12392,MAX(0,J12424-Assumptions!$C$12*J12359-J12369-J12382))</f>
        <v>0</v>
      </c>
      <c r="K12395" s="25" t="n">
        <f aca="false">K12388*MIN(K12387-K12393+K12392,MAX(0,K12424-Assumptions!$C$12*K12359-K12369-K12382))</f>
        <v>0</v>
      </c>
    </row>
    <row r="12396" customFormat="false" ht="15" hidden="false" customHeight="false" outlineLevel="0" collapsed="false">
      <c r="A12396" s="3" t="s">
        <v>317</v>
      </c>
      <c r="G12396" s="25" t="n">
        <f aca="false">Assumptions!$N$58*MIN(G12387+G12394+G12392-G12393-G12395,MAX(0,G12428-G12370-G12383))</f>
        <v>0</v>
      </c>
      <c r="H12396" s="25" t="n">
        <f aca="false">Assumptions!$N$58*MIN(H12387+H12394+H12392-H12393-H12395,MAX(0,H12428-H12370-H12383))</f>
        <v>0</v>
      </c>
      <c r="I12396" s="25" t="n">
        <f aca="false">Assumptions!$N$58*MIN(I12387+I12394+I12392-I12393-I12395,MAX(0,I12428-I12370-I12383))</f>
        <v>0</v>
      </c>
      <c r="J12396" s="25" t="n">
        <f aca="false">Assumptions!$N$58*MIN(J12387+J12394+J12392-J12393-J12395,MAX(0,J12428-J12370-J12383))</f>
        <v>0</v>
      </c>
      <c r="K12396" s="25" t="n">
        <f aca="false">Assumptions!$N$58*MIN(K12387+K12394+K12392-K12393-K12395,MAX(0,K12428-K12370-K12383))</f>
        <v>0</v>
      </c>
    </row>
    <row r="12397" customFormat="false" ht="15" hidden="false" customHeight="false" outlineLevel="0" collapsed="false">
      <c r="A12397" s="3" t="s">
        <v>318</v>
      </c>
      <c r="G12397" s="25" t="n">
        <f aca="false">G12388*(1-G12359)*(G12387-G12393+G12392-G12395)</f>
        <v>0</v>
      </c>
      <c r="H12397" s="25" t="n">
        <f aca="false">H12388*(1-H12359)*(H12387-H12393+H12392-H12395)</f>
        <v>0</v>
      </c>
      <c r="I12397" s="25" t="n">
        <f aca="false">I12388*(1-I12359)*(I12387-I12393+I12392-I12395)</f>
        <v>0</v>
      </c>
      <c r="J12397" s="25" t="n">
        <f aca="false">J12388*(1-J12359)*(J12387-J12393+J12392-J12395)</f>
        <v>0</v>
      </c>
      <c r="K12397" s="25" t="n">
        <f aca="false">K12388*(1-K12359)*(K12387-K12393+K12392-K12395)</f>
        <v>0</v>
      </c>
    </row>
    <row r="12398" customFormat="false" ht="15" hidden="false" customHeight="false" outlineLevel="0" collapsed="false">
      <c r="A12398" s="2" t="s">
        <v>319</v>
      </c>
      <c r="F12398" s="28" t="n">
        <f aca="false">Assumptions!$C$58</f>
        <v>143.75</v>
      </c>
      <c r="G12398" s="16" t="n">
        <f aca="false">G12387+G12394+G12392-G12393-G12395-G12396</f>
        <v>143.75</v>
      </c>
      <c r="H12398" s="16" t="n">
        <f aca="false">H12387+H12394+H12392-H12393-H12395-H12396</f>
        <v>143.75</v>
      </c>
      <c r="I12398" s="16" t="n">
        <f aca="false">I12387+I12394+I12392-I12393-I12395-I12396</f>
        <v>0</v>
      </c>
      <c r="J12398" s="16" t="n">
        <f aca="false">J12387+J12394+J12392-J12393-J12395-J12396</f>
        <v>0</v>
      </c>
      <c r="K12398" s="16" t="n">
        <f aca="false">K12387+K12394+K12392-K12393-K12395-K12396</f>
        <v>0</v>
      </c>
    </row>
    <row r="12399" customFormat="false" ht="15" hidden="false" customHeight="false" outlineLevel="0" collapsed="false">
      <c r="A12399" s="23" t="s">
        <v>322</v>
      </c>
      <c r="B12399" s="24"/>
      <c r="C12399" s="24"/>
      <c r="D12399" s="24"/>
      <c r="E12399" s="24"/>
      <c r="F12399" s="24"/>
      <c r="G12399" s="24"/>
      <c r="H12399" s="24"/>
      <c r="I12399" s="24"/>
      <c r="J12399" s="24"/>
      <c r="K12399" s="24"/>
    </row>
    <row r="12400" customFormat="false" ht="15" hidden="false" customHeight="false" outlineLevel="0" collapsed="false">
      <c r="A12400" s="2" t="s">
        <v>323</v>
      </c>
      <c r="F12400" s="16" t="n">
        <f aca="false">F12372+F12385+F12398</f>
        <v>1735.554</v>
      </c>
      <c r="G12400" s="16" t="n">
        <f aca="false">G12372+G12385+G12398</f>
        <v>1735.554</v>
      </c>
      <c r="H12400" s="16" t="n">
        <f aca="false">H12372+H12385+H12398</f>
        <v>1735.554</v>
      </c>
      <c r="I12400" s="16" t="n">
        <f aca="false">I12372+I12385+I12398</f>
        <v>1315.098</v>
      </c>
      <c r="J12400" s="16" t="n">
        <f aca="false">J12372+J12385+J12398</f>
        <v>1315.098</v>
      </c>
      <c r="K12400" s="16" t="n">
        <f aca="false">K12372+K12385+K12398</f>
        <v>1315.098</v>
      </c>
    </row>
    <row r="12401" customFormat="false" ht="15" hidden="false" customHeight="false" outlineLevel="0" collapsed="false">
      <c r="A12401" s="3" t="s">
        <v>324</v>
      </c>
      <c r="G12401" s="25" t="n">
        <f aca="false">G12362*Assumptions!$C$56+G12375*Assumptions!$C$57+G12388*Assumptions!$C$58</f>
        <v>0</v>
      </c>
      <c r="H12401" s="25" t="n">
        <f aca="false">H12362*Assumptions!$C$56+H12375*Assumptions!$C$57+H12388*Assumptions!$C$58</f>
        <v>0</v>
      </c>
      <c r="I12401" s="25" t="n">
        <f aca="false">I12362*Assumptions!$C$56+I12375*Assumptions!$C$57+I12388*Assumptions!$C$58</f>
        <v>420.456</v>
      </c>
      <c r="J12401" s="25" t="n">
        <f aca="false">J12362*Assumptions!$C$56+J12375*Assumptions!$C$57+J12388*Assumptions!$C$58</f>
        <v>0</v>
      </c>
      <c r="K12401" s="25" t="n">
        <f aca="false">K12362*Assumptions!$C$56+K12375*Assumptions!$C$57+K12388*Assumptions!$C$58</f>
        <v>0</v>
      </c>
    </row>
    <row r="12402" customFormat="false" ht="15" hidden="false" customHeight="false" outlineLevel="0" collapsed="false">
      <c r="A12402" s="23" t="s">
        <v>325</v>
      </c>
      <c r="B12402" s="24"/>
      <c r="C12402" s="24"/>
      <c r="D12402" s="24"/>
      <c r="E12402" s="24"/>
      <c r="F12402" s="24"/>
      <c r="G12402" s="24"/>
      <c r="H12402" s="24"/>
      <c r="I12402" s="24"/>
      <c r="J12402" s="24"/>
      <c r="K12402" s="24"/>
    </row>
    <row r="12403" customFormat="false" ht="15" hidden="false" customHeight="false" outlineLevel="0" collapsed="false">
      <c r="A12403" s="3" t="s">
        <v>326</v>
      </c>
      <c r="C12403" s="25" t="n">
        <f aca="false">SUMPRODUCT($G$12362:$K$12362,$G$12361:$K$12361-$G$12367:$K$12367+$G$12366:$K$12366)</f>
        <v>0</v>
      </c>
    </row>
    <row r="12404" customFormat="false" ht="15" hidden="false" customHeight="false" outlineLevel="0" collapsed="false">
      <c r="A12404" s="3" t="s">
        <v>327</v>
      </c>
      <c r="C12404" s="25" t="n">
        <f aca="false">SUMPRODUCT($G$12362:$K$12362,$G$12369:$K$12369)</f>
        <v>0</v>
      </c>
    </row>
    <row r="12405" customFormat="false" ht="15" hidden="false" customHeight="false" outlineLevel="0" collapsed="false">
      <c r="A12405" s="3" t="s">
        <v>328</v>
      </c>
      <c r="C12405" s="3" t="str">
        <f aca="false">IF(SUM($G$12362:$K$12362)=0,"n/a (beyond horizon)",IF(SUMPRODUCT($G$12362:$K$12362,$G$12359:$K$12359)&gt;0,"REFINANCING PASS","REFINANCING FAILURE"))</f>
        <v>n/a (beyond horizon)</v>
      </c>
    </row>
    <row r="12406" customFormat="false" ht="15" hidden="false" customHeight="false" outlineLevel="0" collapsed="false">
      <c r="A12406" s="3" t="s">
        <v>329</v>
      </c>
      <c r="C12406" s="3" t="str">
        <f aca="false">IF(SUM($G$12362:$K$12362)=0,"n/a",IF(C12404&gt;=C12403-0.001,"Repaid from cash",IF(SUMPRODUCT($G$12362:$K$12362,$G$12359:$K$12359)&gt;0,IF(C12404&gt;0,"Partly repaid; remainder refinanced","Refinanced"),IF(SUM($G$12371:$K$12371)&gt;0.001,IF(C12404&gt;0,"Partial repayment; PAYMENT DEFAULT","PAYMENT DEFAULT"),"Repaid from cash"))))</f>
        <v>n/a</v>
      </c>
    </row>
    <row r="12407" customFormat="false" ht="15" hidden="false" customHeight="false" outlineLevel="0" collapsed="false">
      <c r="A12407" s="3" t="s">
        <v>330</v>
      </c>
      <c r="C12407" s="25" t="n">
        <f aca="false">SUMPRODUCT($G$12375:$K$12375,$G$12374:$K$12374-$G$12380:$K$12380+$G$12379:$K$12379)</f>
        <v>276.706</v>
      </c>
    </row>
    <row r="12408" customFormat="false" ht="15" hidden="false" customHeight="false" outlineLevel="0" collapsed="false">
      <c r="A12408" s="3" t="s">
        <v>331</v>
      </c>
      <c r="C12408" s="25" t="n">
        <f aca="false">SUMPRODUCT($G$12375:$K$12375,$G$12382:$K$12382)</f>
        <v>276.706</v>
      </c>
    </row>
    <row r="12409" customFormat="false" ht="15" hidden="false" customHeight="false" outlineLevel="0" collapsed="false">
      <c r="A12409" s="3" t="s">
        <v>332</v>
      </c>
      <c r="C12409" s="3" t="str">
        <f aca="false">IF(SUM($G$12375:$K$12375)=0,"n/a (beyond horizon)",IF(SUMPRODUCT($G$12375:$K$12375,$G$12359:$K$12359)&gt;0,"REFINANCING PASS","REFINANCING FAILURE"))</f>
        <v>REFINANCING FAILURE</v>
      </c>
    </row>
    <row r="12410" customFormat="false" ht="15" hidden="false" customHeight="false" outlineLevel="0" collapsed="false">
      <c r="A12410" s="3" t="s">
        <v>333</v>
      </c>
      <c r="C12410" s="3" t="str">
        <f aca="false">IF(SUM($G$12375:$K$12375)=0,"n/a",IF(C12408&gt;=C12407-0.001,"Repaid from cash",IF(SUMPRODUCT($G$12375:$K$12375,$G$12359:$K$12359)&gt;0,IF(C12408&gt;0,"Partly repaid; remainder refinanced","Refinanced"),IF(SUM($G$12384:$K$12384)&gt;0.001,IF(C12408&gt;0,"Partial repayment; PAYMENT DEFAULT","PAYMENT DEFAULT"),"Repaid from cash"))))</f>
        <v>Repaid from cash</v>
      </c>
    </row>
    <row r="12411" customFormat="false" ht="15" hidden="false" customHeight="false" outlineLevel="0" collapsed="false">
      <c r="A12411" s="3" t="s">
        <v>334</v>
      </c>
      <c r="C12411" s="25" t="n">
        <f aca="false">SUMPRODUCT($G$12388:$K$12388,$G$12387:$K$12387-$G$12393:$K$12393+$G$12392:$K$12392)</f>
        <v>143.75</v>
      </c>
    </row>
    <row r="12412" customFormat="false" ht="15" hidden="false" customHeight="false" outlineLevel="0" collapsed="false">
      <c r="A12412" s="3" t="s">
        <v>335</v>
      </c>
      <c r="C12412" s="25" t="n">
        <f aca="false">SUMPRODUCT($G$12388:$K$12388,$G$12395:$K$12395)</f>
        <v>143.75</v>
      </c>
    </row>
    <row r="12413" customFormat="false" ht="15" hidden="false" customHeight="false" outlineLevel="0" collapsed="false">
      <c r="A12413" s="3" t="s">
        <v>336</v>
      </c>
      <c r="C12413" s="3" t="str">
        <f aca="false">IF(SUM($G$12388:$K$12388)=0,"n/a (beyond horizon)",IF(SUMPRODUCT($G$12388:$K$12388,$G$12359:$K$12359)&gt;0,"REFINANCING PASS","REFINANCING FAILURE"))</f>
        <v>REFINANCING FAILURE</v>
      </c>
    </row>
    <row r="12414" customFormat="false" ht="15" hidden="false" customHeight="false" outlineLevel="0" collapsed="false">
      <c r="A12414" s="3" t="s">
        <v>337</v>
      </c>
      <c r="C12414" s="3" t="str">
        <f aca="false">IF(SUM($G$12388:$K$12388)=0,"n/a",IF(C12412&gt;=C12411-0.001,"Repaid from cash",IF(SUMPRODUCT($G$12388:$K$12388,$G$12359:$K$12359)&gt;0,IF(C12412&gt;0,"Partly repaid; remainder refinanced","Refinanced"),IF(SUM($G$12397:$K$12397)&gt;0.001,IF(C12412&gt;0,"Partial repayment; PAYMENT DEFAULT","PAYMENT DEFAULT"),"Repaid from cash"))))</f>
        <v>Repaid from cash</v>
      </c>
    </row>
    <row r="12415" customFormat="false" ht="15" hidden="false" customHeight="false" outlineLevel="0" collapsed="false">
      <c r="A12415" s="3" t="s">
        <v>338</v>
      </c>
      <c r="C12415" s="20" t="n">
        <f aca="false">IF(C12405="REFINANCING FAILURE",1,0)+IF(C12409="REFINANCING FAILURE",1,0)+IF(C12413="REFINANCING FAILURE",1,0)</f>
        <v>2</v>
      </c>
    </row>
    <row r="12417" customFormat="false" ht="15" hidden="false" customHeight="false" outlineLevel="0" collapsed="false">
      <c r="A12417" s="23" t="s">
        <v>340</v>
      </c>
      <c r="B12417" s="24"/>
      <c r="C12417" s="24"/>
      <c r="D12417" s="24"/>
      <c r="E12417" s="24"/>
      <c r="F12417" s="24"/>
      <c r="G12417" s="24"/>
      <c r="H12417" s="24"/>
      <c r="I12417" s="24"/>
      <c r="J12417" s="24"/>
      <c r="K12417" s="24"/>
    </row>
    <row r="12418" customFormat="false" ht="15" hidden="false" customHeight="false" outlineLevel="0" collapsed="false">
      <c r="A12418" s="3" t="s">
        <v>305</v>
      </c>
      <c r="G12418" s="25" t="n">
        <f aca="false">F12430</f>
        <v>463.996</v>
      </c>
      <c r="H12418" s="25" t="n">
        <f aca="false">G12430</f>
        <v>518.82154744</v>
      </c>
      <c r="I12418" s="25" t="n">
        <f aca="false">H12430</f>
        <v>539.6742833632</v>
      </c>
      <c r="J12418" s="25" t="n">
        <f aca="false">I12430</f>
        <v>120.430022671888</v>
      </c>
      <c r="K12418" s="25" t="n">
        <f aca="false">J12430</f>
        <v>123.071896868977</v>
      </c>
    </row>
    <row r="12419" customFormat="false" ht="15" hidden="false" customHeight="false" outlineLevel="0" collapsed="false">
      <c r="A12419" s="3" t="s">
        <v>341</v>
      </c>
      <c r="G12419" s="25" t="n">
        <f aca="false">G12348</f>
        <v>54.8255474399999</v>
      </c>
      <c r="H12419" s="25" t="n">
        <f aca="false">H12348</f>
        <v>20.8527359232</v>
      </c>
      <c r="I12419" s="25" t="n">
        <f aca="false">I12348</f>
        <v>1.21173930868796</v>
      </c>
      <c r="J12419" s="25" t="n">
        <f aca="false">J12348</f>
        <v>2.6418741970896</v>
      </c>
      <c r="K12419" s="25" t="n">
        <f aca="false">K12348</f>
        <v>-4.39448401276491</v>
      </c>
    </row>
    <row r="12420" customFormat="false" ht="15" hidden="false" customHeight="false" outlineLevel="0" collapsed="false">
      <c r="A12420" s="3" t="s">
        <v>342</v>
      </c>
      <c r="G12420" s="25" t="n">
        <f aca="false">CHOOSE($C$12318,Assumptions!$G$74,Assumptions!$G$93,Assumptions!$G$112)</f>
        <v>0</v>
      </c>
      <c r="H12420" s="25" t="n">
        <f aca="false">CHOOSE($C$12318,Assumptions!$H$74,Assumptions!$H$93,Assumptions!$H$112)</f>
        <v>0</v>
      </c>
      <c r="I12420" s="25" t="n">
        <f aca="false">CHOOSE($C$12318,Assumptions!$I$74,Assumptions!$I$93,Assumptions!$I$112)</f>
        <v>0</v>
      </c>
      <c r="J12420" s="25" t="n">
        <f aca="false">CHOOSE($C$12318,Assumptions!$J$74,Assumptions!$J$93,Assumptions!$J$112)</f>
        <v>0</v>
      </c>
      <c r="K12420" s="25" t="n">
        <f aca="false">CHOOSE($C$12318,Assumptions!$K$74,Assumptions!$K$93,Assumptions!$K$112)</f>
        <v>0</v>
      </c>
    </row>
    <row r="12421" customFormat="false" ht="15" hidden="false" customHeight="false" outlineLevel="0" collapsed="false">
      <c r="A12421" s="3" t="s">
        <v>343</v>
      </c>
      <c r="G12421" s="25" t="n">
        <f aca="false">G12367+G12380+G12393</f>
        <v>0</v>
      </c>
      <c r="H12421" s="25" t="n">
        <f aca="false">H12367+H12380+H12393</f>
        <v>0</v>
      </c>
      <c r="I12421" s="25" t="n">
        <f aca="false">I12367+I12380+I12393</f>
        <v>0</v>
      </c>
      <c r="J12421" s="25" t="n">
        <f aca="false">J12367+J12380+J12393</f>
        <v>0</v>
      </c>
      <c r="K12421" s="25" t="n">
        <f aca="false">K12367+K12380+K12393</f>
        <v>0</v>
      </c>
    </row>
    <row r="12422" customFormat="false" ht="15" hidden="false" customHeight="false" outlineLevel="0" collapsed="false">
      <c r="A12422" s="2" t="s">
        <v>344</v>
      </c>
      <c r="G12422" s="16" t="n">
        <f aca="false">G12418+G12419+G12420-G12421</f>
        <v>518.82154744</v>
      </c>
      <c r="H12422" s="16" t="n">
        <f aca="false">H12418+H12419+H12420-H12421</f>
        <v>539.6742833632</v>
      </c>
      <c r="I12422" s="16" t="n">
        <f aca="false">I12418+I12419+I12420-I12421</f>
        <v>540.886022671888</v>
      </c>
      <c r="J12422" s="16" t="n">
        <f aca="false">J12418+J12419+J12420-J12421</f>
        <v>123.071896868977</v>
      </c>
      <c r="K12422" s="16" t="n">
        <f aca="false">K12418+K12419+K12420-K12421</f>
        <v>118.677412856212</v>
      </c>
    </row>
    <row r="12423" customFormat="false" ht="15" hidden="false" customHeight="false" outlineLevel="0" collapsed="false">
      <c r="A12423" s="3" t="s">
        <v>345</v>
      </c>
      <c r="G12423" s="25" t="n">
        <f aca="false">G12368+G12381+G12394</f>
        <v>0</v>
      </c>
      <c r="H12423" s="25" t="n">
        <f aca="false">H12368+H12381+H12394</f>
        <v>0</v>
      </c>
      <c r="I12423" s="25" t="n">
        <f aca="false">I12368+I12381+I12394</f>
        <v>0</v>
      </c>
      <c r="J12423" s="25" t="n">
        <f aca="false">J12368+J12381+J12394</f>
        <v>0</v>
      </c>
      <c r="K12423" s="25" t="n">
        <f aca="false">K12368+K12381+K12394</f>
        <v>0</v>
      </c>
    </row>
    <row r="12424" customFormat="false" ht="15" hidden="false" customHeight="false" outlineLevel="0" collapsed="false">
      <c r="A12424" s="2" t="s">
        <v>346</v>
      </c>
      <c r="G12424" s="16" t="n">
        <f aca="false">G12422+G12423</f>
        <v>518.82154744</v>
      </c>
      <c r="H12424" s="16" t="n">
        <f aca="false">H12422+H12423</f>
        <v>539.6742833632</v>
      </c>
      <c r="I12424" s="16" t="n">
        <f aca="false">I12422+I12423</f>
        <v>540.886022671888</v>
      </c>
      <c r="J12424" s="16" t="n">
        <f aca="false">J12422+J12423</f>
        <v>123.071896868977</v>
      </c>
      <c r="K12424" s="16" t="n">
        <f aca="false">K12422+K12423</f>
        <v>118.677412856212</v>
      </c>
    </row>
    <row r="12425" customFormat="false" ht="15" hidden="false" customHeight="false" outlineLevel="0" collapsed="false">
      <c r="A12425" s="3" t="s">
        <v>347</v>
      </c>
      <c r="G12425" s="25" t="n">
        <f aca="false">G12369+G12382+G12395</f>
        <v>0</v>
      </c>
      <c r="H12425" s="25" t="n">
        <f aca="false">H12369+H12382+H12395</f>
        <v>0</v>
      </c>
      <c r="I12425" s="25" t="n">
        <f aca="false">I12369+I12382+I12395</f>
        <v>420.456</v>
      </c>
      <c r="J12425" s="25" t="n">
        <f aca="false">J12369+J12382+J12395</f>
        <v>0</v>
      </c>
      <c r="K12425" s="25" t="n">
        <f aca="false">K12369+K12382+K12395</f>
        <v>0</v>
      </c>
    </row>
    <row r="12426" customFormat="false" ht="15" hidden="false" customHeight="false" outlineLevel="0" collapsed="false">
      <c r="A12426" s="2" t="s">
        <v>348</v>
      </c>
      <c r="G12426" s="16" t="n">
        <f aca="false">G12424-G12425</f>
        <v>518.82154744</v>
      </c>
      <c r="H12426" s="16" t="n">
        <f aca="false">H12424-H12425</f>
        <v>539.6742833632</v>
      </c>
      <c r="I12426" s="16" t="n">
        <f aca="false">I12424-I12425</f>
        <v>120.430022671888</v>
      </c>
      <c r="J12426" s="16" t="n">
        <f aca="false">J12424-J12425</f>
        <v>123.071896868977</v>
      </c>
      <c r="K12426" s="16" t="n">
        <f aca="false">K12424-K12425</f>
        <v>118.677412856212</v>
      </c>
    </row>
    <row r="12427" customFormat="false" ht="15" hidden="false" customHeight="false" outlineLevel="0" collapsed="false">
      <c r="A12427" s="3" t="s">
        <v>349</v>
      </c>
      <c r="G12427" s="25" t="n">
        <f aca="false">MAX(0,-G12426)</f>
        <v>0</v>
      </c>
      <c r="H12427" s="25" t="n">
        <f aca="false">MAX(0,-H12426)</f>
        <v>0</v>
      </c>
      <c r="I12427" s="25" t="n">
        <f aca="false">MAX(0,-I12426)</f>
        <v>0</v>
      </c>
      <c r="J12427" s="25" t="n">
        <f aca="false">MAX(0,-J12426)</f>
        <v>0</v>
      </c>
      <c r="K12427" s="25" t="n">
        <f aca="false">MAX(0,-K12426)</f>
        <v>0</v>
      </c>
    </row>
    <row r="12428" customFormat="false" ht="15" hidden="false" customHeight="false" outlineLevel="0" collapsed="false">
      <c r="A12428" s="3" t="s">
        <v>350</v>
      </c>
      <c r="G12428" s="25" t="n">
        <f aca="false">MAX(0,G12426-Assumptions!$C$12)*Assumptions!$C$13</f>
        <v>0</v>
      </c>
      <c r="H12428" s="25" t="n">
        <f aca="false">MAX(0,H12426-Assumptions!$C$12)*Assumptions!$C$13</f>
        <v>0</v>
      </c>
      <c r="I12428" s="25" t="n">
        <f aca="false">MAX(0,I12426-Assumptions!$C$12)*Assumptions!$C$13</f>
        <v>0</v>
      </c>
      <c r="J12428" s="25" t="n">
        <f aca="false">MAX(0,J12426-Assumptions!$C$12)*Assumptions!$C$13</f>
        <v>0</v>
      </c>
      <c r="K12428" s="25" t="n">
        <f aca="false">MAX(0,K12426-Assumptions!$C$12)*Assumptions!$C$13</f>
        <v>0</v>
      </c>
    </row>
    <row r="12429" customFormat="false" ht="15" hidden="false" customHeight="false" outlineLevel="0" collapsed="false">
      <c r="A12429" s="3" t="s">
        <v>351</v>
      </c>
      <c r="G12429" s="25" t="n">
        <f aca="false">G12370+G12383+G12396</f>
        <v>0</v>
      </c>
      <c r="H12429" s="25" t="n">
        <f aca="false">H12370+H12383+H12396</f>
        <v>0</v>
      </c>
      <c r="I12429" s="25" t="n">
        <f aca="false">I12370+I12383+I12396</f>
        <v>0</v>
      </c>
      <c r="J12429" s="25" t="n">
        <f aca="false">J12370+J12383+J12396</f>
        <v>0</v>
      </c>
      <c r="K12429" s="25" t="n">
        <f aca="false">K12370+K12383+K12396</f>
        <v>0</v>
      </c>
    </row>
    <row r="12430" customFormat="false" ht="15" hidden="false" customHeight="false" outlineLevel="0" collapsed="false">
      <c r="A12430" s="2" t="s">
        <v>352</v>
      </c>
      <c r="F12430" s="28" t="n">
        <f aca="false">Assumptions!$C$11</f>
        <v>463.996</v>
      </c>
      <c r="G12430" s="16" t="n">
        <f aca="false">G12426-G12429</f>
        <v>518.82154744</v>
      </c>
      <c r="H12430" s="16" t="n">
        <f aca="false">H12426-H12429</f>
        <v>539.6742833632</v>
      </c>
      <c r="I12430" s="16" t="n">
        <f aca="false">I12426-I12429</f>
        <v>120.430022671888</v>
      </c>
      <c r="J12430" s="16" t="n">
        <f aca="false">J12426-J12429</f>
        <v>123.071896868977</v>
      </c>
      <c r="K12430" s="16" t="n">
        <f aca="false">K12426-K12429</f>
        <v>118.677412856212</v>
      </c>
    </row>
    <row r="12431" customFormat="false" ht="15" hidden="false" customHeight="false" outlineLevel="0" collapsed="false">
      <c r="A12431" s="3" t="s">
        <v>353</v>
      </c>
      <c r="G12431" s="25" t="n">
        <f aca="false">G12371+G12384+G12397</f>
        <v>0</v>
      </c>
      <c r="H12431" s="25" t="n">
        <f aca="false">H12371+H12384+H12397</f>
        <v>0</v>
      </c>
      <c r="I12431" s="25" t="n">
        <f aca="false">I12371+I12384+I12397</f>
        <v>0</v>
      </c>
      <c r="J12431" s="25" t="n">
        <f aca="false">J12371+J12384+J12397</f>
        <v>0</v>
      </c>
      <c r="K12431" s="25" t="n">
        <f aca="false">K12371+K12384+K12397</f>
        <v>0</v>
      </c>
    </row>
    <row r="12432" customFormat="false" ht="15" hidden="false" customHeight="false" outlineLevel="0" collapsed="false">
      <c r="A12432" s="3" t="s">
        <v>354</v>
      </c>
      <c r="G12432" s="20" t="n">
        <f aca="false">IF(OR(G12427&gt;0.001,G12431&gt;0.001),1,0)</f>
        <v>0</v>
      </c>
      <c r="H12432" s="20" t="n">
        <f aca="false">IF(OR(H12427&gt;0.001,H12431&gt;0.001),1,0)</f>
        <v>0</v>
      </c>
      <c r="I12432" s="20" t="n">
        <f aca="false">IF(OR(I12427&gt;0.001,I12431&gt;0.001),1,0)</f>
        <v>0</v>
      </c>
      <c r="J12432" s="20" t="n">
        <f aca="false">IF(OR(J12427&gt;0.001,J12431&gt;0.001),1,0)</f>
        <v>0</v>
      </c>
      <c r="K12432" s="20" t="n">
        <f aca="false">IF(OR(K12427&gt;0.001,K12431&gt;0.001),1,0)</f>
        <v>0</v>
      </c>
    </row>
    <row r="12433" customFormat="false" ht="15" hidden="false" customHeight="false" outlineLevel="0" collapsed="false">
      <c r="A12433" s="3" t="s">
        <v>355</v>
      </c>
      <c r="G12433" s="20" t="n">
        <f aca="false">IF(G12432=1,1,0)</f>
        <v>0</v>
      </c>
      <c r="H12433" s="20" t="n">
        <f aca="false">IF(AND(H12432=1,SUM($G$12432:G12432)=0),1,0)</f>
        <v>0</v>
      </c>
      <c r="I12433" s="20" t="n">
        <f aca="false">IF(AND(I12432=1,SUM($G$12432:H12432)=0),1,0)</f>
        <v>0</v>
      </c>
      <c r="J12433" s="20" t="n">
        <f aca="false">IF(AND(J12432=1,SUM($G$12432:I12432)=0),1,0)</f>
        <v>0</v>
      </c>
      <c r="K12433" s="20" t="n">
        <f aca="false">IF(AND(K12432=1,SUM($G$12432:J12432)=0),1,0)</f>
        <v>0</v>
      </c>
    </row>
    <row r="12434" customFormat="false" ht="15" hidden="false" customHeight="false" outlineLevel="0" collapsed="false">
      <c r="A12434" s="3" t="s">
        <v>356</v>
      </c>
      <c r="G12434" s="25" t="n">
        <f aca="false">(G12400-F12400)-(G12423+G12340-G12421-G12425-G12429)</f>
        <v>0</v>
      </c>
      <c r="H12434" s="25" t="n">
        <f aca="false">(H12400-G12400)-(H12423+H12340-H12421-H12425-H12429)</f>
        <v>0</v>
      </c>
      <c r="I12434" s="25" t="n">
        <f aca="false">(I12400-H12400)-(I12423+I12340-I12421-I12425-I12429)</f>
        <v>0</v>
      </c>
      <c r="J12434" s="25" t="n">
        <f aca="false">(J12400-I12400)-(J12423+J12340-J12421-J12425-J12429)</f>
        <v>0</v>
      </c>
      <c r="K12434" s="25" t="n">
        <f aca="false">(K12400-J12400)-(K12423+K12340-K12421-K12425-K12429)</f>
        <v>0</v>
      </c>
    </row>
    <row r="12436" customFormat="false" ht="15" hidden="false" customHeight="false" outlineLevel="0" collapsed="false">
      <c r="A12436" s="23" t="s">
        <v>358</v>
      </c>
      <c r="B12436" s="24"/>
      <c r="C12436" s="24"/>
      <c r="D12436" s="24"/>
      <c r="E12436" s="24"/>
      <c r="F12436" s="24"/>
      <c r="G12436" s="24"/>
      <c r="H12436" s="24"/>
      <c r="I12436" s="24"/>
      <c r="J12436" s="24"/>
      <c r="K12436" s="24"/>
    </row>
    <row r="12437" customFormat="false" ht="15" hidden="false" customHeight="false" outlineLevel="0" collapsed="false">
      <c r="A12437" s="3" t="s">
        <v>359</v>
      </c>
      <c r="G12437" s="25" t="n">
        <f aca="false">G12400</f>
        <v>1735.554</v>
      </c>
      <c r="H12437" s="25" t="n">
        <f aca="false">H12400</f>
        <v>1735.554</v>
      </c>
      <c r="I12437" s="25" t="n">
        <f aca="false">I12400</f>
        <v>1315.098</v>
      </c>
      <c r="J12437" s="25" t="n">
        <f aca="false">J12400</f>
        <v>1315.098</v>
      </c>
      <c r="K12437" s="25" t="n">
        <f aca="false">K12400</f>
        <v>1315.098</v>
      </c>
    </row>
    <row r="12438" customFormat="false" ht="15" hidden="false" customHeight="false" outlineLevel="0" collapsed="false">
      <c r="A12438" s="3" t="s">
        <v>360</v>
      </c>
      <c r="G12438" s="25" t="n">
        <f aca="false">Assumptions!$O$56*G12372+Assumptions!$O$57*G12385+Assumptions!$O$58*G12398</f>
        <v>1315.098</v>
      </c>
      <c r="H12438" s="25" t="n">
        <f aca="false">Assumptions!$O$56*H12372+Assumptions!$O$57*H12385+Assumptions!$O$58*H12398</f>
        <v>1315.098</v>
      </c>
      <c r="I12438" s="25" t="n">
        <f aca="false">Assumptions!$O$56*I12372+Assumptions!$O$57*I12385+Assumptions!$O$58*I12398</f>
        <v>1315.098</v>
      </c>
      <c r="J12438" s="25" t="n">
        <f aca="false">Assumptions!$O$56*J12372+Assumptions!$O$57*J12385+Assumptions!$O$58*J12398</f>
        <v>1315.098</v>
      </c>
      <c r="K12438" s="25" t="n">
        <f aca="false">Assumptions!$O$56*K12372+Assumptions!$O$57*K12385+Assumptions!$O$58*K12398</f>
        <v>1315.098</v>
      </c>
    </row>
    <row r="12439" customFormat="false" ht="15" hidden="false" customHeight="false" outlineLevel="0" collapsed="false">
      <c r="A12439" s="3" t="s">
        <v>361</v>
      </c>
      <c r="G12439" s="25" t="n">
        <f aca="false">G12437-G12430</f>
        <v>1216.73245256</v>
      </c>
      <c r="H12439" s="25" t="n">
        <f aca="false">H12437-H12430</f>
        <v>1195.8797166368</v>
      </c>
      <c r="I12439" s="25" t="n">
        <f aca="false">I12437-I12430</f>
        <v>1194.66797732811</v>
      </c>
      <c r="J12439" s="25" t="n">
        <f aca="false">J12437-J12430</f>
        <v>1192.02610313102</v>
      </c>
      <c r="K12439" s="25" t="n">
        <f aca="false">K12437-K12430</f>
        <v>1196.42058714379</v>
      </c>
    </row>
    <row r="12440" customFormat="false" ht="15" hidden="false" customHeight="false" outlineLevel="0" collapsed="false">
      <c r="A12440" s="3" t="s">
        <v>362</v>
      </c>
      <c r="G12440" s="32" t="n">
        <f aca="false">IF(G12335&gt;0,G12437/G12335,0)</f>
        <v>6.99885842190068</v>
      </c>
      <c r="H12440" s="32" t="n">
        <f aca="false">IF(H12335&gt;0,H12437/H12335,0)</f>
        <v>8.20980460047</v>
      </c>
      <c r="I12440" s="32" t="n">
        <f aca="false">IF(I12335&gt;0,I12437/I12335,0)</f>
        <v>6.93311397368161</v>
      </c>
      <c r="J12440" s="32" t="n">
        <f aca="false">IF(J12335&gt;0,J12437/J12335,0)</f>
        <v>7.66291544459547</v>
      </c>
      <c r="K12440" s="32" t="n">
        <f aca="false">IF(K12335&gt;0,K12437/K12335,0)</f>
        <v>8.0662267837847</v>
      </c>
    </row>
    <row r="12441" customFormat="false" ht="15" hidden="false" customHeight="false" outlineLevel="0" collapsed="false">
      <c r="A12441" s="3" t="s">
        <v>363</v>
      </c>
      <c r="G12441" s="32" t="n">
        <f aca="false">IF(G12335&gt;0,G12439/G12335,0)</f>
        <v>4.9066397085884</v>
      </c>
      <c r="H12441" s="32" t="n">
        <f aca="false">IF(H12335&gt;0,H12439/H12335,0)</f>
        <v>5.65694804036842</v>
      </c>
      <c r="I12441" s="32" t="n">
        <f aca="false">IF(I12335&gt;0,I12439/I12335,0)</f>
        <v>6.29821446578391</v>
      </c>
      <c r="J12441" s="32" t="n">
        <f aca="false">IF(J12335&gt;0,J12439/J12335,0)</f>
        <v>6.94579053123316</v>
      </c>
      <c r="K12441" s="32" t="n">
        <f aca="false">IF(K12335&gt;0,K12439/K12335,0)</f>
        <v>7.33831226622703</v>
      </c>
    </row>
    <row r="12442" customFormat="false" ht="15" hidden="false" customHeight="false" outlineLevel="0" collapsed="false">
      <c r="A12442" s="3" t="s">
        <v>364</v>
      </c>
      <c r="G12442" s="32" t="n">
        <f aca="false">IF(G12339&gt;0,G12335/G12339,0)</f>
        <v>1.59005643370602</v>
      </c>
      <c r="H12442" s="32" t="n">
        <f aca="false">IF(H12339&gt;0,H12335/H12339,0)</f>
        <v>1.35552310973439</v>
      </c>
      <c r="I12442" s="32" t="n">
        <f aca="false">IF(I12339&gt;0,I12335/I12339,0)</f>
        <v>1.21627391755258</v>
      </c>
      <c r="J12442" s="32" t="n">
        <f aca="false">IF(J12339&gt;0,J12335/J12339,0)</f>
        <v>1.24284413584734</v>
      </c>
      <c r="K12442" s="32" t="n">
        <f aca="false">IF(K12339&gt;0,K12335/K12339,0)</f>
        <v>1.18070192905498</v>
      </c>
    </row>
    <row r="12443" customFormat="false" ht="15" hidden="false" customHeight="false" outlineLevel="0" collapsed="false">
      <c r="A12443" s="3" t="s">
        <v>365</v>
      </c>
      <c r="G12443" s="32" t="n">
        <f aca="false">IF(G12339&gt;0,G12338/G12339,0)</f>
        <v>0.943202831951104</v>
      </c>
      <c r="H12443" s="32" t="n">
        <f aca="false">IF(H12339&gt;0,H12338/H12339,0)</f>
        <v>0.75394926010231</v>
      </c>
      <c r="I12443" s="32" t="n">
        <f aca="false">IF(I12339&gt;0,I12338/I12339,0)</f>
        <v>0.65079449889843</v>
      </c>
      <c r="J12443" s="32" t="n">
        <f aca="false">IF(J12339&gt;0,J12338/J12339,0)</f>
        <v>0.636119854632452</v>
      </c>
      <c r="K12443" s="32" t="n">
        <f aca="false">IF(K12339&gt;0,K12338/K12339,0)</f>
        <v>0.604313861900829</v>
      </c>
    </row>
    <row r="12444" customFormat="false" ht="15" hidden="false" customHeight="false" outlineLevel="0" collapsed="false">
      <c r="A12444" s="3" t="s">
        <v>198</v>
      </c>
      <c r="G12444" s="21" t="n">
        <f aca="false">IF(G12437&gt;0,G12348/G12437,0)</f>
        <v>0.0315896523185104</v>
      </c>
      <c r="H12444" s="21" t="n">
        <f aca="false">IF(H12437&gt;0,H12348/H12437,0)</f>
        <v>0.0120150314673009</v>
      </c>
      <c r="I12444" s="21" t="n">
        <f aca="false">IF(I12437&gt;0,I12348/I12437,0)</f>
        <v>0.000921406091932281</v>
      </c>
      <c r="J12444" s="21" t="n">
        <f aca="false">IF(J12437&gt;0,J12348/J12437,0)</f>
        <v>0.00200888009645638</v>
      </c>
      <c r="K12444" s="21" t="n">
        <f aca="false">IF(K12437&gt;0,K12348/K12437,0)</f>
        <v>-0.00334156390836645</v>
      </c>
    </row>
    <row r="12445" customFormat="false" ht="15" hidden="false" customHeight="false" outlineLevel="0" collapsed="false">
      <c r="A12445" s="3" t="s">
        <v>366</v>
      </c>
      <c r="G12445" s="32" t="n">
        <f aca="false">IF(G12339+G12421&gt;0,(G12335-G12346-G12343)/(G12339+G12421),0)</f>
        <v>1.41780032005454</v>
      </c>
      <c r="H12445" s="32" t="n">
        <f aca="false">IF(H12339+H12421&gt;0,(H12335-H12346-H12343)/(H12339+H12421),0)</f>
        <v>1.1953249240385</v>
      </c>
      <c r="I12445" s="32" t="n">
        <f aca="false">IF(I12339+I12421&gt;0,(I12335-I12346-I12343)/(I12339+I12421),0)</f>
        <v>1.06568762299845</v>
      </c>
      <c r="J12445" s="32" t="n">
        <f aca="false">IF(J12339+J12421&gt;0,(J12335-J12346-J12343)/(J12339+J12421),0)</f>
        <v>1.08127439818719</v>
      </c>
      <c r="K12445" s="32" t="n">
        <f aca="false">IF(K12339+K12421&gt;0,(K12335-K12346-K12343)/(K12339+K12421),0)</f>
        <v>1.02721067827783</v>
      </c>
    </row>
    <row r="12446" customFormat="false" ht="15" hidden="false" customHeight="false" outlineLevel="0" collapsed="false">
      <c r="A12446" s="3" t="s">
        <v>367</v>
      </c>
      <c r="G12446" s="25" t="n">
        <f aca="false">MAX(0,G12430)+Assumptions!$P$56*MAX(0,Assumptions!$D$56-G12372)+Assumptions!$P$57*MAX(0,Assumptions!$D$57-G12385)+Assumptions!$P$58*MAX(0,Assumptions!$D$58-G12398)</f>
        <v>518.82154744</v>
      </c>
      <c r="H12446" s="25" t="n">
        <f aca="false">MAX(0,H12430)+Assumptions!$P$56*MAX(0,Assumptions!$D$56-H12372)+Assumptions!$P$57*MAX(0,Assumptions!$D$57-H12385)+Assumptions!$P$58*MAX(0,Assumptions!$D$58-H12398)</f>
        <v>539.6742833632</v>
      </c>
      <c r="I12446" s="25" t="n">
        <f aca="false">MAX(0,I12430)+Assumptions!$P$56*MAX(0,Assumptions!$D$56-I12372)+Assumptions!$P$57*MAX(0,Assumptions!$D$57-I12385)+Assumptions!$P$58*MAX(0,Assumptions!$D$58-I12398)</f>
        <v>120.430022671888</v>
      </c>
      <c r="J12446" s="25" t="n">
        <f aca="false">MAX(0,J12430)+Assumptions!$P$56*MAX(0,Assumptions!$D$56-J12372)+Assumptions!$P$57*MAX(0,Assumptions!$D$57-J12385)+Assumptions!$P$58*MAX(0,Assumptions!$D$58-J12398)</f>
        <v>123.071896868977</v>
      </c>
      <c r="K12446" s="25" t="n">
        <f aca="false">MAX(0,K12430)+Assumptions!$P$56*MAX(0,Assumptions!$D$56-K12372)+Assumptions!$P$57*MAX(0,Assumptions!$D$57-K12385)+Assumptions!$P$58*MAX(0,Assumptions!$D$58-K12398)</f>
        <v>118.677412856212</v>
      </c>
    </row>
    <row r="12447" customFormat="false" ht="15" hidden="false" customHeight="false" outlineLevel="0" collapsed="false">
      <c r="A12447" s="3" t="s">
        <v>368</v>
      </c>
      <c r="G12447" s="21" t="n">
        <f aca="false">IF(G12437&gt;0,G12437/(G12437+MAX(0,G12335*CHOOSE($C$12318,Assumptions!$C$82,Assumptions!$C$101,Assumptions!$C$120)-G12439)),0)</f>
        <v>0.986836236277321</v>
      </c>
      <c r="H12447" s="21" t="n">
        <f aca="false">IF(H12437&gt;0,H12437/(H12437+MAX(0,H12335*CHOOSE($C$12318,Assumptions!$C$82,Assumptions!$C$101,Assumptions!$C$120)-H12439)),0)</f>
        <v>1</v>
      </c>
      <c r="I12447" s="21" t="n">
        <f aca="false">IF(I12437&gt;0,I12437/(I12437+MAX(0,I12335*CHOOSE($C$12318,Assumptions!$C$82,Assumptions!$C$101,Assumptions!$C$120)-I12439)),0)</f>
        <v>1</v>
      </c>
      <c r="J12447" s="21" t="n">
        <f aca="false">IF(J12437&gt;0,J12437/(J12437+MAX(0,J12335*CHOOSE($C$12318,Assumptions!$C$82,Assumptions!$C$101,Assumptions!$C$120)-J12439)),0)</f>
        <v>1</v>
      </c>
      <c r="K12447" s="21" t="n">
        <f aca="false">IF(K12437&gt;0,K12437/(K12437+MAX(0,K12335*CHOOSE($C$12318,Assumptions!$C$82,Assumptions!$C$101,Assumptions!$C$120)-K12439)),0)</f>
        <v>1</v>
      </c>
    </row>
    <row r="12448" customFormat="false" ht="15" hidden="false" customHeight="false" outlineLevel="0" collapsed="false">
      <c r="A12448" s="3" t="s">
        <v>369</v>
      </c>
      <c r="G12448" s="21" t="n">
        <f aca="false">IF(G12437&gt;0,MAX(0,G12430)/G12437,0)</f>
        <v>0.298937139057615</v>
      </c>
      <c r="H12448" s="21" t="n">
        <f aca="false">IF(H12437&gt;0,MAX(0,H12430)/H12437,0)</f>
        <v>0.310952170524916</v>
      </c>
      <c r="I12448" s="21" t="n">
        <f aca="false">IF(I12437&gt;0,MAX(0,I12430)/I12437,0)</f>
        <v>0.0915749416939937</v>
      </c>
      <c r="J12448" s="21" t="n">
        <f aca="false">IF(J12437&gt;0,MAX(0,J12430)/J12437,0)</f>
        <v>0.0935838217904501</v>
      </c>
      <c r="K12448" s="21" t="n">
        <f aca="false">IF(K12437&gt;0,MAX(0,K12430)/K12437,0)</f>
        <v>0.0902422578820836</v>
      </c>
    </row>
    <row r="12449" customFormat="false" ht="15" hidden="false" customHeight="false" outlineLevel="0" collapsed="false">
      <c r="A12449" s="3" t="s">
        <v>370</v>
      </c>
      <c r="G12449" s="25" t="n">
        <f aca="false">Assumptions!$C$30*(1-CHOOSE($C$12318,Assumptions!$C$85,Assumptions!$C$104,Assumptions!$C$123))</f>
        <v>2086.72535</v>
      </c>
      <c r="H12449" s="25" t="n">
        <f aca="false">Assumptions!$C$30*(1-CHOOSE($C$12318,Assumptions!$C$85,Assumptions!$C$104,Assumptions!$C$123))</f>
        <v>2086.72535</v>
      </c>
      <c r="I12449" s="25" t="n">
        <f aca="false">Assumptions!$C$30*(1-CHOOSE($C$12318,Assumptions!$C$85,Assumptions!$C$104,Assumptions!$C$123))</f>
        <v>2086.72535</v>
      </c>
      <c r="J12449" s="25" t="n">
        <f aca="false">Assumptions!$C$30*(1-CHOOSE($C$12318,Assumptions!$C$85,Assumptions!$C$104,Assumptions!$C$123))</f>
        <v>2086.72535</v>
      </c>
      <c r="K12449" s="25" t="n">
        <f aca="false">Assumptions!$C$30*(1-CHOOSE($C$12318,Assumptions!$C$85,Assumptions!$C$104,Assumptions!$C$123))</f>
        <v>2086.72535</v>
      </c>
    </row>
    <row r="12450" customFormat="false" ht="15" hidden="false" customHeight="false" outlineLevel="0" collapsed="false">
      <c r="A12450" s="23" t="s">
        <v>371</v>
      </c>
      <c r="B12450" s="24"/>
      <c r="C12450" s="24"/>
      <c r="D12450" s="24"/>
      <c r="E12450" s="24"/>
      <c r="F12450" s="24"/>
      <c r="G12450" s="24"/>
      <c r="H12450" s="24"/>
      <c r="I12450" s="24"/>
      <c r="J12450" s="24"/>
      <c r="K12450" s="24"/>
    </row>
    <row r="12451" customFormat="false" ht="15" hidden="false" customHeight="false" outlineLevel="0" collapsed="false">
      <c r="A12451" s="23" t="s">
        <v>372</v>
      </c>
      <c r="B12451" s="24"/>
      <c r="C12451" s="24"/>
      <c r="D12451" s="24"/>
      <c r="E12451" s="24"/>
      <c r="F12451" s="24"/>
      <c r="G12451" s="24"/>
      <c r="H12451" s="24"/>
      <c r="I12451" s="24"/>
      <c r="J12451" s="24"/>
      <c r="K12451" s="24"/>
    </row>
    <row r="12452" customFormat="false" ht="15" hidden="false" customHeight="false" outlineLevel="0" collapsed="false">
      <c r="A12452" s="3" t="s">
        <v>373</v>
      </c>
      <c r="G12452" s="32" t="n">
        <f aca="false">IF(G12335&gt;0,G12439/G12335,99)</f>
        <v>4.9066397085884</v>
      </c>
      <c r="H12452" s="32" t="n">
        <f aca="false">IF(H12335&gt;0,H12439/H12335,99)</f>
        <v>5.65694804036842</v>
      </c>
      <c r="I12452" s="32" t="n">
        <f aca="false">IF(I12335&gt;0,I12439/I12335,99)</f>
        <v>6.29821446578391</v>
      </c>
      <c r="J12452" s="32" t="n">
        <f aca="false">IF(J12335&gt;0,J12439/J12335,99)</f>
        <v>6.94579053123316</v>
      </c>
      <c r="K12452" s="32" t="n">
        <f aca="false">IF(K12335&gt;0,K12439/K12335,99)</f>
        <v>7.33831226622703</v>
      </c>
    </row>
    <row r="12453" customFormat="false" ht="15" hidden="false" customHeight="false" outlineLevel="0" collapsed="false">
      <c r="A12453" s="3" t="s">
        <v>374</v>
      </c>
      <c r="G12453" s="33" t="n">
        <f aca="false">Assumptions!$G$65</f>
        <v>5.25</v>
      </c>
      <c r="H12453" s="33" t="n">
        <f aca="false">Assumptions!$H$65</f>
        <v>5.25</v>
      </c>
      <c r="I12453" s="33" t="n">
        <f aca="false">Assumptions!$I$65</f>
        <v>5</v>
      </c>
      <c r="J12453" s="33" t="n">
        <f aca="false">Assumptions!$J$65</f>
        <v>5</v>
      </c>
      <c r="K12453" s="33" t="n">
        <f aca="false">Assumptions!$K$65</f>
        <v>5</v>
      </c>
    </row>
    <row r="12454" customFormat="false" ht="15" hidden="false" customHeight="false" outlineLevel="0" collapsed="false">
      <c r="A12454" s="3" t="s">
        <v>375</v>
      </c>
      <c r="G12454" s="32" t="n">
        <f aca="false">G12453-G12452</f>
        <v>0.343360291411604</v>
      </c>
      <c r="H12454" s="32" t="n">
        <f aca="false">H12453-H12452</f>
        <v>-0.406948040368418</v>
      </c>
      <c r="I12454" s="32" t="n">
        <f aca="false">I12453-I12452</f>
        <v>-1.29821446578391</v>
      </c>
      <c r="J12454" s="32" t="n">
        <f aca="false">J12453-J12452</f>
        <v>-1.94579053123316</v>
      </c>
      <c r="K12454" s="32" t="n">
        <f aca="false">K12453-K12452</f>
        <v>-2.33831226622703</v>
      </c>
    </row>
    <row r="12455" customFormat="false" ht="15" hidden="false" customHeight="false" outlineLevel="0" collapsed="false">
      <c r="A12455" s="3" t="s">
        <v>376</v>
      </c>
      <c r="G12455" s="21" t="n">
        <f aca="false">IF(G12453=0,0,G12454/ABS(G12453))</f>
        <v>0.0654019602688769</v>
      </c>
      <c r="H12455" s="21" t="n">
        <f aca="false">IF(H12453=0,0,H12454/ABS(H12453))</f>
        <v>-0.0775139124511272</v>
      </c>
      <c r="I12455" s="21" t="n">
        <f aca="false">IF(I12453=0,0,I12454/ABS(I12453))</f>
        <v>-0.259642893156781</v>
      </c>
      <c r="J12455" s="21" t="n">
        <f aca="false">IF(J12453=0,0,J12454/ABS(J12453))</f>
        <v>-0.389158106246632</v>
      </c>
      <c r="K12455" s="21" t="n">
        <f aca="false">IF(K12453=0,0,K12454/ABS(K12453))</f>
        <v>-0.467662453245407</v>
      </c>
    </row>
    <row r="12456" customFormat="false" ht="15" hidden="false" customHeight="false" outlineLevel="0" collapsed="false">
      <c r="A12456" s="3" t="s">
        <v>377</v>
      </c>
      <c r="G12456" s="20" t="n">
        <f aca="false">IF(G12454&lt;0,1,0)</f>
        <v>0</v>
      </c>
      <c r="H12456" s="20" t="n">
        <f aca="false">IF(H12454&lt;0,1,0)</f>
        <v>1</v>
      </c>
      <c r="I12456" s="20" t="n">
        <f aca="false">IF(I12454&lt;0,1,0)</f>
        <v>1</v>
      </c>
      <c r="J12456" s="20" t="n">
        <f aca="false">IF(J12454&lt;0,1,0)</f>
        <v>1</v>
      </c>
      <c r="K12456" s="20" t="n">
        <f aca="false">IF(K12454&lt;0,1,0)</f>
        <v>1</v>
      </c>
    </row>
    <row r="12457" customFormat="false" ht="15" hidden="false" customHeight="false" outlineLevel="0" collapsed="false">
      <c r="A12457" s="3" t="s">
        <v>378</v>
      </c>
      <c r="C12457" s="20" t="n">
        <f aca="false">IFERROR(INDEX($G$12325:$K$12325,MATCH(1,$G$12456:$K$12456,0)),0)</f>
        <v>2028</v>
      </c>
    </row>
    <row r="12458" customFormat="false" ht="15" hidden="false" customHeight="false" outlineLevel="0" collapsed="false">
      <c r="A12458" s="3" t="s">
        <v>379</v>
      </c>
      <c r="C12458" s="21" t="n">
        <f aca="false">MIN($G$12455:$K$12455)</f>
        <v>-0.467662453245407</v>
      </c>
    </row>
    <row r="12459" customFormat="false" ht="15" hidden="false" customHeight="false" outlineLevel="0" collapsed="false">
      <c r="A12459" s="23" t="s">
        <v>380</v>
      </c>
      <c r="B12459" s="24"/>
      <c r="C12459" s="24"/>
      <c r="D12459" s="24"/>
      <c r="E12459" s="24"/>
      <c r="F12459" s="24"/>
      <c r="G12459" s="24"/>
      <c r="H12459" s="24"/>
      <c r="I12459" s="24"/>
      <c r="J12459" s="24"/>
      <c r="K12459" s="24"/>
    </row>
    <row r="12460" customFormat="false" ht="15" hidden="false" customHeight="false" outlineLevel="0" collapsed="false">
      <c r="A12460" s="3" t="s">
        <v>373</v>
      </c>
      <c r="G12460" s="32" t="n">
        <f aca="false">IF(G12339&gt;0,G12335/G12339,99)</f>
        <v>1.59005643370602</v>
      </c>
      <c r="H12460" s="32" t="n">
        <f aca="false">IF(H12339&gt;0,H12335/H12339,99)</f>
        <v>1.35552310973439</v>
      </c>
      <c r="I12460" s="32" t="n">
        <f aca="false">IF(I12339&gt;0,I12335/I12339,99)</f>
        <v>1.21627391755258</v>
      </c>
      <c r="J12460" s="32" t="n">
        <f aca="false">IF(J12339&gt;0,J12335/J12339,99)</f>
        <v>1.24284413584734</v>
      </c>
      <c r="K12460" s="32" t="n">
        <f aca="false">IF(K12339&gt;0,K12335/K12339,99)</f>
        <v>1.18070192905498</v>
      </c>
    </row>
    <row r="12461" customFormat="false" ht="15" hidden="false" customHeight="false" outlineLevel="0" collapsed="false">
      <c r="A12461" s="3" t="s">
        <v>374</v>
      </c>
      <c r="G12461" s="33" t="n">
        <f aca="false">Assumptions!$G$66</f>
        <v>1.4</v>
      </c>
      <c r="H12461" s="33" t="n">
        <f aca="false">Assumptions!$H$66</f>
        <v>1.4</v>
      </c>
      <c r="I12461" s="33" t="n">
        <f aca="false">Assumptions!$I$66</f>
        <v>1.4</v>
      </c>
      <c r="J12461" s="33" t="n">
        <f aca="false">Assumptions!$J$66</f>
        <v>1.5</v>
      </c>
      <c r="K12461" s="33" t="n">
        <f aca="false">Assumptions!$K$66</f>
        <v>1.5</v>
      </c>
    </row>
    <row r="12462" customFormat="false" ht="15" hidden="false" customHeight="false" outlineLevel="0" collapsed="false">
      <c r="A12462" s="3" t="s">
        <v>375</v>
      </c>
      <c r="G12462" s="32" t="n">
        <f aca="false">G12460-G12461</f>
        <v>0.190056433706025</v>
      </c>
      <c r="H12462" s="32" t="n">
        <f aca="false">H12460-H12461</f>
        <v>-0.0444768902656139</v>
      </c>
      <c r="I12462" s="32" t="n">
        <f aca="false">I12460-I12461</f>
        <v>-0.183726082447419</v>
      </c>
      <c r="J12462" s="32" t="n">
        <f aca="false">J12460-J12461</f>
        <v>-0.257155864152655</v>
      </c>
      <c r="K12462" s="32" t="n">
        <f aca="false">K12460-K12461</f>
        <v>-0.319298070945023</v>
      </c>
    </row>
    <row r="12463" customFormat="false" ht="15" hidden="false" customHeight="false" outlineLevel="0" collapsed="false">
      <c r="A12463" s="3" t="s">
        <v>376</v>
      </c>
      <c r="G12463" s="21" t="n">
        <f aca="false">IF(G12461=0,0,G12462/ABS(G12461))</f>
        <v>0.135754595504304</v>
      </c>
      <c r="H12463" s="21" t="n">
        <f aca="false">IF(H12461=0,0,H12462/ABS(H12461))</f>
        <v>-0.0317692073325813</v>
      </c>
      <c r="I12463" s="21" t="n">
        <f aca="false">IF(I12461=0,0,I12462/ABS(I12461))</f>
        <v>-0.131232916033871</v>
      </c>
      <c r="J12463" s="21" t="n">
        <f aca="false">IF(J12461=0,0,J12462/ABS(J12461))</f>
        <v>-0.171437242768437</v>
      </c>
      <c r="K12463" s="21" t="n">
        <f aca="false">IF(K12461=0,0,K12462/ABS(K12461))</f>
        <v>-0.212865380630015</v>
      </c>
    </row>
    <row r="12464" customFormat="false" ht="15" hidden="false" customHeight="false" outlineLevel="0" collapsed="false">
      <c r="A12464" s="3" t="s">
        <v>377</v>
      </c>
      <c r="G12464" s="20" t="n">
        <f aca="false">IF(G12462&lt;0,1,0)</f>
        <v>0</v>
      </c>
      <c r="H12464" s="20" t="n">
        <f aca="false">IF(H12462&lt;0,1,0)</f>
        <v>1</v>
      </c>
      <c r="I12464" s="20" t="n">
        <f aca="false">IF(I12462&lt;0,1,0)</f>
        <v>1</v>
      </c>
      <c r="J12464" s="20" t="n">
        <f aca="false">IF(J12462&lt;0,1,0)</f>
        <v>1</v>
      </c>
      <c r="K12464" s="20" t="n">
        <f aca="false">IF(K12462&lt;0,1,0)</f>
        <v>1</v>
      </c>
    </row>
    <row r="12465" customFormat="false" ht="15" hidden="false" customHeight="false" outlineLevel="0" collapsed="false">
      <c r="A12465" s="3" t="s">
        <v>378</v>
      </c>
      <c r="C12465" s="20" t="n">
        <f aca="false">IFERROR(INDEX($G$12325:$K$12325,MATCH(1,$G$12464:$K$12464,0)),0)</f>
        <v>2028</v>
      </c>
    </row>
    <row r="12466" customFormat="false" ht="15" hidden="false" customHeight="false" outlineLevel="0" collapsed="false">
      <c r="A12466" s="3" t="s">
        <v>379</v>
      </c>
      <c r="C12466" s="21" t="n">
        <f aca="false">MIN($G$12463:$K$12463)</f>
        <v>-0.212865380630015</v>
      </c>
    </row>
    <row r="12467" customFormat="false" ht="15" hidden="false" customHeight="false" outlineLevel="0" collapsed="false">
      <c r="A12467" s="23" t="s">
        <v>381</v>
      </c>
      <c r="B12467" s="24"/>
      <c r="C12467" s="24"/>
      <c r="D12467" s="24"/>
      <c r="E12467" s="24"/>
      <c r="F12467" s="24"/>
      <c r="G12467" s="24"/>
      <c r="H12467" s="24"/>
      <c r="I12467" s="24"/>
      <c r="J12467" s="24"/>
      <c r="K12467" s="24"/>
    </row>
    <row r="12468" customFormat="false" ht="15" hidden="false" customHeight="false" outlineLevel="0" collapsed="false">
      <c r="A12468" s="3" t="s">
        <v>373</v>
      </c>
      <c r="G12468" s="25" t="n">
        <f aca="false">G12446</f>
        <v>518.82154744</v>
      </c>
      <c r="H12468" s="25" t="n">
        <f aca="false">H12446</f>
        <v>539.6742833632</v>
      </c>
      <c r="I12468" s="25" t="n">
        <f aca="false">I12446</f>
        <v>120.430022671888</v>
      </c>
      <c r="J12468" s="25" t="n">
        <f aca="false">J12446</f>
        <v>123.071896868977</v>
      </c>
      <c r="K12468" s="25" t="n">
        <f aca="false">K12446</f>
        <v>118.677412856212</v>
      </c>
    </row>
    <row r="12469" customFormat="false" ht="15" hidden="false" customHeight="false" outlineLevel="0" collapsed="false">
      <c r="A12469" s="3" t="s">
        <v>374</v>
      </c>
      <c r="G12469" s="29" t="n">
        <f aca="false">Assumptions!$G$67</f>
        <v>200</v>
      </c>
      <c r="H12469" s="29" t="n">
        <f aca="false">Assumptions!$H$67</f>
        <v>200</v>
      </c>
      <c r="I12469" s="29" t="n">
        <f aca="false">Assumptions!$I$67</f>
        <v>200</v>
      </c>
      <c r="J12469" s="29" t="n">
        <f aca="false">Assumptions!$J$67</f>
        <v>200</v>
      </c>
      <c r="K12469" s="29" t="n">
        <f aca="false">Assumptions!$K$67</f>
        <v>200</v>
      </c>
    </row>
    <row r="12470" customFormat="false" ht="15" hidden="false" customHeight="false" outlineLevel="0" collapsed="false">
      <c r="A12470" s="3" t="s">
        <v>375</v>
      </c>
      <c r="G12470" s="25" t="n">
        <f aca="false">G12468-G12469</f>
        <v>318.82154744</v>
      </c>
      <c r="H12470" s="25" t="n">
        <f aca="false">H12468-H12469</f>
        <v>339.6742833632</v>
      </c>
      <c r="I12470" s="25" t="n">
        <f aca="false">I12468-I12469</f>
        <v>-79.5699773281123</v>
      </c>
      <c r="J12470" s="25" t="n">
        <f aca="false">J12468-J12469</f>
        <v>-76.9281031310227</v>
      </c>
      <c r="K12470" s="25" t="n">
        <f aca="false">K12468-K12469</f>
        <v>-81.3225871437876</v>
      </c>
    </row>
    <row r="12471" customFormat="false" ht="15" hidden="false" customHeight="false" outlineLevel="0" collapsed="false">
      <c r="A12471" s="3" t="s">
        <v>376</v>
      </c>
      <c r="G12471" s="21" t="n">
        <f aca="false">IF(G12469=0,0,G12470/ABS(G12469))</f>
        <v>1.5941077372</v>
      </c>
      <c r="H12471" s="21" t="n">
        <f aca="false">IF(H12469=0,0,H12470/ABS(H12469))</f>
        <v>1.698371416816</v>
      </c>
      <c r="I12471" s="21" t="n">
        <f aca="false">IF(I12469=0,0,I12470/ABS(I12469))</f>
        <v>-0.397849886640561</v>
      </c>
      <c r="J12471" s="21" t="n">
        <f aca="false">IF(J12469=0,0,J12470/ABS(J12469))</f>
        <v>-0.384640515655113</v>
      </c>
      <c r="K12471" s="21" t="n">
        <f aca="false">IF(K12469=0,0,K12470/ABS(K12469))</f>
        <v>-0.406612935718938</v>
      </c>
    </row>
    <row r="12472" customFormat="false" ht="15" hidden="false" customHeight="false" outlineLevel="0" collapsed="false">
      <c r="A12472" s="3" t="s">
        <v>377</v>
      </c>
      <c r="G12472" s="20" t="n">
        <f aca="false">IF(G12470&lt;0,1,0)</f>
        <v>0</v>
      </c>
      <c r="H12472" s="20" t="n">
        <f aca="false">IF(H12470&lt;0,1,0)</f>
        <v>0</v>
      </c>
      <c r="I12472" s="20" t="n">
        <f aca="false">IF(I12470&lt;0,1,0)</f>
        <v>1</v>
      </c>
      <c r="J12472" s="20" t="n">
        <f aca="false">IF(J12470&lt;0,1,0)</f>
        <v>1</v>
      </c>
      <c r="K12472" s="20" t="n">
        <f aca="false">IF(K12470&lt;0,1,0)</f>
        <v>1</v>
      </c>
    </row>
    <row r="12473" customFormat="false" ht="15" hidden="false" customHeight="false" outlineLevel="0" collapsed="false">
      <c r="A12473" s="3" t="s">
        <v>378</v>
      </c>
      <c r="C12473" s="20" t="n">
        <f aca="false">IFERROR(INDEX($G$12325:$K$12325,MATCH(1,$G$12472:$K$12472,0)),0)</f>
        <v>2029</v>
      </c>
    </row>
    <row r="12474" customFormat="false" ht="15" hidden="false" customHeight="false" outlineLevel="0" collapsed="false">
      <c r="A12474" s="3" t="s">
        <v>379</v>
      </c>
      <c r="C12474" s="21" t="n">
        <f aca="false">MIN($G$12471:$K$12471)</f>
        <v>-0.406612935718938</v>
      </c>
    </row>
    <row r="12475" customFormat="false" ht="15" hidden="false" customHeight="false" outlineLevel="0" collapsed="false">
      <c r="A12475" s="3" t="s">
        <v>382</v>
      </c>
      <c r="G12475" s="20" t="n">
        <f aca="false">G12456+G12464+G12472</f>
        <v>0</v>
      </c>
      <c r="H12475" s="20" t="n">
        <f aca="false">H12456+H12464+H12472</f>
        <v>2</v>
      </c>
      <c r="I12475" s="20" t="n">
        <f aca="false">I12456+I12464+I12472</f>
        <v>3</v>
      </c>
      <c r="J12475" s="20" t="n">
        <f aca="false">J12456+J12464+J12472</f>
        <v>3</v>
      </c>
      <c r="K12475" s="20" t="n">
        <f aca="false">K12456+K12464+K12472</f>
        <v>3</v>
      </c>
    </row>
    <row r="12476" customFormat="false" ht="15" hidden="false" customHeight="false" outlineLevel="0" collapsed="false">
      <c r="A12476" s="3" t="s">
        <v>383</v>
      </c>
      <c r="C12476" s="20" t="n">
        <f aca="false">SUM($G$12475:$K$12475)</f>
        <v>11</v>
      </c>
    </row>
    <row r="12477" customFormat="false" ht="15" hidden="false" customHeight="false" outlineLevel="0" collapsed="false">
      <c r="A12477" s="3" t="s">
        <v>384</v>
      </c>
      <c r="C12477" s="21" t="n">
        <f aca="false">MIN(C12458,C12466,C12474)</f>
        <v>-0.467662453245407</v>
      </c>
    </row>
    <row r="12479" customFormat="false" ht="15" hidden="false" customHeight="false" outlineLevel="0" collapsed="false">
      <c r="A12479" s="23" t="s">
        <v>486</v>
      </c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</row>
    <row r="12480" customFormat="false" ht="15" hidden="false" customHeight="false" outlineLevel="0" collapsed="false">
      <c r="A12480" s="3" t="s">
        <v>487</v>
      </c>
      <c r="G12480" s="20" t="n">
        <f aca="false">IF($C$12481=1,G12433,IF(G12335=MIN($G$12335:$K$12335),1,0))</f>
        <v>0</v>
      </c>
      <c r="H12480" s="20" t="n">
        <f aca="false">IF($C$12481=1,H12433,IF(AND(H12335=MIN($G$12335:$K$12335),SUM($G$12480:G12480)=0),1,0))</f>
        <v>0</v>
      </c>
      <c r="I12480" s="20" t="n">
        <f aca="false">IF($C$12481=1,I12433,IF(AND(I12335=MIN($G$12335:$K$12335),SUM($G$12480:H12480)=0),1,0))</f>
        <v>0</v>
      </c>
      <c r="J12480" s="20" t="n">
        <f aca="false">IF($C$12481=1,J12433,IF(AND(J12335=MIN($G$12335:$K$12335),SUM($G$12480:I12480)=0),1,0))</f>
        <v>0</v>
      </c>
      <c r="K12480" s="20" t="n">
        <f aca="false">IF($C$12481=1,K12433,IF(AND(K12335=MIN($G$12335:$K$12335),SUM($G$12480:J12480)=0),1,0))</f>
        <v>1</v>
      </c>
    </row>
    <row r="12481" customFormat="false" ht="15" hidden="false" customHeight="false" outlineLevel="0" collapsed="false">
      <c r="A12481" s="3" t="s">
        <v>488</v>
      </c>
      <c r="C12481" s="20" t="n">
        <f aca="false">IF(SUM($G$12433:$K$12433)&gt;0,1,0)</f>
        <v>0</v>
      </c>
    </row>
    <row r="12482" customFormat="false" ht="15" hidden="false" customHeight="false" outlineLevel="0" collapsed="false">
      <c r="A12482" s="3" t="s">
        <v>489</v>
      </c>
      <c r="C12482" s="20" t="n">
        <f aca="false">SUMPRODUCT($G$12480:$K$12480,$G$12325:$K$12325)</f>
        <v>2031</v>
      </c>
    </row>
    <row r="12483" customFormat="false" ht="15" hidden="false" customHeight="false" outlineLevel="0" collapsed="false">
      <c r="A12483" s="3" t="s">
        <v>490</v>
      </c>
      <c r="C12483" s="25" t="n">
        <f aca="false">SUMPRODUCT($G$12480:$K$12480,$G$12335:$K$12335)</f>
        <v>163.037568277116</v>
      </c>
    </row>
    <row r="12484" customFormat="false" ht="15" hidden="false" customHeight="false" outlineLevel="0" collapsed="false">
      <c r="A12484" s="3" t="s">
        <v>491</v>
      </c>
      <c r="C12484" s="25" t="n">
        <f aca="false">MAX(0,SUMPRODUCT($G$12480:$K$12480,$G$12430:$K$12430))</f>
        <v>118.677412856212</v>
      </c>
    </row>
    <row r="12485" customFormat="false" ht="15" hidden="false" customHeight="false" outlineLevel="0" collapsed="false">
      <c r="A12485" s="3" t="s">
        <v>492</v>
      </c>
      <c r="C12485" s="25" t="n">
        <f aca="false">(CHOOSE($C$12318,Assumptions!$C$84,Assumptions!$C$103,Assumptions!$C$122)+$C$12322)*C12483</f>
        <v>733.669057247022</v>
      </c>
    </row>
    <row r="12486" customFormat="false" ht="15" hidden="false" customHeight="false" outlineLevel="0" collapsed="false">
      <c r="A12486" s="3" t="s">
        <v>493</v>
      </c>
      <c r="C12486" s="25" t="n">
        <f aca="false">Assumptions!$C$30*(1-CHOOSE($C$12318,Assumptions!$C$85,Assumptions!$C$104,Assumptions!$C$123))*CHOOSE($C$12318,Assumptions!$C$86,Assumptions!$C$105,Assumptions!$C$124)</f>
        <v>626.017605</v>
      </c>
    </row>
    <row r="12487" customFormat="false" ht="15" hidden="false" customHeight="false" outlineLevel="0" collapsed="false">
      <c r="A12487" s="3" t="s">
        <v>494</v>
      </c>
      <c r="C12487" s="25" t="n">
        <f aca="false">MAX(C12485,C12486)+C12484</f>
        <v>852.346470103234</v>
      </c>
    </row>
    <row r="12488" customFormat="false" ht="15" hidden="false" customHeight="false" outlineLevel="0" collapsed="false">
      <c r="A12488" s="2" t="s">
        <v>495</v>
      </c>
      <c r="C12488" s="16" t="n">
        <f aca="false">IF(ISNUMBER(Assumptions!$C$14),Assumptions!$C$14,C12487)</f>
        <v>852.346470103234</v>
      </c>
    </row>
    <row r="12489" customFormat="false" ht="15" hidden="false" customHeight="false" outlineLevel="0" collapsed="false">
      <c r="A12489" s="3" t="s">
        <v>496</v>
      </c>
      <c r="C12489" s="25" t="n">
        <f aca="false">C12488*Assumptions!$C$15</f>
        <v>34.0938588041294</v>
      </c>
    </row>
    <row r="12490" customFormat="false" ht="15" hidden="false" customHeight="false" outlineLevel="0" collapsed="false">
      <c r="A12490" s="2" t="s">
        <v>497</v>
      </c>
      <c r="C12490" s="16" t="n">
        <f aca="false">C12488-C12489</f>
        <v>818.252611299105</v>
      </c>
    </row>
    <row r="12491" customFormat="false" ht="15" hidden="false" customHeight="false" outlineLevel="0" collapsed="false">
      <c r="A12491" s="23" t="s">
        <v>498</v>
      </c>
      <c r="B12491" s="24"/>
      <c r="C12491" s="24"/>
      <c r="D12491" s="24"/>
      <c r="E12491" s="24"/>
      <c r="F12491" s="24"/>
      <c r="G12491" s="24"/>
      <c r="H12491" s="24"/>
      <c r="I12491" s="24"/>
      <c r="J12491" s="24"/>
      <c r="K12491" s="24"/>
    </row>
    <row r="12492" customFormat="false" ht="15" hidden="false" customHeight="false" outlineLevel="0" collapsed="false">
      <c r="A12492" s="3" t="s">
        <v>499</v>
      </c>
      <c r="C12492" s="25" t="n">
        <f aca="false">SUMPRODUCT($G$12480:$K$12480,$G$12372:$K$12372)*(1+SUMPRODUCT($G$12480:$K$12480,$G$12364:$K$12364)*Assumptions!$C$16/12)</f>
        <v>1349.6193225</v>
      </c>
    </row>
    <row r="12493" customFormat="false" ht="15" hidden="false" customHeight="false" outlineLevel="0" collapsed="false">
      <c r="A12493" s="3" t="s">
        <v>500</v>
      </c>
      <c r="C12493" s="25" t="n">
        <f aca="false">SUMPRODUCT($G$12480:$K$12480,$G$12385:$K$12385)*(1+SUMPRODUCT($G$12480:$K$12480,$G$12377:$K$12377)*Assumptions!$C$16/12)</f>
        <v>0</v>
      </c>
    </row>
    <row r="12494" customFormat="false" ht="15" hidden="false" customHeight="false" outlineLevel="0" collapsed="false">
      <c r="A12494" s="3" t="s">
        <v>501</v>
      </c>
      <c r="C12494" s="25" t="n">
        <f aca="false">SUMPRODUCT($G$12480:$K$12480,$G$12398:$K$12398)*(1+SUMPRODUCT($G$12480:$K$12480,$G$12390:$K$12390)*Assumptions!$C$16/12)</f>
        <v>0</v>
      </c>
    </row>
    <row r="12495" customFormat="false" ht="15" hidden="false" customHeight="false" outlineLevel="0" collapsed="false">
      <c r="A12495" s="23" t="s">
        <v>502</v>
      </c>
      <c r="B12495" s="24"/>
      <c r="C12495" s="24"/>
      <c r="D12495" s="24"/>
      <c r="E12495" s="24"/>
      <c r="F12495" s="24"/>
      <c r="G12495" s="24"/>
      <c r="H12495" s="24"/>
      <c r="I12495" s="24"/>
      <c r="J12495" s="24"/>
      <c r="K12495" s="24"/>
    </row>
    <row r="12496" customFormat="false" ht="15" hidden="false" customHeight="false" outlineLevel="0" collapsed="false">
      <c r="A12496" s="3" t="s">
        <v>499</v>
      </c>
      <c r="C12496" s="27" t="n">
        <f aca="false">Assumptions!$M$56</f>
        <v>1</v>
      </c>
    </row>
    <row r="12497" customFormat="false" ht="15" hidden="false" customHeight="false" outlineLevel="0" collapsed="false">
      <c r="A12497" s="3" t="s">
        <v>500</v>
      </c>
      <c r="C12497" s="27" t="n">
        <f aca="false">Assumptions!$M$57</f>
        <v>2</v>
      </c>
    </row>
    <row r="12498" customFormat="false" ht="15" hidden="false" customHeight="false" outlineLevel="0" collapsed="false">
      <c r="A12498" s="3" t="s">
        <v>501</v>
      </c>
      <c r="C12498" s="27" t="n">
        <f aca="false">Assumptions!$M$58</f>
        <v>2</v>
      </c>
    </row>
    <row r="12499" customFormat="false" ht="15" hidden="false" customHeight="false" outlineLevel="0" collapsed="false">
      <c r="A12499" s="23" t="s">
        <v>503</v>
      </c>
      <c r="B12499" s="24"/>
      <c r="C12499" s="24"/>
      <c r="D12499" s="24"/>
      <c r="E12499" s="24"/>
      <c r="F12499" s="24"/>
      <c r="G12499" s="24"/>
      <c r="H12499" s="24"/>
      <c r="I12499" s="24"/>
      <c r="J12499" s="24"/>
      <c r="K12499" s="24"/>
    </row>
    <row r="12500" customFormat="false" ht="15" hidden="false" customHeight="false" outlineLevel="0" collapsed="false">
      <c r="A12500" s="3" t="s">
        <v>499</v>
      </c>
      <c r="C12500" s="35" t="n">
        <f aca="false">Assumptions!$Q$56</f>
        <v>0</v>
      </c>
    </row>
    <row r="12501" customFormat="false" ht="15" hidden="false" customHeight="false" outlineLevel="0" collapsed="false">
      <c r="A12501" s="3" t="s">
        <v>500</v>
      </c>
      <c r="C12501" s="35" t="n">
        <f aca="false">Assumptions!$Q$57</f>
        <v>0</v>
      </c>
    </row>
    <row r="12502" customFormat="false" ht="15" hidden="false" customHeight="false" outlineLevel="0" collapsed="false">
      <c r="A12502" s="3" t="s">
        <v>501</v>
      </c>
      <c r="C12502" s="35" t="n">
        <f aca="false">Assumptions!$Q$58</f>
        <v>0</v>
      </c>
    </row>
    <row r="12503" customFormat="false" ht="15" hidden="false" customHeight="false" outlineLevel="0" collapsed="false">
      <c r="A12503" s="23" t="s">
        <v>504</v>
      </c>
      <c r="B12503" s="24"/>
      <c r="C12503" s="24"/>
      <c r="D12503" s="24"/>
      <c r="E12503" s="24"/>
      <c r="F12503" s="24"/>
      <c r="G12503" s="24"/>
      <c r="H12503" s="24"/>
      <c r="I12503" s="24"/>
      <c r="J12503" s="24"/>
      <c r="K12503" s="24"/>
    </row>
    <row r="12504" customFormat="false" ht="15" hidden="false" customHeight="false" outlineLevel="0" collapsed="false">
      <c r="A12504" s="3" t="s">
        <v>499</v>
      </c>
      <c r="C12504" s="25" t="n">
        <f aca="false">IF(C12500&gt;0,MIN(C12492,C12500*$C$12490),0)</f>
        <v>0</v>
      </c>
    </row>
    <row r="12505" customFormat="false" ht="15" hidden="false" customHeight="false" outlineLevel="0" collapsed="false">
      <c r="A12505" s="3" t="s">
        <v>500</v>
      </c>
      <c r="C12505" s="25" t="n">
        <f aca="false">IF(C12501&gt;0,MIN(C12493,C12501*$C$12490),0)</f>
        <v>0</v>
      </c>
    </row>
    <row r="12506" customFormat="false" ht="15" hidden="false" customHeight="false" outlineLevel="0" collapsed="false">
      <c r="A12506" s="3" t="s">
        <v>501</v>
      </c>
      <c r="C12506" s="25" t="n">
        <f aca="false">IF(C12502&gt;0,MIN(C12494,C12502*$C$12490),0)</f>
        <v>0</v>
      </c>
    </row>
    <row r="12507" customFormat="false" ht="15" hidden="false" customHeight="false" outlineLevel="0" collapsed="false">
      <c r="A12507" s="23" t="s">
        <v>505</v>
      </c>
      <c r="B12507" s="24"/>
      <c r="C12507" s="24"/>
      <c r="D12507" s="24"/>
      <c r="E12507" s="24"/>
      <c r="F12507" s="24"/>
      <c r="G12507" s="24"/>
      <c r="H12507" s="24"/>
      <c r="I12507" s="24"/>
      <c r="J12507" s="24"/>
      <c r="K12507" s="24"/>
    </row>
    <row r="12508" customFormat="false" ht="15" hidden="false" customHeight="false" outlineLevel="0" collapsed="false">
      <c r="A12508" s="3" t="s">
        <v>499</v>
      </c>
      <c r="C12508" s="25" t="n">
        <f aca="false">IF(C12500&gt;0,C12492-C12504,0)</f>
        <v>0</v>
      </c>
      <c r="G12508" s="20" t="n">
        <f aca="false">IF(AND(G12362=1,G12359=1),1,0)</f>
        <v>0</v>
      </c>
      <c r="H12508" s="20" t="n">
        <f aca="false">IF(G12508=1,1,IF(AND(H12362=1,H12359=1),1,0))</f>
        <v>0</v>
      </c>
      <c r="I12508" s="20" t="n">
        <f aca="false">IF(H12508=1,1,IF(AND(I12362=1,I12359=1),1,0))</f>
        <v>0</v>
      </c>
      <c r="J12508" s="20" t="n">
        <f aca="false">IF(I12508=1,1,IF(AND(J12362=1,J12359=1),1,0))</f>
        <v>0</v>
      </c>
      <c r="K12508" s="20" t="n">
        <f aca="false">IF(J12508=1,1,IF(AND(K12362=1,K12359=1),1,0))</f>
        <v>0</v>
      </c>
    </row>
    <row r="12509" customFormat="false" ht="15" hidden="false" customHeight="false" outlineLevel="0" collapsed="false">
      <c r="A12509" s="3" t="s">
        <v>500</v>
      </c>
      <c r="C12509" s="25" t="n">
        <f aca="false">IF(C12501&gt;0,C12493-C12505,0)</f>
        <v>0</v>
      </c>
      <c r="G12509" s="20" t="n">
        <f aca="false">IF(AND(G12375=1,G12359=1),1,0)</f>
        <v>0</v>
      </c>
      <c r="H12509" s="20" t="n">
        <f aca="false">IF(G12509=1,1,IF(AND(H12375=1,H12359=1),1,0))</f>
        <v>0</v>
      </c>
      <c r="I12509" s="20" t="n">
        <f aca="false">IF(H12509=1,1,IF(AND(I12375=1,I12359=1),1,0))</f>
        <v>0</v>
      </c>
      <c r="J12509" s="20" t="n">
        <f aca="false">IF(I12509=1,1,IF(AND(J12375=1,J12359=1),1,0))</f>
        <v>0</v>
      </c>
      <c r="K12509" s="20" t="n">
        <f aca="false">IF(J12509=1,1,IF(AND(K12375=1,K12359=1),1,0))</f>
        <v>0</v>
      </c>
    </row>
    <row r="12510" customFormat="false" ht="15" hidden="false" customHeight="false" outlineLevel="0" collapsed="false">
      <c r="A12510" s="3" t="s">
        <v>501</v>
      </c>
      <c r="C12510" s="25" t="n">
        <f aca="false">IF(C12502&gt;0,C12494-C12506,0)</f>
        <v>0</v>
      </c>
      <c r="G12510" s="20" t="n">
        <f aca="false">IF(AND(G12388=1,G12359=1),1,0)</f>
        <v>0</v>
      </c>
      <c r="H12510" s="20" t="n">
        <f aca="false">IF(G12510=1,1,IF(AND(H12388=1,H12359=1),1,0))</f>
        <v>0</v>
      </c>
      <c r="I12510" s="20" t="n">
        <f aca="false">IF(H12510=1,1,IF(AND(I12388=1,I12359=1),1,0))</f>
        <v>0</v>
      </c>
      <c r="J12510" s="20" t="n">
        <f aca="false">IF(I12510=1,1,IF(AND(J12388=1,J12359=1),1,0))</f>
        <v>0</v>
      </c>
      <c r="K12510" s="20" t="n">
        <f aca="false">IF(J12510=1,1,IF(AND(K12388=1,K12359=1),1,0))</f>
        <v>0</v>
      </c>
    </row>
    <row r="12511" customFormat="false" ht="15" hidden="false" customHeight="false" outlineLevel="0" collapsed="false">
      <c r="A12511" s="23" t="s">
        <v>506</v>
      </c>
      <c r="B12511" s="24"/>
      <c r="C12511" s="24"/>
      <c r="D12511" s="24"/>
      <c r="E12511" s="24"/>
      <c r="F12511" s="24"/>
      <c r="G12511" s="24"/>
      <c r="H12511" s="24"/>
      <c r="I12511" s="24"/>
      <c r="J12511" s="24"/>
      <c r="K12511" s="24"/>
    </row>
    <row r="12512" customFormat="false" ht="15" hidden="false" customHeight="false" outlineLevel="0" collapsed="false">
      <c r="A12512" s="3" t="s">
        <v>499</v>
      </c>
      <c r="C12512" s="25" t="n">
        <f aca="false">IF(C12500&gt;0,C12508,C12492)</f>
        <v>1349.6193225</v>
      </c>
    </row>
    <row r="12513" customFormat="false" ht="15" hidden="false" customHeight="false" outlineLevel="0" collapsed="false">
      <c r="A12513" s="3" t="s">
        <v>500</v>
      </c>
      <c r="C12513" s="25" t="n">
        <f aca="false">IF(C12501&gt;0,C12509,C12493)</f>
        <v>0</v>
      </c>
    </row>
    <row r="12514" customFormat="false" ht="15" hidden="false" customHeight="false" outlineLevel="0" collapsed="false">
      <c r="A12514" s="3" t="s">
        <v>501</v>
      </c>
      <c r="C12514" s="25" t="n">
        <f aca="false">IF(C12502&gt;0,C12510,C12494)</f>
        <v>0</v>
      </c>
    </row>
    <row r="12515" customFormat="false" ht="15" hidden="false" customHeight="false" outlineLevel="0" collapsed="false">
      <c r="A12515" s="23" t="s">
        <v>507</v>
      </c>
      <c r="B12515" s="24"/>
      <c r="C12515" s="24"/>
      <c r="D12515" s="24"/>
      <c r="E12515" s="24"/>
      <c r="F12515" s="24"/>
      <c r="G12515" s="24"/>
      <c r="H12515" s="24"/>
      <c r="I12515" s="24"/>
      <c r="J12515" s="24"/>
      <c r="K12515" s="24"/>
    </row>
    <row r="12516" customFormat="false" ht="15" hidden="false" customHeight="false" outlineLevel="0" collapsed="false">
      <c r="A12516" s="3" t="s">
        <v>499</v>
      </c>
      <c r="C12516" s="20" t="n">
        <f aca="false">IF(C12500&gt;0,Assumptions!$C$17,C12496)</f>
        <v>1</v>
      </c>
    </row>
    <row r="12517" customFormat="false" ht="15" hidden="false" customHeight="false" outlineLevel="0" collapsed="false">
      <c r="A12517" s="3" t="s">
        <v>500</v>
      </c>
      <c r="C12517" s="20" t="n">
        <f aca="false">IF(C12501&gt;0,Assumptions!$C$17,C12497)</f>
        <v>2</v>
      </c>
    </row>
    <row r="12518" customFormat="false" ht="15" hidden="false" customHeight="false" outlineLevel="0" collapsed="false">
      <c r="A12518" s="3" t="s">
        <v>501</v>
      </c>
      <c r="C12518" s="20" t="n">
        <f aca="false">IF(C12502&gt;0,Assumptions!$C$17,C12498)</f>
        <v>2</v>
      </c>
    </row>
    <row r="12519" customFormat="false" ht="15" hidden="false" customHeight="false" outlineLevel="0" collapsed="false">
      <c r="A12519" s="23" t="s">
        <v>508</v>
      </c>
      <c r="B12519" s="24"/>
      <c r="C12519" s="24"/>
      <c r="D12519" s="24"/>
      <c r="E12519" s="24"/>
      <c r="F12519" s="24"/>
      <c r="G12519" s="24"/>
      <c r="H12519" s="24"/>
      <c r="I12519" s="24"/>
      <c r="J12519" s="24"/>
      <c r="K12519" s="24"/>
    </row>
    <row r="12520" customFormat="false" ht="15" hidden="false" customHeight="false" outlineLevel="0" collapsed="false">
      <c r="A12520" s="3" t="s">
        <v>499</v>
      </c>
      <c r="C12520" s="25" t="n">
        <f aca="false">SUMPRODUCT(($C$12516:$C$12518&lt;C12516)*$C$12512:$C$12514)</f>
        <v>0</v>
      </c>
    </row>
    <row r="12521" customFormat="false" ht="15" hidden="false" customHeight="false" outlineLevel="0" collapsed="false">
      <c r="A12521" s="3" t="s">
        <v>500</v>
      </c>
      <c r="C12521" s="25" t="n">
        <f aca="false">SUMPRODUCT(($C$12516:$C$12518&lt;C12517)*$C$12512:$C$12514)</f>
        <v>1349.6193225</v>
      </c>
    </row>
    <row r="12522" customFormat="false" ht="15" hidden="false" customHeight="false" outlineLevel="0" collapsed="false">
      <c r="A12522" s="3" t="s">
        <v>501</v>
      </c>
      <c r="C12522" s="25" t="n">
        <f aca="false">SUMPRODUCT(($C$12516:$C$12518&lt;C12518)*$C$12512:$C$12514)</f>
        <v>1349.6193225</v>
      </c>
    </row>
    <row r="12523" customFormat="false" ht="15" hidden="false" customHeight="false" outlineLevel="0" collapsed="false">
      <c r="A12523" s="23" t="s">
        <v>509</v>
      </c>
      <c r="B12523" s="24"/>
      <c r="C12523" s="24"/>
      <c r="D12523" s="24"/>
      <c r="E12523" s="24"/>
      <c r="F12523" s="24"/>
      <c r="G12523" s="24"/>
      <c r="H12523" s="24"/>
      <c r="I12523" s="24"/>
      <c r="J12523" s="24"/>
      <c r="K12523" s="24"/>
    </row>
    <row r="12524" customFormat="false" ht="15" hidden="false" customHeight="false" outlineLevel="0" collapsed="false">
      <c r="A12524" s="3" t="s">
        <v>499</v>
      </c>
      <c r="C12524" s="25" t="n">
        <f aca="false">SUMPRODUCT(($C$12516:$C$12518=C12516)*$C$12512:$C$12514)</f>
        <v>1349.6193225</v>
      </c>
    </row>
    <row r="12525" customFormat="false" ht="15" hidden="false" customHeight="false" outlineLevel="0" collapsed="false">
      <c r="A12525" s="3" t="s">
        <v>500</v>
      </c>
      <c r="C12525" s="25" t="n">
        <f aca="false">SUMPRODUCT(($C$12516:$C$12518=C12517)*$C$12512:$C$12514)</f>
        <v>0</v>
      </c>
    </row>
    <row r="12526" customFormat="false" ht="15" hidden="false" customHeight="false" outlineLevel="0" collapsed="false">
      <c r="A12526" s="3" t="s">
        <v>501</v>
      </c>
      <c r="C12526" s="25" t="n">
        <f aca="false">SUMPRODUCT(($C$12516:$C$12518=C12518)*$C$12512:$C$12514)</f>
        <v>0</v>
      </c>
    </row>
    <row r="12527" customFormat="false" ht="15" hidden="false" customHeight="false" outlineLevel="0" collapsed="false">
      <c r="A12527" s="23" t="s">
        <v>510</v>
      </c>
      <c r="B12527" s="24"/>
      <c r="C12527" s="24"/>
      <c r="D12527" s="24"/>
      <c r="E12527" s="24"/>
      <c r="F12527" s="24"/>
      <c r="G12527" s="24"/>
      <c r="H12527" s="24"/>
      <c r="I12527" s="24"/>
      <c r="J12527" s="24"/>
      <c r="K12527" s="24"/>
    </row>
    <row r="12528" customFormat="false" ht="15" hidden="false" customHeight="false" outlineLevel="0" collapsed="false">
      <c r="A12528" s="3" t="s">
        <v>499</v>
      </c>
      <c r="C12528" s="25" t="n">
        <f aca="false">IF(C12524=0,0,C12512/C12524*MAX(0,MIN(C12524,$C$12490-SUM($C$12504:$C$12506)-C12520)))</f>
        <v>818.252611299105</v>
      </c>
    </row>
    <row r="12529" customFormat="false" ht="15" hidden="false" customHeight="false" outlineLevel="0" collapsed="false">
      <c r="A12529" s="3" t="s">
        <v>500</v>
      </c>
      <c r="C12529" s="25" t="n">
        <f aca="false">IF(C12525=0,0,C12513/C12525*MAX(0,MIN(C12525,$C$12490-SUM($C$12504:$C$12506)-C12521)))</f>
        <v>0</v>
      </c>
    </row>
    <row r="12530" customFormat="false" ht="15" hidden="false" customHeight="false" outlineLevel="0" collapsed="false">
      <c r="A12530" s="3" t="s">
        <v>501</v>
      </c>
      <c r="C12530" s="25" t="n">
        <f aca="false">IF(C12526=0,0,C12514/C12526*MAX(0,MIN(C12526,$C$12490-SUM($C$12504:$C$12506)-C12522)))</f>
        <v>0</v>
      </c>
    </row>
    <row r="12531" customFormat="false" ht="15" hidden="false" customHeight="false" outlineLevel="0" collapsed="false">
      <c r="A12531" s="23" t="s">
        <v>511</v>
      </c>
      <c r="B12531" s="24"/>
      <c r="C12531" s="24"/>
      <c r="D12531" s="24"/>
      <c r="E12531" s="24"/>
      <c r="F12531" s="24"/>
      <c r="G12531" s="24"/>
      <c r="H12531" s="24"/>
      <c r="I12531" s="24"/>
      <c r="J12531" s="24"/>
      <c r="K12531" s="24"/>
    </row>
    <row r="12532" customFormat="false" ht="15" hidden="false" customHeight="false" outlineLevel="0" collapsed="false">
      <c r="A12532" s="2" t="s">
        <v>499</v>
      </c>
      <c r="C12532" s="16" t="n">
        <f aca="false">C12504+C12528</f>
        <v>818.252611299105</v>
      </c>
    </row>
    <row r="12533" customFormat="false" ht="15" hidden="false" customHeight="false" outlineLevel="0" collapsed="false">
      <c r="A12533" s="2" t="s">
        <v>500</v>
      </c>
      <c r="C12533" s="16" t="n">
        <f aca="false">C12505+C12529</f>
        <v>0</v>
      </c>
    </row>
    <row r="12534" customFormat="false" ht="15" hidden="false" customHeight="false" outlineLevel="0" collapsed="false">
      <c r="A12534" s="2" t="s">
        <v>501</v>
      </c>
      <c r="C12534" s="16" t="n">
        <f aca="false">C12506+C12530</f>
        <v>0</v>
      </c>
    </row>
    <row r="12535" customFormat="false" ht="15" hidden="false" customHeight="false" outlineLevel="0" collapsed="false">
      <c r="A12535" s="23" t="s">
        <v>512</v>
      </c>
      <c r="B12535" s="24"/>
      <c r="C12535" s="24"/>
      <c r="D12535" s="24"/>
      <c r="E12535" s="24"/>
      <c r="F12535" s="24"/>
      <c r="G12535" s="24"/>
      <c r="H12535" s="24"/>
      <c r="I12535" s="24"/>
      <c r="J12535" s="24"/>
      <c r="K12535" s="24"/>
    </row>
    <row r="12536" customFormat="false" ht="15" hidden="false" customHeight="false" outlineLevel="0" collapsed="false">
      <c r="A12536" s="3" t="s">
        <v>499</v>
      </c>
      <c r="C12536" s="21" t="n">
        <f aca="false">IF(C12492=0,1,C12532/C12492)</f>
        <v>0.606284007392095</v>
      </c>
    </row>
    <row r="12537" customFormat="false" ht="15" hidden="false" customHeight="false" outlineLevel="0" collapsed="false">
      <c r="A12537" s="3" t="s">
        <v>500</v>
      </c>
      <c r="C12537" s="21" t="n">
        <f aca="false">IF(C12493=0,1,C12533/C12493)</f>
        <v>1</v>
      </c>
    </row>
    <row r="12538" customFormat="false" ht="15" hidden="false" customHeight="false" outlineLevel="0" collapsed="false">
      <c r="A12538" s="3" t="s">
        <v>501</v>
      </c>
      <c r="C12538" s="21" t="n">
        <f aca="false">IF(C12494=0,1,C12534/C12494)</f>
        <v>1</v>
      </c>
    </row>
    <row r="12539" customFormat="false" ht="15" hidden="false" customHeight="false" outlineLevel="0" collapsed="false">
      <c r="A12539" s="23" t="s">
        <v>513</v>
      </c>
      <c r="B12539" s="24"/>
      <c r="C12539" s="24"/>
      <c r="D12539" s="24"/>
      <c r="E12539" s="24"/>
      <c r="F12539" s="24"/>
      <c r="G12539" s="24"/>
      <c r="H12539" s="24"/>
      <c r="I12539" s="24"/>
      <c r="J12539" s="24"/>
      <c r="K12539" s="24"/>
    </row>
    <row r="12540" customFormat="false" ht="15" hidden="false" customHeight="false" outlineLevel="0" collapsed="false">
      <c r="A12540" s="3" t="s">
        <v>499</v>
      </c>
      <c r="C12540" s="25" t="n">
        <f aca="false">C12492-C12532</f>
        <v>531.366711200895</v>
      </c>
    </row>
    <row r="12541" customFormat="false" ht="15" hidden="false" customHeight="false" outlineLevel="0" collapsed="false">
      <c r="A12541" s="3" t="s">
        <v>500</v>
      </c>
      <c r="C12541" s="25" t="n">
        <f aca="false">C12493-C12533</f>
        <v>0</v>
      </c>
    </row>
    <row r="12542" customFormat="false" ht="15" hidden="false" customHeight="false" outlineLevel="0" collapsed="false">
      <c r="A12542" s="3" t="s">
        <v>501</v>
      </c>
      <c r="C12542" s="25" t="n">
        <f aca="false">C12494-C12534</f>
        <v>0</v>
      </c>
    </row>
    <row r="12543" customFormat="false" ht="15" hidden="false" customHeight="false" outlineLevel="0" collapsed="false">
      <c r="A12543" s="23" t="s">
        <v>514</v>
      </c>
      <c r="B12543" s="24"/>
      <c r="C12543" s="24"/>
      <c r="D12543" s="24"/>
      <c r="E12543" s="24"/>
      <c r="F12543" s="24"/>
      <c r="G12543" s="24"/>
      <c r="H12543" s="24"/>
      <c r="I12543" s="24"/>
      <c r="J12543" s="24"/>
      <c r="K12543" s="24"/>
    </row>
    <row r="12544" customFormat="false" ht="15" hidden="false" customHeight="false" outlineLevel="0" collapsed="false">
      <c r="A12544" s="3" t="s">
        <v>499</v>
      </c>
      <c r="C12544" s="21" t="n">
        <f aca="false">IF(C12492=0,0,C12540/C12492)</f>
        <v>0.393715992607905</v>
      </c>
    </row>
    <row r="12545" customFormat="false" ht="15" hidden="false" customHeight="false" outlineLevel="0" collapsed="false">
      <c r="A12545" s="3" t="s">
        <v>500</v>
      </c>
      <c r="C12545" s="21" t="n">
        <f aca="false">IF(C12493=0,0,C12541/C12493)</f>
        <v>0</v>
      </c>
    </row>
    <row r="12546" customFormat="false" ht="15" hidden="false" customHeight="false" outlineLevel="0" collapsed="false">
      <c r="A12546" s="3" t="s">
        <v>501</v>
      </c>
      <c r="C12546" s="21" t="n">
        <f aca="false">IF(C12494=0,0,C12542/C12494)</f>
        <v>0</v>
      </c>
    </row>
    <row r="12547" customFormat="false" ht="15" hidden="false" customHeight="false" outlineLevel="0" collapsed="false">
      <c r="A12547" s="2" t="s">
        <v>515</v>
      </c>
      <c r="C12547" s="16" t="n">
        <f aca="false">MAX(0,$C$12490-SUM($C$12504:$C$12506)-SUM($C$12512:$C$12514))</f>
        <v>0</v>
      </c>
    </row>
    <row r="12548" customFormat="false" ht="15" hidden="false" customHeight="false" outlineLevel="0" collapsed="false">
      <c r="A12548" s="3" t="s">
        <v>516</v>
      </c>
      <c r="C12548" s="25" t="n">
        <f aca="false">SUM($C$12532:$C$12534)+C12547+C12489-C12488</f>
        <v>0</v>
      </c>
    </row>
    <row r="12550" customFormat="false" ht="15" hidden="false" customHeight="false" outlineLevel="0" collapsed="false">
      <c r="A12550" s="23" t="s">
        <v>519</v>
      </c>
      <c r="B12550" s="24"/>
      <c r="C12550" s="24"/>
      <c r="D12550" s="24"/>
      <c r="E12550" s="24"/>
      <c r="F12550" s="24"/>
      <c r="G12550" s="24"/>
      <c r="H12550" s="24"/>
      <c r="I12550" s="24"/>
      <c r="J12550" s="24"/>
      <c r="K12550" s="24"/>
    </row>
    <row r="12551" customFormat="false" ht="15" hidden="false" customHeight="false" outlineLevel="0" collapsed="false">
      <c r="A12551" s="3" t="s">
        <v>520</v>
      </c>
      <c r="C12551" s="27" t="n">
        <f aca="false">Assumptions!$C$33</f>
        <v>1</v>
      </c>
    </row>
    <row r="12552" customFormat="false" ht="15" hidden="false" customHeight="false" outlineLevel="0" collapsed="false">
      <c r="A12552" s="3" t="s">
        <v>521</v>
      </c>
      <c r="C12552" s="29" t="n">
        <f aca="false">Assumptions!$C$34</f>
        <v>100</v>
      </c>
    </row>
    <row r="12553" customFormat="false" ht="15" hidden="false" customHeight="false" outlineLevel="0" collapsed="false">
      <c r="A12553" s="3" t="s">
        <v>522</v>
      </c>
      <c r="C12553" s="40" t="n">
        <f aca="false">Assumptions!$C$35</f>
        <v>95</v>
      </c>
    </row>
    <row r="12554" customFormat="false" ht="15" hidden="false" customHeight="false" outlineLevel="0" collapsed="false">
      <c r="A12554" s="3" t="s">
        <v>523</v>
      </c>
      <c r="C12554" s="25" t="n">
        <f aca="false">C12552*C12553/100*(1+Assumptions!$C$36)</f>
        <v>95</v>
      </c>
    </row>
    <row r="12555" customFormat="false" ht="15" hidden="false" customHeight="false" outlineLevel="0" collapsed="false">
      <c r="A12555" s="3" t="s">
        <v>524</v>
      </c>
      <c r="C12555" s="27" t="n">
        <f aca="false">Assumptions!$C$37</f>
        <v>3</v>
      </c>
    </row>
    <row r="12556" customFormat="false" ht="15" hidden="false" customHeight="false" outlineLevel="0" collapsed="false">
      <c r="A12556" s="3" t="s">
        <v>525</v>
      </c>
      <c r="C12556" s="20" t="n">
        <f aca="false">IF(C12481=1,SUMPRODUCT($G$12433:$K$12433,$G$12326:$K$12326),0)</f>
        <v>0</v>
      </c>
    </row>
    <row r="12557" customFormat="false" ht="15" hidden="false" customHeight="false" outlineLevel="0" collapsed="false">
      <c r="A12557" s="3" t="s">
        <v>526</v>
      </c>
      <c r="C12557" s="21" t="n">
        <f aca="false">IFERROR(C12552/CHOOSE(C12551,SUMPRODUCT($G$12480:$K$12480,$G$12372:$K$12372),SUMPRODUCT($G$12480:$K$12480,$G$12385:$K$12385),SUMPRODUCT($G$12480:$K$12480,$G$12398:$K$12398)),0)</f>
        <v>0.0760399605200525</v>
      </c>
    </row>
    <row r="12558" customFormat="false" ht="15" hidden="false" customHeight="false" outlineLevel="0" collapsed="false">
      <c r="A12558" s="3" t="s">
        <v>527</v>
      </c>
      <c r="C12558" s="25" t="n">
        <f aca="false">CHOOSE(C12551,C12532,C12533,C12534)*C12557</f>
        <v>62.2198962586138</v>
      </c>
    </row>
    <row r="12559" customFormat="false" ht="15" hidden="false" customHeight="false" outlineLevel="0" collapsed="false">
      <c r="A12559" s="3" t="s">
        <v>528</v>
      </c>
      <c r="C12559" s="21" t="n">
        <f aca="false">CHOOSE(C12551,C12536,C12537,C12538)</f>
        <v>0.606284007392095</v>
      </c>
    </row>
    <row r="12560" customFormat="false" ht="15" hidden="false" customHeight="false" outlineLevel="0" collapsed="false">
      <c r="A12560" s="3" t="s">
        <v>529</v>
      </c>
      <c r="C12560" s="20" t="n">
        <f aca="false">IF(C12481=1,C12556,C12555)</f>
        <v>3</v>
      </c>
    </row>
    <row r="12561" customFormat="false" ht="15" hidden="false" customHeight="false" outlineLevel="0" collapsed="false">
      <c r="A12561" s="3" t="s">
        <v>530</v>
      </c>
      <c r="C12561" s="34" t="n">
        <f aca="false">CHOOSE($C$12318,Assumptions!$C$83,Assumptions!$C$102,Assumptions!$C$121)</f>
        <v>95</v>
      </c>
    </row>
    <row r="12562" customFormat="false" ht="15" hidden="false" customHeight="false" outlineLevel="0" collapsed="false">
      <c r="A12562" s="3" t="s">
        <v>531</v>
      </c>
      <c r="C12562" s="25" t="n">
        <f aca="false">INDEX($G$12335:$K$12335,C12555)*CHOOSE($C$12318,Assumptions!$C$82,Assumptions!$C$101,Assumptions!$C$120)+MAX(0,INDEX($G$12430:$K$12430,C12555))</f>
        <v>1068.84800987949</v>
      </c>
    </row>
    <row r="12563" customFormat="false" ht="15" hidden="false" customHeight="false" outlineLevel="0" collapsed="false">
      <c r="A12563" s="23" t="s">
        <v>532</v>
      </c>
      <c r="B12563" s="24"/>
      <c r="C12563" s="24"/>
      <c r="D12563" s="24"/>
      <c r="E12563" s="24"/>
      <c r="F12563" s="24"/>
      <c r="G12563" s="24"/>
      <c r="H12563" s="24"/>
      <c r="I12563" s="24"/>
      <c r="J12563" s="24"/>
      <c r="K12563" s="24"/>
    </row>
    <row r="12564" customFormat="false" ht="15" hidden="false" customHeight="false" outlineLevel="0" collapsed="false">
      <c r="A12564" s="3" t="s">
        <v>499</v>
      </c>
      <c r="C12564" s="25" t="n">
        <f aca="false">INDEX($G$12372:$K$12372,C12555)</f>
        <v>1315.098</v>
      </c>
    </row>
    <row r="12565" customFormat="false" ht="15" hidden="false" customHeight="false" outlineLevel="0" collapsed="false">
      <c r="A12565" s="3" t="s">
        <v>500</v>
      </c>
      <c r="C12565" s="25" t="n">
        <f aca="false">INDEX($G$12385:$K$12385,C12555)</f>
        <v>0</v>
      </c>
    </row>
    <row r="12566" customFormat="false" ht="15" hidden="false" customHeight="false" outlineLevel="0" collapsed="false">
      <c r="A12566" s="3" t="s">
        <v>501</v>
      </c>
      <c r="C12566" s="25" t="n">
        <f aca="false">INDEX($G$12398:$K$12398,C12555)</f>
        <v>0</v>
      </c>
    </row>
    <row r="12567" customFormat="false" ht="15" hidden="false" customHeight="false" outlineLevel="0" collapsed="false">
      <c r="A12567" s="23" t="s">
        <v>502</v>
      </c>
      <c r="B12567" s="24"/>
      <c r="C12567" s="24"/>
      <c r="D12567" s="24"/>
      <c r="E12567" s="24"/>
      <c r="F12567" s="24"/>
      <c r="G12567" s="24"/>
      <c r="H12567" s="24"/>
      <c r="I12567" s="24"/>
      <c r="J12567" s="24"/>
      <c r="K12567" s="24"/>
    </row>
    <row r="12568" customFormat="false" ht="15" hidden="false" customHeight="false" outlineLevel="0" collapsed="false">
      <c r="A12568" s="3" t="s">
        <v>499</v>
      </c>
      <c r="C12568" s="27" t="n">
        <f aca="false">Assumptions!$M$56</f>
        <v>1</v>
      </c>
    </row>
    <row r="12569" customFormat="false" ht="15" hidden="false" customHeight="false" outlineLevel="0" collapsed="false">
      <c r="A12569" s="3" t="s">
        <v>500</v>
      </c>
      <c r="C12569" s="27" t="n">
        <f aca="false">Assumptions!$M$57</f>
        <v>2</v>
      </c>
    </row>
    <row r="12570" customFormat="false" ht="15" hidden="false" customHeight="false" outlineLevel="0" collapsed="false">
      <c r="A12570" s="3" t="s">
        <v>501</v>
      </c>
      <c r="C12570" s="27" t="n">
        <f aca="false">Assumptions!$M$58</f>
        <v>2</v>
      </c>
    </row>
    <row r="12571" customFormat="false" ht="15" hidden="false" customHeight="false" outlineLevel="0" collapsed="false">
      <c r="A12571" s="23" t="s">
        <v>503</v>
      </c>
      <c r="B12571" s="24"/>
      <c r="C12571" s="24"/>
      <c r="D12571" s="24"/>
      <c r="E12571" s="24"/>
      <c r="F12571" s="24"/>
      <c r="G12571" s="24"/>
      <c r="H12571" s="24"/>
      <c r="I12571" s="24"/>
      <c r="J12571" s="24"/>
      <c r="K12571" s="24"/>
    </row>
    <row r="12572" customFormat="false" ht="15" hidden="false" customHeight="false" outlineLevel="0" collapsed="false">
      <c r="A12572" s="3" t="s">
        <v>499</v>
      </c>
      <c r="C12572" s="35" t="n">
        <f aca="false">Assumptions!$Q$56</f>
        <v>0</v>
      </c>
    </row>
    <row r="12573" customFormat="false" ht="15" hidden="false" customHeight="false" outlineLevel="0" collapsed="false">
      <c r="A12573" s="3" t="s">
        <v>500</v>
      </c>
      <c r="C12573" s="35" t="n">
        <f aca="false">Assumptions!$Q$57</f>
        <v>0</v>
      </c>
    </row>
    <row r="12574" customFormat="false" ht="15" hidden="false" customHeight="false" outlineLevel="0" collapsed="false">
      <c r="A12574" s="3" t="s">
        <v>501</v>
      </c>
      <c r="C12574" s="35" t="n">
        <f aca="false">Assumptions!$Q$58</f>
        <v>0</v>
      </c>
    </row>
    <row r="12575" customFormat="false" ht="15" hidden="false" customHeight="false" outlineLevel="0" collapsed="false">
      <c r="A12575" s="23" t="s">
        <v>504</v>
      </c>
      <c r="B12575" s="24"/>
      <c r="C12575" s="24"/>
      <c r="D12575" s="24"/>
      <c r="E12575" s="24"/>
      <c r="F12575" s="24"/>
      <c r="G12575" s="24"/>
      <c r="H12575" s="24"/>
      <c r="I12575" s="24"/>
      <c r="J12575" s="24"/>
      <c r="K12575" s="24"/>
    </row>
    <row r="12576" customFormat="false" ht="15" hidden="false" customHeight="false" outlineLevel="0" collapsed="false">
      <c r="A12576" s="3" t="s">
        <v>499</v>
      </c>
      <c r="C12576" s="25" t="n">
        <f aca="false">IF(C12572&gt;0,MIN(C12564,C12572*$C$12562),0)</f>
        <v>0</v>
      </c>
    </row>
    <row r="12577" customFormat="false" ht="15" hidden="false" customHeight="false" outlineLevel="0" collapsed="false">
      <c r="A12577" s="3" t="s">
        <v>500</v>
      </c>
      <c r="C12577" s="25" t="n">
        <f aca="false">IF(C12573&gt;0,MIN(C12565,C12573*$C$12562),0)</f>
        <v>0</v>
      </c>
    </row>
    <row r="12578" customFormat="false" ht="15" hidden="false" customHeight="false" outlineLevel="0" collapsed="false">
      <c r="A12578" s="3" t="s">
        <v>501</v>
      </c>
      <c r="C12578" s="25" t="n">
        <f aca="false">IF(C12574&gt;0,MIN(C12566,C12574*$C$12562),0)</f>
        <v>0</v>
      </c>
    </row>
    <row r="12579" customFormat="false" ht="15" hidden="false" customHeight="false" outlineLevel="0" collapsed="false">
      <c r="A12579" s="23" t="s">
        <v>505</v>
      </c>
      <c r="B12579" s="24"/>
      <c r="C12579" s="24"/>
      <c r="D12579" s="24"/>
      <c r="E12579" s="24"/>
      <c r="F12579" s="24"/>
      <c r="G12579" s="24"/>
      <c r="H12579" s="24"/>
      <c r="I12579" s="24"/>
      <c r="J12579" s="24"/>
      <c r="K12579" s="24"/>
    </row>
    <row r="12580" customFormat="false" ht="15" hidden="false" customHeight="false" outlineLevel="0" collapsed="false">
      <c r="A12580" s="3" t="s">
        <v>499</v>
      </c>
      <c r="C12580" s="25" t="n">
        <f aca="false">IF(C12572&gt;0,C12564-C12576,0)</f>
        <v>0</v>
      </c>
    </row>
    <row r="12581" customFormat="false" ht="15" hidden="false" customHeight="false" outlineLevel="0" collapsed="false">
      <c r="A12581" s="3" t="s">
        <v>500</v>
      </c>
      <c r="C12581" s="25" t="n">
        <f aca="false">IF(C12573&gt;0,C12565-C12577,0)</f>
        <v>0</v>
      </c>
    </row>
    <row r="12582" customFormat="false" ht="15" hidden="false" customHeight="false" outlineLevel="0" collapsed="false">
      <c r="A12582" s="3" t="s">
        <v>501</v>
      </c>
      <c r="C12582" s="25" t="n">
        <f aca="false">IF(C12574&gt;0,C12566-C12578,0)</f>
        <v>0</v>
      </c>
    </row>
    <row r="12583" customFormat="false" ht="15" hidden="false" customHeight="false" outlineLevel="0" collapsed="false">
      <c r="A12583" s="23" t="s">
        <v>506</v>
      </c>
      <c r="B12583" s="24"/>
      <c r="C12583" s="24"/>
      <c r="D12583" s="24"/>
      <c r="E12583" s="24"/>
      <c r="F12583" s="24"/>
      <c r="G12583" s="24"/>
      <c r="H12583" s="24"/>
      <c r="I12583" s="24"/>
      <c r="J12583" s="24"/>
      <c r="K12583" s="24"/>
    </row>
    <row r="12584" customFormat="false" ht="15" hidden="false" customHeight="false" outlineLevel="0" collapsed="false">
      <c r="A12584" s="3" t="s">
        <v>499</v>
      </c>
      <c r="C12584" s="25" t="n">
        <f aca="false">IF(C12572&gt;0,C12580,C12564)</f>
        <v>1315.098</v>
      </c>
    </row>
    <row r="12585" customFormat="false" ht="15" hidden="false" customHeight="false" outlineLevel="0" collapsed="false">
      <c r="A12585" s="3" t="s">
        <v>500</v>
      </c>
      <c r="C12585" s="25" t="n">
        <f aca="false">IF(C12573&gt;0,C12581,C12565)</f>
        <v>0</v>
      </c>
    </row>
    <row r="12586" customFormat="false" ht="15" hidden="false" customHeight="false" outlineLevel="0" collapsed="false">
      <c r="A12586" s="3" t="s">
        <v>501</v>
      </c>
      <c r="C12586" s="25" t="n">
        <f aca="false">IF(C12574&gt;0,C12582,C12566)</f>
        <v>0</v>
      </c>
    </row>
    <row r="12587" customFormat="false" ht="15" hidden="false" customHeight="false" outlineLevel="0" collapsed="false">
      <c r="A12587" s="23" t="s">
        <v>507</v>
      </c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</row>
    <row r="12588" customFormat="false" ht="15" hidden="false" customHeight="false" outlineLevel="0" collapsed="false">
      <c r="A12588" s="3" t="s">
        <v>499</v>
      </c>
      <c r="C12588" s="20" t="n">
        <f aca="false">IF(C12572&gt;0,Assumptions!$C$17,C12568)</f>
        <v>1</v>
      </c>
    </row>
    <row r="12589" customFormat="false" ht="15" hidden="false" customHeight="false" outlineLevel="0" collapsed="false">
      <c r="A12589" s="3" t="s">
        <v>500</v>
      </c>
      <c r="C12589" s="20" t="n">
        <f aca="false">IF(C12573&gt;0,Assumptions!$C$17,C12569)</f>
        <v>2</v>
      </c>
    </row>
    <row r="12590" customFormat="false" ht="15" hidden="false" customHeight="false" outlineLevel="0" collapsed="false">
      <c r="A12590" s="3" t="s">
        <v>501</v>
      </c>
      <c r="C12590" s="20" t="n">
        <f aca="false">IF(C12574&gt;0,Assumptions!$C$17,C12570)</f>
        <v>2</v>
      </c>
    </row>
    <row r="12591" customFormat="false" ht="15" hidden="false" customHeight="false" outlineLevel="0" collapsed="false">
      <c r="A12591" s="23" t="s">
        <v>508</v>
      </c>
      <c r="B12591" s="24"/>
      <c r="C12591" s="24"/>
      <c r="D12591" s="24"/>
      <c r="E12591" s="24"/>
      <c r="F12591" s="24"/>
      <c r="G12591" s="24"/>
      <c r="H12591" s="24"/>
      <c r="I12591" s="24"/>
      <c r="J12591" s="24"/>
      <c r="K12591" s="24"/>
    </row>
    <row r="12592" customFormat="false" ht="15" hidden="false" customHeight="false" outlineLevel="0" collapsed="false">
      <c r="A12592" s="3" t="s">
        <v>499</v>
      </c>
      <c r="C12592" s="25" t="n">
        <f aca="false">SUMPRODUCT(($C$12588:$C$12590&lt;C12588)*$C$12584:$C$12586)</f>
        <v>0</v>
      </c>
    </row>
    <row r="12593" customFormat="false" ht="15" hidden="false" customHeight="false" outlineLevel="0" collapsed="false">
      <c r="A12593" s="3" t="s">
        <v>500</v>
      </c>
      <c r="C12593" s="25" t="n">
        <f aca="false">SUMPRODUCT(($C$12588:$C$12590&lt;C12589)*$C$12584:$C$12586)</f>
        <v>1315.098</v>
      </c>
    </row>
    <row r="12594" customFormat="false" ht="15" hidden="false" customHeight="false" outlineLevel="0" collapsed="false">
      <c r="A12594" s="3" t="s">
        <v>501</v>
      </c>
      <c r="C12594" s="25" t="n">
        <f aca="false">SUMPRODUCT(($C$12588:$C$12590&lt;C12590)*$C$12584:$C$12586)</f>
        <v>1315.098</v>
      </c>
    </row>
    <row r="12595" customFormat="false" ht="15" hidden="false" customHeight="false" outlineLevel="0" collapsed="false">
      <c r="A12595" s="23" t="s">
        <v>509</v>
      </c>
      <c r="B12595" s="24"/>
      <c r="C12595" s="24"/>
      <c r="D12595" s="24"/>
      <c r="E12595" s="24"/>
      <c r="F12595" s="24"/>
      <c r="G12595" s="24"/>
      <c r="H12595" s="24"/>
      <c r="I12595" s="24"/>
      <c r="J12595" s="24"/>
      <c r="K12595" s="24"/>
    </row>
    <row r="12596" customFormat="false" ht="15" hidden="false" customHeight="false" outlineLevel="0" collapsed="false">
      <c r="A12596" s="3" t="s">
        <v>499</v>
      </c>
      <c r="C12596" s="25" t="n">
        <f aca="false">SUMPRODUCT(($C$12588:$C$12590=C12588)*$C$12584:$C$12586)</f>
        <v>1315.098</v>
      </c>
    </row>
    <row r="12597" customFormat="false" ht="15" hidden="false" customHeight="false" outlineLevel="0" collapsed="false">
      <c r="A12597" s="3" t="s">
        <v>500</v>
      </c>
      <c r="C12597" s="25" t="n">
        <f aca="false">SUMPRODUCT(($C$12588:$C$12590=C12589)*$C$12584:$C$12586)</f>
        <v>0</v>
      </c>
    </row>
    <row r="12598" customFormat="false" ht="15" hidden="false" customHeight="false" outlineLevel="0" collapsed="false">
      <c r="A12598" s="3" t="s">
        <v>501</v>
      </c>
      <c r="C12598" s="25" t="n">
        <f aca="false">SUMPRODUCT(($C$12588:$C$12590=C12590)*$C$12584:$C$12586)</f>
        <v>0</v>
      </c>
    </row>
    <row r="12599" customFormat="false" ht="15" hidden="false" customHeight="false" outlineLevel="0" collapsed="false">
      <c r="A12599" s="23" t="s">
        <v>510</v>
      </c>
      <c r="B12599" s="24"/>
      <c r="C12599" s="24"/>
      <c r="D12599" s="24"/>
      <c r="E12599" s="24"/>
      <c r="F12599" s="24"/>
      <c r="G12599" s="24"/>
      <c r="H12599" s="24"/>
      <c r="I12599" s="24"/>
      <c r="J12599" s="24"/>
      <c r="K12599" s="24"/>
    </row>
    <row r="12600" customFormat="false" ht="15" hidden="false" customHeight="false" outlineLevel="0" collapsed="false">
      <c r="A12600" s="3" t="s">
        <v>499</v>
      </c>
      <c r="C12600" s="25" t="n">
        <f aca="false">IF(C12596=0,0,C12584/C12596*MAX(0,MIN(C12596,$C$12562-SUM($C$12576:$C$12578)-C12592)))</f>
        <v>1068.84800987949</v>
      </c>
    </row>
    <row r="12601" customFormat="false" ht="15" hidden="false" customHeight="false" outlineLevel="0" collapsed="false">
      <c r="A12601" s="3" t="s">
        <v>500</v>
      </c>
      <c r="C12601" s="25" t="n">
        <f aca="false">IF(C12597=0,0,C12585/C12597*MAX(0,MIN(C12597,$C$12562-SUM($C$12576:$C$12578)-C12593)))</f>
        <v>0</v>
      </c>
    </row>
    <row r="12602" customFormat="false" ht="15" hidden="false" customHeight="false" outlineLevel="0" collapsed="false">
      <c r="A12602" s="3" t="s">
        <v>501</v>
      </c>
      <c r="C12602" s="25" t="n">
        <f aca="false">IF(C12598=0,0,C12586/C12598*MAX(0,MIN(C12598,$C$12562-SUM($C$12576:$C$12578)-C12594)))</f>
        <v>0</v>
      </c>
    </row>
    <row r="12603" customFormat="false" ht="15" hidden="false" customHeight="false" outlineLevel="0" collapsed="false">
      <c r="A12603" s="23" t="s">
        <v>511</v>
      </c>
      <c r="B12603" s="24"/>
      <c r="C12603" s="24"/>
      <c r="D12603" s="24"/>
      <c r="E12603" s="24"/>
      <c r="F12603" s="24"/>
      <c r="G12603" s="24"/>
      <c r="H12603" s="24"/>
      <c r="I12603" s="24"/>
      <c r="J12603" s="24"/>
      <c r="K12603" s="24"/>
    </row>
    <row r="12604" customFormat="false" ht="15" hidden="false" customHeight="false" outlineLevel="0" collapsed="false">
      <c r="A12604" s="2" t="s">
        <v>499</v>
      </c>
      <c r="C12604" s="16" t="n">
        <f aca="false">C12576+C12600</f>
        <v>1068.84800987949</v>
      </c>
    </row>
    <row r="12605" customFormat="false" ht="15" hidden="false" customHeight="false" outlineLevel="0" collapsed="false">
      <c r="A12605" s="2" t="s">
        <v>500</v>
      </c>
      <c r="C12605" s="16" t="n">
        <f aca="false">C12577+C12601</f>
        <v>0</v>
      </c>
    </row>
    <row r="12606" customFormat="false" ht="15" hidden="false" customHeight="false" outlineLevel="0" collapsed="false">
      <c r="A12606" s="2" t="s">
        <v>501</v>
      </c>
      <c r="C12606" s="16" t="n">
        <f aca="false">C12578+C12602</f>
        <v>0</v>
      </c>
    </row>
    <row r="12607" customFormat="false" ht="15" hidden="false" customHeight="false" outlineLevel="0" collapsed="false">
      <c r="A12607" s="23" t="s">
        <v>512</v>
      </c>
      <c r="B12607" s="24"/>
      <c r="C12607" s="24"/>
      <c r="D12607" s="24"/>
      <c r="E12607" s="24"/>
      <c r="F12607" s="24"/>
      <c r="G12607" s="24"/>
      <c r="H12607" s="24"/>
      <c r="I12607" s="24"/>
      <c r="J12607" s="24"/>
      <c r="K12607" s="24"/>
    </row>
    <row r="12608" customFormat="false" ht="15" hidden="false" customHeight="false" outlineLevel="0" collapsed="false">
      <c r="A12608" s="3" t="s">
        <v>499</v>
      </c>
      <c r="C12608" s="21" t="n">
        <f aca="false">IF(C12564=0,1,C12604/C12564)</f>
        <v>0.812751604731729</v>
      </c>
    </row>
    <row r="12609" customFormat="false" ht="15" hidden="false" customHeight="false" outlineLevel="0" collapsed="false">
      <c r="A12609" s="3" t="s">
        <v>500</v>
      </c>
      <c r="C12609" s="21" t="n">
        <f aca="false">IF(C12565=0,1,C12605/C12565)</f>
        <v>1</v>
      </c>
    </row>
    <row r="12610" customFormat="false" ht="15" hidden="false" customHeight="false" outlineLevel="0" collapsed="false">
      <c r="A12610" s="3" t="s">
        <v>501</v>
      </c>
      <c r="C12610" s="21" t="n">
        <f aca="false">IF(C12566=0,1,C12606/C12566)</f>
        <v>1</v>
      </c>
    </row>
    <row r="12611" customFormat="false" ht="15" hidden="false" customHeight="false" outlineLevel="0" collapsed="false">
      <c r="A12611" s="23" t="s">
        <v>513</v>
      </c>
      <c r="B12611" s="24"/>
      <c r="C12611" s="24"/>
      <c r="D12611" s="24"/>
      <c r="E12611" s="24"/>
      <c r="F12611" s="24"/>
      <c r="G12611" s="24"/>
      <c r="H12611" s="24"/>
      <c r="I12611" s="24"/>
      <c r="J12611" s="24"/>
      <c r="K12611" s="24"/>
    </row>
    <row r="12612" customFormat="false" ht="15" hidden="false" customHeight="false" outlineLevel="0" collapsed="false">
      <c r="A12612" s="3" t="s">
        <v>499</v>
      </c>
      <c r="C12612" s="25" t="n">
        <f aca="false">C12564-C12604</f>
        <v>246.249990120512</v>
      </c>
    </row>
    <row r="12613" customFormat="false" ht="15" hidden="false" customHeight="false" outlineLevel="0" collapsed="false">
      <c r="A12613" s="3" t="s">
        <v>500</v>
      </c>
      <c r="C12613" s="25" t="n">
        <f aca="false">C12565-C12605</f>
        <v>0</v>
      </c>
    </row>
    <row r="12614" customFormat="false" ht="15" hidden="false" customHeight="false" outlineLevel="0" collapsed="false">
      <c r="A12614" s="3" t="s">
        <v>501</v>
      </c>
      <c r="C12614" s="25" t="n">
        <f aca="false">C12566-C12606</f>
        <v>0</v>
      </c>
    </row>
    <row r="12615" customFormat="false" ht="15" hidden="false" customHeight="false" outlineLevel="0" collapsed="false">
      <c r="A12615" s="23" t="s">
        <v>514</v>
      </c>
      <c r="B12615" s="24"/>
      <c r="C12615" s="24"/>
      <c r="D12615" s="24"/>
      <c r="E12615" s="24"/>
      <c r="F12615" s="24"/>
      <c r="G12615" s="24"/>
      <c r="H12615" s="24"/>
      <c r="I12615" s="24"/>
      <c r="J12615" s="24"/>
      <c r="K12615" s="24"/>
    </row>
    <row r="12616" customFormat="false" ht="15" hidden="false" customHeight="false" outlineLevel="0" collapsed="false">
      <c r="A12616" s="3" t="s">
        <v>499</v>
      </c>
      <c r="C12616" s="21" t="n">
        <f aca="false">IF(C12564=0,0,C12612/C12564)</f>
        <v>0.187248395268271</v>
      </c>
    </row>
    <row r="12617" customFormat="false" ht="15" hidden="false" customHeight="false" outlineLevel="0" collapsed="false">
      <c r="A12617" s="3" t="s">
        <v>500</v>
      </c>
      <c r="C12617" s="21" t="n">
        <f aca="false">IF(C12565=0,0,C12613/C12565)</f>
        <v>0</v>
      </c>
    </row>
    <row r="12618" customFormat="false" ht="15" hidden="false" customHeight="false" outlineLevel="0" collapsed="false">
      <c r="A12618" s="3" t="s">
        <v>501</v>
      </c>
      <c r="C12618" s="21" t="n">
        <f aca="false">IF(C12566=0,0,C12614/C12566)</f>
        <v>0</v>
      </c>
    </row>
    <row r="12619" customFormat="false" ht="15" hidden="false" customHeight="false" outlineLevel="0" collapsed="false">
      <c r="A12619" s="2" t="s">
        <v>515</v>
      </c>
      <c r="C12619" s="16" t="n">
        <f aca="false">MAX(0,$C$12562-SUM($C$12576:$C$12578)-SUM($C$12584:$C$12586))</f>
        <v>0</v>
      </c>
    </row>
    <row r="12620" customFormat="false" ht="15" hidden="false" customHeight="false" outlineLevel="0" collapsed="false">
      <c r="A12620" s="3" t="s">
        <v>533</v>
      </c>
      <c r="C12620" s="34" t="n">
        <f aca="false">MIN(C12561,100*CHOOSE(C12551,C12608,C12609,C12610))</f>
        <v>81.2751604731729</v>
      </c>
    </row>
    <row r="12621" customFormat="false" ht="15" hidden="false" customHeight="false" outlineLevel="0" collapsed="false">
      <c r="A12621" s="3" t="s">
        <v>534</v>
      </c>
      <c r="C12621" s="20" t="n">
        <f aca="false">IF(C12481=1,C12556+Assumptions!$C$39,C12555)</f>
        <v>3</v>
      </c>
    </row>
    <row r="12622" customFormat="false" ht="15" hidden="false" customHeight="false" outlineLevel="0" collapsed="false">
      <c r="A12622" s="23" t="s">
        <v>535</v>
      </c>
      <c r="B12622" s="24"/>
      <c r="C12622" s="24"/>
      <c r="D12622" s="24"/>
      <c r="E12622" s="24"/>
      <c r="F12622" s="24"/>
      <c r="G12622" s="24"/>
      <c r="H12622" s="24"/>
      <c r="I12622" s="24"/>
      <c r="J12622" s="24"/>
      <c r="K12622" s="24"/>
    </row>
    <row r="12623" customFormat="false" ht="15" hidden="false" customHeight="false" outlineLevel="0" collapsed="false">
      <c r="A12623" s="3" t="s">
        <v>536</v>
      </c>
      <c r="C12623" s="20" t="n">
        <f aca="false">COLUMN()-COLUMN($C$1)</f>
        <v>0</v>
      </c>
      <c r="D12623" s="20" t="n">
        <f aca="false">COLUMN()-COLUMN($C$1)</f>
        <v>1</v>
      </c>
      <c r="E12623" s="20" t="n">
        <f aca="false">COLUMN()-COLUMN($C$1)</f>
        <v>2</v>
      </c>
      <c r="F12623" s="20" t="n">
        <f aca="false">COLUMN()-COLUMN($C$1)</f>
        <v>3</v>
      </c>
      <c r="G12623" s="20" t="n">
        <f aca="false">COLUMN()-COLUMN($C$1)</f>
        <v>4</v>
      </c>
      <c r="H12623" s="20" t="n">
        <f aca="false">COLUMN()-COLUMN($C$1)</f>
        <v>5</v>
      </c>
      <c r="I12623" s="20" t="n">
        <f aca="false">COLUMN()-COLUMN($C$1)</f>
        <v>6</v>
      </c>
    </row>
    <row r="12624" customFormat="false" ht="15" hidden="false" customHeight="false" outlineLevel="0" collapsed="false">
      <c r="A12624" s="3" t="s">
        <v>537</v>
      </c>
      <c r="D12624" s="31" t="n">
        <f aca="false">CHOOSE($C$12551,G12364,G12377,G12390)</f>
        <v>0.105</v>
      </c>
      <c r="E12624" s="31" t="n">
        <f aca="false">CHOOSE($C$12551,H12364,H12377,H12390)</f>
        <v>0.105</v>
      </c>
      <c r="F12624" s="31" t="n">
        <f aca="false">CHOOSE($C$12551,I12364,I12377,I12390)</f>
        <v>0.105</v>
      </c>
      <c r="G12624" s="31" t="n">
        <f aca="false">CHOOSE($C$12551,J12364,J12377,J12390)</f>
        <v>0.105</v>
      </c>
      <c r="H12624" s="31" t="n">
        <f aca="false">CHOOSE($C$12551,K12364,K12377,K12390)</f>
        <v>0.105</v>
      </c>
    </row>
    <row r="12625" customFormat="false" ht="15" hidden="false" customHeight="false" outlineLevel="0" collapsed="false">
      <c r="A12625" s="3" t="s">
        <v>538</v>
      </c>
      <c r="D12625" s="25" t="n">
        <f aca="false">IF(D12623&lt;=$C$12560,$C$12552*D12624,0)</f>
        <v>10.5</v>
      </c>
      <c r="E12625" s="25" t="n">
        <f aca="false">IF(E12623&lt;=$C$12560,$C$12552*E12624,0)</f>
        <v>10.5</v>
      </c>
      <c r="F12625" s="25" t="n">
        <f aca="false">IF(F12623&lt;=$C$12560,$C$12552*F12624,0)</f>
        <v>10.5</v>
      </c>
      <c r="G12625" s="25" t="n">
        <f aca="false">IF(G12623&lt;=$C$12560,$C$12552*G12624,0)</f>
        <v>0</v>
      </c>
      <c r="H12625" s="25" t="n">
        <f aca="false">IF(H12623&lt;=$C$12560,$C$12552*H12624,0)</f>
        <v>0</v>
      </c>
    </row>
    <row r="12626" customFormat="false" ht="15" hidden="false" customHeight="false" outlineLevel="0" collapsed="false">
      <c r="A12626" s="3" t="s">
        <v>539</v>
      </c>
      <c r="D12626" s="25" t="n">
        <f aca="false">IF(AND($C$12481=0,D12623=$C$12555),$C$12552*$C$12620/100,0)+IF(AND($C$12481=1,D12623=$C$12621),$C$12558,0)</f>
        <v>0</v>
      </c>
      <c r="E12626" s="25" t="n">
        <f aca="false">IF(AND($C$12481=0,E12623=$C$12555),$C$12552*$C$12620/100,0)+IF(AND($C$12481=1,E12623=$C$12621),$C$12558,0)</f>
        <v>0</v>
      </c>
      <c r="F12626" s="25" t="n">
        <f aca="false">IF(AND($C$12481=0,F12623=$C$12555),$C$12552*$C$12620/100,0)+IF(AND($C$12481=1,F12623=$C$12621),$C$12558,0)</f>
        <v>81.2751604731729</v>
      </c>
      <c r="G12626" s="25" t="n">
        <f aca="false">IF(AND($C$12481=0,G12623=$C$12555),$C$12552*$C$12620/100,0)+IF(AND($C$12481=1,G12623=$C$12621),$C$12558,0)</f>
        <v>0</v>
      </c>
      <c r="H12626" s="25" t="n">
        <f aca="false">IF(AND($C$12481=0,H12623=$C$12555),$C$12552*$C$12620/100,0)+IF(AND($C$12481=1,H12623=$C$12621),$C$12558,0)</f>
        <v>0</v>
      </c>
      <c r="I12626" s="25" t="n">
        <f aca="false">IF(AND($C$12481=0,I12623=$C$12555),$C$12552*$C$12620/100,0)+IF(AND($C$12481=1,I12623=$C$12621),$C$12558,0)</f>
        <v>0</v>
      </c>
    </row>
    <row r="12627" customFormat="false" ht="15" hidden="false" customHeight="false" outlineLevel="0" collapsed="false">
      <c r="A12627" s="2" t="s">
        <v>540</v>
      </c>
      <c r="C12627" s="16" t="n">
        <f aca="false">-$C$12554</f>
        <v>-95</v>
      </c>
      <c r="D12627" s="16" t="n">
        <f aca="false">D12625+D12626</f>
        <v>10.5</v>
      </c>
      <c r="E12627" s="16" t="n">
        <f aca="false">E12625+E12626</f>
        <v>10.5</v>
      </c>
      <c r="F12627" s="16" t="n">
        <f aca="false">F12625+F12626</f>
        <v>91.7751604731729</v>
      </c>
      <c r="G12627" s="16" t="n">
        <f aca="false">G12625+G12626</f>
        <v>0</v>
      </c>
      <c r="H12627" s="16" t="n">
        <f aca="false">H12625+H12626</f>
        <v>0</v>
      </c>
      <c r="I12627" s="16" t="n">
        <f aca="false">I12625+I12626</f>
        <v>0</v>
      </c>
    </row>
    <row r="12628" customFormat="false" ht="15" hidden="false" customHeight="false" outlineLevel="0" collapsed="false">
      <c r="A12628" s="3" t="s">
        <v>541</v>
      </c>
      <c r="C12628" s="25" t="n">
        <f aca="false">SUM($C$12625:$I$12625)</f>
        <v>31.5</v>
      </c>
    </row>
    <row r="12629" customFormat="false" ht="15" hidden="false" customHeight="false" outlineLevel="0" collapsed="false">
      <c r="A12629" s="3" t="s">
        <v>542</v>
      </c>
      <c r="C12629" s="25" t="n">
        <f aca="false">SUM($C$12626:$I$12626)</f>
        <v>81.2751604731729</v>
      </c>
    </row>
    <row r="12630" customFormat="false" ht="15" hidden="false" customHeight="false" outlineLevel="0" collapsed="false">
      <c r="A12630" s="3" t="s">
        <v>543</v>
      </c>
      <c r="C12630" s="25" t="n">
        <f aca="false">C12628+C12629</f>
        <v>112.775160473173</v>
      </c>
    </row>
    <row r="12631" customFormat="false" ht="15" hidden="false" customHeight="false" outlineLevel="0" collapsed="false">
      <c r="A12631" s="3" t="s">
        <v>544</v>
      </c>
      <c r="C12631" s="25" t="n">
        <f aca="false">C12629-C12552*C12553/100</f>
        <v>-13.7248395268271</v>
      </c>
    </row>
    <row r="12632" customFormat="false" ht="15" hidden="false" customHeight="false" outlineLevel="0" collapsed="false">
      <c r="A12632" s="3" t="s">
        <v>545</v>
      </c>
      <c r="C12632" s="25" t="n">
        <f aca="false">C12630-C12554</f>
        <v>17.7751604731729</v>
      </c>
    </row>
    <row r="12633" customFormat="false" ht="15" hidden="false" customHeight="false" outlineLevel="0" collapsed="false">
      <c r="A12633" s="2" t="s">
        <v>427</v>
      </c>
      <c r="C12633" s="44" t="n">
        <f aca="false">C12630/C12554</f>
        <v>1.18710695234919</v>
      </c>
    </row>
    <row r="12634" customFormat="false" ht="15" hidden="false" customHeight="false" outlineLevel="0" collapsed="false">
      <c r="A12634" s="2" t="s">
        <v>426</v>
      </c>
      <c r="C12634" s="42" t="n">
        <f aca="false">IF(C12630&lt;=0,-1,IFERROR(IRR($C$12627:$I$12627,MAX(-0.9,C12633^(1/C12621)-1)),IRR($C$12627:$I$12627,0.1)))</f>
        <v>0.0653848807562152</v>
      </c>
    </row>
    <row r="12635" customFormat="false" ht="15" hidden="false" customHeight="false" outlineLevel="0" collapsed="false">
      <c r="A12635" s="3" t="s">
        <v>546</v>
      </c>
      <c r="C12635" s="32" t="n">
        <f aca="false">MAX($G$12441:$K$12441)</f>
        <v>7.33831226622703</v>
      </c>
    </row>
    <row r="12636" customFormat="false" ht="15" hidden="false" customHeight="false" outlineLevel="0" collapsed="false">
      <c r="A12636" s="3" t="s">
        <v>547</v>
      </c>
      <c r="C12636" s="32" t="n">
        <f aca="false">MIN($G$12442:$K$12442)</f>
        <v>1.18070192905498</v>
      </c>
    </row>
    <row r="12637" customFormat="false" ht="15" hidden="false" customHeight="false" outlineLevel="0" collapsed="false">
      <c r="A12637" s="3" t="s">
        <v>548</v>
      </c>
      <c r="C12637" s="25" t="n">
        <f aca="false">SUM($G$12348:$K$12348)</f>
        <v>75.1374128562126</v>
      </c>
    </row>
    <row r="12641" customFormat="false" ht="15" hidden="false" customHeight="false" outlineLevel="0" collapsed="false">
      <c r="A12641" s="9" t="s">
        <v>1053</v>
      </c>
      <c r="B12641" s="10"/>
      <c r="C12641" s="10"/>
      <c r="D12641" s="10"/>
      <c r="E12641" s="10"/>
      <c r="F12641" s="10"/>
      <c r="G12641" s="10"/>
      <c r="H12641" s="10"/>
      <c r="I12641" s="10"/>
      <c r="J12641" s="10"/>
      <c r="K12641" s="10"/>
    </row>
    <row r="12642" customFormat="false" ht="15" hidden="false" customHeight="false" outlineLevel="0" collapsed="false">
      <c r="A12642" s="3" t="s">
        <v>1010</v>
      </c>
      <c r="C12642" s="11" t="n">
        <v>2</v>
      </c>
    </row>
    <row r="12643" customFormat="false" ht="15" hidden="false" customHeight="false" outlineLevel="0" collapsed="false">
      <c r="A12643" s="3" t="s">
        <v>1011</v>
      </c>
      <c r="C12643" s="18" t="n">
        <v>0</v>
      </c>
    </row>
    <row r="12644" customFormat="false" ht="15" hidden="false" customHeight="false" outlineLevel="0" collapsed="false">
      <c r="A12644" s="3" t="s">
        <v>1012</v>
      </c>
      <c r="C12644" s="18" t="n">
        <v>0</v>
      </c>
    </row>
    <row r="12645" customFormat="false" ht="15" hidden="false" customHeight="false" outlineLevel="0" collapsed="false">
      <c r="A12645" s="3" t="s">
        <v>1013</v>
      </c>
      <c r="C12645" s="30" t="n">
        <f aca="false">Sensitivities!$A$51</f>
        <v>-0.005</v>
      </c>
    </row>
    <row r="12646" customFormat="false" ht="15" hidden="false" customHeight="false" outlineLevel="0" collapsed="false">
      <c r="A12646" s="3" t="s">
        <v>1014</v>
      </c>
      <c r="C12646" s="15" t="n">
        <v>0</v>
      </c>
    </row>
    <row r="12648" customFormat="false" ht="15" hidden="false" customHeight="false" outlineLevel="0" collapsed="false">
      <c r="A12648" s="23" t="s">
        <v>281</v>
      </c>
      <c r="B12648" s="24"/>
      <c r="C12648" s="24"/>
      <c r="D12648" s="24"/>
      <c r="E12648" s="24"/>
      <c r="F12648" s="24"/>
      <c r="G12648" s="24"/>
      <c r="H12648" s="24"/>
      <c r="I12648" s="24"/>
      <c r="J12648" s="24"/>
      <c r="K12648" s="24"/>
    </row>
    <row r="12649" customFormat="false" ht="15" hidden="false" customHeight="false" outlineLevel="0" collapsed="false">
      <c r="A12649" s="3" t="s">
        <v>282</v>
      </c>
      <c r="F12649" s="27" t="n">
        <f aca="false">Assumptions!$C$6</f>
        <v>2026</v>
      </c>
      <c r="G12649" s="20" t="n">
        <f aca="false">F12649+1</f>
        <v>2027</v>
      </c>
      <c r="H12649" s="20" t="n">
        <f aca="false">G12649+1</f>
        <v>2028</v>
      </c>
      <c r="I12649" s="20" t="n">
        <f aca="false">H12649+1</f>
        <v>2029</v>
      </c>
      <c r="J12649" s="20" t="n">
        <f aca="false">I12649+1</f>
        <v>2030</v>
      </c>
      <c r="K12649" s="20" t="n">
        <f aca="false">J12649+1</f>
        <v>2031</v>
      </c>
    </row>
    <row r="12650" customFormat="false" ht="15" hidden="false" customHeight="false" outlineLevel="0" collapsed="false">
      <c r="A12650" s="3" t="s">
        <v>283</v>
      </c>
      <c r="G12650" s="20" t="n">
        <f aca="false">G12649-Assumptions!$C$6</f>
        <v>1</v>
      </c>
      <c r="H12650" s="20" t="n">
        <f aca="false">H12649-Assumptions!$C$6</f>
        <v>2</v>
      </c>
      <c r="I12650" s="20" t="n">
        <f aca="false">I12649-Assumptions!$C$6</f>
        <v>3</v>
      </c>
      <c r="J12650" s="20" t="n">
        <f aca="false">J12649-Assumptions!$C$6</f>
        <v>4</v>
      </c>
      <c r="K12650" s="20" t="n">
        <f aca="false">K12649-Assumptions!$C$6</f>
        <v>5</v>
      </c>
    </row>
    <row r="12651" customFormat="false" ht="15" hidden="false" customHeight="false" outlineLevel="0" collapsed="false">
      <c r="A12651" s="3" t="s">
        <v>165</v>
      </c>
      <c r="G12651" s="21" t="n">
        <f aca="false">CHOOSE($C$12642,Assumptions!$G$71,Assumptions!$G$90,Assumptions!$G$109)+$C$12643</f>
        <v>-0.08</v>
      </c>
      <c r="H12651" s="21" t="n">
        <f aca="false">CHOOSE($C$12642,Assumptions!$H$71,Assumptions!$H$90,Assumptions!$H$109)+$C$12643</f>
        <v>-0.07</v>
      </c>
      <c r="I12651" s="21" t="n">
        <f aca="false">CHOOSE($C$12642,Assumptions!$I$71,Assumptions!$I$90,Assumptions!$I$109)+$C$12643</f>
        <v>-0.06</v>
      </c>
      <c r="J12651" s="21" t="n">
        <f aca="false">CHOOSE($C$12642,Assumptions!$J$71,Assumptions!$J$90,Assumptions!$J$109)+$C$12643</f>
        <v>-0.05</v>
      </c>
      <c r="K12651" s="21" t="n">
        <f aca="false">CHOOSE($C$12642,Assumptions!$K$71,Assumptions!$K$90,Assumptions!$K$109)+$C$12643</f>
        <v>-0.05</v>
      </c>
    </row>
    <row r="12652" customFormat="false" ht="15" hidden="false" customHeight="false" outlineLevel="0" collapsed="false">
      <c r="A12652" s="3" t="s">
        <v>166</v>
      </c>
      <c r="G12652" s="21" t="n">
        <f aca="false">CHOOSE($C$12642,Assumptions!$G$72,Assumptions!$G$91,Assumptions!$G$110)</f>
        <v>0.463246670103635</v>
      </c>
      <c r="H12652" s="21" t="n">
        <f aca="false">CHOOSE($C$12642,Assumptions!$H$72,Assumptions!$H$91,Assumptions!$H$110)</f>
        <v>0.453246670103635</v>
      </c>
      <c r="I12652" s="21" t="n">
        <f aca="false">CHOOSE($C$12642,Assumptions!$I$72,Assumptions!$I$91,Assumptions!$I$110)</f>
        <v>0.448246670103634</v>
      </c>
      <c r="J12652" s="21" t="n">
        <f aca="false">CHOOSE($C$12642,Assumptions!$J$72,Assumptions!$J$91,Assumptions!$J$110)</f>
        <v>0.443246670103635</v>
      </c>
      <c r="K12652" s="21" t="n">
        <f aca="false">CHOOSE($C$12642,Assumptions!$K$72,Assumptions!$K$91,Assumptions!$K$110)</f>
        <v>0.443246670103635</v>
      </c>
    </row>
    <row r="12653" customFormat="false" ht="15" hidden="false" customHeight="false" outlineLevel="0" collapsed="false">
      <c r="A12653" s="3" t="s">
        <v>167</v>
      </c>
      <c r="G12653" s="21" t="n">
        <f aca="false">CHOOSE($C$12642,Assumptions!$G$73,Assumptions!$G$92,Assumptions!$G$111)+$C$12644</f>
        <v>0.12</v>
      </c>
      <c r="H12653" s="21" t="n">
        <f aca="false">CHOOSE($C$12642,Assumptions!$H$73,Assumptions!$H$92,Assumptions!$H$111)+$C$12644</f>
        <v>0.11</v>
      </c>
      <c r="I12653" s="21" t="n">
        <f aca="false">CHOOSE($C$12642,Assumptions!$I$73,Assumptions!$I$92,Assumptions!$I$111)+$C$12644</f>
        <v>0.105</v>
      </c>
      <c r="J12653" s="21" t="n">
        <f aca="false">CHOOSE($C$12642,Assumptions!$J$73,Assumptions!$J$92,Assumptions!$J$111)+$C$12644</f>
        <v>0.1</v>
      </c>
      <c r="K12653" s="21" t="n">
        <f aca="false">CHOOSE($C$12642,Assumptions!$K$73,Assumptions!$K$92,Assumptions!$K$111)+$C$12644</f>
        <v>0.1</v>
      </c>
    </row>
    <row r="12654" customFormat="false" ht="15" hidden="false" customHeight="false" outlineLevel="0" collapsed="false">
      <c r="A12654" s="23" t="s">
        <v>284</v>
      </c>
      <c r="B12654" s="24"/>
      <c r="C12654" s="24"/>
      <c r="D12654" s="24"/>
      <c r="E12654" s="24"/>
      <c r="F12654" s="24"/>
      <c r="G12654" s="24"/>
      <c r="H12654" s="24"/>
      <c r="I12654" s="24"/>
      <c r="J12654" s="24"/>
      <c r="K12654" s="24"/>
    </row>
    <row r="12655" customFormat="false" ht="15" hidden="false" customHeight="false" outlineLevel="0" collapsed="false">
      <c r="A12655" s="2" t="s">
        <v>256</v>
      </c>
      <c r="F12655" s="28" t="n">
        <f aca="false">'Historical Financials'!G23</f>
        <v>2246.166</v>
      </c>
      <c r="G12655" s="16" t="n">
        <f aca="false">F12655*(1+G12651)</f>
        <v>2066.47272</v>
      </c>
      <c r="H12655" s="16" t="n">
        <f aca="false">G12655*(1+H12651)</f>
        <v>1921.8196296</v>
      </c>
      <c r="I12655" s="16" t="n">
        <f aca="false">H12655*(1+I12651)</f>
        <v>1806.510451824</v>
      </c>
      <c r="J12655" s="16" t="n">
        <f aca="false">I12655*(1+J12651)</f>
        <v>1716.1849292328</v>
      </c>
      <c r="K12655" s="16" t="n">
        <f aca="false">J12655*(1+K12651)</f>
        <v>1630.37568277116</v>
      </c>
    </row>
    <row r="12656" customFormat="false" ht="15" hidden="false" customHeight="false" outlineLevel="0" collapsed="false">
      <c r="A12656" s="3" t="s">
        <v>257</v>
      </c>
      <c r="G12656" s="25" t="n">
        <f aca="false">G12655*(1-G12652)</f>
        <v>1109.1861136</v>
      </c>
      <c r="H12656" s="25" t="n">
        <f aca="false">H12655*(1-H12652)</f>
        <v>1050.761281944</v>
      </c>
      <c r="I12656" s="25" t="n">
        <f aca="false">I12655*(1-I12652)</f>
        <v>996.74815728648</v>
      </c>
      <c r="J12656" s="25" t="n">
        <f aca="false">J12655*(1-J12652)</f>
        <v>955.49167406832</v>
      </c>
      <c r="K12656" s="25" t="n">
        <f aca="false">K12655*(1-K12652)</f>
        <v>907.717090364904</v>
      </c>
    </row>
    <row r="12657" customFormat="false" ht="15" hidden="false" customHeight="false" outlineLevel="0" collapsed="false">
      <c r="A12657" s="2" t="s">
        <v>258</v>
      </c>
      <c r="G12657" s="16" t="n">
        <f aca="false">G12655-G12656</f>
        <v>957.2866064</v>
      </c>
      <c r="H12657" s="16" t="n">
        <f aca="false">H12655-H12656</f>
        <v>871.058347656</v>
      </c>
      <c r="I12657" s="16" t="n">
        <f aca="false">I12655-I12656</f>
        <v>809.76229453752</v>
      </c>
      <c r="J12657" s="16" t="n">
        <f aca="false">J12655-J12656</f>
        <v>760.69325516448</v>
      </c>
      <c r="K12657" s="16" t="n">
        <f aca="false">K12655-K12656</f>
        <v>722.658592406256</v>
      </c>
    </row>
    <row r="12658" customFormat="false" ht="15" hidden="false" customHeight="false" outlineLevel="0" collapsed="false">
      <c r="A12658" s="3" t="s">
        <v>285</v>
      </c>
      <c r="G12658" s="25" t="n">
        <f aca="false">G12657-G12659</f>
        <v>709.30988</v>
      </c>
      <c r="H12658" s="25" t="n">
        <f aca="false">H12657-H12659</f>
        <v>659.6581884</v>
      </c>
      <c r="I12658" s="25" t="n">
        <f aca="false">I12657-I12659</f>
        <v>620.078697096</v>
      </c>
      <c r="J12658" s="25" t="n">
        <f aca="false">J12657-J12659</f>
        <v>589.0747622412</v>
      </c>
      <c r="K12658" s="25" t="n">
        <f aca="false">K12657-K12659</f>
        <v>559.62102412914</v>
      </c>
    </row>
    <row r="12659" customFormat="false" ht="15" hidden="false" customHeight="false" outlineLevel="0" collapsed="false">
      <c r="A12659" s="2" t="s">
        <v>286</v>
      </c>
      <c r="G12659" s="16" t="n">
        <f aca="false">G12655*G12653</f>
        <v>247.9767264</v>
      </c>
      <c r="H12659" s="16" t="n">
        <f aca="false">H12655*H12653</f>
        <v>211.400159256</v>
      </c>
      <c r="I12659" s="16" t="n">
        <f aca="false">I12655*I12653</f>
        <v>189.68359744152</v>
      </c>
      <c r="J12659" s="16" t="n">
        <f aca="false">J12655*J12653</f>
        <v>171.61849292328</v>
      </c>
      <c r="K12659" s="16" t="n">
        <f aca="false">K12655*K12653</f>
        <v>163.037568277116</v>
      </c>
    </row>
    <row r="12660" customFormat="false" ht="15" hidden="false" customHeight="false" outlineLevel="0" collapsed="false">
      <c r="A12660" s="3" t="s">
        <v>287</v>
      </c>
      <c r="G12660" s="25" t="n">
        <f aca="false">G12655*'Historical Financials'!G28/'Historical Financials'!G23</f>
        <v>78.47232</v>
      </c>
      <c r="H12660" s="25" t="n">
        <f aca="false">H12655*'Historical Financials'!G28/'Historical Financials'!G23</f>
        <v>72.9792576</v>
      </c>
      <c r="I12660" s="25" t="n">
        <f aca="false">I12655*'Historical Financials'!G28/'Historical Financials'!G23</f>
        <v>68.600502144</v>
      </c>
      <c r="J12660" s="25" t="n">
        <f aca="false">J12655*'Historical Financials'!G28/'Historical Financials'!G23</f>
        <v>65.1704770368</v>
      </c>
      <c r="K12660" s="25" t="n">
        <f aca="false">K12655*'Historical Financials'!G28/'Historical Financials'!G23</f>
        <v>61.91195318496</v>
      </c>
    </row>
    <row r="12661" customFormat="false" ht="15" hidden="false" customHeight="false" outlineLevel="0" collapsed="false">
      <c r="A12661" s="3" t="s">
        <v>288</v>
      </c>
      <c r="G12661" s="25" t="n">
        <f aca="false">G12655*'Historical Financials'!G29/'Historical Financials'!G23</f>
        <v>22.40752</v>
      </c>
      <c r="H12661" s="25" t="n">
        <f aca="false">H12655*'Historical Financials'!G29/'Historical Financials'!G23</f>
        <v>20.8389936</v>
      </c>
      <c r="I12661" s="25" t="n">
        <f aca="false">I12655*'Historical Financials'!G29/'Historical Financials'!G23</f>
        <v>19.588653984</v>
      </c>
      <c r="J12661" s="25" t="n">
        <f aca="false">J12655*'Historical Financials'!G29/'Historical Financials'!G23</f>
        <v>18.6092212848</v>
      </c>
      <c r="K12661" s="25" t="n">
        <f aca="false">K12655*'Historical Financials'!G29/'Historical Financials'!G23</f>
        <v>17.67876022056</v>
      </c>
    </row>
    <row r="12662" customFormat="false" ht="15" hidden="false" customHeight="false" outlineLevel="0" collapsed="false">
      <c r="A12662" s="2" t="s">
        <v>289</v>
      </c>
      <c r="G12662" s="16" t="n">
        <f aca="false">G12659-G12660-G12661</f>
        <v>147.0968864</v>
      </c>
      <c r="H12662" s="16" t="n">
        <f aca="false">H12659-H12660-H12661</f>
        <v>117.581908056</v>
      </c>
      <c r="I12662" s="16" t="n">
        <f aca="false">I12659-I12660-I12661</f>
        <v>101.49444131352</v>
      </c>
      <c r="J12662" s="16" t="n">
        <f aca="false">J12659-J12660-J12661</f>
        <v>87.83879460168</v>
      </c>
      <c r="K12662" s="16" t="n">
        <f aca="false">K12659-K12660-K12661</f>
        <v>83.446854871596</v>
      </c>
    </row>
    <row r="12663" customFormat="false" ht="15" hidden="false" customHeight="false" outlineLevel="0" collapsed="false">
      <c r="A12663" s="3" t="s">
        <v>290</v>
      </c>
      <c r="G12663" s="25" t="n">
        <f aca="false">G12689+G12702+G12715</f>
        <v>155.95467</v>
      </c>
      <c r="H12663" s="25" t="n">
        <f aca="false">H12689+H12702+H12715</f>
        <v>155.95467</v>
      </c>
      <c r="I12663" s="25" t="n">
        <f aca="false">I12689+I12702+I12715</f>
        <v>155.95467</v>
      </c>
      <c r="J12663" s="25" t="n">
        <f aca="false">J12689+J12702+J12715</f>
        <v>138.08529</v>
      </c>
      <c r="K12663" s="25" t="n">
        <f aca="false">K12689+K12702+K12715</f>
        <v>138.08529</v>
      </c>
    </row>
    <row r="12664" customFormat="false" ht="15" hidden="false" customHeight="false" outlineLevel="0" collapsed="false">
      <c r="A12664" s="3" t="s">
        <v>291</v>
      </c>
      <c r="G12664" s="25" t="n">
        <f aca="false">G12690+G12703+G12716</f>
        <v>0</v>
      </c>
      <c r="H12664" s="25" t="n">
        <f aca="false">H12690+H12703+H12716</f>
        <v>0</v>
      </c>
      <c r="I12664" s="25" t="n">
        <f aca="false">I12690+I12703+I12716</f>
        <v>0</v>
      </c>
      <c r="J12664" s="25" t="n">
        <f aca="false">J12690+J12703+J12716</f>
        <v>0</v>
      </c>
      <c r="K12664" s="25" t="n">
        <f aca="false">K12690+K12703+K12716</f>
        <v>0</v>
      </c>
    </row>
    <row r="12665" customFormat="false" ht="15" hidden="false" customHeight="false" outlineLevel="0" collapsed="false">
      <c r="A12665" s="3" t="s">
        <v>239</v>
      </c>
      <c r="G12665" s="25" t="n">
        <f aca="false">G12663+G12664</f>
        <v>155.95467</v>
      </c>
      <c r="H12665" s="25" t="n">
        <f aca="false">H12663+H12664</f>
        <v>155.95467</v>
      </c>
      <c r="I12665" s="25" t="n">
        <f aca="false">I12663+I12664</f>
        <v>155.95467</v>
      </c>
      <c r="J12665" s="25" t="n">
        <f aca="false">J12663+J12664</f>
        <v>138.08529</v>
      </c>
      <c r="K12665" s="25" t="n">
        <f aca="false">K12663+K12664</f>
        <v>138.08529</v>
      </c>
    </row>
    <row r="12666" customFormat="false" ht="15" hidden="false" customHeight="false" outlineLevel="0" collapsed="false">
      <c r="A12666" s="2" t="s">
        <v>264</v>
      </c>
      <c r="G12666" s="16" t="n">
        <f aca="false">G12662-G12665</f>
        <v>-8.85778360000006</v>
      </c>
      <c r="H12666" s="16" t="n">
        <f aca="false">H12662-H12665</f>
        <v>-38.372761944</v>
      </c>
      <c r="I12666" s="16" t="n">
        <f aca="false">I12662-I12665</f>
        <v>-54.46022868648</v>
      </c>
      <c r="J12666" s="16" t="n">
        <f aca="false">J12662-J12665</f>
        <v>-50.24649539832</v>
      </c>
      <c r="K12666" s="16" t="n">
        <f aca="false">K12662-K12665</f>
        <v>-54.638435128404</v>
      </c>
    </row>
    <row r="12667" customFormat="false" ht="15" hidden="false" customHeight="false" outlineLevel="0" collapsed="false">
      <c r="A12667" s="3" t="s">
        <v>292</v>
      </c>
      <c r="G12667" s="25" t="n">
        <f aca="false">MAX(0,G12666)*Assumptions!$C$9</f>
        <v>0</v>
      </c>
      <c r="H12667" s="25" t="n">
        <f aca="false">MAX(0,H12666)*Assumptions!$C$9</f>
        <v>0</v>
      </c>
      <c r="I12667" s="25" t="n">
        <f aca="false">MAX(0,I12666)*Assumptions!$C$9</f>
        <v>0</v>
      </c>
      <c r="J12667" s="25" t="n">
        <f aca="false">MAX(0,J12666)*Assumptions!$C$9</f>
        <v>0</v>
      </c>
      <c r="K12667" s="25" t="n">
        <f aca="false">MAX(0,K12666)*Assumptions!$C$9</f>
        <v>0</v>
      </c>
    </row>
    <row r="12668" customFormat="false" ht="15" hidden="false" customHeight="false" outlineLevel="0" collapsed="false">
      <c r="A12668" s="2" t="s">
        <v>293</v>
      </c>
      <c r="G12668" s="16" t="n">
        <f aca="false">G12666-G12667</f>
        <v>-8.85778360000006</v>
      </c>
      <c r="H12668" s="16" t="n">
        <f aca="false">H12666-H12667</f>
        <v>-38.372761944</v>
      </c>
      <c r="I12668" s="16" t="n">
        <f aca="false">I12666-I12667</f>
        <v>-54.46022868648</v>
      </c>
      <c r="J12668" s="16" t="n">
        <f aca="false">J12666-J12667</f>
        <v>-50.24649539832</v>
      </c>
      <c r="K12668" s="16" t="n">
        <f aca="false">K12666-K12667</f>
        <v>-54.638435128404</v>
      </c>
    </row>
    <row r="12669" customFormat="false" ht="15" hidden="false" customHeight="false" outlineLevel="0" collapsed="false">
      <c r="A12669" s="23" t="s">
        <v>294</v>
      </c>
      <c r="B12669" s="24"/>
      <c r="C12669" s="24"/>
      <c r="D12669" s="24"/>
      <c r="E12669" s="24"/>
      <c r="F12669" s="24"/>
      <c r="G12669" s="24"/>
      <c r="H12669" s="24"/>
      <c r="I12669" s="24"/>
      <c r="J12669" s="24"/>
      <c r="K12669" s="24"/>
    </row>
    <row r="12670" customFormat="false" ht="15" hidden="false" customHeight="false" outlineLevel="0" collapsed="false">
      <c r="A12670" s="3" t="s">
        <v>169</v>
      </c>
      <c r="G12670" s="25" t="n">
        <f aca="false">G12655*CHOOSE($C$12642,Assumptions!$C$75,Assumptions!$C$94,Assumptions!$C$113)</f>
        <v>26.86414536</v>
      </c>
      <c r="H12670" s="25" t="n">
        <f aca="false">H12655*CHOOSE($C$12642,Assumptions!$C$75,Assumptions!$C$94,Assumptions!$C$113)</f>
        <v>24.9836551848</v>
      </c>
      <c r="I12670" s="25" t="n">
        <f aca="false">I12655*CHOOSE($C$12642,Assumptions!$C$75,Assumptions!$C$94,Assumptions!$C$113)</f>
        <v>23.484635873712</v>
      </c>
      <c r="J12670" s="25" t="n">
        <f aca="false">J12655*CHOOSE($C$12642,Assumptions!$C$75,Assumptions!$C$94,Assumptions!$C$113)</f>
        <v>22.3104040800264</v>
      </c>
      <c r="K12670" s="25" t="n">
        <f aca="false">K12655*CHOOSE($C$12642,Assumptions!$C$75,Assumptions!$C$94,Assumptions!$C$113)</f>
        <v>21.1948838760251</v>
      </c>
    </row>
    <row r="12671" customFormat="false" ht="15" hidden="false" customHeight="false" outlineLevel="0" collapsed="false">
      <c r="A12671" s="3" t="s">
        <v>295</v>
      </c>
      <c r="G12671" s="25" t="n">
        <f aca="false">CHOOSE($C$12642,Assumptions!$C$76,Assumptions!$C$95,Assumptions!$C$114)*(G12655-F12655)+CHOOSE($C$12642,Assumptions!$C$77,Assumptions!$C$96,Assumptions!$C$115)*G12655</f>
        <v>10.3323636</v>
      </c>
      <c r="H12671" s="25" t="n">
        <f aca="false">CHOOSE($C$12642,Assumptions!$C$76,Assumptions!$C$95,Assumptions!$C$114)*(H12655-G12655)+CHOOSE($C$12642,Assumptions!$C$77,Assumptions!$C$96,Assumptions!$C$115)*H12655</f>
        <v>9.609098148</v>
      </c>
      <c r="I12671" s="25" t="n">
        <f aca="false">CHOOSE($C$12642,Assumptions!$C$76,Assumptions!$C$95,Assumptions!$C$114)*(I12655-H12655)+CHOOSE($C$12642,Assumptions!$C$77,Assumptions!$C$96,Assumptions!$C$115)*I12655</f>
        <v>9.03255225912</v>
      </c>
      <c r="J12671" s="25" t="n">
        <f aca="false">CHOOSE($C$12642,Assumptions!$C$76,Assumptions!$C$95,Assumptions!$C$114)*(J12655-I12655)+CHOOSE($C$12642,Assumptions!$C$77,Assumptions!$C$96,Assumptions!$C$115)*J12655</f>
        <v>8.580924646164</v>
      </c>
      <c r="K12671" s="25" t="n">
        <f aca="false">CHOOSE($C$12642,Assumptions!$C$76,Assumptions!$C$95,Assumptions!$C$114)*(K12655-J12655)+CHOOSE($C$12642,Assumptions!$C$77,Assumptions!$C$96,Assumptions!$C$115)*K12655</f>
        <v>8.1518784138558</v>
      </c>
    </row>
    <row r="12672" customFormat="false" ht="15" hidden="false" customHeight="false" outlineLevel="0" collapsed="false">
      <c r="A12672" s="2" t="s">
        <v>296</v>
      </c>
      <c r="G12672" s="16" t="n">
        <f aca="false">G12668+G12660+G12661+G12664-G12670-G12671</f>
        <v>54.8255474399999</v>
      </c>
      <c r="H12672" s="16" t="n">
        <f aca="false">H12668+H12660+H12661+H12664-H12670-H12671</f>
        <v>20.8527359232</v>
      </c>
      <c r="I12672" s="16" t="n">
        <f aca="false">I12668+I12660+I12661+I12664-I12670-I12671</f>
        <v>1.21173930868796</v>
      </c>
      <c r="J12672" s="16" t="n">
        <f aca="false">J12668+J12660+J12661+J12664-J12670-J12671</f>
        <v>2.6418741970896</v>
      </c>
      <c r="K12672" s="16" t="n">
        <f aca="false">K12668+K12660+K12661+K12664-K12670-K12671</f>
        <v>-4.39448401276491</v>
      </c>
    </row>
    <row r="12674" customFormat="false" ht="15" hidden="false" customHeight="false" outlineLevel="0" collapsed="false">
      <c r="A12674" s="23" t="s">
        <v>298</v>
      </c>
      <c r="B12674" s="24"/>
      <c r="C12674" s="24"/>
      <c r="D12674" s="24"/>
      <c r="E12674" s="24"/>
      <c r="F12674" s="24"/>
      <c r="G12674" s="24"/>
      <c r="H12674" s="24"/>
      <c r="I12674" s="24"/>
      <c r="J12674" s="24"/>
      <c r="K12674" s="24"/>
    </row>
    <row r="12675" customFormat="false" ht="15" hidden="false" customHeight="false" outlineLevel="0" collapsed="false">
      <c r="A12675" s="3" t="s">
        <v>299</v>
      </c>
      <c r="G12675" s="30" t="n">
        <f aca="false">Assumptions!$G$52</f>
        <v>0.039</v>
      </c>
      <c r="H12675" s="30" t="n">
        <f aca="false">Assumptions!$H$52</f>
        <v>0.0375</v>
      </c>
      <c r="I12675" s="30" t="n">
        <f aca="false">Assumptions!$I$52</f>
        <v>0.035</v>
      </c>
      <c r="J12675" s="30" t="n">
        <f aca="false">Assumptions!$J$52</f>
        <v>0.035</v>
      </c>
      <c r="K12675" s="30" t="n">
        <f aca="false">Assumptions!$K$52</f>
        <v>0.035</v>
      </c>
    </row>
    <row r="12676" customFormat="false" ht="15" hidden="false" customHeight="false" outlineLevel="0" collapsed="false">
      <c r="A12676" s="3" t="s">
        <v>300</v>
      </c>
      <c r="C12676" s="31" t="n">
        <f aca="false">CHOOSE($C$12642,Assumptions!$C$78,Assumptions!$C$97,Assumptions!$C$116)+$C$12645</f>
        <v>0.01</v>
      </c>
    </row>
    <row r="12677" customFormat="false" ht="15" hidden="false" customHeight="false" outlineLevel="0" collapsed="false">
      <c r="A12677" s="3" t="s">
        <v>301</v>
      </c>
      <c r="C12677" s="31" t="n">
        <f aca="false">CHOOSE($C$12642,Assumptions!$C$79,Assumptions!$C$98,Assumptions!$C$117)</f>
        <v>0.13</v>
      </c>
    </row>
    <row r="12678" customFormat="false" ht="15" hidden="false" customHeight="false" outlineLevel="0" collapsed="false">
      <c r="A12678" s="3" t="s">
        <v>302</v>
      </c>
      <c r="C12678" s="32" t="n">
        <f aca="false">CHOOSE($C$12642,Assumptions!$C$80,Assumptions!$C$99,Assumptions!$C$118)</f>
        <v>5.5</v>
      </c>
    </row>
    <row r="12679" customFormat="false" ht="15" hidden="false" customHeight="false" outlineLevel="0" collapsed="false">
      <c r="A12679" s="3" t="s">
        <v>303</v>
      </c>
      <c r="C12679" s="32" t="n">
        <f aca="false">CHOOSE($C$12642,Assumptions!$C$81,Assumptions!$C$100,Assumptions!$C$119)</f>
        <v>1.5</v>
      </c>
    </row>
    <row r="12680" customFormat="false" ht="15" hidden="false" customHeight="false" outlineLevel="0" collapsed="false">
      <c r="A12680" s="3" t="s">
        <v>304</v>
      </c>
      <c r="G12680" s="25" t="n">
        <f aca="false">G12685+G12698+G12711</f>
        <v>1735.554</v>
      </c>
      <c r="H12680" s="25" t="n">
        <f aca="false">H12685+H12698+H12711</f>
        <v>1735.554</v>
      </c>
      <c r="I12680" s="25" t="n">
        <f aca="false">I12685+I12698+I12711</f>
        <v>1735.554</v>
      </c>
      <c r="J12680" s="25" t="n">
        <f aca="false">J12685+J12698+J12711</f>
        <v>1315.098</v>
      </c>
      <c r="K12680" s="25" t="n">
        <f aca="false">K12685+K12698+K12711</f>
        <v>1315.098</v>
      </c>
    </row>
    <row r="12681" customFormat="false" ht="15" hidden="false" customHeight="false" outlineLevel="0" collapsed="false">
      <c r="A12681" s="3" t="s">
        <v>305</v>
      </c>
      <c r="G12681" s="25" t="n">
        <f aca="false">F12754</f>
        <v>463.996</v>
      </c>
      <c r="H12681" s="25" t="n">
        <f aca="false">G12754</f>
        <v>518.82154744</v>
      </c>
      <c r="I12681" s="25" t="n">
        <f aca="false">H12754</f>
        <v>539.6742833632</v>
      </c>
      <c r="J12681" s="25" t="n">
        <f aca="false">I12754</f>
        <v>120.430022671888</v>
      </c>
      <c r="K12681" s="25" t="n">
        <f aca="false">J12754</f>
        <v>123.071896868977</v>
      </c>
    </row>
    <row r="12682" customFormat="false" ht="15" hidden="false" customHeight="false" outlineLevel="0" collapsed="false">
      <c r="A12682" s="3" t="s">
        <v>306</v>
      </c>
      <c r="G12682" s="25" t="n">
        <f aca="false">G12685*IF(G12686=1,$C$12677,IF(Assumptions!$I$56=1,MAX(G12675,Assumptions!$G$56)+Assumptions!$F$56+$C$12676,Assumptions!$E$56))+G12698*IF(G12699=1,$C$12677,IF(Assumptions!$I$57=1,MAX(G12675,Assumptions!$G$57)+Assumptions!$F$57+$C$12676,Assumptions!$E$57))+G12711*IF(G12712=1,$C$12677,IF(Assumptions!$I$58=1,MAX(G12675,Assumptions!$G$58)+Assumptions!$F$58+$C$12676,Assumptions!$E$58))</f>
        <v>155.95467</v>
      </c>
      <c r="H12682" s="25" t="n">
        <f aca="false">H12685*IF(OR(H12686=1,G12832=1),$C$12677,IF(Assumptions!$I$56=1,MAX(H12675,Assumptions!$G$56)+Assumptions!$F$56+$C$12676,Assumptions!$E$56))+H12698*IF(OR(H12699=1,G12833=1),$C$12677,IF(Assumptions!$I$57=1,MAX(H12675,Assumptions!$G$57)+Assumptions!$F$57+$C$12676,Assumptions!$E$57))+H12711*IF(OR(H12712=1,G12834=1),$C$12677,IF(Assumptions!$I$58=1,MAX(H12675,Assumptions!$G$58)+Assumptions!$F$58+$C$12676,Assumptions!$E$58))</f>
        <v>155.95467</v>
      </c>
      <c r="I12682" s="25" t="n">
        <f aca="false">I12685*IF(OR(I12686=1,H12832=1),$C$12677,IF(Assumptions!$I$56=1,MAX(I12675,Assumptions!$G$56)+Assumptions!$F$56+$C$12676,Assumptions!$E$56))+I12698*IF(OR(I12699=1,H12833=1),$C$12677,IF(Assumptions!$I$57=1,MAX(I12675,Assumptions!$G$57)+Assumptions!$F$57+$C$12676,Assumptions!$E$57))+I12711*IF(OR(I12712=1,H12834=1),$C$12677,IF(Assumptions!$I$58=1,MAX(I12675,Assumptions!$G$58)+Assumptions!$F$58+$C$12676,Assumptions!$E$58))</f>
        <v>192.74457</v>
      </c>
      <c r="J12682" s="25" t="n">
        <f aca="false">J12685*IF(OR(J12686=1,I12832=1),$C$12677,IF(Assumptions!$I$56=1,MAX(J12675,Assumptions!$G$56)+Assumptions!$F$56+$C$12676,Assumptions!$E$56))+J12698*IF(OR(J12699=1,I12833=1),$C$12677,IF(Assumptions!$I$57=1,MAX(J12675,Assumptions!$G$57)+Assumptions!$F$57+$C$12676,Assumptions!$E$57))+J12711*IF(OR(J12712=1,I12834=1),$C$12677,IF(Assumptions!$I$58=1,MAX(J12675,Assumptions!$G$58)+Assumptions!$F$58+$C$12676,Assumptions!$E$58))</f>
        <v>138.08529</v>
      </c>
      <c r="K12682" s="25" t="n">
        <f aca="false">K12685*IF(OR(K12686=1,J12832=1),$C$12677,IF(Assumptions!$I$56=1,MAX(K12675,Assumptions!$G$56)+Assumptions!$F$56+$C$12676,Assumptions!$E$56))+K12698*IF(OR(K12699=1,J12833=1),$C$12677,IF(Assumptions!$I$57=1,MAX(K12675,Assumptions!$G$57)+Assumptions!$F$57+$C$12676,Assumptions!$E$57))+K12711*IF(OR(K12712=1,J12834=1),$C$12677,IF(Assumptions!$I$58=1,MAX(K12675,Assumptions!$G$58)+Assumptions!$F$58+$C$12676,Assumptions!$E$58))</f>
        <v>138.08529</v>
      </c>
    </row>
    <row r="12683" customFormat="false" ht="15" hidden="false" customHeight="false" outlineLevel="0" collapsed="false">
      <c r="A12683" s="3" t="s">
        <v>307</v>
      </c>
      <c r="G12683" s="20" t="n">
        <f aca="false">IF(G12659&lt;=0,0,IF(AND((G12680-G12681)/G12659&lt;=$C$12678,G12659/G12682&gt;=$C$12679),1,0))</f>
        <v>1</v>
      </c>
      <c r="H12683" s="20" t="n">
        <f aca="false">IF(H12659&lt;=0,0,IF(AND((H12680-H12681)/H12659&lt;=$C$12678,H12659/H12682&gt;=$C$12679),1,0))</f>
        <v>0</v>
      </c>
      <c r="I12683" s="20" t="n">
        <f aca="false">IF(I12659&lt;=0,0,IF(AND((I12680-I12681)/I12659&lt;=$C$12678,I12659/I12682&gt;=$C$12679),1,0))</f>
        <v>0</v>
      </c>
      <c r="J12683" s="20" t="n">
        <f aca="false">IF(J12659&lt;=0,0,IF(AND((J12680-J12681)/J12659&lt;=$C$12678,J12659/J12682&gt;=$C$12679),1,0))</f>
        <v>0</v>
      </c>
      <c r="K12683" s="20" t="n">
        <f aca="false">IF(K12659&lt;=0,0,IF(AND((K12680-K12681)/K12659&lt;=$C$12678,K12659/K12682&gt;=$C$12679),1,0))</f>
        <v>0</v>
      </c>
    </row>
    <row r="12684" customFormat="false" ht="15" hidden="false" customHeight="false" outlineLevel="0" collapsed="false">
      <c r="A12684" s="23" t="s">
        <v>308</v>
      </c>
      <c r="B12684" s="24"/>
      <c r="C12684" s="24"/>
      <c r="D12684" s="24"/>
      <c r="E12684" s="24"/>
      <c r="F12684" s="24"/>
      <c r="G12684" s="24"/>
      <c r="H12684" s="24"/>
      <c r="I12684" s="24"/>
      <c r="J12684" s="24"/>
      <c r="K12684" s="24"/>
    </row>
    <row r="12685" customFormat="false" ht="15" hidden="false" customHeight="false" outlineLevel="0" collapsed="false">
      <c r="A12685" s="3" t="s">
        <v>309</v>
      </c>
      <c r="G12685" s="25" t="n">
        <f aca="false">F12696</f>
        <v>1315.098</v>
      </c>
      <c r="H12685" s="25" t="n">
        <f aca="false">G12696</f>
        <v>1315.098</v>
      </c>
      <c r="I12685" s="25" t="n">
        <f aca="false">H12696</f>
        <v>1315.098</v>
      </c>
      <c r="J12685" s="25" t="n">
        <f aca="false">I12696</f>
        <v>1315.098</v>
      </c>
      <c r="K12685" s="25" t="n">
        <f aca="false">J12696</f>
        <v>1315.098</v>
      </c>
    </row>
    <row r="12686" customFormat="false" ht="15" hidden="false" customHeight="false" outlineLevel="0" collapsed="false">
      <c r="A12686" s="3" t="s">
        <v>310</v>
      </c>
      <c r="G12686" s="20" t="n">
        <f aca="false">IF(G12649=Assumptions!$K$56,1,0)</f>
        <v>0</v>
      </c>
      <c r="H12686" s="20" t="n">
        <f aca="false">IF(H12649=Assumptions!$K$56,1,0)</f>
        <v>0</v>
      </c>
      <c r="I12686" s="20" t="n">
        <f aca="false">IF(I12649=Assumptions!$K$56,1,0)</f>
        <v>0</v>
      </c>
      <c r="J12686" s="20" t="n">
        <f aca="false">IF(J12649=Assumptions!$K$56,1,0)</f>
        <v>0</v>
      </c>
      <c r="K12686" s="20" t="n">
        <f aca="false">IF(K12649=Assumptions!$K$56,1,0)</f>
        <v>0</v>
      </c>
    </row>
    <row r="12688" customFormat="false" ht="15" hidden="false" customHeight="false" outlineLevel="0" collapsed="false">
      <c r="A12688" s="3" t="s">
        <v>311</v>
      </c>
      <c r="G12688" s="31" t="n">
        <f aca="false">IF(Assumptions!$I$56=1,MAX(G12675,Assumptions!$G$56)+Assumptions!$F$56+$C$12676,Assumptions!$E$56)</f>
        <v>0.105</v>
      </c>
      <c r="H12688" s="31" t="n">
        <f aca="false">IF(G12832=1,$C$12677,IF(Assumptions!$I$56=1,MAX(H12675,Assumptions!$G$56)+Assumptions!$F$56+$C$12676,Assumptions!$E$56))</f>
        <v>0.105</v>
      </c>
      <c r="I12688" s="31" t="n">
        <f aca="false">IF(H12832=1,$C$12677,IF(Assumptions!$I$56=1,MAX(I12675,Assumptions!$G$56)+Assumptions!$F$56+$C$12676,Assumptions!$E$56))</f>
        <v>0.105</v>
      </c>
      <c r="J12688" s="31" t="n">
        <f aca="false">IF(I12832=1,$C$12677,IF(Assumptions!$I$56=1,MAX(J12675,Assumptions!$G$56)+Assumptions!$F$56+$C$12676,Assumptions!$E$56))</f>
        <v>0.105</v>
      </c>
      <c r="K12688" s="31" t="n">
        <f aca="false">IF(J12832=1,$C$12677,IF(Assumptions!$I$56=1,MAX(K12675,Assumptions!$G$56)+Assumptions!$F$56+$C$12676,Assumptions!$E$56))</f>
        <v>0.105</v>
      </c>
    </row>
    <row r="12689" customFormat="false" ht="15" hidden="false" customHeight="false" outlineLevel="0" collapsed="false">
      <c r="A12689" s="3" t="s">
        <v>312</v>
      </c>
      <c r="G12689" s="25" t="n">
        <f aca="false">G12685*G12688</f>
        <v>138.08529</v>
      </c>
      <c r="H12689" s="25" t="n">
        <f aca="false">H12685*H12688</f>
        <v>138.08529</v>
      </c>
      <c r="I12689" s="25" t="n">
        <f aca="false">I12685*I12688</f>
        <v>138.08529</v>
      </c>
      <c r="J12689" s="25" t="n">
        <f aca="false">J12685*J12688</f>
        <v>138.08529</v>
      </c>
      <c r="K12689" s="25" t="n">
        <f aca="false">K12685*K12688</f>
        <v>138.08529</v>
      </c>
    </row>
    <row r="12690" customFormat="false" ht="15" hidden="false" customHeight="false" outlineLevel="0" collapsed="false">
      <c r="A12690" s="3" t="s">
        <v>313</v>
      </c>
      <c r="G12690" s="25" t="n">
        <f aca="false">G12685*Assumptions!$H$56</f>
        <v>0</v>
      </c>
      <c r="H12690" s="25" t="n">
        <f aca="false">H12685*Assumptions!$H$56</f>
        <v>0</v>
      </c>
      <c r="I12690" s="25" t="n">
        <f aca="false">I12685*Assumptions!$H$56</f>
        <v>0</v>
      </c>
      <c r="J12690" s="25" t="n">
        <f aca="false">J12685*Assumptions!$H$56</f>
        <v>0</v>
      </c>
      <c r="K12690" s="25" t="n">
        <f aca="false">K12685*Assumptions!$H$56</f>
        <v>0</v>
      </c>
    </row>
    <row r="12691" customFormat="false" ht="15" hidden="false" customHeight="false" outlineLevel="0" collapsed="false">
      <c r="A12691" s="3" t="s">
        <v>314</v>
      </c>
      <c r="G12691" s="25" t="n">
        <f aca="false">MIN(G12685,Assumptions!$L$56*Assumptions!$C$56)</f>
        <v>0</v>
      </c>
      <c r="H12691" s="25" t="n">
        <f aca="false">MIN(H12685,Assumptions!$L$56*Assumptions!$C$56)</f>
        <v>0</v>
      </c>
      <c r="I12691" s="25" t="n">
        <f aca="false">MIN(I12685,Assumptions!$L$56*Assumptions!$C$56)</f>
        <v>0</v>
      </c>
      <c r="J12691" s="25" t="n">
        <f aca="false">MIN(J12685,Assumptions!$L$56*Assumptions!$C$56)</f>
        <v>0</v>
      </c>
      <c r="K12691" s="25" t="n">
        <f aca="false">MIN(K12685,Assumptions!$L$56*Assumptions!$C$56)</f>
        <v>0</v>
      </c>
    </row>
    <row r="12692" customFormat="false" ht="15" hidden="false" customHeight="false" outlineLevel="0" collapsed="false">
      <c r="A12692" s="3" t="s">
        <v>315</v>
      </c>
      <c r="G12692" s="25" t="n">
        <f aca="false">IF(AND(Assumptions!$P$56=1,G12649&lt;Assumptions!$K$56),MIN(MAX(0,-G12746),MAX(0,Assumptions!$D$56-G12685)),0)</f>
        <v>0</v>
      </c>
      <c r="H12692" s="25" t="n">
        <f aca="false">IF(AND(Assumptions!$P$56=1,OR(H12649&lt;Assumptions!$K$56,G12832=1)),MIN(MAX(0,-H12746),MAX(0,Assumptions!$D$56-H12685)),0)</f>
        <v>0</v>
      </c>
      <c r="I12692" s="25" t="n">
        <f aca="false">IF(AND(Assumptions!$P$56=1,OR(I12649&lt;Assumptions!$K$56,H12832=1)),MIN(MAX(0,-I12746),MAX(0,Assumptions!$D$56-I12685)),0)</f>
        <v>0</v>
      </c>
      <c r="J12692" s="25" t="n">
        <f aca="false">IF(AND(Assumptions!$P$56=1,OR(J12649&lt;Assumptions!$K$56,I12832=1)),MIN(MAX(0,-J12746),MAX(0,Assumptions!$D$56-J12685)),0)</f>
        <v>0</v>
      </c>
      <c r="K12692" s="25" t="n">
        <f aca="false">IF(AND(Assumptions!$P$56=1,OR(K12649&lt;Assumptions!$K$56,J12832=1)),MIN(MAX(0,-K12746),MAX(0,Assumptions!$D$56-K12685)),0)</f>
        <v>0</v>
      </c>
    </row>
    <row r="12693" customFormat="false" ht="15" hidden="false" customHeight="false" outlineLevel="0" collapsed="false">
      <c r="A12693" s="3" t="s">
        <v>316</v>
      </c>
      <c r="G12693" s="25" t="n">
        <f aca="false">G12686*MIN(G12685-G12691+G12690,MAX(0,G12748-Assumptions!$C$12*G12683))</f>
        <v>0</v>
      </c>
      <c r="H12693" s="25" t="n">
        <f aca="false">H12686*MIN(H12685-H12691+H12690,MAX(0,H12748-Assumptions!$C$12*H12683))</f>
        <v>0</v>
      </c>
      <c r="I12693" s="25" t="n">
        <f aca="false">I12686*MIN(I12685-I12691+I12690,MAX(0,I12748-Assumptions!$C$12*I12683))</f>
        <v>0</v>
      </c>
      <c r="J12693" s="25" t="n">
        <f aca="false">J12686*MIN(J12685-J12691+J12690,MAX(0,J12748-Assumptions!$C$12*J12683))</f>
        <v>0</v>
      </c>
      <c r="K12693" s="25" t="n">
        <f aca="false">K12686*MIN(K12685-K12691+K12690,MAX(0,K12748-Assumptions!$C$12*K12683))</f>
        <v>0</v>
      </c>
    </row>
    <row r="12694" customFormat="false" ht="15" hidden="false" customHeight="false" outlineLevel="0" collapsed="false">
      <c r="A12694" s="3" t="s">
        <v>317</v>
      </c>
      <c r="G12694" s="25" t="n">
        <f aca="false">Assumptions!$N$56*MIN(G12685+G12692+G12690-G12691-G12693,MAX(0,G12752))</f>
        <v>0</v>
      </c>
      <c r="H12694" s="25" t="n">
        <f aca="false">Assumptions!$N$56*MIN(H12685+H12692+H12690-H12691-H12693,MAX(0,H12752))</f>
        <v>0</v>
      </c>
      <c r="I12694" s="25" t="n">
        <f aca="false">Assumptions!$N$56*MIN(I12685+I12692+I12690-I12691-I12693,MAX(0,I12752))</f>
        <v>0</v>
      </c>
      <c r="J12694" s="25" t="n">
        <f aca="false">Assumptions!$N$56*MIN(J12685+J12692+J12690-J12691-J12693,MAX(0,J12752))</f>
        <v>0</v>
      </c>
      <c r="K12694" s="25" t="n">
        <f aca="false">Assumptions!$N$56*MIN(K12685+K12692+K12690-K12691-K12693,MAX(0,K12752))</f>
        <v>0</v>
      </c>
    </row>
    <row r="12695" customFormat="false" ht="15" hidden="false" customHeight="false" outlineLevel="0" collapsed="false">
      <c r="A12695" s="3" t="s">
        <v>318</v>
      </c>
      <c r="G12695" s="25" t="n">
        <f aca="false">G12686*(1-G12683)*(G12685-G12691+G12690-G12693)</f>
        <v>0</v>
      </c>
      <c r="H12695" s="25" t="n">
        <f aca="false">H12686*(1-H12683)*(H12685-H12691+H12690-H12693)</f>
        <v>0</v>
      </c>
      <c r="I12695" s="25" t="n">
        <f aca="false">I12686*(1-I12683)*(I12685-I12691+I12690-I12693)</f>
        <v>0</v>
      </c>
      <c r="J12695" s="25" t="n">
        <f aca="false">J12686*(1-J12683)*(J12685-J12691+J12690-J12693)</f>
        <v>0</v>
      </c>
      <c r="K12695" s="25" t="n">
        <f aca="false">K12686*(1-K12683)*(K12685-K12691+K12690-K12693)</f>
        <v>0</v>
      </c>
    </row>
    <row r="12696" customFormat="false" ht="15" hidden="false" customHeight="false" outlineLevel="0" collapsed="false">
      <c r="A12696" s="2" t="s">
        <v>319</v>
      </c>
      <c r="F12696" s="28" t="n">
        <f aca="false">Assumptions!$C$56</f>
        <v>1315.098</v>
      </c>
      <c r="G12696" s="16" t="n">
        <f aca="false">G12685+G12692+G12690-G12691-G12693-G12694</f>
        <v>1315.098</v>
      </c>
      <c r="H12696" s="16" t="n">
        <f aca="false">H12685+H12692+H12690-H12691-H12693-H12694</f>
        <v>1315.098</v>
      </c>
      <c r="I12696" s="16" t="n">
        <f aca="false">I12685+I12692+I12690-I12691-I12693-I12694</f>
        <v>1315.098</v>
      </c>
      <c r="J12696" s="16" t="n">
        <f aca="false">J12685+J12692+J12690-J12691-J12693-J12694</f>
        <v>1315.098</v>
      </c>
      <c r="K12696" s="16" t="n">
        <f aca="false">K12685+K12692+K12690-K12691-K12693-K12694</f>
        <v>1315.098</v>
      </c>
    </row>
    <row r="12697" customFormat="false" ht="15" hidden="false" customHeight="false" outlineLevel="0" collapsed="false">
      <c r="A12697" s="23" t="s">
        <v>320</v>
      </c>
      <c r="B12697" s="24"/>
      <c r="C12697" s="24"/>
      <c r="D12697" s="24"/>
      <c r="E12697" s="24"/>
      <c r="F12697" s="24"/>
      <c r="G12697" s="24"/>
      <c r="H12697" s="24"/>
      <c r="I12697" s="24"/>
      <c r="J12697" s="24"/>
      <c r="K12697" s="24"/>
    </row>
    <row r="12698" customFormat="false" ht="15" hidden="false" customHeight="false" outlineLevel="0" collapsed="false">
      <c r="A12698" s="3" t="s">
        <v>309</v>
      </c>
      <c r="G12698" s="25" t="n">
        <f aca="false">F12709</f>
        <v>276.706</v>
      </c>
      <c r="H12698" s="25" t="n">
        <f aca="false">G12709</f>
        <v>276.706</v>
      </c>
      <c r="I12698" s="25" t="n">
        <f aca="false">H12709</f>
        <v>276.706</v>
      </c>
      <c r="J12698" s="25" t="n">
        <f aca="false">I12709</f>
        <v>0</v>
      </c>
      <c r="K12698" s="25" t="n">
        <f aca="false">J12709</f>
        <v>0</v>
      </c>
    </row>
    <row r="12699" customFormat="false" ht="15" hidden="false" customHeight="false" outlineLevel="0" collapsed="false">
      <c r="A12699" s="3" t="s">
        <v>310</v>
      </c>
      <c r="G12699" s="20" t="n">
        <f aca="false">IF(G12649=Assumptions!$K$57,1,0)</f>
        <v>0</v>
      </c>
      <c r="H12699" s="20" t="n">
        <f aca="false">IF(H12649=Assumptions!$K$57,1,0)</f>
        <v>0</v>
      </c>
      <c r="I12699" s="20" t="n">
        <f aca="false">IF(I12649=Assumptions!$K$57,1,0)</f>
        <v>1</v>
      </c>
      <c r="J12699" s="20" t="n">
        <f aca="false">IF(J12649=Assumptions!$K$57,1,0)</f>
        <v>0</v>
      </c>
      <c r="K12699" s="20" t="n">
        <f aca="false">IF(K12649=Assumptions!$K$57,1,0)</f>
        <v>0</v>
      </c>
    </row>
    <row r="12701" customFormat="false" ht="15" hidden="false" customHeight="false" outlineLevel="0" collapsed="false">
      <c r="A12701" s="3" t="s">
        <v>311</v>
      </c>
      <c r="G12701" s="31" t="n">
        <f aca="false">IF(Assumptions!$I$57=1,MAX(G12675,Assumptions!$G$57)+Assumptions!$F$57+$C$12676,Assumptions!$E$57)</f>
        <v>0.0425</v>
      </c>
      <c r="H12701" s="31" t="n">
        <f aca="false">IF(G12833=1,$C$12677,IF(Assumptions!$I$57=1,MAX(H12675,Assumptions!$G$57)+Assumptions!$F$57+$C$12676,Assumptions!$E$57))</f>
        <v>0.0425</v>
      </c>
      <c r="I12701" s="31" t="n">
        <f aca="false">IF(H12833=1,$C$12677,IF(Assumptions!$I$57=1,MAX(I12675,Assumptions!$G$57)+Assumptions!$F$57+$C$12676,Assumptions!$E$57))</f>
        <v>0.0425</v>
      </c>
      <c r="J12701" s="31" t="n">
        <f aca="false">IF(I12833=1,$C$12677,IF(Assumptions!$I$57=1,MAX(J12675,Assumptions!$G$57)+Assumptions!$F$57+$C$12676,Assumptions!$E$57))</f>
        <v>0.0425</v>
      </c>
      <c r="K12701" s="31" t="n">
        <f aca="false">IF(J12833=1,$C$12677,IF(Assumptions!$I$57=1,MAX(K12675,Assumptions!$G$57)+Assumptions!$F$57+$C$12676,Assumptions!$E$57))</f>
        <v>0.0425</v>
      </c>
    </row>
    <row r="12702" customFormat="false" ht="15" hidden="false" customHeight="false" outlineLevel="0" collapsed="false">
      <c r="A12702" s="3" t="s">
        <v>312</v>
      </c>
      <c r="G12702" s="25" t="n">
        <f aca="false">G12698*G12701</f>
        <v>11.760005</v>
      </c>
      <c r="H12702" s="25" t="n">
        <f aca="false">H12698*H12701</f>
        <v>11.760005</v>
      </c>
      <c r="I12702" s="25" t="n">
        <f aca="false">I12698*I12701</f>
        <v>11.760005</v>
      </c>
      <c r="J12702" s="25" t="n">
        <f aca="false">J12698*J12701</f>
        <v>0</v>
      </c>
      <c r="K12702" s="25" t="n">
        <f aca="false">K12698*K12701</f>
        <v>0</v>
      </c>
    </row>
    <row r="12703" customFormat="false" ht="15" hidden="false" customHeight="false" outlineLevel="0" collapsed="false">
      <c r="A12703" s="3" t="s">
        <v>313</v>
      </c>
      <c r="G12703" s="25" t="n">
        <f aca="false">G12698*Assumptions!$H$57</f>
        <v>0</v>
      </c>
      <c r="H12703" s="25" t="n">
        <f aca="false">H12698*Assumptions!$H$57</f>
        <v>0</v>
      </c>
      <c r="I12703" s="25" t="n">
        <f aca="false">I12698*Assumptions!$H$57</f>
        <v>0</v>
      </c>
      <c r="J12703" s="25" t="n">
        <f aca="false">J12698*Assumptions!$H$57</f>
        <v>0</v>
      </c>
      <c r="K12703" s="25" t="n">
        <f aca="false">K12698*Assumptions!$H$57</f>
        <v>0</v>
      </c>
    </row>
    <row r="12704" customFormat="false" ht="15" hidden="false" customHeight="false" outlineLevel="0" collapsed="false">
      <c r="A12704" s="3" t="s">
        <v>314</v>
      </c>
      <c r="G12704" s="25" t="n">
        <f aca="false">MIN(G12698,Assumptions!$L$57*Assumptions!$C$57)</f>
        <v>0</v>
      </c>
      <c r="H12704" s="25" t="n">
        <f aca="false">MIN(H12698,Assumptions!$L$57*Assumptions!$C$57)</f>
        <v>0</v>
      </c>
      <c r="I12704" s="25" t="n">
        <f aca="false">MIN(I12698,Assumptions!$L$57*Assumptions!$C$57)</f>
        <v>0</v>
      </c>
      <c r="J12704" s="25" t="n">
        <f aca="false">MIN(J12698,Assumptions!$L$57*Assumptions!$C$57)</f>
        <v>0</v>
      </c>
      <c r="K12704" s="25" t="n">
        <f aca="false">MIN(K12698,Assumptions!$L$57*Assumptions!$C$57)</f>
        <v>0</v>
      </c>
    </row>
    <row r="12705" customFormat="false" ht="15" hidden="false" customHeight="false" outlineLevel="0" collapsed="false">
      <c r="A12705" s="3" t="s">
        <v>315</v>
      </c>
      <c r="G12705" s="25" t="n">
        <f aca="false">IF(AND(Assumptions!$P$57=1,G12649&lt;Assumptions!$K$57),MIN(MAX(0,-G12746),MAX(0,Assumptions!$D$57-G12698)),0)</f>
        <v>0</v>
      </c>
      <c r="H12705" s="25" t="n">
        <f aca="false">IF(AND(Assumptions!$P$57=1,OR(H12649&lt;Assumptions!$K$57,G12833=1)),MIN(MAX(0,-H12746),MAX(0,Assumptions!$D$57-H12698)),0)</f>
        <v>0</v>
      </c>
      <c r="I12705" s="25" t="n">
        <f aca="false">IF(AND(Assumptions!$P$57=1,OR(I12649&lt;Assumptions!$K$57,H12833=1)),MIN(MAX(0,-I12746),MAX(0,Assumptions!$D$57-I12698)),0)</f>
        <v>0</v>
      </c>
      <c r="J12705" s="25" t="n">
        <f aca="false">IF(AND(Assumptions!$P$57=1,OR(J12649&lt;Assumptions!$K$57,I12833=1)),MIN(MAX(0,-J12746),MAX(0,Assumptions!$D$57-J12698)),0)</f>
        <v>0</v>
      </c>
      <c r="K12705" s="25" t="n">
        <f aca="false">IF(AND(Assumptions!$P$57=1,OR(K12649&lt;Assumptions!$K$57,J12833=1)),MIN(MAX(0,-K12746),MAX(0,Assumptions!$D$57-K12698)),0)</f>
        <v>0</v>
      </c>
    </row>
    <row r="12706" customFormat="false" ht="15" hidden="false" customHeight="false" outlineLevel="0" collapsed="false">
      <c r="A12706" s="3" t="s">
        <v>316</v>
      </c>
      <c r="G12706" s="25" t="n">
        <f aca="false">G12699*MIN(G12698-G12704+G12703,MAX(0,G12748-Assumptions!$C$12*G12683-G12693))</f>
        <v>0</v>
      </c>
      <c r="H12706" s="25" t="n">
        <f aca="false">H12699*MIN(H12698-H12704+H12703,MAX(0,H12748-Assumptions!$C$12*H12683-H12693))</f>
        <v>0</v>
      </c>
      <c r="I12706" s="25" t="n">
        <f aca="false">I12699*MIN(I12698-I12704+I12703,MAX(0,I12748-Assumptions!$C$12*I12683-I12693))</f>
        <v>276.706</v>
      </c>
      <c r="J12706" s="25" t="n">
        <f aca="false">J12699*MIN(J12698-J12704+J12703,MAX(0,J12748-Assumptions!$C$12*J12683-J12693))</f>
        <v>0</v>
      </c>
      <c r="K12706" s="25" t="n">
        <f aca="false">K12699*MIN(K12698-K12704+K12703,MAX(0,K12748-Assumptions!$C$12*K12683-K12693))</f>
        <v>0</v>
      </c>
    </row>
    <row r="12707" customFormat="false" ht="15" hidden="false" customHeight="false" outlineLevel="0" collapsed="false">
      <c r="A12707" s="3" t="s">
        <v>317</v>
      </c>
      <c r="G12707" s="25" t="n">
        <f aca="false">Assumptions!$N$57*MIN(G12698+G12705+G12703-G12704-G12706,MAX(0,G12752-G12694))</f>
        <v>0</v>
      </c>
      <c r="H12707" s="25" t="n">
        <f aca="false">Assumptions!$N$57*MIN(H12698+H12705+H12703-H12704-H12706,MAX(0,H12752-H12694))</f>
        <v>0</v>
      </c>
      <c r="I12707" s="25" t="n">
        <f aca="false">Assumptions!$N$57*MIN(I12698+I12705+I12703-I12704-I12706,MAX(0,I12752-I12694))</f>
        <v>0</v>
      </c>
      <c r="J12707" s="25" t="n">
        <f aca="false">Assumptions!$N$57*MIN(J12698+J12705+J12703-J12704-J12706,MAX(0,J12752-J12694))</f>
        <v>0</v>
      </c>
      <c r="K12707" s="25" t="n">
        <f aca="false">Assumptions!$N$57*MIN(K12698+K12705+K12703-K12704-K12706,MAX(0,K12752-K12694))</f>
        <v>0</v>
      </c>
    </row>
    <row r="12708" customFormat="false" ht="15" hidden="false" customHeight="false" outlineLevel="0" collapsed="false">
      <c r="A12708" s="3" t="s">
        <v>318</v>
      </c>
      <c r="G12708" s="25" t="n">
        <f aca="false">G12699*(1-G12683)*(G12698-G12704+G12703-G12706)</f>
        <v>0</v>
      </c>
      <c r="H12708" s="25" t="n">
        <f aca="false">H12699*(1-H12683)*(H12698-H12704+H12703-H12706)</f>
        <v>0</v>
      </c>
      <c r="I12708" s="25" t="n">
        <f aca="false">I12699*(1-I12683)*(I12698-I12704+I12703-I12706)</f>
        <v>0</v>
      </c>
      <c r="J12708" s="25" t="n">
        <f aca="false">J12699*(1-J12683)*(J12698-J12704+J12703-J12706)</f>
        <v>0</v>
      </c>
      <c r="K12708" s="25" t="n">
        <f aca="false">K12699*(1-K12683)*(K12698-K12704+K12703-K12706)</f>
        <v>0</v>
      </c>
    </row>
    <row r="12709" customFormat="false" ht="15" hidden="false" customHeight="false" outlineLevel="0" collapsed="false">
      <c r="A12709" s="2" t="s">
        <v>319</v>
      </c>
      <c r="F12709" s="28" t="n">
        <f aca="false">Assumptions!$C$57</f>
        <v>276.706</v>
      </c>
      <c r="G12709" s="16" t="n">
        <f aca="false">G12698+G12705+G12703-G12704-G12706-G12707</f>
        <v>276.706</v>
      </c>
      <c r="H12709" s="16" t="n">
        <f aca="false">H12698+H12705+H12703-H12704-H12706-H12707</f>
        <v>276.706</v>
      </c>
      <c r="I12709" s="16" t="n">
        <f aca="false">I12698+I12705+I12703-I12704-I12706-I12707</f>
        <v>0</v>
      </c>
      <c r="J12709" s="16" t="n">
        <f aca="false">J12698+J12705+J12703-J12704-J12706-J12707</f>
        <v>0</v>
      </c>
      <c r="K12709" s="16" t="n">
        <f aca="false">K12698+K12705+K12703-K12704-K12706-K12707</f>
        <v>0</v>
      </c>
    </row>
    <row r="12710" customFormat="false" ht="15" hidden="false" customHeight="false" outlineLevel="0" collapsed="false">
      <c r="A12710" s="23" t="s">
        <v>321</v>
      </c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</row>
    <row r="12711" customFormat="false" ht="15" hidden="false" customHeight="false" outlineLevel="0" collapsed="false">
      <c r="A12711" s="3" t="s">
        <v>309</v>
      </c>
      <c r="G12711" s="25" t="n">
        <f aca="false">F12722</f>
        <v>143.75</v>
      </c>
      <c r="H12711" s="25" t="n">
        <f aca="false">G12722</f>
        <v>143.75</v>
      </c>
      <c r="I12711" s="25" t="n">
        <f aca="false">H12722</f>
        <v>143.75</v>
      </c>
      <c r="J12711" s="25" t="n">
        <f aca="false">I12722</f>
        <v>0</v>
      </c>
      <c r="K12711" s="25" t="n">
        <f aca="false">J12722</f>
        <v>0</v>
      </c>
    </row>
    <row r="12712" customFormat="false" ht="15" hidden="false" customHeight="false" outlineLevel="0" collapsed="false">
      <c r="A12712" s="3" t="s">
        <v>310</v>
      </c>
      <c r="G12712" s="20" t="n">
        <f aca="false">IF(G12649=Assumptions!$K$58,1,0)</f>
        <v>0</v>
      </c>
      <c r="H12712" s="20" t="n">
        <f aca="false">IF(H12649=Assumptions!$K$58,1,0)</f>
        <v>0</v>
      </c>
      <c r="I12712" s="20" t="n">
        <f aca="false">IF(I12649=Assumptions!$K$58,1,0)</f>
        <v>1</v>
      </c>
      <c r="J12712" s="20" t="n">
        <f aca="false">IF(J12649=Assumptions!$K$58,1,0)</f>
        <v>0</v>
      </c>
      <c r="K12712" s="20" t="n">
        <f aca="false">IF(K12649=Assumptions!$K$58,1,0)</f>
        <v>0</v>
      </c>
    </row>
    <row r="12714" customFormat="false" ht="15" hidden="false" customHeight="false" outlineLevel="0" collapsed="false">
      <c r="A12714" s="3" t="s">
        <v>311</v>
      </c>
      <c r="G12714" s="31" t="n">
        <f aca="false">IF(Assumptions!$I$58=1,MAX(G12675,Assumptions!$G$58)+Assumptions!$F$58+$C$12676,Assumptions!$E$58)</f>
        <v>0.0425</v>
      </c>
      <c r="H12714" s="31" t="n">
        <f aca="false">IF(G12834=1,$C$12677,IF(Assumptions!$I$58=1,MAX(H12675,Assumptions!$G$58)+Assumptions!$F$58+$C$12676,Assumptions!$E$58))</f>
        <v>0.0425</v>
      </c>
      <c r="I12714" s="31" t="n">
        <f aca="false">IF(H12834=1,$C$12677,IF(Assumptions!$I$58=1,MAX(I12675,Assumptions!$G$58)+Assumptions!$F$58+$C$12676,Assumptions!$E$58))</f>
        <v>0.0425</v>
      </c>
      <c r="J12714" s="31" t="n">
        <f aca="false">IF(I12834=1,$C$12677,IF(Assumptions!$I$58=1,MAX(J12675,Assumptions!$G$58)+Assumptions!$F$58+$C$12676,Assumptions!$E$58))</f>
        <v>0.0425</v>
      </c>
      <c r="K12714" s="31" t="n">
        <f aca="false">IF(J12834=1,$C$12677,IF(Assumptions!$I$58=1,MAX(K12675,Assumptions!$G$58)+Assumptions!$F$58+$C$12676,Assumptions!$E$58))</f>
        <v>0.0425</v>
      </c>
    </row>
    <row r="12715" customFormat="false" ht="15" hidden="false" customHeight="false" outlineLevel="0" collapsed="false">
      <c r="A12715" s="3" t="s">
        <v>312</v>
      </c>
      <c r="G12715" s="25" t="n">
        <f aca="false">G12711*G12714</f>
        <v>6.109375</v>
      </c>
      <c r="H12715" s="25" t="n">
        <f aca="false">H12711*H12714</f>
        <v>6.109375</v>
      </c>
      <c r="I12715" s="25" t="n">
        <f aca="false">I12711*I12714</f>
        <v>6.109375</v>
      </c>
      <c r="J12715" s="25" t="n">
        <f aca="false">J12711*J12714</f>
        <v>0</v>
      </c>
      <c r="K12715" s="25" t="n">
        <f aca="false">K12711*K12714</f>
        <v>0</v>
      </c>
    </row>
    <row r="12716" customFormat="false" ht="15" hidden="false" customHeight="false" outlineLevel="0" collapsed="false">
      <c r="A12716" s="3" t="s">
        <v>313</v>
      </c>
      <c r="G12716" s="25" t="n">
        <f aca="false">G12711*Assumptions!$H$58</f>
        <v>0</v>
      </c>
      <c r="H12716" s="25" t="n">
        <f aca="false">H12711*Assumptions!$H$58</f>
        <v>0</v>
      </c>
      <c r="I12716" s="25" t="n">
        <f aca="false">I12711*Assumptions!$H$58</f>
        <v>0</v>
      </c>
      <c r="J12716" s="25" t="n">
        <f aca="false">J12711*Assumptions!$H$58</f>
        <v>0</v>
      </c>
      <c r="K12716" s="25" t="n">
        <f aca="false">K12711*Assumptions!$H$58</f>
        <v>0</v>
      </c>
    </row>
    <row r="12717" customFormat="false" ht="15" hidden="false" customHeight="false" outlineLevel="0" collapsed="false">
      <c r="A12717" s="3" t="s">
        <v>314</v>
      </c>
      <c r="G12717" s="25" t="n">
        <f aca="false">MIN(G12711,Assumptions!$L$58*Assumptions!$C$58)</f>
        <v>0</v>
      </c>
      <c r="H12717" s="25" t="n">
        <f aca="false">MIN(H12711,Assumptions!$L$58*Assumptions!$C$58)</f>
        <v>0</v>
      </c>
      <c r="I12717" s="25" t="n">
        <f aca="false">MIN(I12711,Assumptions!$L$58*Assumptions!$C$58)</f>
        <v>0</v>
      </c>
      <c r="J12717" s="25" t="n">
        <f aca="false">MIN(J12711,Assumptions!$L$58*Assumptions!$C$58)</f>
        <v>0</v>
      </c>
      <c r="K12717" s="25" t="n">
        <f aca="false">MIN(K12711,Assumptions!$L$58*Assumptions!$C$58)</f>
        <v>0</v>
      </c>
    </row>
    <row r="12718" customFormat="false" ht="15" hidden="false" customHeight="false" outlineLevel="0" collapsed="false">
      <c r="A12718" s="3" t="s">
        <v>315</v>
      </c>
      <c r="G12718" s="25" t="n">
        <f aca="false">IF(AND(Assumptions!$P$58=1,G12649&lt;Assumptions!$K$58),MIN(MAX(0,-G12746),MAX(0,Assumptions!$D$58-G12711)),0)</f>
        <v>0</v>
      </c>
      <c r="H12718" s="25" t="n">
        <f aca="false">IF(AND(Assumptions!$P$58=1,OR(H12649&lt;Assumptions!$K$58,G12834=1)),MIN(MAX(0,-H12746),MAX(0,Assumptions!$D$58-H12711)),0)</f>
        <v>0</v>
      </c>
      <c r="I12718" s="25" t="n">
        <f aca="false">IF(AND(Assumptions!$P$58=1,OR(I12649&lt;Assumptions!$K$58,H12834=1)),MIN(MAX(0,-I12746),MAX(0,Assumptions!$D$58-I12711)),0)</f>
        <v>0</v>
      </c>
      <c r="J12718" s="25" t="n">
        <f aca="false">IF(AND(Assumptions!$P$58=1,OR(J12649&lt;Assumptions!$K$58,I12834=1)),MIN(MAX(0,-J12746),MAX(0,Assumptions!$D$58-J12711)),0)</f>
        <v>0</v>
      </c>
      <c r="K12718" s="25" t="n">
        <f aca="false">IF(AND(Assumptions!$P$58=1,OR(K12649&lt;Assumptions!$K$58,J12834=1)),MIN(MAX(0,-K12746),MAX(0,Assumptions!$D$58-K12711)),0)</f>
        <v>0</v>
      </c>
    </row>
    <row r="12719" customFormat="false" ht="15" hidden="false" customHeight="false" outlineLevel="0" collapsed="false">
      <c r="A12719" s="3" t="s">
        <v>316</v>
      </c>
      <c r="G12719" s="25" t="n">
        <f aca="false">G12712*MIN(G12711-G12717+G12716,MAX(0,G12748-Assumptions!$C$12*G12683-G12693-G12706))</f>
        <v>0</v>
      </c>
      <c r="H12719" s="25" t="n">
        <f aca="false">H12712*MIN(H12711-H12717+H12716,MAX(0,H12748-Assumptions!$C$12*H12683-H12693-H12706))</f>
        <v>0</v>
      </c>
      <c r="I12719" s="25" t="n">
        <f aca="false">I12712*MIN(I12711-I12717+I12716,MAX(0,I12748-Assumptions!$C$12*I12683-I12693-I12706))</f>
        <v>143.75</v>
      </c>
      <c r="J12719" s="25" t="n">
        <f aca="false">J12712*MIN(J12711-J12717+J12716,MAX(0,J12748-Assumptions!$C$12*J12683-J12693-J12706))</f>
        <v>0</v>
      </c>
      <c r="K12719" s="25" t="n">
        <f aca="false">K12712*MIN(K12711-K12717+K12716,MAX(0,K12748-Assumptions!$C$12*K12683-K12693-K12706))</f>
        <v>0</v>
      </c>
    </row>
    <row r="12720" customFormat="false" ht="15" hidden="false" customHeight="false" outlineLevel="0" collapsed="false">
      <c r="A12720" s="3" t="s">
        <v>317</v>
      </c>
      <c r="G12720" s="25" t="n">
        <f aca="false">Assumptions!$N$58*MIN(G12711+G12718+G12716-G12717-G12719,MAX(0,G12752-G12694-G12707))</f>
        <v>0</v>
      </c>
      <c r="H12720" s="25" t="n">
        <f aca="false">Assumptions!$N$58*MIN(H12711+H12718+H12716-H12717-H12719,MAX(0,H12752-H12694-H12707))</f>
        <v>0</v>
      </c>
      <c r="I12720" s="25" t="n">
        <f aca="false">Assumptions!$N$58*MIN(I12711+I12718+I12716-I12717-I12719,MAX(0,I12752-I12694-I12707))</f>
        <v>0</v>
      </c>
      <c r="J12720" s="25" t="n">
        <f aca="false">Assumptions!$N$58*MIN(J12711+J12718+J12716-J12717-J12719,MAX(0,J12752-J12694-J12707))</f>
        <v>0</v>
      </c>
      <c r="K12720" s="25" t="n">
        <f aca="false">Assumptions!$N$58*MIN(K12711+K12718+K12716-K12717-K12719,MAX(0,K12752-K12694-K12707))</f>
        <v>0</v>
      </c>
    </row>
    <row r="12721" customFormat="false" ht="15" hidden="false" customHeight="false" outlineLevel="0" collapsed="false">
      <c r="A12721" s="3" t="s">
        <v>318</v>
      </c>
      <c r="G12721" s="25" t="n">
        <f aca="false">G12712*(1-G12683)*(G12711-G12717+G12716-G12719)</f>
        <v>0</v>
      </c>
      <c r="H12721" s="25" t="n">
        <f aca="false">H12712*(1-H12683)*(H12711-H12717+H12716-H12719)</f>
        <v>0</v>
      </c>
      <c r="I12721" s="25" t="n">
        <f aca="false">I12712*(1-I12683)*(I12711-I12717+I12716-I12719)</f>
        <v>0</v>
      </c>
      <c r="J12721" s="25" t="n">
        <f aca="false">J12712*(1-J12683)*(J12711-J12717+J12716-J12719)</f>
        <v>0</v>
      </c>
      <c r="K12721" s="25" t="n">
        <f aca="false">K12712*(1-K12683)*(K12711-K12717+K12716-K12719)</f>
        <v>0</v>
      </c>
    </row>
    <row r="12722" customFormat="false" ht="15" hidden="false" customHeight="false" outlineLevel="0" collapsed="false">
      <c r="A12722" s="2" t="s">
        <v>319</v>
      </c>
      <c r="F12722" s="28" t="n">
        <f aca="false">Assumptions!$C$58</f>
        <v>143.75</v>
      </c>
      <c r="G12722" s="16" t="n">
        <f aca="false">G12711+G12718+G12716-G12717-G12719-G12720</f>
        <v>143.75</v>
      </c>
      <c r="H12722" s="16" t="n">
        <f aca="false">H12711+H12718+H12716-H12717-H12719-H12720</f>
        <v>143.75</v>
      </c>
      <c r="I12722" s="16" t="n">
        <f aca="false">I12711+I12718+I12716-I12717-I12719-I12720</f>
        <v>0</v>
      </c>
      <c r="J12722" s="16" t="n">
        <f aca="false">J12711+J12718+J12716-J12717-J12719-J12720</f>
        <v>0</v>
      </c>
      <c r="K12722" s="16" t="n">
        <f aca="false">K12711+K12718+K12716-K12717-K12719-K12720</f>
        <v>0</v>
      </c>
    </row>
    <row r="12723" customFormat="false" ht="15" hidden="false" customHeight="false" outlineLevel="0" collapsed="false">
      <c r="A12723" s="23" t="s">
        <v>322</v>
      </c>
      <c r="B12723" s="24"/>
      <c r="C12723" s="24"/>
      <c r="D12723" s="24"/>
      <c r="E12723" s="24"/>
      <c r="F12723" s="24"/>
      <c r="G12723" s="24"/>
      <c r="H12723" s="24"/>
      <c r="I12723" s="24"/>
      <c r="J12723" s="24"/>
      <c r="K12723" s="24"/>
    </row>
    <row r="12724" customFormat="false" ht="15" hidden="false" customHeight="false" outlineLevel="0" collapsed="false">
      <c r="A12724" s="2" t="s">
        <v>323</v>
      </c>
      <c r="F12724" s="16" t="n">
        <f aca="false">F12696+F12709+F12722</f>
        <v>1735.554</v>
      </c>
      <c r="G12724" s="16" t="n">
        <f aca="false">G12696+G12709+G12722</f>
        <v>1735.554</v>
      </c>
      <c r="H12724" s="16" t="n">
        <f aca="false">H12696+H12709+H12722</f>
        <v>1735.554</v>
      </c>
      <c r="I12724" s="16" t="n">
        <f aca="false">I12696+I12709+I12722</f>
        <v>1315.098</v>
      </c>
      <c r="J12724" s="16" t="n">
        <f aca="false">J12696+J12709+J12722</f>
        <v>1315.098</v>
      </c>
      <c r="K12724" s="16" t="n">
        <f aca="false">K12696+K12709+K12722</f>
        <v>1315.098</v>
      </c>
    </row>
    <row r="12725" customFormat="false" ht="15" hidden="false" customHeight="false" outlineLevel="0" collapsed="false">
      <c r="A12725" s="3" t="s">
        <v>324</v>
      </c>
      <c r="G12725" s="25" t="n">
        <f aca="false">G12686*Assumptions!$C$56+G12699*Assumptions!$C$57+G12712*Assumptions!$C$58</f>
        <v>0</v>
      </c>
      <c r="H12725" s="25" t="n">
        <f aca="false">H12686*Assumptions!$C$56+H12699*Assumptions!$C$57+H12712*Assumptions!$C$58</f>
        <v>0</v>
      </c>
      <c r="I12725" s="25" t="n">
        <f aca="false">I12686*Assumptions!$C$56+I12699*Assumptions!$C$57+I12712*Assumptions!$C$58</f>
        <v>420.456</v>
      </c>
      <c r="J12725" s="25" t="n">
        <f aca="false">J12686*Assumptions!$C$56+J12699*Assumptions!$C$57+J12712*Assumptions!$C$58</f>
        <v>0</v>
      </c>
      <c r="K12725" s="25" t="n">
        <f aca="false">K12686*Assumptions!$C$56+K12699*Assumptions!$C$57+K12712*Assumptions!$C$58</f>
        <v>0</v>
      </c>
    </row>
    <row r="12726" customFormat="false" ht="15" hidden="false" customHeight="false" outlineLevel="0" collapsed="false">
      <c r="A12726" s="23" t="s">
        <v>325</v>
      </c>
      <c r="B12726" s="24"/>
      <c r="C12726" s="24"/>
      <c r="D12726" s="24"/>
      <c r="E12726" s="24"/>
      <c r="F12726" s="24"/>
      <c r="G12726" s="24"/>
      <c r="H12726" s="24"/>
      <c r="I12726" s="24"/>
      <c r="J12726" s="24"/>
      <c r="K12726" s="24"/>
    </row>
    <row r="12727" customFormat="false" ht="15" hidden="false" customHeight="false" outlineLevel="0" collapsed="false">
      <c r="A12727" s="3" t="s">
        <v>326</v>
      </c>
      <c r="C12727" s="25" t="n">
        <f aca="false">SUMPRODUCT($G$12686:$K$12686,$G$12685:$K$12685-$G$12691:$K$12691+$G$12690:$K$12690)</f>
        <v>0</v>
      </c>
    </row>
    <row r="12728" customFormat="false" ht="15" hidden="false" customHeight="false" outlineLevel="0" collapsed="false">
      <c r="A12728" s="3" t="s">
        <v>327</v>
      </c>
      <c r="C12728" s="25" t="n">
        <f aca="false">SUMPRODUCT($G$12686:$K$12686,$G$12693:$K$12693)</f>
        <v>0</v>
      </c>
    </row>
    <row r="12729" customFormat="false" ht="15" hidden="false" customHeight="false" outlineLevel="0" collapsed="false">
      <c r="A12729" s="3" t="s">
        <v>328</v>
      </c>
      <c r="C12729" s="3" t="str">
        <f aca="false">IF(SUM($G$12686:$K$12686)=0,"n/a (beyond horizon)",IF(SUMPRODUCT($G$12686:$K$12686,$G$12683:$K$12683)&gt;0,"REFINANCING PASS","REFINANCING FAILURE"))</f>
        <v>n/a (beyond horizon)</v>
      </c>
    </row>
    <row r="12730" customFormat="false" ht="15" hidden="false" customHeight="false" outlineLevel="0" collapsed="false">
      <c r="A12730" s="3" t="s">
        <v>329</v>
      </c>
      <c r="C12730" s="3" t="str">
        <f aca="false">IF(SUM($G$12686:$K$12686)=0,"n/a",IF(C12728&gt;=C12727-0.001,"Repaid from cash",IF(SUMPRODUCT($G$12686:$K$12686,$G$12683:$K$12683)&gt;0,IF(C12728&gt;0,"Partly repaid; remainder refinanced","Refinanced"),IF(SUM($G$12695:$K$12695)&gt;0.001,IF(C12728&gt;0,"Partial repayment; PAYMENT DEFAULT","PAYMENT DEFAULT"),"Repaid from cash"))))</f>
        <v>n/a</v>
      </c>
    </row>
    <row r="12731" customFormat="false" ht="15" hidden="false" customHeight="false" outlineLevel="0" collapsed="false">
      <c r="A12731" s="3" t="s">
        <v>330</v>
      </c>
      <c r="C12731" s="25" t="n">
        <f aca="false">SUMPRODUCT($G$12699:$K$12699,$G$12698:$K$12698-$G$12704:$K$12704+$G$12703:$K$12703)</f>
        <v>276.706</v>
      </c>
    </row>
    <row r="12732" customFormat="false" ht="15" hidden="false" customHeight="false" outlineLevel="0" collapsed="false">
      <c r="A12732" s="3" t="s">
        <v>331</v>
      </c>
      <c r="C12732" s="25" t="n">
        <f aca="false">SUMPRODUCT($G$12699:$K$12699,$G$12706:$K$12706)</f>
        <v>276.706</v>
      </c>
    </row>
    <row r="12733" customFormat="false" ht="15" hidden="false" customHeight="false" outlineLevel="0" collapsed="false">
      <c r="A12733" s="3" t="s">
        <v>332</v>
      </c>
      <c r="C12733" s="3" t="str">
        <f aca="false">IF(SUM($G$12699:$K$12699)=0,"n/a (beyond horizon)",IF(SUMPRODUCT($G$12699:$K$12699,$G$12683:$K$12683)&gt;0,"REFINANCING PASS","REFINANCING FAILURE"))</f>
        <v>REFINANCING FAILURE</v>
      </c>
    </row>
    <row r="12734" customFormat="false" ht="15" hidden="false" customHeight="false" outlineLevel="0" collapsed="false">
      <c r="A12734" s="3" t="s">
        <v>333</v>
      </c>
      <c r="C12734" s="3" t="str">
        <f aca="false">IF(SUM($G$12699:$K$12699)=0,"n/a",IF(C12732&gt;=C12731-0.001,"Repaid from cash",IF(SUMPRODUCT($G$12699:$K$12699,$G$12683:$K$12683)&gt;0,IF(C12732&gt;0,"Partly repaid; remainder refinanced","Refinanced"),IF(SUM($G$12708:$K$12708)&gt;0.001,IF(C12732&gt;0,"Partial repayment; PAYMENT DEFAULT","PAYMENT DEFAULT"),"Repaid from cash"))))</f>
        <v>Repaid from cash</v>
      </c>
    </row>
    <row r="12735" customFormat="false" ht="15" hidden="false" customHeight="false" outlineLevel="0" collapsed="false">
      <c r="A12735" s="3" t="s">
        <v>334</v>
      </c>
      <c r="C12735" s="25" t="n">
        <f aca="false">SUMPRODUCT($G$12712:$K$12712,$G$12711:$K$12711-$G$12717:$K$12717+$G$12716:$K$12716)</f>
        <v>143.75</v>
      </c>
    </row>
    <row r="12736" customFormat="false" ht="15" hidden="false" customHeight="false" outlineLevel="0" collapsed="false">
      <c r="A12736" s="3" t="s">
        <v>335</v>
      </c>
      <c r="C12736" s="25" t="n">
        <f aca="false">SUMPRODUCT($G$12712:$K$12712,$G$12719:$K$12719)</f>
        <v>143.75</v>
      </c>
    </row>
    <row r="12737" customFormat="false" ht="15" hidden="false" customHeight="false" outlineLevel="0" collapsed="false">
      <c r="A12737" s="3" t="s">
        <v>336</v>
      </c>
      <c r="C12737" s="3" t="str">
        <f aca="false">IF(SUM($G$12712:$K$12712)=0,"n/a (beyond horizon)",IF(SUMPRODUCT($G$12712:$K$12712,$G$12683:$K$12683)&gt;0,"REFINANCING PASS","REFINANCING FAILURE"))</f>
        <v>REFINANCING FAILURE</v>
      </c>
    </row>
    <row r="12738" customFormat="false" ht="15" hidden="false" customHeight="false" outlineLevel="0" collapsed="false">
      <c r="A12738" s="3" t="s">
        <v>337</v>
      </c>
      <c r="C12738" s="3" t="str">
        <f aca="false">IF(SUM($G$12712:$K$12712)=0,"n/a",IF(C12736&gt;=C12735-0.001,"Repaid from cash",IF(SUMPRODUCT($G$12712:$K$12712,$G$12683:$K$12683)&gt;0,IF(C12736&gt;0,"Partly repaid; remainder refinanced","Refinanced"),IF(SUM($G$12721:$K$12721)&gt;0.001,IF(C12736&gt;0,"Partial repayment; PAYMENT DEFAULT","PAYMENT DEFAULT"),"Repaid from cash"))))</f>
        <v>Repaid from cash</v>
      </c>
    </row>
    <row r="12739" customFormat="false" ht="15" hidden="false" customHeight="false" outlineLevel="0" collapsed="false">
      <c r="A12739" s="3" t="s">
        <v>338</v>
      </c>
      <c r="C12739" s="20" t="n">
        <f aca="false">IF(C12729="REFINANCING FAILURE",1,0)+IF(C12733="REFINANCING FAILURE",1,0)+IF(C12737="REFINANCING FAILURE",1,0)</f>
        <v>2</v>
      </c>
    </row>
    <row r="12741" customFormat="false" ht="15" hidden="false" customHeight="false" outlineLevel="0" collapsed="false">
      <c r="A12741" s="23" t="s">
        <v>340</v>
      </c>
      <c r="B12741" s="24"/>
      <c r="C12741" s="24"/>
      <c r="D12741" s="24"/>
      <c r="E12741" s="24"/>
      <c r="F12741" s="24"/>
      <c r="G12741" s="24"/>
      <c r="H12741" s="24"/>
      <c r="I12741" s="24"/>
      <c r="J12741" s="24"/>
      <c r="K12741" s="24"/>
    </row>
    <row r="12742" customFormat="false" ht="15" hidden="false" customHeight="false" outlineLevel="0" collapsed="false">
      <c r="A12742" s="3" t="s">
        <v>305</v>
      </c>
      <c r="G12742" s="25" t="n">
        <f aca="false">F12754</f>
        <v>463.996</v>
      </c>
      <c r="H12742" s="25" t="n">
        <f aca="false">G12754</f>
        <v>518.82154744</v>
      </c>
      <c r="I12742" s="25" t="n">
        <f aca="false">H12754</f>
        <v>539.6742833632</v>
      </c>
      <c r="J12742" s="25" t="n">
        <f aca="false">I12754</f>
        <v>120.430022671888</v>
      </c>
      <c r="K12742" s="25" t="n">
        <f aca="false">J12754</f>
        <v>123.071896868977</v>
      </c>
    </row>
    <row r="12743" customFormat="false" ht="15" hidden="false" customHeight="false" outlineLevel="0" collapsed="false">
      <c r="A12743" s="3" t="s">
        <v>341</v>
      </c>
      <c r="G12743" s="25" t="n">
        <f aca="false">G12672</f>
        <v>54.8255474399999</v>
      </c>
      <c r="H12743" s="25" t="n">
        <f aca="false">H12672</f>
        <v>20.8527359232</v>
      </c>
      <c r="I12743" s="25" t="n">
        <f aca="false">I12672</f>
        <v>1.21173930868796</v>
      </c>
      <c r="J12743" s="25" t="n">
        <f aca="false">J12672</f>
        <v>2.6418741970896</v>
      </c>
      <c r="K12743" s="25" t="n">
        <f aca="false">K12672</f>
        <v>-4.39448401276491</v>
      </c>
    </row>
    <row r="12744" customFormat="false" ht="15" hidden="false" customHeight="false" outlineLevel="0" collapsed="false">
      <c r="A12744" s="3" t="s">
        <v>342</v>
      </c>
      <c r="G12744" s="25" t="n">
        <f aca="false">CHOOSE($C$12642,Assumptions!$G$74,Assumptions!$G$93,Assumptions!$G$112)</f>
        <v>0</v>
      </c>
      <c r="H12744" s="25" t="n">
        <f aca="false">CHOOSE($C$12642,Assumptions!$H$74,Assumptions!$H$93,Assumptions!$H$112)</f>
        <v>0</v>
      </c>
      <c r="I12744" s="25" t="n">
        <f aca="false">CHOOSE($C$12642,Assumptions!$I$74,Assumptions!$I$93,Assumptions!$I$112)</f>
        <v>0</v>
      </c>
      <c r="J12744" s="25" t="n">
        <f aca="false">CHOOSE($C$12642,Assumptions!$J$74,Assumptions!$J$93,Assumptions!$J$112)</f>
        <v>0</v>
      </c>
      <c r="K12744" s="25" t="n">
        <f aca="false">CHOOSE($C$12642,Assumptions!$K$74,Assumptions!$K$93,Assumptions!$K$112)</f>
        <v>0</v>
      </c>
    </row>
    <row r="12745" customFormat="false" ht="15" hidden="false" customHeight="false" outlineLevel="0" collapsed="false">
      <c r="A12745" s="3" t="s">
        <v>343</v>
      </c>
      <c r="G12745" s="25" t="n">
        <f aca="false">G12691+G12704+G12717</f>
        <v>0</v>
      </c>
      <c r="H12745" s="25" t="n">
        <f aca="false">H12691+H12704+H12717</f>
        <v>0</v>
      </c>
      <c r="I12745" s="25" t="n">
        <f aca="false">I12691+I12704+I12717</f>
        <v>0</v>
      </c>
      <c r="J12745" s="25" t="n">
        <f aca="false">J12691+J12704+J12717</f>
        <v>0</v>
      </c>
      <c r="K12745" s="25" t="n">
        <f aca="false">K12691+K12704+K12717</f>
        <v>0</v>
      </c>
    </row>
    <row r="12746" customFormat="false" ht="15" hidden="false" customHeight="false" outlineLevel="0" collapsed="false">
      <c r="A12746" s="2" t="s">
        <v>344</v>
      </c>
      <c r="G12746" s="16" t="n">
        <f aca="false">G12742+G12743+G12744-G12745</f>
        <v>518.82154744</v>
      </c>
      <c r="H12746" s="16" t="n">
        <f aca="false">H12742+H12743+H12744-H12745</f>
        <v>539.6742833632</v>
      </c>
      <c r="I12746" s="16" t="n">
        <f aca="false">I12742+I12743+I12744-I12745</f>
        <v>540.886022671888</v>
      </c>
      <c r="J12746" s="16" t="n">
        <f aca="false">J12742+J12743+J12744-J12745</f>
        <v>123.071896868977</v>
      </c>
      <c r="K12746" s="16" t="n">
        <f aca="false">K12742+K12743+K12744-K12745</f>
        <v>118.677412856212</v>
      </c>
    </row>
    <row r="12747" customFormat="false" ht="15" hidden="false" customHeight="false" outlineLevel="0" collapsed="false">
      <c r="A12747" s="3" t="s">
        <v>345</v>
      </c>
      <c r="G12747" s="25" t="n">
        <f aca="false">G12692+G12705+G12718</f>
        <v>0</v>
      </c>
      <c r="H12747" s="25" t="n">
        <f aca="false">H12692+H12705+H12718</f>
        <v>0</v>
      </c>
      <c r="I12747" s="25" t="n">
        <f aca="false">I12692+I12705+I12718</f>
        <v>0</v>
      </c>
      <c r="J12747" s="25" t="n">
        <f aca="false">J12692+J12705+J12718</f>
        <v>0</v>
      </c>
      <c r="K12747" s="25" t="n">
        <f aca="false">K12692+K12705+K12718</f>
        <v>0</v>
      </c>
    </row>
    <row r="12748" customFormat="false" ht="15" hidden="false" customHeight="false" outlineLevel="0" collapsed="false">
      <c r="A12748" s="2" t="s">
        <v>346</v>
      </c>
      <c r="G12748" s="16" t="n">
        <f aca="false">G12746+G12747</f>
        <v>518.82154744</v>
      </c>
      <c r="H12748" s="16" t="n">
        <f aca="false">H12746+H12747</f>
        <v>539.6742833632</v>
      </c>
      <c r="I12748" s="16" t="n">
        <f aca="false">I12746+I12747</f>
        <v>540.886022671888</v>
      </c>
      <c r="J12748" s="16" t="n">
        <f aca="false">J12746+J12747</f>
        <v>123.071896868977</v>
      </c>
      <c r="K12748" s="16" t="n">
        <f aca="false">K12746+K12747</f>
        <v>118.677412856212</v>
      </c>
    </row>
    <row r="12749" customFormat="false" ht="15" hidden="false" customHeight="false" outlineLevel="0" collapsed="false">
      <c r="A12749" s="3" t="s">
        <v>347</v>
      </c>
      <c r="G12749" s="25" t="n">
        <f aca="false">G12693+G12706+G12719</f>
        <v>0</v>
      </c>
      <c r="H12749" s="25" t="n">
        <f aca="false">H12693+H12706+H12719</f>
        <v>0</v>
      </c>
      <c r="I12749" s="25" t="n">
        <f aca="false">I12693+I12706+I12719</f>
        <v>420.456</v>
      </c>
      <c r="J12749" s="25" t="n">
        <f aca="false">J12693+J12706+J12719</f>
        <v>0</v>
      </c>
      <c r="K12749" s="25" t="n">
        <f aca="false">K12693+K12706+K12719</f>
        <v>0</v>
      </c>
    </row>
    <row r="12750" customFormat="false" ht="15" hidden="false" customHeight="false" outlineLevel="0" collapsed="false">
      <c r="A12750" s="2" t="s">
        <v>348</v>
      </c>
      <c r="G12750" s="16" t="n">
        <f aca="false">G12748-G12749</f>
        <v>518.82154744</v>
      </c>
      <c r="H12750" s="16" t="n">
        <f aca="false">H12748-H12749</f>
        <v>539.6742833632</v>
      </c>
      <c r="I12750" s="16" t="n">
        <f aca="false">I12748-I12749</f>
        <v>120.430022671888</v>
      </c>
      <c r="J12750" s="16" t="n">
        <f aca="false">J12748-J12749</f>
        <v>123.071896868977</v>
      </c>
      <c r="K12750" s="16" t="n">
        <f aca="false">K12748-K12749</f>
        <v>118.677412856212</v>
      </c>
    </row>
    <row r="12751" customFormat="false" ht="15" hidden="false" customHeight="false" outlineLevel="0" collapsed="false">
      <c r="A12751" s="3" t="s">
        <v>349</v>
      </c>
      <c r="G12751" s="25" t="n">
        <f aca="false">MAX(0,-G12750)</f>
        <v>0</v>
      </c>
      <c r="H12751" s="25" t="n">
        <f aca="false">MAX(0,-H12750)</f>
        <v>0</v>
      </c>
      <c r="I12751" s="25" t="n">
        <f aca="false">MAX(0,-I12750)</f>
        <v>0</v>
      </c>
      <c r="J12751" s="25" t="n">
        <f aca="false">MAX(0,-J12750)</f>
        <v>0</v>
      </c>
      <c r="K12751" s="25" t="n">
        <f aca="false">MAX(0,-K12750)</f>
        <v>0</v>
      </c>
    </row>
    <row r="12752" customFormat="false" ht="15" hidden="false" customHeight="false" outlineLevel="0" collapsed="false">
      <c r="A12752" s="3" t="s">
        <v>350</v>
      </c>
      <c r="G12752" s="25" t="n">
        <f aca="false">MAX(0,G12750-Assumptions!$C$12)*Assumptions!$C$13</f>
        <v>0</v>
      </c>
      <c r="H12752" s="25" t="n">
        <f aca="false">MAX(0,H12750-Assumptions!$C$12)*Assumptions!$C$13</f>
        <v>0</v>
      </c>
      <c r="I12752" s="25" t="n">
        <f aca="false">MAX(0,I12750-Assumptions!$C$12)*Assumptions!$C$13</f>
        <v>0</v>
      </c>
      <c r="J12752" s="25" t="n">
        <f aca="false">MAX(0,J12750-Assumptions!$C$12)*Assumptions!$C$13</f>
        <v>0</v>
      </c>
      <c r="K12752" s="25" t="n">
        <f aca="false">MAX(0,K12750-Assumptions!$C$12)*Assumptions!$C$13</f>
        <v>0</v>
      </c>
    </row>
    <row r="12753" customFormat="false" ht="15" hidden="false" customHeight="false" outlineLevel="0" collapsed="false">
      <c r="A12753" s="3" t="s">
        <v>351</v>
      </c>
      <c r="G12753" s="25" t="n">
        <f aca="false">G12694+G12707+G12720</f>
        <v>0</v>
      </c>
      <c r="H12753" s="25" t="n">
        <f aca="false">H12694+H12707+H12720</f>
        <v>0</v>
      </c>
      <c r="I12753" s="25" t="n">
        <f aca="false">I12694+I12707+I12720</f>
        <v>0</v>
      </c>
      <c r="J12753" s="25" t="n">
        <f aca="false">J12694+J12707+J12720</f>
        <v>0</v>
      </c>
      <c r="K12753" s="25" t="n">
        <f aca="false">K12694+K12707+K12720</f>
        <v>0</v>
      </c>
    </row>
    <row r="12754" customFormat="false" ht="15" hidden="false" customHeight="false" outlineLevel="0" collapsed="false">
      <c r="A12754" s="2" t="s">
        <v>352</v>
      </c>
      <c r="F12754" s="28" t="n">
        <f aca="false">Assumptions!$C$11</f>
        <v>463.996</v>
      </c>
      <c r="G12754" s="16" t="n">
        <f aca="false">G12750-G12753</f>
        <v>518.82154744</v>
      </c>
      <c r="H12754" s="16" t="n">
        <f aca="false">H12750-H12753</f>
        <v>539.6742833632</v>
      </c>
      <c r="I12754" s="16" t="n">
        <f aca="false">I12750-I12753</f>
        <v>120.430022671888</v>
      </c>
      <c r="J12754" s="16" t="n">
        <f aca="false">J12750-J12753</f>
        <v>123.071896868977</v>
      </c>
      <c r="K12754" s="16" t="n">
        <f aca="false">K12750-K12753</f>
        <v>118.677412856212</v>
      </c>
    </row>
    <row r="12755" customFormat="false" ht="15" hidden="false" customHeight="false" outlineLevel="0" collapsed="false">
      <c r="A12755" s="3" t="s">
        <v>353</v>
      </c>
      <c r="G12755" s="25" t="n">
        <f aca="false">G12695+G12708+G12721</f>
        <v>0</v>
      </c>
      <c r="H12755" s="25" t="n">
        <f aca="false">H12695+H12708+H12721</f>
        <v>0</v>
      </c>
      <c r="I12755" s="25" t="n">
        <f aca="false">I12695+I12708+I12721</f>
        <v>0</v>
      </c>
      <c r="J12755" s="25" t="n">
        <f aca="false">J12695+J12708+J12721</f>
        <v>0</v>
      </c>
      <c r="K12755" s="25" t="n">
        <f aca="false">K12695+K12708+K12721</f>
        <v>0</v>
      </c>
    </row>
    <row r="12756" customFormat="false" ht="15" hidden="false" customHeight="false" outlineLevel="0" collapsed="false">
      <c r="A12756" s="3" t="s">
        <v>354</v>
      </c>
      <c r="G12756" s="20" t="n">
        <f aca="false">IF(OR(G12751&gt;0.001,G12755&gt;0.001),1,0)</f>
        <v>0</v>
      </c>
      <c r="H12756" s="20" t="n">
        <f aca="false">IF(OR(H12751&gt;0.001,H12755&gt;0.001),1,0)</f>
        <v>0</v>
      </c>
      <c r="I12756" s="20" t="n">
        <f aca="false">IF(OR(I12751&gt;0.001,I12755&gt;0.001),1,0)</f>
        <v>0</v>
      </c>
      <c r="J12756" s="20" t="n">
        <f aca="false">IF(OR(J12751&gt;0.001,J12755&gt;0.001),1,0)</f>
        <v>0</v>
      </c>
      <c r="K12756" s="20" t="n">
        <f aca="false">IF(OR(K12751&gt;0.001,K12755&gt;0.001),1,0)</f>
        <v>0</v>
      </c>
    </row>
    <row r="12757" customFormat="false" ht="15" hidden="false" customHeight="false" outlineLevel="0" collapsed="false">
      <c r="A12757" s="3" t="s">
        <v>355</v>
      </c>
      <c r="G12757" s="20" t="n">
        <f aca="false">IF(G12756=1,1,0)</f>
        <v>0</v>
      </c>
      <c r="H12757" s="20" t="n">
        <f aca="false">IF(AND(H12756=1,SUM($G$12756:G12756)=0),1,0)</f>
        <v>0</v>
      </c>
      <c r="I12757" s="20" t="n">
        <f aca="false">IF(AND(I12756=1,SUM($G$12756:H12756)=0),1,0)</f>
        <v>0</v>
      </c>
      <c r="J12757" s="20" t="n">
        <f aca="false">IF(AND(J12756=1,SUM($G$12756:I12756)=0),1,0)</f>
        <v>0</v>
      </c>
      <c r="K12757" s="20" t="n">
        <f aca="false">IF(AND(K12756=1,SUM($G$12756:J12756)=0),1,0)</f>
        <v>0</v>
      </c>
    </row>
    <row r="12758" customFormat="false" ht="15" hidden="false" customHeight="false" outlineLevel="0" collapsed="false">
      <c r="A12758" s="3" t="s">
        <v>356</v>
      </c>
      <c r="G12758" s="25" t="n">
        <f aca="false">(G12724-F12724)-(G12747+G12664-G12745-G12749-G12753)</f>
        <v>0</v>
      </c>
      <c r="H12758" s="25" t="n">
        <f aca="false">(H12724-G12724)-(H12747+H12664-H12745-H12749-H12753)</f>
        <v>0</v>
      </c>
      <c r="I12758" s="25" t="n">
        <f aca="false">(I12724-H12724)-(I12747+I12664-I12745-I12749-I12753)</f>
        <v>0</v>
      </c>
      <c r="J12758" s="25" t="n">
        <f aca="false">(J12724-I12724)-(J12747+J12664-J12745-J12749-J12753)</f>
        <v>0</v>
      </c>
      <c r="K12758" s="25" t="n">
        <f aca="false">(K12724-J12724)-(K12747+K12664-K12745-K12749-K12753)</f>
        <v>0</v>
      </c>
    </row>
    <row r="12760" customFormat="false" ht="15" hidden="false" customHeight="false" outlineLevel="0" collapsed="false">
      <c r="A12760" s="23" t="s">
        <v>358</v>
      </c>
      <c r="B12760" s="24"/>
      <c r="C12760" s="24"/>
      <c r="D12760" s="24"/>
      <c r="E12760" s="24"/>
      <c r="F12760" s="24"/>
      <c r="G12760" s="24"/>
      <c r="H12760" s="24"/>
      <c r="I12760" s="24"/>
      <c r="J12760" s="24"/>
      <c r="K12760" s="24"/>
    </row>
    <row r="12761" customFormat="false" ht="15" hidden="false" customHeight="false" outlineLevel="0" collapsed="false">
      <c r="A12761" s="3" t="s">
        <v>359</v>
      </c>
      <c r="G12761" s="25" t="n">
        <f aca="false">G12724</f>
        <v>1735.554</v>
      </c>
      <c r="H12761" s="25" t="n">
        <f aca="false">H12724</f>
        <v>1735.554</v>
      </c>
      <c r="I12761" s="25" t="n">
        <f aca="false">I12724</f>
        <v>1315.098</v>
      </c>
      <c r="J12761" s="25" t="n">
        <f aca="false">J12724</f>
        <v>1315.098</v>
      </c>
      <c r="K12761" s="25" t="n">
        <f aca="false">K12724</f>
        <v>1315.098</v>
      </c>
    </row>
    <row r="12762" customFormat="false" ht="15" hidden="false" customHeight="false" outlineLevel="0" collapsed="false">
      <c r="A12762" s="3" t="s">
        <v>360</v>
      </c>
      <c r="G12762" s="25" t="n">
        <f aca="false">Assumptions!$O$56*G12696+Assumptions!$O$57*G12709+Assumptions!$O$58*G12722</f>
        <v>1315.098</v>
      </c>
      <c r="H12762" s="25" t="n">
        <f aca="false">Assumptions!$O$56*H12696+Assumptions!$O$57*H12709+Assumptions!$O$58*H12722</f>
        <v>1315.098</v>
      </c>
      <c r="I12762" s="25" t="n">
        <f aca="false">Assumptions!$O$56*I12696+Assumptions!$O$57*I12709+Assumptions!$O$58*I12722</f>
        <v>1315.098</v>
      </c>
      <c r="J12762" s="25" t="n">
        <f aca="false">Assumptions!$O$56*J12696+Assumptions!$O$57*J12709+Assumptions!$O$58*J12722</f>
        <v>1315.098</v>
      </c>
      <c r="K12762" s="25" t="n">
        <f aca="false">Assumptions!$O$56*K12696+Assumptions!$O$57*K12709+Assumptions!$O$58*K12722</f>
        <v>1315.098</v>
      </c>
    </row>
    <row r="12763" customFormat="false" ht="15" hidden="false" customHeight="false" outlineLevel="0" collapsed="false">
      <c r="A12763" s="3" t="s">
        <v>361</v>
      </c>
      <c r="G12763" s="25" t="n">
        <f aca="false">G12761-G12754</f>
        <v>1216.73245256</v>
      </c>
      <c r="H12763" s="25" t="n">
        <f aca="false">H12761-H12754</f>
        <v>1195.8797166368</v>
      </c>
      <c r="I12763" s="25" t="n">
        <f aca="false">I12761-I12754</f>
        <v>1194.66797732811</v>
      </c>
      <c r="J12763" s="25" t="n">
        <f aca="false">J12761-J12754</f>
        <v>1192.02610313102</v>
      </c>
      <c r="K12763" s="25" t="n">
        <f aca="false">K12761-K12754</f>
        <v>1196.42058714379</v>
      </c>
    </row>
    <row r="12764" customFormat="false" ht="15" hidden="false" customHeight="false" outlineLevel="0" collapsed="false">
      <c r="A12764" s="3" t="s">
        <v>362</v>
      </c>
      <c r="G12764" s="32" t="n">
        <f aca="false">IF(G12659&gt;0,G12761/G12659,0)</f>
        <v>6.99885842190068</v>
      </c>
      <c r="H12764" s="32" t="n">
        <f aca="false">IF(H12659&gt;0,H12761/H12659,0)</f>
        <v>8.20980460047</v>
      </c>
      <c r="I12764" s="32" t="n">
        <f aca="false">IF(I12659&gt;0,I12761/I12659,0)</f>
        <v>6.93311397368161</v>
      </c>
      <c r="J12764" s="32" t="n">
        <f aca="false">IF(J12659&gt;0,J12761/J12659,0)</f>
        <v>7.66291544459547</v>
      </c>
      <c r="K12764" s="32" t="n">
        <f aca="false">IF(K12659&gt;0,K12761/K12659,0)</f>
        <v>8.0662267837847</v>
      </c>
    </row>
    <row r="12765" customFormat="false" ht="15" hidden="false" customHeight="false" outlineLevel="0" collapsed="false">
      <c r="A12765" s="3" t="s">
        <v>363</v>
      </c>
      <c r="G12765" s="32" t="n">
        <f aca="false">IF(G12659&gt;0,G12763/G12659,0)</f>
        <v>4.9066397085884</v>
      </c>
      <c r="H12765" s="32" t="n">
        <f aca="false">IF(H12659&gt;0,H12763/H12659,0)</f>
        <v>5.65694804036842</v>
      </c>
      <c r="I12765" s="32" t="n">
        <f aca="false">IF(I12659&gt;0,I12763/I12659,0)</f>
        <v>6.29821446578391</v>
      </c>
      <c r="J12765" s="32" t="n">
        <f aca="false">IF(J12659&gt;0,J12763/J12659,0)</f>
        <v>6.94579053123316</v>
      </c>
      <c r="K12765" s="32" t="n">
        <f aca="false">IF(K12659&gt;0,K12763/K12659,0)</f>
        <v>7.33831226622703</v>
      </c>
    </row>
    <row r="12766" customFormat="false" ht="15" hidden="false" customHeight="false" outlineLevel="0" collapsed="false">
      <c r="A12766" s="3" t="s">
        <v>364</v>
      </c>
      <c r="G12766" s="32" t="n">
        <f aca="false">IF(G12663&gt;0,G12659/G12663,0)</f>
        <v>1.59005643370602</v>
      </c>
      <c r="H12766" s="32" t="n">
        <f aca="false">IF(H12663&gt;0,H12659/H12663,0)</f>
        <v>1.35552310973439</v>
      </c>
      <c r="I12766" s="32" t="n">
        <f aca="false">IF(I12663&gt;0,I12659/I12663,0)</f>
        <v>1.21627391755258</v>
      </c>
      <c r="J12766" s="32" t="n">
        <f aca="false">IF(J12663&gt;0,J12659/J12663,0)</f>
        <v>1.24284413584734</v>
      </c>
      <c r="K12766" s="32" t="n">
        <f aca="false">IF(K12663&gt;0,K12659/K12663,0)</f>
        <v>1.18070192905498</v>
      </c>
    </row>
    <row r="12767" customFormat="false" ht="15" hidden="false" customHeight="false" outlineLevel="0" collapsed="false">
      <c r="A12767" s="3" t="s">
        <v>365</v>
      </c>
      <c r="G12767" s="32" t="n">
        <f aca="false">IF(G12663&gt;0,G12662/G12663,0)</f>
        <v>0.943202831951104</v>
      </c>
      <c r="H12767" s="32" t="n">
        <f aca="false">IF(H12663&gt;0,H12662/H12663,0)</f>
        <v>0.75394926010231</v>
      </c>
      <c r="I12767" s="32" t="n">
        <f aca="false">IF(I12663&gt;0,I12662/I12663,0)</f>
        <v>0.65079449889843</v>
      </c>
      <c r="J12767" s="32" t="n">
        <f aca="false">IF(J12663&gt;0,J12662/J12663,0)</f>
        <v>0.636119854632452</v>
      </c>
      <c r="K12767" s="32" t="n">
        <f aca="false">IF(K12663&gt;0,K12662/K12663,0)</f>
        <v>0.604313861900829</v>
      </c>
    </row>
    <row r="12768" customFormat="false" ht="15" hidden="false" customHeight="false" outlineLevel="0" collapsed="false">
      <c r="A12768" s="3" t="s">
        <v>198</v>
      </c>
      <c r="G12768" s="21" t="n">
        <f aca="false">IF(G12761&gt;0,G12672/G12761,0)</f>
        <v>0.0315896523185104</v>
      </c>
      <c r="H12768" s="21" t="n">
        <f aca="false">IF(H12761&gt;0,H12672/H12761,0)</f>
        <v>0.0120150314673009</v>
      </c>
      <c r="I12768" s="21" t="n">
        <f aca="false">IF(I12761&gt;0,I12672/I12761,0)</f>
        <v>0.000921406091932281</v>
      </c>
      <c r="J12768" s="21" t="n">
        <f aca="false">IF(J12761&gt;0,J12672/J12761,0)</f>
        <v>0.00200888009645638</v>
      </c>
      <c r="K12768" s="21" t="n">
        <f aca="false">IF(K12761&gt;0,K12672/K12761,0)</f>
        <v>-0.00334156390836645</v>
      </c>
    </row>
    <row r="12769" customFormat="false" ht="15" hidden="false" customHeight="false" outlineLevel="0" collapsed="false">
      <c r="A12769" s="3" t="s">
        <v>366</v>
      </c>
      <c r="G12769" s="32" t="n">
        <f aca="false">IF(G12663+G12745&gt;0,(G12659-G12670-G12667)/(G12663+G12745),0)</f>
        <v>1.41780032005454</v>
      </c>
      <c r="H12769" s="32" t="n">
        <f aca="false">IF(H12663+H12745&gt;0,(H12659-H12670-H12667)/(H12663+H12745),0)</f>
        <v>1.1953249240385</v>
      </c>
      <c r="I12769" s="32" t="n">
        <f aca="false">IF(I12663+I12745&gt;0,(I12659-I12670-I12667)/(I12663+I12745),0)</f>
        <v>1.06568762299845</v>
      </c>
      <c r="J12769" s="32" t="n">
        <f aca="false">IF(J12663+J12745&gt;0,(J12659-J12670-J12667)/(J12663+J12745),0)</f>
        <v>1.08127439818719</v>
      </c>
      <c r="K12769" s="32" t="n">
        <f aca="false">IF(K12663+K12745&gt;0,(K12659-K12670-K12667)/(K12663+K12745),0)</f>
        <v>1.02721067827783</v>
      </c>
    </row>
    <row r="12770" customFormat="false" ht="15" hidden="false" customHeight="false" outlineLevel="0" collapsed="false">
      <c r="A12770" s="3" t="s">
        <v>367</v>
      </c>
      <c r="G12770" s="25" t="n">
        <f aca="false">MAX(0,G12754)+Assumptions!$P$56*MAX(0,Assumptions!$D$56-G12696)+Assumptions!$P$57*MAX(0,Assumptions!$D$57-G12709)+Assumptions!$P$58*MAX(0,Assumptions!$D$58-G12722)</f>
        <v>518.82154744</v>
      </c>
      <c r="H12770" s="25" t="n">
        <f aca="false">MAX(0,H12754)+Assumptions!$P$56*MAX(0,Assumptions!$D$56-H12696)+Assumptions!$P$57*MAX(0,Assumptions!$D$57-H12709)+Assumptions!$P$58*MAX(0,Assumptions!$D$58-H12722)</f>
        <v>539.6742833632</v>
      </c>
      <c r="I12770" s="25" t="n">
        <f aca="false">MAX(0,I12754)+Assumptions!$P$56*MAX(0,Assumptions!$D$56-I12696)+Assumptions!$P$57*MAX(0,Assumptions!$D$57-I12709)+Assumptions!$P$58*MAX(0,Assumptions!$D$58-I12722)</f>
        <v>120.430022671888</v>
      </c>
      <c r="J12770" s="25" t="n">
        <f aca="false">MAX(0,J12754)+Assumptions!$P$56*MAX(0,Assumptions!$D$56-J12696)+Assumptions!$P$57*MAX(0,Assumptions!$D$57-J12709)+Assumptions!$P$58*MAX(0,Assumptions!$D$58-J12722)</f>
        <v>123.071896868977</v>
      </c>
      <c r="K12770" s="25" t="n">
        <f aca="false">MAX(0,K12754)+Assumptions!$P$56*MAX(0,Assumptions!$D$56-K12696)+Assumptions!$P$57*MAX(0,Assumptions!$D$57-K12709)+Assumptions!$P$58*MAX(0,Assumptions!$D$58-K12722)</f>
        <v>118.677412856212</v>
      </c>
    </row>
    <row r="12771" customFormat="false" ht="15" hidden="false" customHeight="false" outlineLevel="0" collapsed="false">
      <c r="A12771" s="3" t="s">
        <v>368</v>
      </c>
      <c r="G12771" s="21" t="n">
        <f aca="false">IF(G12761&gt;0,G12761/(G12761+MAX(0,G12659*CHOOSE($C$12642,Assumptions!$C$82,Assumptions!$C$101,Assumptions!$C$120)-G12763)),0)</f>
        <v>0.986836236277321</v>
      </c>
      <c r="H12771" s="21" t="n">
        <f aca="false">IF(H12761&gt;0,H12761/(H12761+MAX(0,H12659*CHOOSE($C$12642,Assumptions!$C$82,Assumptions!$C$101,Assumptions!$C$120)-H12763)),0)</f>
        <v>1</v>
      </c>
      <c r="I12771" s="21" t="n">
        <f aca="false">IF(I12761&gt;0,I12761/(I12761+MAX(0,I12659*CHOOSE($C$12642,Assumptions!$C$82,Assumptions!$C$101,Assumptions!$C$120)-I12763)),0)</f>
        <v>1</v>
      </c>
      <c r="J12771" s="21" t="n">
        <f aca="false">IF(J12761&gt;0,J12761/(J12761+MAX(0,J12659*CHOOSE($C$12642,Assumptions!$C$82,Assumptions!$C$101,Assumptions!$C$120)-J12763)),0)</f>
        <v>1</v>
      </c>
      <c r="K12771" s="21" t="n">
        <f aca="false">IF(K12761&gt;0,K12761/(K12761+MAX(0,K12659*CHOOSE($C$12642,Assumptions!$C$82,Assumptions!$C$101,Assumptions!$C$120)-K12763)),0)</f>
        <v>1</v>
      </c>
    </row>
    <row r="12772" customFormat="false" ht="15" hidden="false" customHeight="false" outlineLevel="0" collapsed="false">
      <c r="A12772" s="3" t="s">
        <v>369</v>
      </c>
      <c r="G12772" s="21" t="n">
        <f aca="false">IF(G12761&gt;0,MAX(0,G12754)/G12761,0)</f>
        <v>0.298937139057615</v>
      </c>
      <c r="H12772" s="21" t="n">
        <f aca="false">IF(H12761&gt;0,MAX(0,H12754)/H12761,0)</f>
        <v>0.310952170524916</v>
      </c>
      <c r="I12772" s="21" t="n">
        <f aca="false">IF(I12761&gt;0,MAX(0,I12754)/I12761,0)</f>
        <v>0.0915749416939937</v>
      </c>
      <c r="J12772" s="21" t="n">
        <f aca="false">IF(J12761&gt;0,MAX(0,J12754)/J12761,0)</f>
        <v>0.0935838217904501</v>
      </c>
      <c r="K12772" s="21" t="n">
        <f aca="false">IF(K12761&gt;0,MAX(0,K12754)/K12761,0)</f>
        <v>0.0902422578820836</v>
      </c>
    </row>
    <row r="12773" customFormat="false" ht="15" hidden="false" customHeight="false" outlineLevel="0" collapsed="false">
      <c r="A12773" s="3" t="s">
        <v>370</v>
      </c>
      <c r="G12773" s="25" t="n">
        <f aca="false">Assumptions!$C$30*(1-CHOOSE($C$12642,Assumptions!$C$85,Assumptions!$C$104,Assumptions!$C$123))</f>
        <v>2086.72535</v>
      </c>
      <c r="H12773" s="25" t="n">
        <f aca="false">Assumptions!$C$30*(1-CHOOSE($C$12642,Assumptions!$C$85,Assumptions!$C$104,Assumptions!$C$123))</f>
        <v>2086.72535</v>
      </c>
      <c r="I12773" s="25" t="n">
        <f aca="false">Assumptions!$C$30*(1-CHOOSE($C$12642,Assumptions!$C$85,Assumptions!$C$104,Assumptions!$C$123))</f>
        <v>2086.72535</v>
      </c>
      <c r="J12773" s="25" t="n">
        <f aca="false">Assumptions!$C$30*(1-CHOOSE($C$12642,Assumptions!$C$85,Assumptions!$C$104,Assumptions!$C$123))</f>
        <v>2086.72535</v>
      </c>
      <c r="K12773" s="25" t="n">
        <f aca="false">Assumptions!$C$30*(1-CHOOSE($C$12642,Assumptions!$C$85,Assumptions!$C$104,Assumptions!$C$123))</f>
        <v>2086.72535</v>
      </c>
    </row>
    <row r="12774" customFormat="false" ht="15" hidden="false" customHeight="false" outlineLevel="0" collapsed="false">
      <c r="A12774" s="23" t="s">
        <v>371</v>
      </c>
      <c r="B12774" s="24"/>
      <c r="C12774" s="24"/>
      <c r="D12774" s="24"/>
      <c r="E12774" s="24"/>
      <c r="F12774" s="24"/>
      <c r="G12774" s="24"/>
      <c r="H12774" s="24"/>
      <c r="I12774" s="24"/>
      <c r="J12774" s="24"/>
      <c r="K12774" s="24"/>
    </row>
    <row r="12775" customFormat="false" ht="15" hidden="false" customHeight="false" outlineLevel="0" collapsed="false">
      <c r="A12775" s="23" t="s">
        <v>372</v>
      </c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</row>
    <row r="12776" customFormat="false" ht="15" hidden="false" customHeight="false" outlineLevel="0" collapsed="false">
      <c r="A12776" s="3" t="s">
        <v>373</v>
      </c>
      <c r="G12776" s="32" t="n">
        <f aca="false">IF(G12659&gt;0,G12763/G12659,99)</f>
        <v>4.9066397085884</v>
      </c>
      <c r="H12776" s="32" t="n">
        <f aca="false">IF(H12659&gt;0,H12763/H12659,99)</f>
        <v>5.65694804036842</v>
      </c>
      <c r="I12776" s="32" t="n">
        <f aca="false">IF(I12659&gt;0,I12763/I12659,99)</f>
        <v>6.29821446578391</v>
      </c>
      <c r="J12776" s="32" t="n">
        <f aca="false">IF(J12659&gt;0,J12763/J12659,99)</f>
        <v>6.94579053123316</v>
      </c>
      <c r="K12776" s="32" t="n">
        <f aca="false">IF(K12659&gt;0,K12763/K12659,99)</f>
        <v>7.33831226622703</v>
      </c>
    </row>
    <row r="12777" customFormat="false" ht="15" hidden="false" customHeight="false" outlineLevel="0" collapsed="false">
      <c r="A12777" s="3" t="s">
        <v>374</v>
      </c>
      <c r="G12777" s="33" t="n">
        <f aca="false">Assumptions!$G$65</f>
        <v>5.25</v>
      </c>
      <c r="H12777" s="33" t="n">
        <f aca="false">Assumptions!$H$65</f>
        <v>5.25</v>
      </c>
      <c r="I12777" s="33" t="n">
        <f aca="false">Assumptions!$I$65</f>
        <v>5</v>
      </c>
      <c r="J12777" s="33" t="n">
        <f aca="false">Assumptions!$J$65</f>
        <v>5</v>
      </c>
      <c r="K12777" s="33" t="n">
        <f aca="false">Assumptions!$K$65</f>
        <v>5</v>
      </c>
    </row>
    <row r="12778" customFormat="false" ht="15" hidden="false" customHeight="false" outlineLevel="0" collapsed="false">
      <c r="A12778" s="3" t="s">
        <v>375</v>
      </c>
      <c r="G12778" s="32" t="n">
        <f aca="false">G12777-G12776</f>
        <v>0.343360291411604</v>
      </c>
      <c r="H12778" s="32" t="n">
        <f aca="false">H12777-H12776</f>
        <v>-0.406948040368418</v>
      </c>
      <c r="I12778" s="32" t="n">
        <f aca="false">I12777-I12776</f>
        <v>-1.29821446578391</v>
      </c>
      <c r="J12778" s="32" t="n">
        <f aca="false">J12777-J12776</f>
        <v>-1.94579053123316</v>
      </c>
      <c r="K12778" s="32" t="n">
        <f aca="false">K12777-K12776</f>
        <v>-2.33831226622703</v>
      </c>
    </row>
    <row r="12779" customFormat="false" ht="15" hidden="false" customHeight="false" outlineLevel="0" collapsed="false">
      <c r="A12779" s="3" t="s">
        <v>376</v>
      </c>
      <c r="G12779" s="21" t="n">
        <f aca="false">IF(G12777=0,0,G12778/ABS(G12777))</f>
        <v>0.0654019602688769</v>
      </c>
      <c r="H12779" s="21" t="n">
        <f aca="false">IF(H12777=0,0,H12778/ABS(H12777))</f>
        <v>-0.0775139124511272</v>
      </c>
      <c r="I12779" s="21" t="n">
        <f aca="false">IF(I12777=0,0,I12778/ABS(I12777))</f>
        <v>-0.259642893156781</v>
      </c>
      <c r="J12779" s="21" t="n">
        <f aca="false">IF(J12777=0,0,J12778/ABS(J12777))</f>
        <v>-0.389158106246632</v>
      </c>
      <c r="K12779" s="21" t="n">
        <f aca="false">IF(K12777=0,0,K12778/ABS(K12777))</f>
        <v>-0.467662453245407</v>
      </c>
    </row>
    <row r="12780" customFormat="false" ht="15" hidden="false" customHeight="false" outlineLevel="0" collapsed="false">
      <c r="A12780" s="3" t="s">
        <v>377</v>
      </c>
      <c r="G12780" s="20" t="n">
        <f aca="false">IF(G12778&lt;0,1,0)</f>
        <v>0</v>
      </c>
      <c r="H12780" s="20" t="n">
        <f aca="false">IF(H12778&lt;0,1,0)</f>
        <v>1</v>
      </c>
      <c r="I12780" s="20" t="n">
        <f aca="false">IF(I12778&lt;0,1,0)</f>
        <v>1</v>
      </c>
      <c r="J12780" s="20" t="n">
        <f aca="false">IF(J12778&lt;0,1,0)</f>
        <v>1</v>
      </c>
      <c r="K12780" s="20" t="n">
        <f aca="false">IF(K12778&lt;0,1,0)</f>
        <v>1</v>
      </c>
    </row>
    <row r="12781" customFormat="false" ht="15" hidden="false" customHeight="false" outlineLevel="0" collapsed="false">
      <c r="A12781" s="3" t="s">
        <v>378</v>
      </c>
      <c r="C12781" s="20" t="n">
        <f aca="false">IFERROR(INDEX($G$12649:$K$12649,MATCH(1,$G$12780:$K$12780,0)),0)</f>
        <v>2028</v>
      </c>
    </row>
    <row r="12782" customFormat="false" ht="15" hidden="false" customHeight="false" outlineLevel="0" collapsed="false">
      <c r="A12782" s="3" t="s">
        <v>379</v>
      </c>
      <c r="C12782" s="21" t="n">
        <f aca="false">MIN($G$12779:$K$12779)</f>
        <v>-0.467662453245407</v>
      </c>
    </row>
    <row r="12783" customFormat="false" ht="15" hidden="false" customHeight="false" outlineLevel="0" collapsed="false">
      <c r="A12783" s="23" t="s">
        <v>380</v>
      </c>
      <c r="B12783" s="24"/>
      <c r="C12783" s="24"/>
      <c r="D12783" s="24"/>
      <c r="E12783" s="24"/>
      <c r="F12783" s="24"/>
      <c r="G12783" s="24"/>
      <c r="H12783" s="24"/>
      <c r="I12783" s="24"/>
      <c r="J12783" s="24"/>
      <c r="K12783" s="24"/>
    </row>
    <row r="12784" customFormat="false" ht="15" hidden="false" customHeight="false" outlineLevel="0" collapsed="false">
      <c r="A12784" s="3" t="s">
        <v>373</v>
      </c>
      <c r="G12784" s="32" t="n">
        <f aca="false">IF(G12663&gt;0,G12659/G12663,99)</f>
        <v>1.59005643370602</v>
      </c>
      <c r="H12784" s="32" t="n">
        <f aca="false">IF(H12663&gt;0,H12659/H12663,99)</f>
        <v>1.35552310973439</v>
      </c>
      <c r="I12784" s="32" t="n">
        <f aca="false">IF(I12663&gt;0,I12659/I12663,99)</f>
        <v>1.21627391755258</v>
      </c>
      <c r="J12784" s="32" t="n">
        <f aca="false">IF(J12663&gt;0,J12659/J12663,99)</f>
        <v>1.24284413584734</v>
      </c>
      <c r="K12784" s="32" t="n">
        <f aca="false">IF(K12663&gt;0,K12659/K12663,99)</f>
        <v>1.18070192905498</v>
      </c>
    </row>
    <row r="12785" customFormat="false" ht="15" hidden="false" customHeight="false" outlineLevel="0" collapsed="false">
      <c r="A12785" s="3" t="s">
        <v>374</v>
      </c>
      <c r="G12785" s="33" t="n">
        <f aca="false">Assumptions!$G$66</f>
        <v>1.4</v>
      </c>
      <c r="H12785" s="33" t="n">
        <f aca="false">Assumptions!$H$66</f>
        <v>1.4</v>
      </c>
      <c r="I12785" s="33" t="n">
        <f aca="false">Assumptions!$I$66</f>
        <v>1.4</v>
      </c>
      <c r="J12785" s="33" t="n">
        <f aca="false">Assumptions!$J$66</f>
        <v>1.5</v>
      </c>
      <c r="K12785" s="33" t="n">
        <f aca="false">Assumptions!$K$66</f>
        <v>1.5</v>
      </c>
    </row>
    <row r="12786" customFormat="false" ht="15" hidden="false" customHeight="false" outlineLevel="0" collapsed="false">
      <c r="A12786" s="3" t="s">
        <v>375</v>
      </c>
      <c r="G12786" s="32" t="n">
        <f aca="false">G12784-G12785</f>
        <v>0.190056433706025</v>
      </c>
      <c r="H12786" s="32" t="n">
        <f aca="false">H12784-H12785</f>
        <v>-0.0444768902656139</v>
      </c>
      <c r="I12786" s="32" t="n">
        <f aca="false">I12784-I12785</f>
        <v>-0.183726082447419</v>
      </c>
      <c r="J12786" s="32" t="n">
        <f aca="false">J12784-J12785</f>
        <v>-0.257155864152655</v>
      </c>
      <c r="K12786" s="32" t="n">
        <f aca="false">K12784-K12785</f>
        <v>-0.319298070945023</v>
      </c>
    </row>
    <row r="12787" customFormat="false" ht="15" hidden="false" customHeight="false" outlineLevel="0" collapsed="false">
      <c r="A12787" s="3" t="s">
        <v>376</v>
      </c>
      <c r="G12787" s="21" t="n">
        <f aca="false">IF(G12785=0,0,G12786/ABS(G12785))</f>
        <v>0.135754595504304</v>
      </c>
      <c r="H12787" s="21" t="n">
        <f aca="false">IF(H12785=0,0,H12786/ABS(H12785))</f>
        <v>-0.0317692073325813</v>
      </c>
      <c r="I12787" s="21" t="n">
        <f aca="false">IF(I12785=0,0,I12786/ABS(I12785))</f>
        <v>-0.131232916033871</v>
      </c>
      <c r="J12787" s="21" t="n">
        <f aca="false">IF(J12785=0,0,J12786/ABS(J12785))</f>
        <v>-0.171437242768437</v>
      </c>
      <c r="K12787" s="21" t="n">
        <f aca="false">IF(K12785=0,0,K12786/ABS(K12785))</f>
        <v>-0.212865380630015</v>
      </c>
    </row>
    <row r="12788" customFormat="false" ht="15" hidden="false" customHeight="false" outlineLevel="0" collapsed="false">
      <c r="A12788" s="3" t="s">
        <v>377</v>
      </c>
      <c r="G12788" s="20" t="n">
        <f aca="false">IF(G12786&lt;0,1,0)</f>
        <v>0</v>
      </c>
      <c r="H12788" s="20" t="n">
        <f aca="false">IF(H12786&lt;0,1,0)</f>
        <v>1</v>
      </c>
      <c r="I12788" s="20" t="n">
        <f aca="false">IF(I12786&lt;0,1,0)</f>
        <v>1</v>
      </c>
      <c r="J12788" s="20" t="n">
        <f aca="false">IF(J12786&lt;0,1,0)</f>
        <v>1</v>
      </c>
      <c r="K12788" s="20" t="n">
        <f aca="false">IF(K12786&lt;0,1,0)</f>
        <v>1</v>
      </c>
    </row>
    <row r="12789" customFormat="false" ht="15" hidden="false" customHeight="false" outlineLevel="0" collapsed="false">
      <c r="A12789" s="3" t="s">
        <v>378</v>
      </c>
      <c r="C12789" s="20" t="n">
        <f aca="false">IFERROR(INDEX($G$12649:$K$12649,MATCH(1,$G$12788:$K$12788,0)),0)</f>
        <v>2028</v>
      </c>
    </row>
    <row r="12790" customFormat="false" ht="15" hidden="false" customHeight="false" outlineLevel="0" collapsed="false">
      <c r="A12790" s="3" t="s">
        <v>379</v>
      </c>
      <c r="C12790" s="21" t="n">
        <f aca="false">MIN($G$12787:$K$12787)</f>
        <v>-0.212865380630015</v>
      </c>
    </row>
    <row r="12791" customFormat="false" ht="15" hidden="false" customHeight="false" outlineLevel="0" collapsed="false">
      <c r="A12791" s="23" t="s">
        <v>381</v>
      </c>
      <c r="B12791" s="24"/>
      <c r="C12791" s="24"/>
      <c r="D12791" s="24"/>
      <c r="E12791" s="24"/>
      <c r="F12791" s="24"/>
      <c r="G12791" s="24"/>
      <c r="H12791" s="24"/>
      <c r="I12791" s="24"/>
      <c r="J12791" s="24"/>
      <c r="K12791" s="24"/>
    </row>
    <row r="12792" customFormat="false" ht="15" hidden="false" customHeight="false" outlineLevel="0" collapsed="false">
      <c r="A12792" s="3" t="s">
        <v>373</v>
      </c>
      <c r="G12792" s="25" t="n">
        <f aca="false">G12770</f>
        <v>518.82154744</v>
      </c>
      <c r="H12792" s="25" t="n">
        <f aca="false">H12770</f>
        <v>539.6742833632</v>
      </c>
      <c r="I12792" s="25" t="n">
        <f aca="false">I12770</f>
        <v>120.430022671888</v>
      </c>
      <c r="J12792" s="25" t="n">
        <f aca="false">J12770</f>
        <v>123.071896868977</v>
      </c>
      <c r="K12792" s="25" t="n">
        <f aca="false">K12770</f>
        <v>118.677412856212</v>
      </c>
    </row>
    <row r="12793" customFormat="false" ht="15" hidden="false" customHeight="false" outlineLevel="0" collapsed="false">
      <c r="A12793" s="3" t="s">
        <v>374</v>
      </c>
      <c r="G12793" s="29" t="n">
        <f aca="false">Assumptions!$G$67</f>
        <v>200</v>
      </c>
      <c r="H12793" s="29" t="n">
        <f aca="false">Assumptions!$H$67</f>
        <v>200</v>
      </c>
      <c r="I12793" s="29" t="n">
        <f aca="false">Assumptions!$I$67</f>
        <v>200</v>
      </c>
      <c r="J12793" s="29" t="n">
        <f aca="false">Assumptions!$J$67</f>
        <v>200</v>
      </c>
      <c r="K12793" s="29" t="n">
        <f aca="false">Assumptions!$K$67</f>
        <v>200</v>
      </c>
    </row>
    <row r="12794" customFormat="false" ht="15" hidden="false" customHeight="false" outlineLevel="0" collapsed="false">
      <c r="A12794" s="3" t="s">
        <v>375</v>
      </c>
      <c r="G12794" s="25" t="n">
        <f aca="false">G12792-G12793</f>
        <v>318.82154744</v>
      </c>
      <c r="H12794" s="25" t="n">
        <f aca="false">H12792-H12793</f>
        <v>339.6742833632</v>
      </c>
      <c r="I12794" s="25" t="n">
        <f aca="false">I12792-I12793</f>
        <v>-79.5699773281123</v>
      </c>
      <c r="J12794" s="25" t="n">
        <f aca="false">J12792-J12793</f>
        <v>-76.9281031310227</v>
      </c>
      <c r="K12794" s="25" t="n">
        <f aca="false">K12792-K12793</f>
        <v>-81.3225871437876</v>
      </c>
    </row>
    <row r="12795" customFormat="false" ht="15" hidden="false" customHeight="false" outlineLevel="0" collapsed="false">
      <c r="A12795" s="3" t="s">
        <v>376</v>
      </c>
      <c r="G12795" s="21" t="n">
        <f aca="false">IF(G12793=0,0,G12794/ABS(G12793))</f>
        <v>1.5941077372</v>
      </c>
      <c r="H12795" s="21" t="n">
        <f aca="false">IF(H12793=0,0,H12794/ABS(H12793))</f>
        <v>1.698371416816</v>
      </c>
      <c r="I12795" s="21" t="n">
        <f aca="false">IF(I12793=0,0,I12794/ABS(I12793))</f>
        <v>-0.397849886640561</v>
      </c>
      <c r="J12795" s="21" t="n">
        <f aca="false">IF(J12793=0,0,J12794/ABS(J12793))</f>
        <v>-0.384640515655113</v>
      </c>
      <c r="K12795" s="21" t="n">
        <f aca="false">IF(K12793=0,0,K12794/ABS(K12793))</f>
        <v>-0.406612935718938</v>
      </c>
    </row>
    <row r="12796" customFormat="false" ht="15" hidden="false" customHeight="false" outlineLevel="0" collapsed="false">
      <c r="A12796" s="3" t="s">
        <v>377</v>
      </c>
      <c r="G12796" s="20" t="n">
        <f aca="false">IF(G12794&lt;0,1,0)</f>
        <v>0</v>
      </c>
      <c r="H12796" s="20" t="n">
        <f aca="false">IF(H12794&lt;0,1,0)</f>
        <v>0</v>
      </c>
      <c r="I12796" s="20" t="n">
        <f aca="false">IF(I12794&lt;0,1,0)</f>
        <v>1</v>
      </c>
      <c r="J12796" s="20" t="n">
        <f aca="false">IF(J12794&lt;0,1,0)</f>
        <v>1</v>
      </c>
      <c r="K12796" s="20" t="n">
        <f aca="false">IF(K12794&lt;0,1,0)</f>
        <v>1</v>
      </c>
    </row>
    <row r="12797" customFormat="false" ht="15" hidden="false" customHeight="false" outlineLevel="0" collapsed="false">
      <c r="A12797" s="3" t="s">
        <v>378</v>
      </c>
      <c r="C12797" s="20" t="n">
        <f aca="false">IFERROR(INDEX($G$12649:$K$12649,MATCH(1,$G$12796:$K$12796,0)),0)</f>
        <v>2029</v>
      </c>
    </row>
    <row r="12798" customFormat="false" ht="15" hidden="false" customHeight="false" outlineLevel="0" collapsed="false">
      <c r="A12798" s="3" t="s">
        <v>379</v>
      </c>
      <c r="C12798" s="21" t="n">
        <f aca="false">MIN($G$12795:$K$12795)</f>
        <v>-0.406612935718938</v>
      </c>
    </row>
    <row r="12799" customFormat="false" ht="15" hidden="false" customHeight="false" outlineLevel="0" collapsed="false">
      <c r="A12799" s="3" t="s">
        <v>382</v>
      </c>
      <c r="G12799" s="20" t="n">
        <f aca="false">G12780+G12788+G12796</f>
        <v>0</v>
      </c>
      <c r="H12799" s="20" t="n">
        <f aca="false">H12780+H12788+H12796</f>
        <v>2</v>
      </c>
      <c r="I12799" s="20" t="n">
        <f aca="false">I12780+I12788+I12796</f>
        <v>3</v>
      </c>
      <c r="J12799" s="20" t="n">
        <f aca="false">J12780+J12788+J12796</f>
        <v>3</v>
      </c>
      <c r="K12799" s="20" t="n">
        <f aca="false">K12780+K12788+K12796</f>
        <v>3</v>
      </c>
    </row>
    <row r="12800" customFormat="false" ht="15" hidden="false" customHeight="false" outlineLevel="0" collapsed="false">
      <c r="A12800" s="3" t="s">
        <v>383</v>
      </c>
      <c r="C12800" s="20" t="n">
        <f aca="false">SUM($G$12799:$K$12799)</f>
        <v>11</v>
      </c>
    </row>
    <row r="12801" customFormat="false" ht="15" hidden="false" customHeight="false" outlineLevel="0" collapsed="false">
      <c r="A12801" s="3" t="s">
        <v>384</v>
      </c>
      <c r="C12801" s="21" t="n">
        <f aca="false">MIN(C12782,C12790,C12798)</f>
        <v>-0.467662453245407</v>
      </c>
    </row>
    <row r="12803" customFormat="false" ht="15" hidden="false" customHeight="false" outlineLevel="0" collapsed="false">
      <c r="A12803" s="23" t="s">
        <v>486</v>
      </c>
      <c r="B12803" s="24"/>
      <c r="C12803" s="24"/>
      <c r="D12803" s="24"/>
      <c r="E12803" s="24"/>
      <c r="F12803" s="24"/>
      <c r="G12803" s="24"/>
      <c r="H12803" s="24"/>
      <c r="I12803" s="24"/>
      <c r="J12803" s="24"/>
      <c r="K12803" s="24"/>
    </row>
    <row r="12804" customFormat="false" ht="15" hidden="false" customHeight="false" outlineLevel="0" collapsed="false">
      <c r="A12804" s="3" t="s">
        <v>487</v>
      </c>
      <c r="G12804" s="20" t="n">
        <f aca="false">IF($C$12805=1,G12757,IF(G12659=MIN($G$12659:$K$12659),1,0))</f>
        <v>0</v>
      </c>
      <c r="H12804" s="20" t="n">
        <f aca="false">IF($C$12805=1,H12757,IF(AND(H12659=MIN($G$12659:$K$12659),SUM($G$12804:G12804)=0),1,0))</f>
        <v>0</v>
      </c>
      <c r="I12804" s="20" t="n">
        <f aca="false">IF($C$12805=1,I12757,IF(AND(I12659=MIN($G$12659:$K$12659),SUM($G$12804:H12804)=0),1,0))</f>
        <v>0</v>
      </c>
      <c r="J12804" s="20" t="n">
        <f aca="false">IF($C$12805=1,J12757,IF(AND(J12659=MIN($G$12659:$K$12659),SUM($G$12804:I12804)=0),1,0))</f>
        <v>0</v>
      </c>
      <c r="K12804" s="20" t="n">
        <f aca="false">IF($C$12805=1,K12757,IF(AND(K12659=MIN($G$12659:$K$12659),SUM($G$12804:J12804)=0),1,0))</f>
        <v>1</v>
      </c>
    </row>
    <row r="12805" customFormat="false" ht="15" hidden="false" customHeight="false" outlineLevel="0" collapsed="false">
      <c r="A12805" s="3" t="s">
        <v>488</v>
      </c>
      <c r="C12805" s="20" t="n">
        <f aca="false">IF(SUM($G$12757:$K$12757)&gt;0,1,0)</f>
        <v>0</v>
      </c>
    </row>
    <row r="12806" customFormat="false" ht="15" hidden="false" customHeight="false" outlineLevel="0" collapsed="false">
      <c r="A12806" s="3" t="s">
        <v>489</v>
      </c>
      <c r="C12806" s="20" t="n">
        <f aca="false">SUMPRODUCT($G$12804:$K$12804,$G$12649:$K$12649)</f>
        <v>2031</v>
      </c>
    </row>
    <row r="12807" customFormat="false" ht="15" hidden="false" customHeight="false" outlineLevel="0" collapsed="false">
      <c r="A12807" s="3" t="s">
        <v>490</v>
      </c>
      <c r="C12807" s="25" t="n">
        <f aca="false">SUMPRODUCT($G$12804:$K$12804,$G$12659:$K$12659)</f>
        <v>163.037568277116</v>
      </c>
    </row>
    <row r="12808" customFormat="false" ht="15" hidden="false" customHeight="false" outlineLevel="0" collapsed="false">
      <c r="A12808" s="3" t="s">
        <v>491</v>
      </c>
      <c r="C12808" s="25" t="n">
        <f aca="false">MAX(0,SUMPRODUCT($G$12804:$K$12804,$G$12754:$K$12754))</f>
        <v>118.677412856212</v>
      </c>
    </row>
    <row r="12809" customFormat="false" ht="15" hidden="false" customHeight="false" outlineLevel="0" collapsed="false">
      <c r="A12809" s="3" t="s">
        <v>492</v>
      </c>
      <c r="C12809" s="25" t="n">
        <f aca="false">(CHOOSE($C$12642,Assumptions!$C$84,Assumptions!$C$103,Assumptions!$C$122)+$C$12646)*C12807</f>
        <v>733.669057247022</v>
      </c>
    </row>
    <row r="12810" customFormat="false" ht="15" hidden="false" customHeight="false" outlineLevel="0" collapsed="false">
      <c r="A12810" s="3" t="s">
        <v>493</v>
      </c>
      <c r="C12810" s="25" t="n">
        <f aca="false">Assumptions!$C$30*(1-CHOOSE($C$12642,Assumptions!$C$85,Assumptions!$C$104,Assumptions!$C$123))*CHOOSE($C$12642,Assumptions!$C$86,Assumptions!$C$105,Assumptions!$C$124)</f>
        <v>626.017605</v>
      </c>
    </row>
    <row r="12811" customFormat="false" ht="15" hidden="false" customHeight="false" outlineLevel="0" collapsed="false">
      <c r="A12811" s="3" t="s">
        <v>494</v>
      </c>
      <c r="C12811" s="25" t="n">
        <f aca="false">MAX(C12809,C12810)+C12808</f>
        <v>852.346470103234</v>
      </c>
    </row>
    <row r="12812" customFormat="false" ht="15" hidden="false" customHeight="false" outlineLevel="0" collapsed="false">
      <c r="A12812" s="2" t="s">
        <v>495</v>
      </c>
      <c r="C12812" s="16" t="n">
        <f aca="false">IF(ISNUMBER(Assumptions!$C$14),Assumptions!$C$14,C12811)</f>
        <v>852.346470103234</v>
      </c>
    </row>
    <row r="12813" customFormat="false" ht="15" hidden="false" customHeight="false" outlineLevel="0" collapsed="false">
      <c r="A12813" s="3" t="s">
        <v>496</v>
      </c>
      <c r="C12813" s="25" t="n">
        <f aca="false">C12812*Assumptions!$C$15</f>
        <v>34.0938588041294</v>
      </c>
    </row>
    <row r="12814" customFormat="false" ht="15" hidden="false" customHeight="false" outlineLevel="0" collapsed="false">
      <c r="A12814" s="2" t="s">
        <v>497</v>
      </c>
      <c r="C12814" s="16" t="n">
        <f aca="false">C12812-C12813</f>
        <v>818.252611299105</v>
      </c>
    </row>
    <row r="12815" customFormat="false" ht="15" hidden="false" customHeight="false" outlineLevel="0" collapsed="false">
      <c r="A12815" s="23" t="s">
        <v>498</v>
      </c>
      <c r="B12815" s="24"/>
      <c r="C12815" s="24"/>
      <c r="D12815" s="24"/>
      <c r="E12815" s="24"/>
      <c r="F12815" s="24"/>
      <c r="G12815" s="24"/>
      <c r="H12815" s="24"/>
      <c r="I12815" s="24"/>
      <c r="J12815" s="24"/>
      <c r="K12815" s="24"/>
    </row>
    <row r="12816" customFormat="false" ht="15" hidden="false" customHeight="false" outlineLevel="0" collapsed="false">
      <c r="A12816" s="3" t="s">
        <v>499</v>
      </c>
      <c r="C12816" s="25" t="n">
        <f aca="false">SUMPRODUCT($G$12804:$K$12804,$G$12696:$K$12696)*(1+SUMPRODUCT($G$12804:$K$12804,$G$12688:$K$12688)*Assumptions!$C$16/12)</f>
        <v>1349.6193225</v>
      </c>
    </row>
    <row r="12817" customFormat="false" ht="15" hidden="false" customHeight="false" outlineLevel="0" collapsed="false">
      <c r="A12817" s="3" t="s">
        <v>500</v>
      </c>
      <c r="C12817" s="25" t="n">
        <f aca="false">SUMPRODUCT($G$12804:$K$12804,$G$12709:$K$12709)*(1+SUMPRODUCT($G$12804:$K$12804,$G$12701:$K$12701)*Assumptions!$C$16/12)</f>
        <v>0</v>
      </c>
    </row>
    <row r="12818" customFormat="false" ht="15" hidden="false" customHeight="false" outlineLevel="0" collapsed="false">
      <c r="A12818" s="3" t="s">
        <v>501</v>
      </c>
      <c r="C12818" s="25" t="n">
        <f aca="false">SUMPRODUCT($G$12804:$K$12804,$G$12722:$K$12722)*(1+SUMPRODUCT($G$12804:$K$12804,$G$12714:$K$12714)*Assumptions!$C$16/12)</f>
        <v>0</v>
      </c>
    </row>
    <row r="12819" customFormat="false" ht="15" hidden="false" customHeight="false" outlineLevel="0" collapsed="false">
      <c r="A12819" s="23" t="s">
        <v>502</v>
      </c>
      <c r="B12819" s="24"/>
      <c r="C12819" s="24"/>
      <c r="D12819" s="24"/>
      <c r="E12819" s="24"/>
      <c r="F12819" s="24"/>
      <c r="G12819" s="24"/>
      <c r="H12819" s="24"/>
      <c r="I12819" s="24"/>
      <c r="J12819" s="24"/>
      <c r="K12819" s="24"/>
    </row>
    <row r="12820" customFormat="false" ht="15" hidden="false" customHeight="false" outlineLevel="0" collapsed="false">
      <c r="A12820" s="3" t="s">
        <v>499</v>
      </c>
      <c r="C12820" s="27" t="n">
        <f aca="false">Assumptions!$M$56</f>
        <v>1</v>
      </c>
    </row>
    <row r="12821" customFormat="false" ht="15" hidden="false" customHeight="false" outlineLevel="0" collapsed="false">
      <c r="A12821" s="3" t="s">
        <v>500</v>
      </c>
      <c r="C12821" s="27" t="n">
        <f aca="false">Assumptions!$M$57</f>
        <v>2</v>
      </c>
    </row>
    <row r="12822" customFormat="false" ht="15" hidden="false" customHeight="false" outlineLevel="0" collapsed="false">
      <c r="A12822" s="3" t="s">
        <v>501</v>
      </c>
      <c r="C12822" s="27" t="n">
        <f aca="false">Assumptions!$M$58</f>
        <v>2</v>
      </c>
    </row>
    <row r="12823" customFormat="false" ht="15" hidden="false" customHeight="false" outlineLevel="0" collapsed="false">
      <c r="A12823" s="23" t="s">
        <v>503</v>
      </c>
      <c r="B12823" s="24"/>
      <c r="C12823" s="24"/>
      <c r="D12823" s="24"/>
      <c r="E12823" s="24"/>
      <c r="F12823" s="24"/>
      <c r="G12823" s="24"/>
      <c r="H12823" s="24"/>
      <c r="I12823" s="24"/>
      <c r="J12823" s="24"/>
      <c r="K12823" s="24"/>
    </row>
    <row r="12824" customFormat="false" ht="15" hidden="false" customHeight="false" outlineLevel="0" collapsed="false">
      <c r="A12824" s="3" t="s">
        <v>499</v>
      </c>
      <c r="C12824" s="35" t="n">
        <f aca="false">Assumptions!$Q$56</f>
        <v>0</v>
      </c>
    </row>
    <row r="12825" customFormat="false" ht="15" hidden="false" customHeight="false" outlineLevel="0" collapsed="false">
      <c r="A12825" s="3" t="s">
        <v>500</v>
      </c>
      <c r="C12825" s="35" t="n">
        <f aca="false">Assumptions!$Q$57</f>
        <v>0</v>
      </c>
    </row>
    <row r="12826" customFormat="false" ht="15" hidden="false" customHeight="false" outlineLevel="0" collapsed="false">
      <c r="A12826" s="3" t="s">
        <v>501</v>
      </c>
      <c r="C12826" s="35" t="n">
        <f aca="false">Assumptions!$Q$58</f>
        <v>0</v>
      </c>
    </row>
    <row r="12827" customFormat="false" ht="15" hidden="false" customHeight="false" outlineLevel="0" collapsed="false">
      <c r="A12827" s="23" t="s">
        <v>504</v>
      </c>
      <c r="B12827" s="24"/>
      <c r="C12827" s="24"/>
      <c r="D12827" s="24"/>
      <c r="E12827" s="24"/>
      <c r="F12827" s="24"/>
      <c r="G12827" s="24"/>
      <c r="H12827" s="24"/>
      <c r="I12827" s="24"/>
      <c r="J12827" s="24"/>
      <c r="K12827" s="24"/>
    </row>
    <row r="12828" customFormat="false" ht="15" hidden="false" customHeight="false" outlineLevel="0" collapsed="false">
      <c r="A12828" s="3" t="s">
        <v>499</v>
      </c>
      <c r="C12828" s="25" t="n">
        <f aca="false">IF(C12824&gt;0,MIN(C12816,C12824*$C$12814),0)</f>
        <v>0</v>
      </c>
    </row>
    <row r="12829" customFormat="false" ht="15" hidden="false" customHeight="false" outlineLevel="0" collapsed="false">
      <c r="A12829" s="3" t="s">
        <v>500</v>
      </c>
      <c r="C12829" s="25" t="n">
        <f aca="false">IF(C12825&gt;0,MIN(C12817,C12825*$C$12814),0)</f>
        <v>0</v>
      </c>
    </row>
    <row r="12830" customFormat="false" ht="15" hidden="false" customHeight="false" outlineLevel="0" collapsed="false">
      <c r="A12830" s="3" t="s">
        <v>501</v>
      </c>
      <c r="C12830" s="25" t="n">
        <f aca="false">IF(C12826&gt;0,MIN(C12818,C12826*$C$12814),0)</f>
        <v>0</v>
      </c>
    </row>
    <row r="12831" customFormat="false" ht="15" hidden="false" customHeight="false" outlineLevel="0" collapsed="false">
      <c r="A12831" s="23" t="s">
        <v>505</v>
      </c>
      <c r="B12831" s="24"/>
      <c r="C12831" s="24"/>
      <c r="D12831" s="24"/>
      <c r="E12831" s="24"/>
      <c r="F12831" s="24"/>
      <c r="G12831" s="24"/>
      <c r="H12831" s="24"/>
      <c r="I12831" s="24"/>
      <c r="J12831" s="24"/>
      <c r="K12831" s="24"/>
    </row>
    <row r="12832" customFormat="false" ht="15" hidden="false" customHeight="false" outlineLevel="0" collapsed="false">
      <c r="A12832" s="3" t="s">
        <v>499</v>
      </c>
      <c r="C12832" s="25" t="n">
        <f aca="false">IF(C12824&gt;0,C12816-C12828,0)</f>
        <v>0</v>
      </c>
      <c r="G12832" s="20" t="n">
        <f aca="false">IF(AND(G12686=1,G12683=1),1,0)</f>
        <v>0</v>
      </c>
      <c r="H12832" s="20" t="n">
        <f aca="false">IF(G12832=1,1,IF(AND(H12686=1,H12683=1),1,0))</f>
        <v>0</v>
      </c>
      <c r="I12832" s="20" t="n">
        <f aca="false">IF(H12832=1,1,IF(AND(I12686=1,I12683=1),1,0))</f>
        <v>0</v>
      </c>
      <c r="J12832" s="20" t="n">
        <f aca="false">IF(I12832=1,1,IF(AND(J12686=1,J12683=1),1,0))</f>
        <v>0</v>
      </c>
      <c r="K12832" s="20" t="n">
        <f aca="false">IF(J12832=1,1,IF(AND(K12686=1,K12683=1),1,0))</f>
        <v>0</v>
      </c>
    </row>
    <row r="12833" customFormat="false" ht="15" hidden="false" customHeight="false" outlineLevel="0" collapsed="false">
      <c r="A12833" s="3" t="s">
        <v>500</v>
      </c>
      <c r="C12833" s="25" t="n">
        <f aca="false">IF(C12825&gt;0,C12817-C12829,0)</f>
        <v>0</v>
      </c>
      <c r="G12833" s="20" t="n">
        <f aca="false">IF(AND(G12699=1,G12683=1),1,0)</f>
        <v>0</v>
      </c>
      <c r="H12833" s="20" t="n">
        <f aca="false">IF(G12833=1,1,IF(AND(H12699=1,H12683=1),1,0))</f>
        <v>0</v>
      </c>
      <c r="I12833" s="20" t="n">
        <f aca="false">IF(H12833=1,1,IF(AND(I12699=1,I12683=1),1,0))</f>
        <v>0</v>
      </c>
      <c r="J12833" s="20" t="n">
        <f aca="false">IF(I12833=1,1,IF(AND(J12699=1,J12683=1),1,0))</f>
        <v>0</v>
      </c>
      <c r="K12833" s="20" t="n">
        <f aca="false">IF(J12833=1,1,IF(AND(K12699=1,K12683=1),1,0))</f>
        <v>0</v>
      </c>
    </row>
    <row r="12834" customFormat="false" ht="15" hidden="false" customHeight="false" outlineLevel="0" collapsed="false">
      <c r="A12834" s="3" t="s">
        <v>501</v>
      </c>
      <c r="C12834" s="25" t="n">
        <f aca="false">IF(C12826&gt;0,C12818-C12830,0)</f>
        <v>0</v>
      </c>
      <c r="G12834" s="20" t="n">
        <f aca="false">IF(AND(G12712=1,G12683=1),1,0)</f>
        <v>0</v>
      </c>
      <c r="H12834" s="20" t="n">
        <f aca="false">IF(G12834=1,1,IF(AND(H12712=1,H12683=1),1,0))</f>
        <v>0</v>
      </c>
      <c r="I12834" s="20" t="n">
        <f aca="false">IF(H12834=1,1,IF(AND(I12712=1,I12683=1),1,0))</f>
        <v>0</v>
      </c>
      <c r="J12834" s="20" t="n">
        <f aca="false">IF(I12834=1,1,IF(AND(J12712=1,J12683=1),1,0))</f>
        <v>0</v>
      </c>
      <c r="K12834" s="20" t="n">
        <f aca="false">IF(J12834=1,1,IF(AND(K12712=1,K12683=1),1,0))</f>
        <v>0</v>
      </c>
    </row>
    <row r="12835" customFormat="false" ht="15" hidden="false" customHeight="false" outlineLevel="0" collapsed="false">
      <c r="A12835" s="23" t="s">
        <v>506</v>
      </c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</row>
    <row r="12836" customFormat="false" ht="15" hidden="false" customHeight="false" outlineLevel="0" collapsed="false">
      <c r="A12836" s="3" t="s">
        <v>499</v>
      </c>
      <c r="C12836" s="25" t="n">
        <f aca="false">IF(C12824&gt;0,C12832,C12816)</f>
        <v>1349.6193225</v>
      </c>
    </row>
    <row r="12837" customFormat="false" ht="15" hidden="false" customHeight="false" outlineLevel="0" collapsed="false">
      <c r="A12837" s="3" t="s">
        <v>500</v>
      </c>
      <c r="C12837" s="25" t="n">
        <f aca="false">IF(C12825&gt;0,C12833,C12817)</f>
        <v>0</v>
      </c>
    </row>
    <row r="12838" customFormat="false" ht="15" hidden="false" customHeight="false" outlineLevel="0" collapsed="false">
      <c r="A12838" s="3" t="s">
        <v>501</v>
      </c>
      <c r="C12838" s="25" t="n">
        <f aca="false">IF(C12826&gt;0,C12834,C12818)</f>
        <v>0</v>
      </c>
    </row>
    <row r="12839" customFormat="false" ht="15" hidden="false" customHeight="false" outlineLevel="0" collapsed="false">
      <c r="A12839" s="23" t="s">
        <v>507</v>
      </c>
      <c r="B12839" s="24"/>
      <c r="C12839" s="24"/>
      <c r="D12839" s="24"/>
      <c r="E12839" s="24"/>
      <c r="F12839" s="24"/>
      <c r="G12839" s="24"/>
      <c r="H12839" s="24"/>
      <c r="I12839" s="24"/>
      <c r="J12839" s="24"/>
      <c r="K12839" s="24"/>
    </row>
    <row r="12840" customFormat="false" ht="15" hidden="false" customHeight="false" outlineLevel="0" collapsed="false">
      <c r="A12840" s="3" t="s">
        <v>499</v>
      </c>
      <c r="C12840" s="20" t="n">
        <f aca="false">IF(C12824&gt;0,Assumptions!$C$17,C12820)</f>
        <v>1</v>
      </c>
    </row>
    <row r="12841" customFormat="false" ht="15" hidden="false" customHeight="false" outlineLevel="0" collapsed="false">
      <c r="A12841" s="3" t="s">
        <v>500</v>
      </c>
      <c r="C12841" s="20" t="n">
        <f aca="false">IF(C12825&gt;0,Assumptions!$C$17,C12821)</f>
        <v>2</v>
      </c>
    </row>
    <row r="12842" customFormat="false" ht="15" hidden="false" customHeight="false" outlineLevel="0" collapsed="false">
      <c r="A12842" s="3" t="s">
        <v>501</v>
      </c>
      <c r="C12842" s="20" t="n">
        <f aca="false">IF(C12826&gt;0,Assumptions!$C$17,C12822)</f>
        <v>2</v>
      </c>
    </row>
    <row r="12843" customFormat="false" ht="15" hidden="false" customHeight="false" outlineLevel="0" collapsed="false">
      <c r="A12843" s="23" t="s">
        <v>508</v>
      </c>
      <c r="B12843" s="24"/>
      <c r="C12843" s="24"/>
      <c r="D12843" s="24"/>
      <c r="E12843" s="24"/>
      <c r="F12843" s="24"/>
      <c r="G12843" s="24"/>
      <c r="H12843" s="24"/>
      <c r="I12843" s="24"/>
      <c r="J12843" s="24"/>
      <c r="K12843" s="24"/>
    </row>
    <row r="12844" customFormat="false" ht="15" hidden="false" customHeight="false" outlineLevel="0" collapsed="false">
      <c r="A12844" s="3" t="s">
        <v>499</v>
      </c>
      <c r="C12844" s="25" t="n">
        <f aca="false">SUMPRODUCT(($C$12840:$C$12842&lt;C12840)*$C$12836:$C$12838)</f>
        <v>0</v>
      </c>
    </row>
    <row r="12845" customFormat="false" ht="15" hidden="false" customHeight="false" outlineLevel="0" collapsed="false">
      <c r="A12845" s="3" t="s">
        <v>500</v>
      </c>
      <c r="C12845" s="25" t="n">
        <f aca="false">SUMPRODUCT(($C$12840:$C$12842&lt;C12841)*$C$12836:$C$12838)</f>
        <v>1349.6193225</v>
      </c>
    </row>
    <row r="12846" customFormat="false" ht="15" hidden="false" customHeight="false" outlineLevel="0" collapsed="false">
      <c r="A12846" s="3" t="s">
        <v>501</v>
      </c>
      <c r="C12846" s="25" t="n">
        <f aca="false">SUMPRODUCT(($C$12840:$C$12842&lt;C12842)*$C$12836:$C$12838)</f>
        <v>1349.6193225</v>
      </c>
    </row>
    <row r="12847" customFormat="false" ht="15" hidden="false" customHeight="false" outlineLevel="0" collapsed="false">
      <c r="A12847" s="23" t="s">
        <v>509</v>
      </c>
      <c r="B12847" s="24"/>
      <c r="C12847" s="24"/>
      <c r="D12847" s="24"/>
      <c r="E12847" s="24"/>
      <c r="F12847" s="24"/>
      <c r="G12847" s="24"/>
      <c r="H12847" s="24"/>
      <c r="I12847" s="24"/>
      <c r="J12847" s="24"/>
      <c r="K12847" s="24"/>
    </row>
    <row r="12848" customFormat="false" ht="15" hidden="false" customHeight="false" outlineLevel="0" collapsed="false">
      <c r="A12848" s="3" t="s">
        <v>499</v>
      </c>
      <c r="C12848" s="25" t="n">
        <f aca="false">SUMPRODUCT(($C$12840:$C$12842=C12840)*$C$12836:$C$12838)</f>
        <v>1349.6193225</v>
      </c>
    </row>
    <row r="12849" customFormat="false" ht="15" hidden="false" customHeight="false" outlineLevel="0" collapsed="false">
      <c r="A12849" s="3" t="s">
        <v>500</v>
      </c>
      <c r="C12849" s="25" t="n">
        <f aca="false">SUMPRODUCT(($C$12840:$C$12842=C12841)*$C$12836:$C$12838)</f>
        <v>0</v>
      </c>
    </row>
    <row r="12850" customFormat="false" ht="15" hidden="false" customHeight="false" outlineLevel="0" collapsed="false">
      <c r="A12850" s="3" t="s">
        <v>501</v>
      </c>
      <c r="C12850" s="25" t="n">
        <f aca="false">SUMPRODUCT(($C$12840:$C$12842=C12842)*$C$12836:$C$12838)</f>
        <v>0</v>
      </c>
    </row>
    <row r="12851" customFormat="false" ht="15" hidden="false" customHeight="false" outlineLevel="0" collapsed="false">
      <c r="A12851" s="23" t="s">
        <v>510</v>
      </c>
      <c r="B12851" s="24"/>
      <c r="C12851" s="24"/>
      <c r="D12851" s="24"/>
      <c r="E12851" s="24"/>
      <c r="F12851" s="24"/>
      <c r="G12851" s="24"/>
      <c r="H12851" s="24"/>
      <c r="I12851" s="24"/>
      <c r="J12851" s="24"/>
      <c r="K12851" s="24"/>
    </row>
    <row r="12852" customFormat="false" ht="15" hidden="false" customHeight="false" outlineLevel="0" collapsed="false">
      <c r="A12852" s="3" t="s">
        <v>499</v>
      </c>
      <c r="C12852" s="25" t="n">
        <f aca="false">IF(C12848=0,0,C12836/C12848*MAX(0,MIN(C12848,$C$12814-SUM($C$12828:$C$12830)-C12844)))</f>
        <v>818.252611299105</v>
      </c>
    </row>
    <row r="12853" customFormat="false" ht="15" hidden="false" customHeight="false" outlineLevel="0" collapsed="false">
      <c r="A12853" s="3" t="s">
        <v>500</v>
      </c>
      <c r="C12853" s="25" t="n">
        <f aca="false">IF(C12849=0,0,C12837/C12849*MAX(0,MIN(C12849,$C$12814-SUM($C$12828:$C$12830)-C12845)))</f>
        <v>0</v>
      </c>
    </row>
    <row r="12854" customFormat="false" ht="15" hidden="false" customHeight="false" outlineLevel="0" collapsed="false">
      <c r="A12854" s="3" t="s">
        <v>501</v>
      </c>
      <c r="C12854" s="25" t="n">
        <f aca="false">IF(C12850=0,0,C12838/C12850*MAX(0,MIN(C12850,$C$12814-SUM($C$12828:$C$12830)-C12846)))</f>
        <v>0</v>
      </c>
    </row>
    <row r="12855" customFormat="false" ht="15" hidden="false" customHeight="false" outlineLevel="0" collapsed="false">
      <c r="A12855" s="23" t="s">
        <v>511</v>
      </c>
      <c r="B12855" s="24"/>
      <c r="C12855" s="24"/>
      <c r="D12855" s="24"/>
      <c r="E12855" s="24"/>
      <c r="F12855" s="24"/>
      <c r="G12855" s="24"/>
      <c r="H12855" s="24"/>
      <c r="I12855" s="24"/>
      <c r="J12855" s="24"/>
      <c r="K12855" s="24"/>
    </row>
    <row r="12856" customFormat="false" ht="15" hidden="false" customHeight="false" outlineLevel="0" collapsed="false">
      <c r="A12856" s="2" t="s">
        <v>499</v>
      </c>
      <c r="C12856" s="16" t="n">
        <f aca="false">C12828+C12852</f>
        <v>818.252611299105</v>
      </c>
    </row>
    <row r="12857" customFormat="false" ht="15" hidden="false" customHeight="false" outlineLevel="0" collapsed="false">
      <c r="A12857" s="2" t="s">
        <v>500</v>
      </c>
      <c r="C12857" s="16" t="n">
        <f aca="false">C12829+C12853</f>
        <v>0</v>
      </c>
    </row>
    <row r="12858" customFormat="false" ht="15" hidden="false" customHeight="false" outlineLevel="0" collapsed="false">
      <c r="A12858" s="2" t="s">
        <v>501</v>
      </c>
      <c r="C12858" s="16" t="n">
        <f aca="false">C12830+C12854</f>
        <v>0</v>
      </c>
    </row>
    <row r="12859" customFormat="false" ht="15" hidden="false" customHeight="false" outlineLevel="0" collapsed="false">
      <c r="A12859" s="23" t="s">
        <v>512</v>
      </c>
      <c r="B12859" s="24"/>
      <c r="C12859" s="24"/>
      <c r="D12859" s="24"/>
      <c r="E12859" s="24"/>
      <c r="F12859" s="24"/>
      <c r="G12859" s="24"/>
      <c r="H12859" s="24"/>
      <c r="I12859" s="24"/>
      <c r="J12859" s="24"/>
      <c r="K12859" s="24"/>
    </row>
    <row r="12860" customFormat="false" ht="15" hidden="false" customHeight="false" outlineLevel="0" collapsed="false">
      <c r="A12860" s="3" t="s">
        <v>499</v>
      </c>
      <c r="C12860" s="21" t="n">
        <f aca="false">IF(C12816=0,1,C12856/C12816)</f>
        <v>0.606284007392095</v>
      </c>
    </row>
    <row r="12861" customFormat="false" ht="15" hidden="false" customHeight="false" outlineLevel="0" collapsed="false">
      <c r="A12861" s="3" t="s">
        <v>500</v>
      </c>
      <c r="C12861" s="21" t="n">
        <f aca="false">IF(C12817=0,1,C12857/C12817)</f>
        <v>1</v>
      </c>
    </row>
    <row r="12862" customFormat="false" ht="15" hidden="false" customHeight="false" outlineLevel="0" collapsed="false">
      <c r="A12862" s="3" t="s">
        <v>501</v>
      </c>
      <c r="C12862" s="21" t="n">
        <f aca="false">IF(C12818=0,1,C12858/C12818)</f>
        <v>1</v>
      </c>
    </row>
    <row r="12863" customFormat="false" ht="15" hidden="false" customHeight="false" outlineLevel="0" collapsed="false">
      <c r="A12863" s="23" t="s">
        <v>513</v>
      </c>
      <c r="B12863" s="24"/>
      <c r="C12863" s="24"/>
      <c r="D12863" s="24"/>
      <c r="E12863" s="24"/>
      <c r="F12863" s="24"/>
      <c r="G12863" s="24"/>
      <c r="H12863" s="24"/>
      <c r="I12863" s="24"/>
      <c r="J12863" s="24"/>
      <c r="K12863" s="24"/>
    </row>
    <row r="12864" customFormat="false" ht="15" hidden="false" customHeight="false" outlineLevel="0" collapsed="false">
      <c r="A12864" s="3" t="s">
        <v>499</v>
      </c>
      <c r="C12864" s="25" t="n">
        <f aca="false">C12816-C12856</f>
        <v>531.366711200895</v>
      </c>
    </row>
    <row r="12865" customFormat="false" ht="15" hidden="false" customHeight="false" outlineLevel="0" collapsed="false">
      <c r="A12865" s="3" t="s">
        <v>500</v>
      </c>
      <c r="C12865" s="25" t="n">
        <f aca="false">C12817-C12857</f>
        <v>0</v>
      </c>
    </row>
    <row r="12866" customFormat="false" ht="15" hidden="false" customHeight="false" outlineLevel="0" collapsed="false">
      <c r="A12866" s="3" t="s">
        <v>501</v>
      </c>
      <c r="C12866" s="25" t="n">
        <f aca="false">C12818-C12858</f>
        <v>0</v>
      </c>
    </row>
    <row r="12867" customFormat="false" ht="15" hidden="false" customHeight="false" outlineLevel="0" collapsed="false">
      <c r="A12867" s="23" t="s">
        <v>514</v>
      </c>
      <c r="B12867" s="24"/>
      <c r="C12867" s="24"/>
      <c r="D12867" s="24"/>
      <c r="E12867" s="24"/>
      <c r="F12867" s="24"/>
      <c r="G12867" s="24"/>
      <c r="H12867" s="24"/>
      <c r="I12867" s="24"/>
      <c r="J12867" s="24"/>
      <c r="K12867" s="24"/>
    </row>
    <row r="12868" customFormat="false" ht="15" hidden="false" customHeight="false" outlineLevel="0" collapsed="false">
      <c r="A12868" s="3" t="s">
        <v>499</v>
      </c>
      <c r="C12868" s="21" t="n">
        <f aca="false">IF(C12816=0,0,C12864/C12816)</f>
        <v>0.393715992607905</v>
      </c>
    </row>
    <row r="12869" customFormat="false" ht="15" hidden="false" customHeight="false" outlineLevel="0" collapsed="false">
      <c r="A12869" s="3" t="s">
        <v>500</v>
      </c>
      <c r="C12869" s="21" t="n">
        <f aca="false">IF(C12817=0,0,C12865/C12817)</f>
        <v>0</v>
      </c>
    </row>
    <row r="12870" customFormat="false" ht="15" hidden="false" customHeight="false" outlineLevel="0" collapsed="false">
      <c r="A12870" s="3" t="s">
        <v>501</v>
      </c>
      <c r="C12870" s="21" t="n">
        <f aca="false">IF(C12818=0,0,C12866/C12818)</f>
        <v>0</v>
      </c>
    </row>
    <row r="12871" customFormat="false" ht="15" hidden="false" customHeight="false" outlineLevel="0" collapsed="false">
      <c r="A12871" s="2" t="s">
        <v>515</v>
      </c>
      <c r="C12871" s="16" t="n">
        <f aca="false">MAX(0,$C$12814-SUM($C$12828:$C$12830)-SUM($C$12836:$C$12838))</f>
        <v>0</v>
      </c>
    </row>
    <row r="12872" customFormat="false" ht="15" hidden="false" customHeight="false" outlineLevel="0" collapsed="false">
      <c r="A12872" s="3" t="s">
        <v>516</v>
      </c>
      <c r="C12872" s="25" t="n">
        <f aca="false">SUM($C$12856:$C$12858)+C12871+C12813-C12812</f>
        <v>0</v>
      </c>
    </row>
    <row r="12874" customFormat="false" ht="15" hidden="false" customHeight="false" outlineLevel="0" collapsed="false">
      <c r="A12874" s="23" t="s">
        <v>519</v>
      </c>
      <c r="B12874" s="24"/>
      <c r="C12874" s="24"/>
      <c r="D12874" s="24"/>
      <c r="E12874" s="24"/>
      <c r="F12874" s="24"/>
      <c r="G12874" s="24"/>
      <c r="H12874" s="24"/>
      <c r="I12874" s="24"/>
      <c r="J12874" s="24"/>
      <c r="K12874" s="24"/>
    </row>
    <row r="12875" customFormat="false" ht="15" hidden="false" customHeight="false" outlineLevel="0" collapsed="false">
      <c r="A12875" s="3" t="s">
        <v>520</v>
      </c>
      <c r="C12875" s="27" t="n">
        <f aca="false">Assumptions!$C$33</f>
        <v>1</v>
      </c>
    </row>
    <row r="12876" customFormat="false" ht="15" hidden="false" customHeight="false" outlineLevel="0" collapsed="false">
      <c r="A12876" s="3" t="s">
        <v>521</v>
      </c>
      <c r="C12876" s="29" t="n">
        <f aca="false">Assumptions!$C$34</f>
        <v>100</v>
      </c>
    </row>
    <row r="12877" customFormat="false" ht="15" hidden="false" customHeight="false" outlineLevel="0" collapsed="false">
      <c r="A12877" s="3" t="s">
        <v>522</v>
      </c>
      <c r="C12877" s="40" t="n">
        <f aca="false">Assumptions!$C$35</f>
        <v>95</v>
      </c>
    </row>
    <row r="12878" customFormat="false" ht="15" hidden="false" customHeight="false" outlineLevel="0" collapsed="false">
      <c r="A12878" s="3" t="s">
        <v>523</v>
      </c>
      <c r="C12878" s="25" t="n">
        <f aca="false">C12876*C12877/100*(1+Assumptions!$C$36)</f>
        <v>95</v>
      </c>
    </row>
    <row r="12879" customFormat="false" ht="15" hidden="false" customHeight="false" outlineLevel="0" collapsed="false">
      <c r="A12879" s="3" t="s">
        <v>524</v>
      </c>
      <c r="C12879" s="27" t="n">
        <f aca="false">Assumptions!$C$37</f>
        <v>3</v>
      </c>
    </row>
    <row r="12880" customFormat="false" ht="15" hidden="false" customHeight="false" outlineLevel="0" collapsed="false">
      <c r="A12880" s="3" t="s">
        <v>525</v>
      </c>
      <c r="C12880" s="20" t="n">
        <f aca="false">IF(C12805=1,SUMPRODUCT($G$12757:$K$12757,$G$12650:$K$12650),0)</f>
        <v>0</v>
      </c>
    </row>
    <row r="12881" customFormat="false" ht="15" hidden="false" customHeight="false" outlineLevel="0" collapsed="false">
      <c r="A12881" s="3" t="s">
        <v>526</v>
      </c>
      <c r="C12881" s="21" t="n">
        <f aca="false">IFERROR(C12876/CHOOSE(C12875,SUMPRODUCT($G$12804:$K$12804,$G$12696:$K$12696),SUMPRODUCT($G$12804:$K$12804,$G$12709:$K$12709),SUMPRODUCT($G$12804:$K$12804,$G$12722:$K$12722)),0)</f>
        <v>0.0760399605200525</v>
      </c>
    </row>
    <row r="12882" customFormat="false" ht="15" hidden="false" customHeight="false" outlineLevel="0" collapsed="false">
      <c r="A12882" s="3" t="s">
        <v>527</v>
      </c>
      <c r="C12882" s="25" t="n">
        <f aca="false">CHOOSE(C12875,C12856,C12857,C12858)*C12881</f>
        <v>62.2198962586138</v>
      </c>
    </row>
    <row r="12883" customFormat="false" ht="15" hidden="false" customHeight="false" outlineLevel="0" collapsed="false">
      <c r="A12883" s="3" t="s">
        <v>528</v>
      </c>
      <c r="C12883" s="21" t="n">
        <f aca="false">CHOOSE(C12875,C12860,C12861,C12862)</f>
        <v>0.606284007392095</v>
      </c>
    </row>
    <row r="12884" customFormat="false" ht="15" hidden="false" customHeight="false" outlineLevel="0" collapsed="false">
      <c r="A12884" s="3" t="s">
        <v>529</v>
      </c>
      <c r="C12884" s="20" t="n">
        <f aca="false">IF(C12805=1,C12880,C12879)</f>
        <v>3</v>
      </c>
    </row>
    <row r="12885" customFormat="false" ht="15" hidden="false" customHeight="false" outlineLevel="0" collapsed="false">
      <c r="A12885" s="3" t="s">
        <v>530</v>
      </c>
      <c r="C12885" s="34" t="n">
        <f aca="false">CHOOSE($C$12642,Assumptions!$C$83,Assumptions!$C$102,Assumptions!$C$121)</f>
        <v>95</v>
      </c>
    </row>
    <row r="12886" customFormat="false" ht="15" hidden="false" customHeight="false" outlineLevel="0" collapsed="false">
      <c r="A12886" s="3" t="s">
        <v>531</v>
      </c>
      <c r="C12886" s="25" t="n">
        <f aca="false">INDEX($G$12659:$K$12659,C12879)*CHOOSE($C$12642,Assumptions!$C$82,Assumptions!$C$101,Assumptions!$C$120)+MAX(0,INDEX($G$12754:$K$12754,C12879))</f>
        <v>1068.84800987949</v>
      </c>
    </row>
    <row r="12887" customFormat="false" ht="15" hidden="false" customHeight="false" outlineLevel="0" collapsed="false">
      <c r="A12887" s="23" t="s">
        <v>532</v>
      </c>
      <c r="B12887" s="24"/>
      <c r="C12887" s="24"/>
      <c r="D12887" s="24"/>
      <c r="E12887" s="24"/>
      <c r="F12887" s="24"/>
      <c r="G12887" s="24"/>
      <c r="H12887" s="24"/>
      <c r="I12887" s="24"/>
      <c r="J12887" s="24"/>
      <c r="K12887" s="24"/>
    </row>
    <row r="12888" customFormat="false" ht="15" hidden="false" customHeight="false" outlineLevel="0" collapsed="false">
      <c r="A12888" s="3" t="s">
        <v>499</v>
      </c>
      <c r="C12888" s="25" t="n">
        <f aca="false">INDEX($G$12696:$K$12696,C12879)</f>
        <v>1315.098</v>
      </c>
    </row>
    <row r="12889" customFormat="false" ht="15" hidden="false" customHeight="false" outlineLevel="0" collapsed="false">
      <c r="A12889" s="3" t="s">
        <v>500</v>
      </c>
      <c r="C12889" s="25" t="n">
        <f aca="false">INDEX($G$12709:$K$12709,C12879)</f>
        <v>0</v>
      </c>
    </row>
    <row r="12890" customFormat="false" ht="15" hidden="false" customHeight="false" outlineLevel="0" collapsed="false">
      <c r="A12890" s="3" t="s">
        <v>501</v>
      </c>
      <c r="C12890" s="25" t="n">
        <f aca="false">INDEX($G$12722:$K$12722,C12879)</f>
        <v>0</v>
      </c>
    </row>
    <row r="12891" customFormat="false" ht="15" hidden="false" customHeight="false" outlineLevel="0" collapsed="false">
      <c r="A12891" s="23" t="s">
        <v>502</v>
      </c>
      <c r="B12891" s="24"/>
      <c r="C12891" s="24"/>
      <c r="D12891" s="24"/>
      <c r="E12891" s="24"/>
      <c r="F12891" s="24"/>
      <c r="G12891" s="24"/>
      <c r="H12891" s="24"/>
      <c r="I12891" s="24"/>
      <c r="J12891" s="24"/>
      <c r="K12891" s="24"/>
    </row>
    <row r="12892" customFormat="false" ht="15" hidden="false" customHeight="false" outlineLevel="0" collapsed="false">
      <c r="A12892" s="3" t="s">
        <v>499</v>
      </c>
      <c r="C12892" s="27" t="n">
        <f aca="false">Assumptions!$M$56</f>
        <v>1</v>
      </c>
    </row>
    <row r="12893" customFormat="false" ht="15" hidden="false" customHeight="false" outlineLevel="0" collapsed="false">
      <c r="A12893" s="3" t="s">
        <v>500</v>
      </c>
      <c r="C12893" s="27" t="n">
        <f aca="false">Assumptions!$M$57</f>
        <v>2</v>
      </c>
    </row>
    <row r="12894" customFormat="false" ht="15" hidden="false" customHeight="false" outlineLevel="0" collapsed="false">
      <c r="A12894" s="3" t="s">
        <v>501</v>
      </c>
      <c r="C12894" s="27" t="n">
        <f aca="false">Assumptions!$M$58</f>
        <v>2</v>
      </c>
    </row>
    <row r="12895" customFormat="false" ht="15" hidden="false" customHeight="false" outlineLevel="0" collapsed="false">
      <c r="A12895" s="23" t="s">
        <v>503</v>
      </c>
      <c r="B12895" s="24"/>
      <c r="C12895" s="24"/>
      <c r="D12895" s="24"/>
      <c r="E12895" s="24"/>
      <c r="F12895" s="24"/>
      <c r="G12895" s="24"/>
      <c r="H12895" s="24"/>
      <c r="I12895" s="24"/>
      <c r="J12895" s="24"/>
      <c r="K12895" s="24"/>
    </row>
    <row r="12896" customFormat="false" ht="15" hidden="false" customHeight="false" outlineLevel="0" collapsed="false">
      <c r="A12896" s="3" t="s">
        <v>499</v>
      </c>
      <c r="C12896" s="35" t="n">
        <f aca="false">Assumptions!$Q$56</f>
        <v>0</v>
      </c>
    </row>
    <row r="12897" customFormat="false" ht="15" hidden="false" customHeight="false" outlineLevel="0" collapsed="false">
      <c r="A12897" s="3" t="s">
        <v>500</v>
      </c>
      <c r="C12897" s="35" t="n">
        <f aca="false">Assumptions!$Q$57</f>
        <v>0</v>
      </c>
    </row>
    <row r="12898" customFormat="false" ht="15" hidden="false" customHeight="false" outlineLevel="0" collapsed="false">
      <c r="A12898" s="3" t="s">
        <v>501</v>
      </c>
      <c r="C12898" s="35" t="n">
        <f aca="false">Assumptions!$Q$58</f>
        <v>0</v>
      </c>
    </row>
    <row r="12899" customFormat="false" ht="15" hidden="false" customHeight="false" outlineLevel="0" collapsed="false">
      <c r="A12899" s="23" t="s">
        <v>504</v>
      </c>
      <c r="B12899" s="24"/>
      <c r="C12899" s="24"/>
      <c r="D12899" s="24"/>
      <c r="E12899" s="24"/>
      <c r="F12899" s="24"/>
      <c r="G12899" s="24"/>
      <c r="H12899" s="24"/>
      <c r="I12899" s="24"/>
      <c r="J12899" s="24"/>
      <c r="K12899" s="24"/>
    </row>
    <row r="12900" customFormat="false" ht="15" hidden="false" customHeight="false" outlineLevel="0" collapsed="false">
      <c r="A12900" s="3" t="s">
        <v>499</v>
      </c>
      <c r="C12900" s="25" t="n">
        <f aca="false">IF(C12896&gt;0,MIN(C12888,C12896*$C$12886),0)</f>
        <v>0</v>
      </c>
    </row>
    <row r="12901" customFormat="false" ht="15" hidden="false" customHeight="false" outlineLevel="0" collapsed="false">
      <c r="A12901" s="3" t="s">
        <v>500</v>
      </c>
      <c r="C12901" s="25" t="n">
        <f aca="false">IF(C12897&gt;0,MIN(C12889,C12897*$C$12886),0)</f>
        <v>0</v>
      </c>
    </row>
    <row r="12902" customFormat="false" ht="15" hidden="false" customHeight="false" outlineLevel="0" collapsed="false">
      <c r="A12902" s="3" t="s">
        <v>501</v>
      </c>
      <c r="C12902" s="25" t="n">
        <f aca="false">IF(C12898&gt;0,MIN(C12890,C12898*$C$12886),0)</f>
        <v>0</v>
      </c>
    </row>
    <row r="12903" customFormat="false" ht="15" hidden="false" customHeight="false" outlineLevel="0" collapsed="false">
      <c r="A12903" s="23" t="s">
        <v>505</v>
      </c>
      <c r="B12903" s="24"/>
      <c r="C12903" s="24"/>
      <c r="D12903" s="24"/>
      <c r="E12903" s="24"/>
      <c r="F12903" s="24"/>
      <c r="G12903" s="24"/>
      <c r="H12903" s="24"/>
      <c r="I12903" s="24"/>
      <c r="J12903" s="24"/>
      <c r="K12903" s="24"/>
    </row>
    <row r="12904" customFormat="false" ht="15" hidden="false" customHeight="false" outlineLevel="0" collapsed="false">
      <c r="A12904" s="3" t="s">
        <v>499</v>
      </c>
      <c r="C12904" s="25" t="n">
        <f aca="false">IF(C12896&gt;0,C12888-C12900,0)</f>
        <v>0</v>
      </c>
    </row>
    <row r="12905" customFormat="false" ht="15" hidden="false" customHeight="false" outlineLevel="0" collapsed="false">
      <c r="A12905" s="3" t="s">
        <v>500</v>
      </c>
      <c r="C12905" s="25" t="n">
        <f aca="false">IF(C12897&gt;0,C12889-C12901,0)</f>
        <v>0</v>
      </c>
    </row>
    <row r="12906" customFormat="false" ht="15" hidden="false" customHeight="false" outlineLevel="0" collapsed="false">
      <c r="A12906" s="3" t="s">
        <v>501</v>
      </c>
      <c r="C12906" s="25" t="n">
        <f aca="false">IF(C12898&gt;0,C12890-C12902,0)</f>
        <v>0</v>
      </c>
    </row>
    <row r="12907" customFormat="false" ht="15" hidden="false" customHeight="false" outlineLevel="0" collapsed="false">
      <c r="A12907" s="23" t="s">
        <v>506</v>
      </c>
      <c r="B12907" s="24"/>
      <c r="C12907" s="24"/>
      <c r="D12907" s="24"/>
      <c r="E12907" s="24"/>
      <c r="F12907" s="24"/>
      <c r="G12907" s="24"/>
      <c r="H12907" s="24"/>
      <c r="I12907" s="24"/>
      <c r="J12907" s="24"/>
      <c r="K12907" s="24"/>
    </row>
    <row r="12908" customFormat="false" ht="15" hidden="false" customHeight="false" outlineLevel="0" collapsed="false">
      <c r="A12908" s="3" t="s">
        <v>499</v>
      </c>
      <c r="C12908" s="25" t="n">
        <f aca="false">IF(C12896&gt;0,C12904,C12888)</f>
        <v>1315.098</v>
      </c>
    </row>
    <row r="12909" customFormat="false" ht="15" hidden="false" customHeight="false" outlineLevel="0" collapsed="false">
      <c r="A12909" s="3" t="s">
        <v>500</v>
      </c>
      <c r="C12909" s="25" t="n">
        <f aca="false">IF(C12897&gt;0,C12905,C12889)</f>
        <v>0</v>
      </c>
    </row>
    <row r="12910" customFormat="false" ht="15" hidden="false" customHeight="false" outlineLevel="0" collapsed="false">
      <c r="A12910" s="3" t="s">
        <v>501</v>
      </c>
      <c r="C12910" s="25" t="n">
        <f aca="false">IF(C12898&gt;0,C12906,C12890)</f>
        <v>0</v>
      </c>
    </row>
    <row r="12911" customFormat="false" ht="15" hidden="false" customHeight="false" outlineLevel="0" collapsed="false">
      <c r="A12911" s="23" t="s">
        <v>507</v>
      </c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</row>
    <row r="12912" customFormat="false" ht="15" hidden="false" customHeight="false" outlineLevel="0" collapsed="false">
      <c r="A12912" s="3" t="s">
        <v>499</v>
      </c>
      <c r="C12912" s="20" t="n">
        <f aca="false">IF(C12896&gt;0,Assumptions!$C$17,C12892)</f>
        <v>1</v>
      </c>
    </row>
    <row r="12913" customFormat="false" ht="15" hidden="false" customHeight="false" outlineLevel="0" collapsed="false">
      <c r="A12913" s="3" t="s">
        <v>500</v>
      </c>
      <c r="C12913" s="20" t="n">
        <f aca="false">IF(C12897&gt;0,Assumptions!$C$17,C12893)</f>
        <v>2</v>
      </c>
    </row>
    <row r="12914" customFormat="false" ht="15" hidden="false" customHeight="false" outlineLevel="0" collapsed="false">
      <c r="A12914" s="3" t="s">
        <v>501</v>
      </c>
      <c r="C12914" s="20" t="n">
        <f aca="false">IF(C12898&gt;0,Assumptions!$C$17,C12894)</f>
        <v>2</v>
      </c>
    </row>
    <row r="12915" customFormat="false" ht="15" hidden="false" customHeight="false" outlineLevel="0" collapsed="false">
      <c r="A12915" s="23" t="s">
        <v>508</v>
      </c>
      <c r="B12915" s="24"/>
      <c r="C12915" s="24"/>
      <c r="D12915" s="24"/>
      <c r="E12915" s="24"/>
      <c r="F12915" s="24"/>
      <c r="G12915" s="24"/>
      <c r="H12915" s="24"/>
      <c r="I12915" s="24"/>
      <c r="J12915" s="24"/>
      <c r="K12915" s="24"/>
    </row>
    <row r="12916" customFormat="false" ht="15" hidden="false" customHeight="false" outlineLevel="0" collapsed="false">
      <c r="A12916" s="3" t="s">
        <v>499</v>
      </c>
      <c r="C12916" s="25" t="n">
        <f aca="false">SUMPRODUCT(($C$12912:$C$12914&lt;C12912)*$C$12908:$C$12910)</f>
        <v>0</v>
      </c>
    </row>
    <row r="12917" customFormat="false" ht="15" hidden="false" customHeight="false" outlineLevel="0" collapsed="false">
      <c r="A12917" s="3" t="s">
        <v>500</v>
      </c>
      <c r="C12917" s="25" t="n">
        <f aca="false">SUMPRODUCT(($C$12912:$C$12914&lt;C12913)*$C$12908:$C$12910)</f>
        <v>1315.098</v>
      </c>
    </row>
    <row r="12918" customFormat="false" ht="15" hidden="false" customHeight="false" outlineLevel="0" collapsed="false">
      <c r="A12918" s="3" t="s">
        <v>501</v>
      </c>
      <c r="C12918" s="25" t="n">
        <f aca="false">SUMPRODUCT(($C$12912:$C$12914&lt;C12914)*$C$12908:$C$12910)</f>
        <v>1315.098</v>
      </c>
    </row>
    <row r="12919" customFormat="false" ht="15" hidden="false" customHeight="false" outlineLevel="0" collapsed="false">
      <c r="A12919" s="23" t="s">
        <v>509</v>
      </c>
      <c r="B12919" s="24"/>
      <c r="C12919" s="24"/>
      <c r="D12919" s="24"/>
      <c r="E12919" s="24"/>
      <c r="F12919" s="24"/>
      <c r="G12919" s="24"/>
      <c r="H12919" s="24"/>
      <c r="I12919" s="24"/>
      <c r="J12919" s="24"/>
      <c r="K12919" s="24"/>
    </row>
    <row r="12920" customFormat="false" ht="15" hidden="false" customHeight="false" outlineLevel="0" collapsed="false">
      <c r="A12920" s="3" t="s">
        <v>499</v>
      </c>
      <c r="C12920" s="25" t="n">
        <f aca="false">SUMPRODUCT(($C$12912:$C$12914=C12912)*$C$12908:$C$12910)</f>
        <v>1315.098</v>
      </c>
    </row>
    <row r="12921" customFormat="false" ht="15" hidden="false" customHeight="false" outlineLevel="0" collapsed="false">
      <c r="A12921" s="3" t="s">
        <v>500</v>
      </c>
      <c r="C12921" s="25" t="n">
        <f aca="false">SUMPRODUCT(($C$12912:$C$12914=C12913)*$C$12908:$C$12910)</f>
        <v>0</v>
      </c>
    </row>
    <row r="12922" customFormat="false" ht="15" hidden="false" customHeight="false" outlineLevel="0" collapsed="false">
      <c r="A12922" s="3" t="s">
        <v>501</v>
      </c>
      <c r="C12922" s="25" t="n">
        <f aca="false">SUMPRODUCT(($C$12912:$C$12914=C12914)*$C$12908:$C$12910)</f>
        <v>0</v>
      </c>
    </row>
    <row r="12923" customFormat="false" ht="15" hidden="false" customHeight="false" outlineLevel="0" collapsed="false">
      <c r="A12923" s="23" t="s">
        <v>510</v>
      </c>
      <c r="B12923" s="24"/>
      <c r="C12923" s="24"/>
      <c r="D12923" s="24"/>
      <c r="E12923" s="24"/>
      <c r="F12923" s="24"/>
      <c r="G12923" s="24"/>
      <c r="H12923" s="24"/>
      <c r="I12923" s="24"/>
      <c r="J12923" s="24"/>
      <c r="K12923" s="24"/>
    </row>
    <row r="12924" customFormat="false" ht="15" hidden="false" customHeight="false" outlineLevel="0" collapsed="false">
      <c r="A12924" s="3" t="s">
        <v>499</v>
      </c>
      <c r="C12924" s="25" t="n">
        <f aca="false">IF(C12920=0,0,C12908/C12920*MAX(0,MIN(C12920,$C$12886-SUM($C$12900:$C$12902)-C12916)))</f>
        <v>1068.84800987949</v>
      </c>
    </row>
    <row r="12925" customFormat="false" ht="15" hidden="false" customHeight="false" outlineLevel="0" collapsed="false">
      <c r="A12925" s="3" t="s">
        <v>500</v>
      </c>
      <c r="C12925" s="25" t="n">
        <f aca="false">IF(C12921=0,0,C12909/C12921*MAX(0,MIN(C12921,$C$12886-SUM($C$12900:$C$12902)-C12917)))</f>
        <v>0</v>
      </c>
    </row>
    <row r="12926" customFormat="false" ht="15" hidden="false" customHeight="false" outlineLevel="0" collapsed="false">
      <c r="A12926" s="3" t="s">
        <v>501</v>
      </c>
      <c r="C12926" s="25" t="n">
        <f aca="false">IF(C12922=0,0,C12910/C12922*MAX(0,MIN(C12922,$C$12886-SUM($C$12900:$C$12902)-C12918)))</f>
        <v>0</v>
      </c>
    </row>
    <row r="12927" customFormat="false" ht="15" hidden="false" customHeight="false" outlineLevel="0" collapsed="false">
      <c r="A12927" s="23" t="s">
        <v>511</v>
      </c>
      <c r="B12927" s="24"/>
      <c r="C12927" s="24"/>
      <c r="D12927" s="24"/>
      <c r="E12927" s="24"/>
      <c r="F12927" s="24"/>
      <c r="G12927" s="24"/>
      <c r="H12927" s="24"/>
      <c r="I12927" s="24"/>
      <c r="J12927" s="24"/>
      <c r="K12927" s="24"/>
    </row>
    <row r="12928" customFormat="false" ht="15" hidden="false" customHeight="false" outlineLevel="0" collapsed="false">
      <c r="A12928" s="2" t="s">
        <v>499</v>
      </c>
      <c r="C12928" s="16" t="n">
        <f aca="false">C12900+C12924</f>
        <v>1068.84800987949</v>
      </c>
    </row>
    <row r="12929" customFormat="false" ht="15" hidden="false" customHeight="false" outlineLevel="0" collapsed="false">
      <c r="A12929" s="2" t="s">
        <v>500</v>
      </c>
      <c r="C12929" s="16" t="n">
        <f aca="false">C12901+C12925</f>
        <v>0</v>
      </c>
    </row>
    <row r="12930" customFormat="false" ht="15" hidden="false" customHeight="false" outlineLevel="0" collapsed="false">
      <c r="A12930" s="2" t="s">
        <v>501</v>
      </c>
      <c r="C12930" s="16" t="n">
        <f aca="false">C12902+C12926</f>
        <v>0</v>
      </c>
    </row>
    <row r="12931" customFormat="false" ht="15" hidden="false" customHeight="false" outlineLevel="0" collapsed="false">
      <c r="A12931" s="23" t="s">
        <v>512</v>
      </c>
      <c r="B12931" s="24"/>
      <c r="C12931" s="24"/>
      <c r="D12931" s="24"/>
      <c r="E12931" s="24"/>
      <c r="F12931" s="24"/>
      <c r="G12931" s="24"/>
      <c r="H12931" s="24"/>
      <c r="I12931" s="24"/>
      <c r="J12931" s="24"/>
      <c r="K12931" s="24"/>
    </row>
    <row r="12932" customFormat="false" ht="15" hidden="false" customHeight="false" outlineLevel="0" collapsed="false">
      <c r="A12932" s="3" t="s">
        <v>499</v>
      </c>
      <c r="C12932" s="21" t="n">
        <f aca="false">IF(C12888=0,1,C12928/C12888)</f>
        <v>0.812751604731729</v>
      </c>
    </row>
    <row r="12933" customFormat="false" ht="15" hidden="false" customHeight="false" outlineLevel="0" collapsed="false">
      <c r="A12933" s="3" t="s">
        <v>500</v>
      </c>
      <c r="C12933" s="21" t="n">
        <f aca="false">IF(C12889=0,1,C12929/C12889)</f>
        <v>1</v>
      </c>
    </row>
    <row r="12934" customFormat="false" ht="15" hidden="false" customHeight="false" outlineLevel="0" collapsed="false">
      <c r="A12934" s="3" t="s">
        <v>501</v>
      </c>
      <c r="C12934" s="21" t="n">
        <f aca="false">IF(C12890=0,1,C12930/C12890)</f>
        <v>1</v>
      </c>
    </row>
    <row r="12935" customFormat="false" ht="15" hidden="false" customHeight="false" outlineLevel="0" collapsed="false">
      <c r="A12935" s="23" t="s">
        <v>513</v>
      </c>
      <c r="B12935" s="24"/>
      <c r="C12935" s="24"/>
      <c r="D12935" s="24"/>
      <c r="E12935" s="24"/>
      <c r="F12935" s="24"/>
      <c r="G12935" s="24"/>
      <c r="H12935" s="24"/>
      <c r="I12935" s="24"/>
      <c r="J12935" s="24"/>
      <c r="K12935" s="24"/>
    </row>
    <row r="12936" customFormat="false" ht="15" hidden="false" customHeight="false" outlineLevel="0" collapsed="false">
      <c r="A12936" s="3" t="s">
        <v>499</v>
      </c>
      <c r="C12936" s="25" t="n">
        <f aca="false">C12888-C12928</f>
        <v>246.249990120512</v>
      </c>
    </row>
    <row r="12937" customFormat="false" ht="15" hidden="false" customHeight="false" outlineLevel="0" collapsed="false">
      <c r="A12937" s="3" t="s">
        <v>500</v>
      </c>
      <c r="C12937" s="25" t="n">
        <f aca="false">C12889-C12929</f>
        <v>0</v>
      </c>
    </row>
    <row r="12938" customFormat="false" ht="15" hidden="false" customHeight="false" outlineLevel="0" collapsed="false">
      <c r="A12938" s="3" t="s">
        <v>501</v>
      </c>
      <c r="C12938" s="25" t="n">
        <f aca="false">C12890-C12930</f>
        <v>0</v>
      </c>
    </row>
    <row r="12939" customFormat="false" ht="15" hidden="false" customHeight="false" outlineLevel="0" collapsed="false">
      <c r="A12939" s="23" t="s">
        <v>514</v>
      </c>
      <c r="B12939" s="24"/>
      <c r="C12939" s="24"/>
      <c r="D12939" s="24"/>
      <c r="E12939" s="24"/>
      <c r="F12939" s="24"/>
      <c r="G12939" s="24"/>
      <c r="H12939" s="24"/>
      <c r="I12939" s="24"/>
      <c r="J12939" s="24"/>
      <c r="K12939" s="24"/>
    </row>
    <row r="12940" customFormat="false" ht="15" hidden="false" customHeight="false" outlineLevel="0" collapsed="false">
      <c r="A12940" s="3" t="s">
        <v>499</v>
      </c>
      <c r="C12940" s="21" t="n">
        <f aca="false">IF(C12888=0,0,C12936/C12888)</f>
        <v>0.187248395268271</v>
      </c>
    </row>
    <row r="12941" customFormat="false" ht="15" hidden="false" customHeight="false" outlineLevel="0" collapsed="false">
      <c r="A12941" s="3" t="s">
        <v>500</v>
      </c>
      <c r="C12941" s="21" t="n">
        <f aca="false">IF(C12889=0,0,C12937/C12889)</f>
        <v>0</v>
      </c>
    </row>
    <row r="12942" customFormat="false" ht="15" hidden="false" customHeight="false" outlineLevel="0" collapsed="false">
      <c r="A12942" s="3" t="s">
        <v>501</v>
      </c>
      <c r="C12942" s="21" t="n">
        <f aca="false">IF(C12890=0,0,C12938/C12890)</f>
        <v>0</v>
      </c>
    </row>
    <row r="12943" customFormat="false" ht="15" hidden="false" customHeight="false" outlineLevel="0" collapsed="false">
      <c r="A12943" s="2" t="s">
        <v>515</v>
      </c>
      <c r="C12943" s="16" t="n">
        <f aca="false">MAX(0,$C$12886-SUM($C$12900:$C$12902)-SUM($C$12908:$C$12910))</f>
        <v>0</v>
      </c>
    </row>
    <row r="12944" customFormat="false" ht="15" hidden="false" customHeight="false" outlineLevel="0" collapsed="false">
      <c r="A12944" s="3" t="s">
        <v>533</v>
      </c>
      <c r="C12944" s="34" t="n">
        <f aca="false">MIN(C12885,100*CHOOSE(C12875,C12932,C12933,C12934))</f>
        <v>81.2751604731729</v>
      </c>
    </row>
    <row r="12945" customFormat="false" ht="15" hidden="false" customHeight="false" outlineLevel="0" collapsed="false">
      <c r="A12945" s="3" t="s">
        <v>534</v>
      </c>
      <c r="C12945" s="20" t="n">
        <f aca="false">IF(C12805=1,C12880+Assumptions!$C$39,C12879)</f>
        <v>3</v>
      </c>
    </row>
    <row r="12946" customFormat="false" ht="15" hidden="false" customHeight="false" outlineLevel="0" collapsed="false">
      <c r="A12946" s="23" t="s">
        <v>535</v>
      </c>
      <c r="B12946" s="24"/>
      <c r="C12946" s="24"/>
      <c r="D12946" s="24"/>
      <c r="E12946" s="24"/>
      <c r="F12946" s="24"/>
      <c r="G12946" s="24"/>
      <c r="H12946" s="24"/>
      <c r="I12946" s="24"/>
      <c r="J12946" s="24"/>
      <c r="K12946" s="24"/>
    </row>
    <row r="12947" customFormat="false" ht="15" hidden="false" customHeight="false" outlineLevel="0" collapsed="false">
      <c r="A12947" s="3" t="s">
        <v>536</v>
      </c>
      <c r="C12947" s="20" t="n">
        <f aca="false">COLUMN()-COLUMN($C$1)</f>
        <v>0</v>
      </c>
      <c r="D12947" s="20" t="n">
        <f aca="false">COLUMN()-COLUMN($C$1)</f>
        <v>1</v>
      </c>
      <c r="E12947" s="20" t="n">
        <f aca="false">COLUMN()-COLUMN($C$1)</f>
        <v>2</v>
      </c>
      <c r="F12947" s="20" t="n">
        <f aca="false">COLUMN()-COLUMN($C$1)</f>
        <v>3</v>
      </c>
      <c r="G12947" s="20" t="n">
        <f aca="false">COLUMN()-COLUMN($C$1)</f>
        <v>4</v>
      </c>
      <c r="H12947" s="20" t="n">
        <f aca="false">COLUMN()-COLUMN($C$1)</f>
        <v>5</v>
      </c>
      <c r="I12947" s="20" t="n">
        <f aca="false">COLUMN()-COLUMN($C$1)</f>
        <v>6</v>
      </c>
    </row>
    <row r="12948" customFormat="false" ht="15" hidden="false" customHeight="false" outlineLevel="0" collapsed="false">
      <c r="A12948" s="3" t="s">
        <v>537</v>
      </c>
      <c r="D12948" s="31" t="n">
        <f aca="false">CHOOSE($C$12875,G12688,G12701,G12714)</f>
        <v>0.105</v>
      </c>
      <c r="E12948" s="31" t="n">
        <f aca="false">CHOOSE($C$12875,H12688,H12701,H12714)</f>
        <v>0.105</v>
      </c>
      <c r="F12948" s="31" t="n">
        <f aca="false">CHOOSE($C$12875,I12688,I12701,I12714)</f>
        <v>0.105</v>
      </c>
      <c r="G12948" s="31" t="n">
        <f aca="false">CHOOSE($C$12875,J12688,J12701,J12714)</f>
        <v>0.105</v>
      </c>
      <c r="H12948" s="31" t="n">
        <f aca="false">CHOOSE($C$12875,K12688,K12701,K12714)</f>
        <v>0.105</v>
      </c>
    </row>
    <row r="12949" customFormat="false" ht="15" hidden="false" customHeight="false" outlineLevel="0" collapsed="false">
      <c r="A12949" s="3" t="s">
        <v>538</v>
      </c>
      <c r="D12949" s="25" t="n">
        <f aca="false">IF(D12947&lt;=$C$12884,$C$12876*D12948,0)</f>
        <v>10.5</v>
      </c>
      <c r="E12949" s="25" t="n">
        <f aca="false">IF(E12947&lt;=$C$12884,$C$12876*E12948,0)</f>
        <v>10.5</v>
      </c>
      <c r="F12949" s="25" t="n">
        <f aca="false">IF(F12947&lt;=$C$12884,$C$12876*F12948,0)</f>
        <v>10.5</v>
      </c>
      <c r="G12949" s="25" t="n">
        <f aca="false">IF(G12947&lt;=$C$12884,$C$12876*G12948,0)</f>
        <v>0</v>
      </c>
      <c r="H12949" s="25" t="n">
        <f aca="false">IF(H12947&lt;=$C$12884,$C$12876*H12948,0)</f>
        <v>0</v>
      </c>
    </row>
    <row r="12950" customFormat="false" ht="15" hidden="false" customHeight="false" outlineLevel="0" collapsed="false">
      <c r="A12950" s="3" t="s">
        <v>539</v>
      </c>
      <c r="D12950" s="25" t="n">
        <f aca="false">IF(AND($C$12805=0,D12947=$C$12879),$C$12876*$C$12944/100,0)+IF(AND($C$12805=1,D12947=$C$12945),$C$12882,0)</f>
        <v>0</v>
      </c>
      <c r="E12950" s="25" t="n">
        <f aca="false">IF(AND($C$12805=0,E12947=$C$12879),$C$12876*$C$12944/100,0)+IF(AND($C$12805=1,E12947=$C$12945),$C$12882,0)</f>
        <v>0</v>
      </c>
      <c r="F12950" s="25" t="n">
        <f aca="false">IF(AND($C$12805=0,F12947=$C$12879),$C$12876*$C$12944/100,0)+IF(AND($C$12805=1,F12947=$C$12945),$C$12882,0)</f>
        <v>81.2751604731729</v>
      </c>
      <c r="G12950" s="25" t="n">
        <f aca="false">IF(AND($C$12805=0,G12947=$C$12879),$C$12876*$C$12944/100,0)+IF(AND($C$12805=1,G12947=$C$12945),$C$12882,0)</f>
        <v>0</v>
      </c>
      <c r="H12950" s="25" t="n">
        <f aca="false">IF(AND($C$12805=0,H12947=$C$12879),$C$12876*$C$12944/100,0)+IF(AND($C$12805=1,H12947=$C$12945),$C$12882,0)</f>
        <v>0</v>
      </c>
      <c r="I12950" s="25" t="n">
        <f aca="false">IF(AND($C$12805=0,I12947=$C$12879),$C$12876*$C$12944/100,0)+IF(AND($C$12805=1,I12947=$C$12945),$C$12882,0)</f>
        <v>0</v>
      </c>
    </row>
    <row r="12951" customFormat="false" ht="15" hidden="false" customHeight="false" outlineLevel="0" collapsed="false">
      <c r="A12951" s="2" t="s">
        <v>540</v>
      </c>
      <c r="C12951" s="16" t="n">
        <f aca="false">-$C$12878</f>
        <v>-95</v>
      </c>
      <c r="D12951" s="16" t="n">
        <f aca="false">D12949+D12950</f>
        <v>10.5</v>
      </c>
      <c r="E12951" s="16" t="n">
        <f aca="false">E12949+E12950</f>
        <v>10.5</v>
      </c>
      <c r="F12951" s="16" t="n">
        <f aca="false">F12949+F12950</f>
        <v>91.7751604731729</v>
      </c>
      <c r="G12951" s="16" t="n">
        <f aca="false">G12949+G12950</f>
        <v>0</v>
      </c>
      <c r="H12951" s="16" t="n">
        <f aca="false">H12949+H12950</f>
        <v>0</v>
      </c>
      <c r="I12951" s="16" t="n">
        <f aca="false">I12949+I12950</f>
        <v>0</v>
      </c>
    </row>
    <row r="12952" customFormat="false" ht="15" hidden="false" customHeight="false" outlineLevel="0" collapsed="false">
      <c r="A12952" s="3" t="s">
        <v>541</v>
      </c>
      <c r="C12952" s="25" t="n">
        <f aca="false">SUM($C$12949:$I$12949)</f>
        <v>31.5</v>
      </c>
    </row>
    <row r="12953" customFormat="false" ht="15" hidden="false" customHeight="false" outlineLevel="0" collapsed="false">
      <c r="A12953" s="3" t="s">
        <v>542</v>
      </c>
      <c r="C12953" s="25" t="n">
        <f aca="false">SUM($C$12950:$I$12950)</f>
        <v>81.2751604731729</v>
      </c>
    </row>
    <row r="12954" customFormat="false" ht="15" hidden="false" customHeight="false" outlineLevel="0" collapsed="false">
      <c r="A12954" s="3" t="s">
        <v>543</v>
      </c>
      <c r="C12954" s="25" t="n">
        <f aca="false">C12952+C12953</f>
        <v>112.775160473173</v>
      </c>
    </row>
    <row r="12955" customFormat="false" ht="15" hidden="false" customHeight="false" outlineLevel="0" collapsed="false">
      <c r="A12955" s="3" t="s">
        <v>544</v>
      </c>
      <c r="C12955" s="25" t="n">
        <f aca="false">C12953-C12876*C12877/100</f>
        <v>-13.7248395268271</v>
      </c>
    </row>
    <row r="12956" customFormat="false" ht="15" hidden="false" customHeight="false" outlineLevel="0" collapsed="false">
      <c r="A12956" s="3" t="s">
        <v>545</v>
      </c>
      <c r="C12956" s="25" t="n">
        <f aca="false">C12954-C12878</f>
        <v>17.7751604731729</v>
      </c>
    </row>
    <row r="12957" customFormat="false" ht="15" hidden="false" customHeight="false" outlineLevel="0" collapsed="false">
      <c r="A12957" s="2" t="s">
        <v>427</v>
      </c>
      <c r="C12957" s="44" t="n">
        <f aca="false">C12954/C12878</f>
        <v>1.18710695234919</v>
      </c>
    </row>
    <row r="12958" customFormat="false" ht="15" hidden="false" customHeight="false" outlineLevel="0" collapsed="false">
      <c r="A12958" s="2" t="s">
        <v>426</v>
      </c>
      <c r="C12958" s="42" t="n">
        <f aca="false">IF(C12954&lt;=0,-1,IFERROR(IRR($C$12951:$I$12951,MAX(-0.9,C12957^(1/C12945)-1)),IRR($C$12951:$I$12951,0.1)))</f>
        <v>0.0653848807562152</v>
      </c>
    </row>
    <row r="12959" customFormat="false" ht="15" hidden="false" customHeight="false" outlineLevel="0" collapsed="false">
      <c r="A12959" s="3" t="s">
        <v>546</v>
      </c>
      <c r="C12959" s="32" t="n">
        <f aca="false">MAX($G$12765:$K$12765)</f>
        <v>7.33831226622703</v>
      </c>
    </row>
    <row r="12960" customFormat="false" ht="15" hidden="false" customHeight="false" outlineLevel="0" collapsed="false">
      <c r="A12960" s="3" t="s">
        <v>547</v>
      </c>
      <c r="C12960" s="32" t="n">
        <f aca="false">MIN($G$12766:$K$12766)</f>
        <v>1.18070192905498</v>
      </c>
    </row>
    <row r="12961" customFormat="false" ht="15" hidden="false" customHeight="false" outlineLevel="0" collapsed="false">
      <c r="A12961" s="3" t="s">
        <v>548</v>
      </c>
      <c r="C12961" s="25" t="n">
        <f aca="false">SUM($G$12672:$K$12672)</f>
        <v>75.1374128562126</v>
      </c>
    </row>
    <row r="12965" customFormat="false" ht="15" hidden="false" customHeight="false" outlineLevel="0" collapsed="false">
      <c r="A12965" s="9" t="s">
        <v>1054</v>
      </c>
      <c r="B12965" s="10"/>
      <c r="C12965" s="10"/>
      <c r="D12965" s="10"/>
      <c r="E12965" s="10"/>
      <c r="F12965" s="10"/>
      <c r="G12965" s="10"/>
      <c r="H12965" s="10"/>
      <c r="I12965" s="10"/>
      <c r="J12965" s="10"/>
      <c r="K12965" s="10"/>
    </row>
    <row r="12966" customFormat="false" ht="15" hidden="false" customHeight="false" outlineLevel="0" collapsed="false">
      <c r="A12966" s="3" t="s">
        <v>1010</v>
      </c>
      <c r="C12966" s="11" t="n">
        <v>2</v>
      </c>
    </row>
    <row r="12967" customFormat="false" ht="15" hidden="false" customHeight="false" outlineLevel="0" collapsed="false">
      <c r="A12967" s="3" t="s">
        <v>1011</v>
      </c>
      <c r="C12967" s="18" t="n">
        <v>0</v>
      </c>
    </row>
    <row r="12968" customFormat="false" ht="15" hidden="false" customHeight="false" outlineLevel="0" collapsed="false">
      <c r="A12968" s="3" t="s">
        <v>1012</v>
      </c>
      <c r="C12968" s="18" t="n">
        <v>0</v>
      </c>
    </row>
    <row r="12969" customFormat="false" ht="15" hidden="false" customHeight="false" outlineLevel="0" collapsed="false">
      <c r="A12969" s="3" t="s">
        <v>1013</v>
      </c>
      <c r="C12969" s="30" t="n">
        <f aca="false">Sensitivities!$A$52</f>
        <v>0</v>
      </c>
    </row>
    <row r="12970" customFormat="false" ht="15" hidden="false" customHeight="false" outlineLevel="0" collapsed="false">
      <c r="A12970" s="3" t="s">
        <v>1014</v>
      </c>
      <c r="C12970" s="15" t="n">
        <v>0</v>
      </c>
    </row>
    <row r="12972" customFormat="false" ht="15" hidden="false" customHeight="false" outlineLevel="0" collapsed="false">
      <c r="A12972" s="23" t="s">
        <v>281</v>
      </c>
      <c r="B12972" s="24"/>
      <c r="C12972" s="24"/>
      <c r="D12972" s="24"/>
      <c r="E12972" s="24"/>
      <c r="F12972" s="24"/>
      <c r="G12972" s="24"/>
      <c r="H12972" s="24"/>
      <c r="I12972" s="24"/>
      <c r="J12972" s="24"/>
      <c r="K12972" s="24"/>
    </row>
    <row r="12973" customFormat="false" ht="15" hidden="false" customHeight="false" outlineLevel="0" collapsed="false">
      <c r="A12973" s="3" t="s">
        <v>282</v>
      </c>
      <c r="F12973" s="27" t="n">
        <f aca="false">Assumptions!$C$6</f>
        <v>2026</v>
      </c>
      <c r="G12973" s="20" t="n">
        <f aca="false">F12973+1</f>
        <v>2027</v>
      </c>
      <c r="H12973" s="20" t="n">
        <f aca="false">G12973+1</f>
        <v>2028</v>
      </c>
      <c r="I12973" s="20" t="n">
        <f aca="false">H12973+1</f>
        <v>2029</v>
      </c>
      <c r="J12973" s="20" t="n">
        <f aca="false">I12973+1</f>
        <v>2030</v>
      </c>
      <c r="K12973" s="20" t="n">
        <f aca="false">J12973+1</f>
        <v>2031</v>
      </c>
    </row>
    <row r="12974" customFormat="false" ht="15" hidden="false" customHeight="false" outlineLevel="0" collapsed="false">
      <c r="A12974" s="3" t="s">
        <v>283</v>
      </c>
      <c r="G12974" s="20" t="n">
        <f aca="false">G12973-Assumptions!$C$6</f>
        <v>1</v>
      </c>
      <c r="H12974" s="20" t="n">
        <f aca="false">H12973-Assumptions!$C$6</f>
        <v>2</v>
      </c>
      <c r="I12974" s="20" t="n">
        <f aca="false">I12973-Assumptions!$C$6</f>
        <v>3</v>
      </c>
      <c r="J12974" s="20" t="n">
        <f aca="false">J12973-Assumptions!$C$6</f>
        <v>4</v>
      </c>
      <c r="K12974" s="20" t="n">
        <f aca="false">K12973-Assumptions!$C$6</f>
        <v>5</v>
      </c>
    </row>
    <row r="12975" customFormat="false" ht="15" hidden="false" customHeight="false" outlineLevel="0" collapsed="false">
      <c r="A12975" s="3" t="s">
        <v>165</v>
      </c>
      <c r="G12975" s="21" t="n">
        <f aca="false">CHOOSE($C$12966,Assumptions!$G$71,Assumptions!$G$90,Assumptions!$G$109)+$C$12967</f>
        <v>-0.08</v>
      </c>
      <c r="H12975" s="21" t="n">
        <f aca="false">CHOOSE($C$12966,Assumptions!$H$71,Assumptions!$H$90,Assumptions!$H$109)+$C$12967</f>
        <v>-0.07</v>
      </c>
      <c r="I12975" s="21" t="n">
        <f aca="false">CHOOSE($C$12966,Assumptions!$I$71,Assumptions!$I$90,Assumptions!$I$109)+$C$12967</f>
        <v>-0.06</v>
      </c>
      <c r="J12975" s="21" t="n">
        <f aca="false">CHOOSE($C$12966,Assumptions!$J$71,Assumptions!$J$90,Assumptions!$J$109)+$C$12967</f>
        <v>-0.05</v>
      </c>
      <c r="K12975" s="21" t="n">
        <f aca="false">CHOOSE($C$12966,Assumptions!$K$71,Assumptions!$K$90,Assumptions!$K$109)+$C$12967</f>
        <v>-0.05</v>
      </c>
    </row>
    <row r="12976" customFormat="false" ht="15" hidden="false" customHeight="false" outlineLevel="0" collapsed="false">
      <c r="A12976" s="3" t="s">
        <v>166</v>
      </c>
      <c r="G12976" s="21" t="n">
        <f aca="false">CHOOSE($C$12966,Assumptions!$G$72,Assumptions!$G$91,Assumptions!$G$110)</f>
        <v>0.463246670103635</v>
      </c>
      <c r="H12976" s="21" t="n">
        <f aca="false">CHOOSE($C$12966,Assumptions!$H$72,Assumptions!$H$91,Assumptions!$H$110)</f>
        <v>0.453246670103635</v>
      </c>
      <c r="I12976" s="21" t="n">
        <f aca="false">CHOOSE($C$12966,Assumptions!$I$72,Assumptions!$I$91,Assumptions!$I$110)</f>
        <v>0.448246670103634</v>
      </c>
      <c r="J12976" s="21" t="n">
        <f aca="false">CHOOSE($C$12966,Assumptions!$J$72,Assumptions!$J$91,Assumptions!$J$110)</f>
        <v>0.443246670103635</v>
      </c>
      <c r="K12976" s="21" t="n">
        <f aca="false">CHOOSE($C$12966,Assumptions!$K$72,Assumptions!$K$91,Assumptions!$K$110)</f>
        <v>0.443246670103635</v>
      </c>
    </row>
    <row r="12977" customFormat="false" ht="15" hidden="false" customHeight="false" outlineLevel="0" collapsed="false">
      <c r="A12977" s="3" t="s">
        <v>167</v>
      </c>
      <c r="G12977" s="21" t="n">
        <f aca="false">CHOOSE($C$12966,Assumptions!$G$73,Assumptions!$G$92,Assumptions!$G$111)+$C$12968</f>
        <v>0.12</v>
      </c>
      <c r="H12977" s="21" t="n">
        <f aca="false">CHOOSE($C$12966,Assumptions!$H$73,Assumptions!$H$92,Assumptions!$H$111)+$C$12968</f>
        <v>0.11</v>
      </c>
      <c r="I12977" s="21" t="n">
        <f aca="false">CHOOSE($C$12966,Assumptions!$I$73,Assumptions!$I$92,Assumptions!$I$111)+$C$12968</f>
        <v>0.105</v>
      </c>
      <c r="J12977" s="21" t="n">
        <f aca="false">CHOOSE($C$12966,Assumptions!$J$73,Assumptions!$J$92,Assumptions!$J$111)+$C$12968</f>
        <v>0.1</v>
      </c>
      <c r="K12977" s="21" t="n">
        <f aca="false">CHOOSE($C$12966,Assumptions!$K$73,Assumptions!$K$92,Assumptions!$K$111)+$C$12968</f>
        <v>0.1</v>
      </c>
    </row>
    <row r="12978" customFormat="false" ht="15" hidden="false" customHeight="false" outlineLevel="0" collapsed="false">
      <c r="A12978" s="23" t="s">
        <v>284</v>
      </c>
      <c r="B12978" s="24"/>
      <c r="C12978" s="24"/>
      <c r="D12978" s="24"/>
      <c r="E12978" s="24"/>
      <c r="F12978" s="24"/>
      <c r="G12978" s="24"/>
      <c r="H12978" s="24"/>
      <c r="I12978" s="24"/>
      <c r="J12978" s="24"/>
      <c r="K12978" s="24"/>
    </row>
    <row r="12979" customFormat="false" ht="15" hidden="false" customHeight="false" outlineLevel="0" collapsed="false">
      <c r="A12979" s="2" t="s">
        <v>256</v>
      </c>
      <c r="F12979" s="28" t="n">
        <f aca="false">'Historical Financials'!G23</f>
        <v>2246.166</v>
      </c>
      <c r="G12979" s="16" t="n">
        <f aca="false">F12979*(1+G12975)</f>
        <v>2066.47272</v>
      </c>
      <c r="H12979" s="16" t="n">
        <f aca="false">G12979*(1+H12975)</f>
        <v>1921.8196296</v>
      </c>
      <c r="I12979" s="16" t="n">
        <f aca="false">H12979*(1+I12975)</f>
        <v>1806.510451824</v>
      </c>
      <c r="J12979" s="16" t="n">
        <f aca="false">I12979*(1+J12975)</f>
        <v>1716.1849292328</v>
      </c>
      <c r="K12979" s="16" t="n">
        <f aca="false">J12979*(1+K12975)</f>
        <v>1630.37568277116</v>
      </c>
    </row>
    <row r="12980" customFormat="false" ht="15" hidden="false" customHeight="false" outlineLevel="0" collapsed="false">
      <c r="A12980" s="3" t="s">
        <v>257</v>
      </c>
      <c r="G12980" s="25" t="n">
        <f aca="false">G12979*(1-G12976)</f>
        <v>1109.1861136</v>
      </c>
      <c r="H12980" s="25" t="n">
        <f aca="false">H12979*(1-H12976)</f>
        <v>1050.761281944</v>
      </c>
      <c r="I12980" s="25" t="n">
        <f aca="false">I12979*(1-I12976)</f>
        <v>996.74815728648</v>
      </c>
      <c r="J12980" s="25" t="n">
        <f aca="false">J12979*(1-J12976)</f>
        <v>955.49167406832</v>
      </c>
      <c r="K12980" s="25" t="n">
        <f aca="false">K12979*(1-K12976)</f>
        <v>907.717090364904</v>
      </c>
    </row>
    <row r="12981" customFormat="false" ht="15" hidden="false" customHeight="false" outlineLevel="0" collapsed="false">
      <c r="A12981" s="2" t="s">
        <v>258</v>
      </c>
      <c r="G12981" s="16" t="n">
        <f aca="false">G12979-G12980</f>
        <v>957.2866064</v>
      </c>
      <c r="H12981" s="16" t="n">
        <f aca="false">H12979-H12980</f>
        <v>871.058347656</v>
      </c>
      <c r="I12981" s="16" t="n">
        <f aca="false">I12979-I12980</f>
        <v>809.76229453752</v>
      </c>
      <c r="J12981" s="16" t="n">
        <f aca="false">J12979-J12980</f>
        <v>760.69325516448</v>
      </c>
      <c r="K12981" s="16" t="n">
        <f aca="false">K12979-K12980</f>
        <v>722.658592406256</v>
      </c>
    </row>
    <row r="12982" customFormat="false" ht="15" hidden="false" customHeight="false" outlineLevel="0" collapsed="false">
      <c r="A12982" s="3" t="s">
        <v>285</v>
      </c>
      <c r="G12982" s="25" t="n">
        <f aca="false">G12981-G12983</f>
        <v>709.30988</v>
      </c>
      <c r="H12982" s="25" t="n">
        <f aca="false">H12981-H12983</f>
        <v>659.6581884</v>
      </c>
      <c r="I12982" s="25" t="n">
        <f aca="false">I12981-I12983</f>
        <v>620.078697096</v>
      </c>
      <c r="J12982" s="25" t="n">
        <f aca="false">J12981-J12983</f>
        <v>589.0747622412</v>
      </c>
      <c r="K12982" s="25" t="n">
        <f aca="false">K12981-K12983</f>
        <v>559.62102412914</v>
      </c>
    </row>
    <row r="12983" customFormat="false" ht="15" hidden="false" customHeight="false" outlineLevel="0" collapsed="false">
      <c r="A12983" s="2" t="s">
        <v>286</v>
      </c>
      <c r="G12983" s="16" t="n">
        <f aca="false">G12979*G12977</f>
        <v>247.9767264</v>
      </c>
      <c r="H12983" s="16" t="n">
        <f aca="false">H12979*H12977</f>
        <v>211.400159256</v>
      </c>
      <c r="I12983" s="16" t="n">
        <f aca="false">I12979*I12977</f>
        <v>189.68359744152</v>
      </c>
      <c r="J12983" s="16" t="n">
        <f aca="false">J12979*J12977</f>
        <v>171.61849292328</v>
      </c>
      <c r="K12983" s="16" t="n">
        <f aca="false">K12979*K12977</f>
        <v>163.037568277116</v>
      </c>
    </row>
    <row r="12984" customFormat="false" ht="15" hidden="false" customHeight="false" outlineLevel="0" collapsed="false">
      <c r="A12984" s="3" t="s">
        <v>287</v>
      </c>
      <c r="G12984" s="25" t="n">
        <f aca="false">G12979*'Historical Financials'!G28/'Historical Financials'!G23</f>
        <v>78.47232</v>
      </c>
      <c r="H12984" s="25" t="n">
        <f aca="false">H12979*'Historical Financials'!G28/'Historical Financials'!G23</f>
        <v>72.9792576</v>
      </c>
      <c r="I12984" s="25" t="n">
        <f aca="false">I12979*'Historical Financials'!G28/'Historical Financials'!G23</f>
        <v>68.600502144</v>
      </c>
      <c r="J12984" s="25" t="n">
        <f aca="false">J12979*'Historical Financials'!G28/'Historical Financials'!G23</f>
        <v>65.1704770368</v>
      </c>
      <c r="K12984" s="25" t="n">
        <f aca="false">K12979*'Historical Financials'!G28/'Historical Financials'!G23</f>
        <v>61.91195318496</v>
      </c>
    </row>
    <row r="12985" customFormat="false" ht="15" hidden="false" customHeight="false" outlineLevel="0" collapsed="false">
      <c r="A12985" s="3" t="s">
        <v>288</v>
      </c>
      <c r="G12985" s="25" t="n">
        <f aca="false">G12979*'Historical Financials'!G29/'Historical Financials'!G23</f>
        <v>22.40752</v>
      </c>
      <c r="H12985" s="25" t="n">
        <f aca="false">H12979*'Historical Financials'!G29/'Historical Financials'!G23</f>
        <v>20.8389936</v>
      </c>
      <c r="I12985" s="25" t="n">
        <f aca="false">I12979*'Historical Financials'!G29/'Historical Financials'!G23</f>
        <v>19.588653984</v>
      </c>
      <c r="J12985" s="25" t="n">
        <f aca="false">J12979*'Historical Financials'!G29/'Historical Financials'!G23</f>
        <v>18.6092212848</v>
      </c>
      <c r="K12985" s="25" t="n">
        <f aca="false">K12979*'Historical Financials'!G29/'Historical Financials'!G23</f>
        <v>17.67876022056</v>
      </c>
    </row>
    <row r="12986" customFormat="false" ht="15" hidden="false" customHeight="false" outlineLevel="0" collapsed="false">
      <c r="A12986" s="2" t="s">
        <v>289</v>
      </c>
      <c r="G12986" s="16" t="n">
        <f aca="false">G12983-G12984-G12985</f>
        <v>147.0968864</v>
      </c>
      <c r="H12986" s="16" t="n">
        <f aca="false">H12983-H12984-H12985</f>
        <v>117.581908056</v>
      </c>
      <c r="I12986" s="16" t="n">
        <f aca="false">I12983-I12984-I12985</f>
        <v>101.49444131352</v>
      </c>
      <c r="J12986" s="16" t="n">
        <f aca="false">J12983-J12984-J12985</f>
        <v>87.83879460168</v>
      </c>
      <c r="K12986" s="16" t="n">
        <f aca="false">K12983-K12984-K12985</f>
        <v>83.446854871596</v>
      </c>
    </row>
    <row r="12987" customFormat="false" ht="15" hidden="false" customHeight="false" outlineLevel="0" collapsed="false">
      <c r="A12987" s="3" t="s">
        <v>290</v>
      </c>
      <c r="G12987" s="25" t="n">
        <f aca="false">G13013+G13026+G13039</f>
        <v>155.95467</v>
      </c>
      <c r="H12987" s="25" t="n">
        <f aca="false">H13013+H13026+H13039</f>
        <v>155.95467</v>
      </c>
      <c r="I12987" s="25" t="n">
        <f aca="false">I13013+I13026+I13039</f>
        <v>155.95467</v>
      </c>
      <c r="J12987" s="25" t="n">
        <f aca="false">J13013+J13026+J13039</f>
        <v>138.08529</v>
      </c>
      <c r="K12987" s="25" t="n">
        <f aca="false">K13013+K13026+K13039</f>
        <v>138.08529</v>
      </c>
    </row>
    <row r="12988" customFormat="false" ht="15" hidden="false" customHeight="false" outlineLevel="0" collapsed="false">
      <c r="A12988" s="3" t="s">
        <v>291</v>
      </c>
      <c r="G12988" s="25" t="n">
        <f aca="false">G13014+G13027+G13040</f>
        <v>0</v>
      </c>
      <c r="H12988" s="25" t="n">
        <f aca="false">H13014+H13027+H13040</f>
        <v>0</v>
      </c>
      <c r="I12988" s="25" t="n">
        <f aca="false">I13014+I13027+I13040</f>
        <v>0</v>
      </c>
      <c r="J12988" s="25" t="n">
        <f aca="false">J13014+J13027+J13040</f>
        <v>0</v>
      </c>
      <c r="K12988" s="25" t="n">
        <f aca="false">K13014+K13027+K13040</f>
        <v>0</v>
      </c>
    </row>
    <row r="12989" customFormat="false" ht="15" hidden="false" customHeight="false" outlineLevel="0" collapsed="false">
      <c r="A12989" s="3" t="s">
        <v>239</v>
      </c>
      <c r="G12989" s="25" t="n">
        <f aca="false">G12987+G12988</f>
        <v>155.95467</v>
      </c>
      <c r="H12989" s="25" t="n">
        <f aca="false">H12987+H12988</f>
        <v>155.95467</v>
      </c>
      <c r="I12989" s="25" t="n">
        <f aca="false">I12987+I12988</f>
        <v>155.95467</v>
      </c>
      <c r="J12989" s="25" t="n">
        <f aca="false">J12987+J12988</f>
        <v>138.08529</v>
      </c>
      <c r="K12989" s="25" t="n">
        <f aca="false">K12987+K12988</f>
        <v>138.08529</v>
      </c>
    </row>
    <row r="12990" customFormat="false" ht="15" hidden="false" customHeight="false" outlineLevel="0" collapsed="false">
      <c r="A12990" s="2" t="s">
        <v>264</v>
      </c>
      <c r="G12990" s="16" t="n">
        <f aca="false">G12986-G12989</f>
        <v>-8.85778360000006</v>
      </c>
      <c r="H12990" s="16" t="n">
        <f aca="false">H12986-H12989</f>
        <v>-38.372761944</v>
      </c>
      <c r="I12990" s="16" t="n">
        <f aca="false">I12986-I12989</f>
        <v>-54.46022868648</v>
      </c>
      <c r="J12990" s="16" t="n">
        <f aca="false">J12986-J12989</f>
        <v>-50.24649539832</v>
      </c>
      <c r="K12990" s="16" t="n">
        <f aca="false">K12986-K12989</f>
        <v>-54.638435128404</v>
      </c>
    </row>
    <row r="12991" customFormat="false" ht="15" hidden="false" customHeight="false" outlineLevel="0" collapsed="false">
      <c r="A12991" s="3" t="s">
        <v>292</v>
      </c>
      <c r="G12991" s="25" t="n">
        <f aca="false">MAX(0,G12990)*Assumptions!$C$9</f>
        <v>0</v>
      </c>
      <c r="H12991" s="25" t="n">
        <f aca="false">MAX(0,H12990)*Assumptions!$C$9</f>
        <v>0</v>
      </c>
      <c r="I12991" s="25" t="n">
        <f aca="false">MAX(0,I12990)*Assumptions!$C$9</f>
        <v>0</v>
      </c>
      <c r="J12991" s="25" t="n">
        <f aca="false">MAX(0,J12990)*Assumptions!$C$9</f>
        <v>0</v>
      </c>
      <c r="K12991" s="25" t="n">
        <f aca="false">MAX(0,K12990)*Assumptions!$C$9</f>
        <v>0</v>
      </c>
    </row>
    <row r="12992" customFormat="false" ht="15" hidden="false" customHeight="false" outlineLevel="0" collapsed="false">
      <c r="A12992" s="2" t="s">
        <v>293</v>
      </c>
      <c r="G12992" s="16" t="n">
        <f aca="false">G12990-G12991</f>
        <v>-8.85778360000006</v>
      </c>
      <c r="H12992" s="16" t="n">
        <f aca="false">H12990-H12991</f>
        <v>-38.372761944</v>
      </c>
      <c r="I12992" s="16" t="n">
        <f aca="false">I12990-I12991</f>
        <v>-54.46022868648</v>
      </c>
      <c r="J12992" s="16" t="n">
        <f aca="false">J12990-J12991</f>
        <v>-50.24649539832</v>
      </c>
      <c r="K12992" s="16" t="n">
        <f aca="false">K12990-K12991</f>
        <v>-54.638435128404</v>
      </c>
    </row>
    <row r="12993" customFormat="false" ht="15" hidden="false" customHeight="false" outlineLevel="0" collapsed="false">
      <c r="A12993" s="23" t="s">
        <v>294</v>
      </c>
      <c r="B12993" s="24"/>
      <c r="C12993" s="24"/>
      <c r="D12993" s="24"/>
      <c r="E12993" s="24"/>
      <c r="F12993" s="24"/>
      <c r="G12993" s="24"/>
      <c r="H12993" s="24"/>
      <c r="I12993" s="24"/>
      <c r="J12993" s="24"/>
      <c r="K12993" s="24"/>
    </row>
    <row r="12994" customFormat="false" ht="15" hidden="false" customHeight="false" outlineLevel="0" collapsed="false">
      <c r="A12994" s="3" t="s">
        <v>169</v>
      </c>
      <c r="G12994" s="25" t="n">
        <f aca="false">G12979*CHOOSE($C$12966,Assumptions!$C$75,Assumptions!$C$94,Assumptions!$C$113)</f>
        <v>26.86414536</v>
      </c>
      <c r="H12994" s="25" t="n">
        <f aca="false">H12979*CHOOSE($C$12966,Assumptions!$C$75,Assumptions!$C$94,Assumptions!$C$113)</f>
        <v>24.9836551848</v>
      </c>
      <c r="I12994" s="25" t="n">
        <f aca="false">I12979*CHOOSE($C$12966,Assumptions!$C$75,Assumptions!$C$94,Assumptions!$C$113)</f>
        <v>23.484635873712</v>
      </c>
      <c r="J12994" s="25" t="n">
        <f aca="false">J12979*CHOOSE($C$12966,Assumptions!$C$75,Assumptions!$C$94,Assumptions!$C$113)</f>
        <v>22.3104040800264</v>
      </c>
      <c r="K12994" s="25" t="n">
        <f aca="false">K12979*CHOOSE($C$12966,Assumptions!$C$75,Assumptions!$C$94,Assumptions!$C$113)</f>
        <v>21.1948838760251</v>
      </c>
    </row>
    <row r="12995" customFormat="false" ht="15" hidden="false" customHeight="false" outlineLevel="0" collapsed="false">
      <c r="A12995" s="3" t="s">
        <v>295</v>
      </c>
      <c r="G12995" s="25" t="n">
        <f aca="false">CHOOSE($C$12966,Assumptions!$C$76,Assumptions!$C$95,Assumptions!$C$114)*(G12979-F12979)+CHOOSE($C$12966,Assumptions!$C$77,Assumptions!$C$96,Assumptions!$C$115)*G12979</f>
        <v>10.3323636</v>
      </c>
      <c r="H12995" s="25" t="n">
        <f aca="false">CHOOSE($C$12966,Assumptions!$C$76,Assumptions!$C$95,Assumptions!$C$114)*(H12979-G12979)+CHOOSE($C$12966,Assumptions!$C$77,Assumptions!$C$96,Assumptions!$C$115)*H12979</f>
        <v>9.609098148</v>
      </c>
      <c r="I12995" s="25" t="n">
        <f aca="false">CHOOSE($C$12966,Assumptions!$C$76,Assumptions!$C$95,Assumptions!$C$114)*(I12979-H12979)+CHOOSE($C$12966,Assumptions!$C$77,Assumptions!$C$96,Assumptions!$C$115)*I12979</f>
        <v>9.03255225912</v>
      </c>
      <c r="J12995" s="25" t="n">
        <f aca="false">CHOOSE($C$12966,Assumptions!$C$76,Assumptions!$C$95,Assumptions!$C$114)*(J12979-I12979)+CHOOSE($C$12966,Assumptions!$C$77,Assumptions!$C$96,Assumptions!$C$115)*J12979</f>
        <v>8.580924646164</v>
      </c>
      <c r="K12995" s="25" t="n">
        <f aca="false">CHOOSE($C$12966,Assumptions!$C$76,Assumptions!$C$95,Assumptions!$C$114)*(K12979-J12979)+CHOOSE($C$12966,Assumptions!$C$77,Assumptions!$C$96,Assumptions!$C$115)*K12979</f>
        <v>8.1518784138558</v>
      </c>
    </row>
    <row r="12996" customFormat="false" ht="15" hidden="false" customHeight="false" outlineLevel="0" collapsed="false">
      <c r="A12996" s="2" t="s">
        <v>296</v>
      </c>
      <c r="G12996" s="16" t="n">
        <f aca="false">G12992+G12984+G12985+G12988-G12994-G12995</f>
        <v>54.8255474399999</v>
      </c>
      <c r="H12996" s="16" t="n">
        <f aca="false">H12992+H12984+H12985+H12988-H12994-H12995</f>
        <v>20.8527359232</v>
      </c>
      <c r="I12996" s="16" t="n">
        <f aca="false">I12992+I12984+I12985+I12988-I12994-I12995</f>
        <v>1.21173930868796</v>
      </c>
      <c r="J12996" s="16" t="n">
        <f aca="false">J12992+J12984+J12985+J12988-J12994-J12995</f>
        <v>2.6418741970896</v>
      </c>
      <c r="K12996" s="16" t="n">
        <f aca="false">K12992+K12984+K12985+K12988-K12994-K12995</f>
        <v>-4.39448401276491</v>
      </c>
    </row>
    <row r="12998" customFormat="false" ht="15" hidden="false" customHeight="false" outlineLevel="0" collapsed="false">
      <c r="A12998" s="23" t="s">
        <v>298</v>
      </c>
      <c r="B12998" s="24"/>
      <c r="C12998" s="24"/>
      <c r="D12998" s="24"/>
      <c r="E12998" s="24"/>
      <c r="F12998" s="24"/>
      <c r="G12998" s="24"/>
      <c r="H12998" s="24"/>
      <c r="I12998" s="24"/>
      <c r="J12998" s="24"/>
      <c r="K12998" s="24"/>
    </row>
    <row r="12999" customFormat="false" ht="15" hidden="false" customHeight="false" outlineLevel="0" collapsed="false">
      <c r="A12999" s="3" t="s">
        <v>299</v>
      </c>
      <c r="G12999" s="30" t="n">
        <f aca="false">Assumptions!$G$52</f>
        <v>0.039</v>
      </c>
      <c r="H12999" s="30" t="n">
        <f aca="false">Assumptions!$H$52</f>
        <v>0.0375</v>
      </c>
      <c r="I12999" s="30" t="n">
        <f aca="false">Assumptions!$I$52</f>
        <v>0.035</v>
      </c>
      <c r="J12999" s="30" t="n">
        <f aca="false">Assumptions!$J$52</f>
        <v>0.035</v>
      </c>
      <c r="K12999" s="30" t="n">
        <f aca="false">Assumptions!$K$52</f>
        <v>0.035</v>
      </c>
    </row>
    <row r="13000" customFormat="false" ht="15" hidden="false" customHeight="false" outlineLevel="0" collapsed="false">
      <c r="A13000" s="3" t="s">
        <v>300</v>
      </c>
      <c r="C13000" s="31" t="n">
        <f aca="false">CHOOSE($C$12966,Assumptions!$C$78,Assumptions!$C$97,Assumptions!$C$116)+$C$12969</f>
        <v>0.015</v>
      </c>
    </row>
    <row r="13001" customFormat="false" ht="15" hidden="false" customHeight="false" outlineLevel="0" collapsed="false">
      <c r="A13001" s="3" t="s">
        <v>301</v>
      </c>
      <c r="C13001" s="31" t="n">
        <f aca="false">CHOOSE($C$12966,Assumptions!$C$79,Assumptions!$C$98,Assumptions!$C$117)</f>
        <v>0.13</v>
      </c>
    </row>
    <row r="13002" customFormat="false" ht="15" hidden="false" customHeight="false" outlineLevel="0" collapsed="false">
      <c r="A13002" s="3" t="s">
        <v>302</v>
      </c>
      <c r="C13002" s="32" t="n">
        <f aca="false">CHOOSE($C$12966,Assumptions!$C$80,Assumptions!$C$99,Assumptions!$C$118)</f>
        <v>5.5</v>
      </c>
    </row>
    <row r="13003" customFormat="false" ht="15" hidden="false" customHeight="false" outlineLevel="0" collapsed="false">
      <c r="A13003" s="3" t="s">
        <v>303</v>
      </c>
      <c r="C13003" s="32" t="n">
        <f aca="false">CHOOSE($C$12966,Assumptions!$C$81,Assumptions!$C$100,Assumptions!$C$119)</f>
        <v>1.5</v>
      </c>
    </row>
    <row r="13004" customFormat="false" ht="15" hidden="false" customHeight="false" outlineLevel="0" collapsed="false">
      <c r="A13004" s="3" t="s">
        <v>304</v>
      </c>
      <c r="G13004" s="25" t="n">
        <f aca="false">G13009+G13022+G13035</f>
        <v>1735.554</v>
      </c>
      <c r="H13004" s="25" t="n">
        <f aca="false">H13009+H13022+H13035</f>
        <v>1735.554</v>
      </c>
      <c r="I13004" s="25" t="n">
        <f aca="false">I13009+I13022+I13035</f>
        <v>1735.554</v>
      </c>
      <c r="J13004" s="25" t="n">
        <f aca="false">J13009+J13022+J13035</f>
        <v>1315.098</v>
      </c>
      <c r="K13004" s="25" t="n">
        <f aca="false">K13009+K13022+K13035</f>
        <v>1315.098</v>
      </c>
    </row>
    <row r="13005" customFormat="false" ht="15" hidden="false" customHeight="false" outlineLevel="0" collapsed="false">
      <c r="A13005" s="3" t="s">
        <v>305</v>
      </c>
      <c r="G13005" s="25" t="n">
        <f aca="false">F13078</f>
        <v>463.996</v>
      </c>
      <c r="H13005" s="25" t="n">
        <f aca="false">G13078</f>
        <v>518.82154744</v>
      </c>
      <c r="I13005" s="25" t="n">
        <f aca="false">H13078</f>
        <v>539.6742833632</v>
      </c>
      <c r="J13005" s="25" t="n">
        <f aca="false">I13078</f>
        <v>120.430022671888</v>
      </c>
      <c r="K13005" s="25" t="n">
        <f aca="false">J13078</f>
        <v>123.071896868977</v>
      </c>
    </row>
    <row r="13006" customFormat="false" ht="15" hidden="false" customHeight="false" outlineLevel="0" collapsed="false">
      <c r="A13006" s="3" t="s">
        <v>306</v>
      </c>
      <c r="G13006" s="25" t="n">
        <f aca="false">G13009*IF(G13010=1,$C$13001,IF(Assumptions!$I$56=1,MAX(G12999,Assumptions!$G$56)+Assumptions!$F$56+$C$13000,Assumptions!$E$56))+G13022*IF(G13023=1,$C$13001,IF(Assumptions!$I$57=1,MAX(G12999,Assumptions!$G$57)+Assumptions!$F$57+$C$13000,Assumptions!$E$57))+G13035*IF(G13036=1,$C$13001,IF(Assumptions!$I$58=1,MAX(G12999,Assumptions!$G$58)+Assumptions!$F$58+$C$13000,Assumptions!$E$58))</f>
        <v>155.95467</v>
      </c>
      <c r="H13006" s="25" t="n">
        <f aca="false">H13009*IF(OR(H13010=1,G13156=1),$C$13001,IF(Assumptions!$I$56=1,MAX(H12999,Assumptions!$G$56)+Assumptions!$F$56+$C$13000,Assumptions!$E$56))+H13022*IF(OR(H13023=1,G13157=1),$C$13001,IF(Assumptions!$I$57=1,MAX(H12999,Assumptions!$G$57)+Assumptions!$F$57+$C$13000,Assumptions!$E$57))+H13035*IF(OR(H13036=1,G13158=1),$C$13001,IF(Assumptions!$I$58=1,MAX(H12999,Assumptions!$G$58)+Assumptions!$F$58+$C$13000,Assumptions!$E$58))</f>
        <v>155.95467</v>
      </c>
      <c r="I13006" s="25" t="n">
        <f aca="false">I13009*IF(OR(I13010=1,H13156=1),$C$13001,IF(Assumptions!$I$56=1,MAX(I12999,Assumptions!$G$56)+Assumptions!$F$56+$C$13000,Assumptions!$E$56))+I13022*IF(OR(I13023=1,H13157=1),$C$13001,IF(Assumptions!$I$57=1,MAX(I12999,Assumptions!$G$57)+Assumptions!$F$57+$C$13000,Assumptions!$E$57))+I13035*IF(OR(I13036=1,H13158=1),$C$13001,IF(Assumptions!$I$58=1,MAX(I12999,Assumptions!$G$58)+Assumptions!$F$58+$C$13000,Assumptions!$E$58))</f>
        <v>192.74457</v>
      </c>
      <c r="J13006" s="25" t="n">
        <f aca="false">J13009*IF(OR(J13010=1,I13156=1),$C$13001,IF(Assumptions!$I$56=1,MAX(J12999,Assumptions!$G$56)+Assumptions!$F$56+$C$13000,Assumptions!$E$56))+J13022*IF(OR(J13023=1,I13157=1),$C$13001,IF(Assumptions!$I$57=1,MAX(J12999,Assumptions!$G$57)+Assumptions!$F$57+$C$13000,Assumptions!$E$57))+J13035*IF(OR(J13036=1,I13158=1),$C$13001,IF(Assumptions!$I$58=1,MAX(J12999,Assumptions!$G$58)+Assumptions!$F$58+$C$13000,Assumptions!$E$58))</f>
        <v>138.08529</v>
      </c>
      <c r="K13006" s="25" t="n">
        <f aca="false">K13009*IF(OR(K13010=1,J13156=1),$C$13001,IF(Assumptions!$I$56=1,MAX(K12999,Assumptions!$G$56)+Assumptions!$F$56+$C$13000,Assumptions!$E$56))+K13022*IF(OR(K13023=1,J13157=1),$C$13001,IF(Assumptions!$I$57=1,MAX(K12999,Assumptions!$G$57)+Assumptions!$F$57+$C$13000,Assumptions!$E$57))+K13035*IF(OR(K13036=1,J13158=1),$C$13001,IF(Assumptions!$I$58=1,MAX(K12999,Assumptions!$G$58)+Assumptions!$F$58+$C$13000,Assumptions!$E$58))</f>
        <v>138.08529</v>
      </c>
    </row>
    <row r="13007" customFormat="false" ht="15" hidden="false" customHeight="false" outlineLevel="0" collapsed="false">
      <c r="A13007" s="3" t="s">
        <v>307</v>
      </c>
      <c r="G13007" s="20" t="n">
        <f aca="false">IF(G12983&lt;=0,0,IF(AND((G13004-G13005)/G12983&lt;=$C$13002,G12983/G13006&gt;=$C$13003),1,0))</f>
        <v>1</v>
      </c>
      <c r="H13007" s="20" t="n">
        <f aca="false">IF(H12983&lt;=0,0,IF(AND((H13004-H13005)/H12983&lt;=$C$13002,H12983/H13006&gt;=$C$13003),1,0))</f>
        <v>0</v>
      </c>
      <c r="I13007" s="20" t="n">
        <f aca="false">IF(I12983&lt;=0,0,IF(AND((I13004-I13005)/I12983&lt;=$C$13002,I12983/I13006&gt;=$C$13003),1,0))</f>
        <v>0</v>
      </c>
      <c r="J13007" s="20" t="n">
        <f aca="false">IF(J12983&lt;=0,0,IF(AND((J13004-J13005)/J12983&lt;=$C$13002,J12983/J13006&gt;=$C$13003),1,0))</f>
        <v>0</v>
      </c>
      <c r="K13007" s="20" t="n">
        <f aca="false">IF(K12983&lt;=0,0,IF(AND((K13004-K13005)/K12983&lt;=$C$13002,K12983/K13006&gt;=$C$13003),1,0))</f>
        <v>0</v>
      </c>
    </row>
    <row r="13008" customFormat="false" ht="15" hidden="false" customHeight="false" outlineLevel="0" collapsed="false">
      <c r="A13008" s="23" t="s">
        <v>308</v>
      </c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</row>
    <row r="13009" customFormat="false" ht="15" hidden="false" customHeight="false" outlineLevel="0" collapsed="false">
      <c r="A13009" s="3" t="s">
        <v>309</v>
      </c>
      <c r="G13009" s="25" t="n">
        <f aca="false">F13020</f>
        <v>1315.098</v>
      </c>
      <c r="H13009" s="25" t="n">
        <f aca="false">G13020</f>
        <v>1315.098</v>
      </c>
      <c r="I13009" s="25" t="n">
        <f aca="false">H13020</f>
        <v>1315.098</v>
      </c>
      <c r="J13009" s="25" t="n">
        <f aca="false">I13020</f>
        <v>1315.098</v>
      </c>
      <c r="K13009" s="25" t="n">
        <f aca="false">J13020</f>
        <v>1315.098</v>
      </c>
    </row>
    <row r="13010" customFormat="false" ht="15" hidden="false" customHeight="false" outlineLevel="0" collapsed="false">
      <c r="A13010" s="3" t="s">
        <v>310</v>
      </c>
      <c r="G13010" s="20" t="n">
        <f aca="false">IF(G12973=Assumptions!$K$56,1,0)</f>
        <v>0</v>
      </c>
      <c r="H13010" s="20" t="n">
        <f aca="false">IF(H12973=Assumptions!$K$56,1,0)</f>
        <v>0</v>
      </c>
      <c r="I13010" s="20" t="n">
        <f aca="false">IF(I12973=Assumptions!$K$56,1,0)</f>
        <v>0</v>
      </c>
      <c r="J13010" s="20" t="n">
        <f aca="false">IF(J12973=Assumptions!$K$56,1,0)</f>
        <v>0</v>
      </c>
      <c r="K13010" s="20" t="n">
        <f aca="false">IF(K12973=Assumptions!$K$56,1,0)</f>
        <v>0</v>
      </c>
    </row>
    <row r="13012" customFormat="false" ht="15" hidden="false" customHeight="false" outlineLevel="0" collapsed="false">
      <c r="A13012" s="3" t="s">
        <v>311</v>
      </c>
      <c r="G13012" s="31" t="n">
        <f aca="false">IF(Assumptions!$I$56=1,MAX(G12999,Assumptions!$G$56)+Assumptions!$F$56+$C$13000,Assumptions!$E$56)</f>
        <v>0.105</v>
      </c>
      <c r="H13012" s="31" t="n">
        <f aca="false">IF(G13156=1,$C$13001,IF(Assumptions!$I$56=1,MAX(H12999,Assumptions!$G$56)+Assumptions!$F$56+$C$13000,Assumptions!$E$56))</f>
        <v>0.105</v>
      </c>
      <c r="I13012" s="31" t="n">
        <f aca="false">IF(H13156=1,$C$13001,IF(Assumptions!$I$56=1,MAX(I12999,Assumptions!$G$56)+Assumptions!$F$56+$C$13000,Assumptions!$E$56))</f>
        <v>0.105</v>
      </c>
      <c r="J13012" s="31" t="n">
        <f aca="false">IF(I13156=1,$C$13001,IF(Assumptions!$I$56=1,MAX(J12999,Assumptions!$G$56)+Assumptions!$F$56+$C$13000,Assumptions!$E$56))</f>
        <v>0.105</v>
      </c>
      <c r="K13012" s="31" t="n">
        <f aca="false">IF(J13156=1,$C$13001,IF(Assumptions!$I$56=1,MAX(K12999,Assumptions!$G$56)+Assumptions!$F$56+$C$13000,Assumptions!$E$56))</f>
        <v>0.105</v>
      </c>
    </row>
    <row r="13013" customFormat="false" ht="15" hidden="false" customHeight="false" outlineLevel="0" collapsed="false">
      <c r="A13013" s="3" t="s">
        <v>312</v>
      </c>
      <c r="G13013" s="25" t="n">
        <f aca="false">G13009*G13012</f>
        <v>138.08529</v>
      </c>
      <c r="H13013" s="25" t="n">
        <f aca="false">H13009*H13012</f>
        <v>138.08529</v>
      </c>
      <c r="I13013" s="25" t="n">
        <f aca="false">I13009*I13012</f>
        <v>138.08529</v>
      </c>
      <c r="J13013" s="25" t="n">
        <f aca="false">J13009*J13012</f>
        <v>138.08529</v>
      </c>
      <c r="K13013" s="25" t="n">
        <f aca="false">K13009*K13012</f>
        <v>138.08529</v>
      </c>
    </row>
    <row r="13014" customFormat="false" ht="15" hidden="false" customHeight="false" outlineLevel="0" collapsed="false">
      <c r="A13014" s="3" t="s">
        <v>313</v>
      </c>
      <c r="G13014" s="25" t="n">
        <f aca="false">G13009*Assumptions!$H$56</f>
        <v>0</v>
      </c>
      <c r="H13014" s="25" t="n">
        <f aca="false">H13009*Assumptions!$H$56</f>
        <v>0</v>
      </c>
      <c r="I13014" s="25" t="n">
        <f aca="false">I13009*Assumptions!$H$56</f>
        <v>0</v>
      </c>
      <c r="J13014" s="25" t="n">
        <f aca="false">J13009*Assumptions!$H$56</f>
        <v>0</v>
      </c>
      <c r="K13014" s="25" t="n">
        <f aca="false">K13009*Assumptions!$H$56</f>
        <v>0</v>
      </c>
    </row>
    <row r="13015" customFormat="false" ht="15" hidden="false" customHeight="false" outlineLevel="0" collapsed="false">
      <c r="A13015" s="3" t="s">
        <v>314</v>
      </c>
      <c r="G13015" s="25" t="n">
        <f aca="false">MIN(G13009,Assumptions!$L$56*Assumptions!$C$56)</f>
        <v>0</v>
      </c>
      <c r="H13015" s="25" t="n">
        <f aca="false">MIN(H13009,Assumptions!$L$56*Assumptions!$C$56)</f>
        <v>0</v>
      </c>
      <c r="I13015" s="25" t="n">
        <f aca="false">MIN(I13009,Assumptions!$L$56*Assumptions!$C$56)</f>
        <v>0</v>
      </c>
      <c r="J13015" s="25" t="n">
        <f aca="false">MIN(J13009,Assumptions!$L$56*Assumptions!$C$56)</f>
        <v>0</v>
      </c>
      <c r="K13015" s="25" t="n">
        <f aca="false">MIN(K13009,Assumptions!$L$56*Assumptions!$C$56)</f>
        <v>0</v>
      </c>
    </row>
    <row r="13016" customFormat="false" ht="15" hidden="false" customHeight="false" outlineLevel="0" collapsed="false">
      <c r="A13016" s="3" t="s">
        <v>315</v>
      </c>
      <c r="G13016" s="25" t="n">
        <f aca="false">IF(AND(Assumptions!$P$56=1,G12973&lt;Assumptions!$K$56),MIN(MAX(0,-G13070),MAX(0,Assumptions!$D$56-G13009)),0)</f>
        <v>0</v>
      </c>
      <c r="H13016" s="25" t="n">
        <f aca="false">IF(AND(Assumptions!$P$56=1,OR(H12973&lt;Assumptions!$K$56,G13156=1)),MIN(MAX(0,-H13070),MAX(0,Assumptions!$D$56-H13009)),0)</f>
        <v>0</v>
      </c>
      <c r="I13016" s="25" t="n">
        <f aca="false">IF(AND(Assumptions!$P$56=1,OR(I12973&lt;Assumptions!$K$56,H13156=1)),MIN(MAX(0,-I13070),MAX(0,Assumptions!$D$56-I13009)),0)</f>
        <v>0</v>
      </c>
      <c r="J13016" s="25" t="n">
        <f aca="false">IF(AND(Assumptions!$P$56=1,OR(J12973&lt;Assumptions!$K$56,I13156=1)),MIN(MAX(0,-J13070),MAX(0,Assumptions!$D$56-J13009)),0)</f>
        <v>0</v>
      </c>
      <c r="K13016" s="25" t="n">
        <f aca="false">IF(AND(Assumptions!$P$56=1,OR(K12973&lt;Assumptions!$K$56,J13156=1)),MIN(MAX(0,-K13070),MAX(0,Assumptions!$D$56-K13009)),0)</f>
        <v>0</v>
      </c>
    </row>
    <row r="13017" customFormat="false" ht="15" hidden="false" customHeight="false" outlineLevel="0" collapsed="false">
      <c r="A13017" s="3" t="s">
        <v>316</v>
      </c>
      <c r="G13017" s="25" t="n">
        <f aca="false">G13010*MIN(G13009-G13015+G13014,MAX(0,G13072-Assumptions!$C$12*G13007))</f>
        <v>0</v>
      </c>
      <c r="H13017" s="25" t="n">
        <f aca="false">H13010*MIN(H13009-H13015+H13014,MAX(0,H13072-Assumptions!$C$12*H13007))</f>
        <v>0</v>
      </c>
      <c r="I13017" s="25" t="n">
        <f aca="false">I13010*MIN(I13009-I13015+I13014,MAX(0,I13072-Assumptions!$C$12*I13007))</f>
        <v>0</v>
      </c>
      <c r="J13017" s="25" t="n">
        <f aca="false">J13010*MIN(J13009-J13015+J13014,MAX(0,J13072-Assumptions!$C$12*J13007))</f>
        <v>0</v>
      </c>
      <c r="K13017" s="25" t="n">
        <f aca="false">K13010*MIN(K13009-K13015+K13014,MAX(0,K13072-Assumptions!$C$12*K13007))</f>
        <v>0</v>
      </c>
    </row>
    <row r="13018" customFormat="false" ht="15" hidden="false" customHeight="false" outlineLevel="0" collapsed="false">
      <c r="A13018" s="3" t="s">
        <v>317</v>
      </c>
      <c r="G13018" s="25" t="n">
        <f aca="false">Assumptions!$N$56*MIN(G13009+G13016+G13014-G13015-G13017,MAX(0,G13076))</f>
        <v>0</v>
      </c>
      <c r="H13018" s="25" t="n">
        <f aca="false">Assumptions!$N$56*MIN(H13009+H13016+H13014-H13015-H13017,MAX(0,H13076))</f>
        <v>0</v>
      </c>
      <c r="I13018" s="25" t="n">
        <f aca="false">Assumptions!$N$56*MIN(I13009+I13016+I13014-I13015-I13017,MAX(0,I13076))</f>
        <v>0</v>
      </c>
      <c r="J13018" s="25" t="n">
        <f aca="false">Assumptions!$N$56*MIN(J13009+J13016+J13014-J13015-J13017,MAX(0,J13076))</f>
        <v>0</v>
      </c>
      <c r="K13018" s="25" t="n">
        <f aca="false">Assumptions!$N$56*MIN(K13009+K13016+K13014-K13015-K13017,MAX(0,K13076))</f>
        <v>0</v>
      </c>
    </row>
    <row r="13019" customFormat="false" ht="15" hidden="false" customHeight="false" outlineLevel="0" collapsed="false">
      <c r="A13019" s="3" t="s">
        <v>318</v>
      </c>
      <c r="G13019" s="25" t="n">
        <f aca="false">G13010*(1-G13007)*(G13009-G13015+G13014-G13017)</f>
        <v>0</v>
      </c>
      <c r="H13019" s="25" t="n">
        <f aca="false">H13010*(1-H13007)*(H13009-H13015+H13014-H13017)</f>
        <v>0</v>
      </c>
      <c r="I13019" s="25" t="n">
        <f aca="false">I13010*(1-I13007)*(I13009-I13015+I13014-I13017)</f>
        <v>0</v>
      </c>
      <c r="J13019" s="25" t="n">
        <f aca="false">J13010*(1-J13007)*(J13009-J13015+J13014-J13017)</f>
        <v>0</v>
      </c>
      <c r="K13019" s="25" t="n">
        <f aca="false">K13010*(1-K13007)*(K13009-K13015+K13014-K13017)</f>
        <v>0</v>
      </c>
    </row>
    <row r="13020" customFormat="false" ht="15" hidden="false" customHeight="false" outlineLevel="0" collapsed="false">
      <c r="A13020" s="2" t="s">
        <v>319</v>
      </c>
      <c r="F13020" s="28" t="n">
        <f aca="false">Assumptions!$C$56</f>
        <v>1315.098</v>
      </c>
      <c r="G13020" s="16" t="n">
        <f aca="false">G13009+G13016+G13014-G13015-G13017-G13018</f>
        <v>1315.098</v>
      </c>
      <c r="H13020" s="16" t="n">
        <f aca="false">H13009+H13016+H13014-H13015-H13017-H13018</f>
        <v>1315.098</v>
      </c>
      <c r="I13020" s="16" t="n">
        <f aca="false">I13009+I13016+I13014-I13015-I13017-I13018</f>
        <v>1315.098</v>
      </c>
      <c r="J13020" s="16" t="n">
        <f aca="false">J13009+J13016+J13014-J13015-J13017-J13018</f>
        <v>1315.098</v>
      </c>
      <c r="K13020" s="16" t="n">
        <f aca="false">K13009+K13016+K13014-K13015-K13017-K13018</f>
        <v>1315.098</v>
      </c>
    </row>
    <row r="13021" customFormat="false" ht="15" hidden="false" customHeight="false" outlineLevel="0" collapsed="false">
      <c r="A13021" s="23" t="s">
        <v>320</v>
      </c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</row>
    <row r="13022" customFormat="false" ht="15" hidden="false" customHeight="false" outlineLevel="0" collapsed="false">
      <c r="A13022" s="3" t="s">
        <v>309</v>
      </c>
      <c r="G13022" s="25" t="n">
        <f aca="false">F13033</f>
        <v>276.706</v>
      </c>
      <c r="H13022" s="25" t="n">
        <f aca="false">G13033</f>
        <v>276.706</v>
      </c>
      <c r="I13022" s="25" t="n">
        <f aca="false">H13033</f>
        <v>276.706</v>
      </c>
      <c r="J13022" s="25" t="n">
        <f aca="false">I13033</f>
        <v>0</v>
      </c>
      <c r="K13022" s="25" t="n">
        <f aca="false">J13033</f>
        <v>0</v>
      </c>
    </row>
    <row r="13023" customFormat="false" ht="15" hidden="false" customHeight="false" outlineLevel="0" collapsed="false">
      <c r="A13023" s="3" t="s">
        <v>310</v>
      </c>
      <c r="G13023" s="20" t="n">
        <f aca="false">IF(G12973=Assumptions!$K$57,1,0)</f>
        <v>0</v>
      </c>
      <c r="H13023" s="20" t="n">
        <f aca="false">IF(H12973=Assumptions!$K$57,1,0)</f>
        <v>0</v>
      </c>
      <c r="I13023" s="20" t="n">
        <f aca="false">IF(I12973=Assumptions!$K$57,1,0)</f>
        <v>1</v>
      </c>
      <c r="J13023" s="20" t="n">
        <f aca="false">IF(J12973=Assumptions!$K$57,1,0)</f>
        <v>0</v>
      </c>
      <c r="K13023" s="20" t="n">
        <f aca="false">IF(K12973=Assumptions!$K$57,1,0)</f>
        <v>0</v>
      </c>
    </row>
    <row r="13025" customFormat="false" ht="15" hidden="false" customHeight="false" outlineLevel="0" collapsed="false">
      <c r="A13025" s="3" t="s">
        <v>311</v>
      </c>
      <c r="G13025" s="31" t="n">
        <f aca="false">IF(Assumptions!$I$57=1,MAX(G12999,Assumptions!$G$57)+Assumptions!$F$57+$C$13000,Assumptions!$E$57)</f>
        <v>0.0425</v>
      </c>
      <c r="H13025" s="31" t="n">
        <f aca="false">IF(G13157=1,$C$13001,IF(Assumptions!$I$57=1,MAX(H12999,Assumptions!$G$57)+Assumptions!$F$57+$C$13000,Assumptions!$E$57))</f>
        <v>0.0425</v>
      </c>
      <c r="I13025" s="31" t="n">
        <f aca="false">IF(H13157=1,$C$13001,IF(Assumptions!$I$57=1,MAX(I12999,Assumptions!$G$57)+Assumptions!$F$57+$C$13000,Assumptions!$E$57))</f>
        <v>0.0425</v>
      </c>
      <c r="J13025" s="31" t="n">
        <f aca="false">IF(I13157=1,$C$13001,IF(Assumptions!$I$57=1,MAX(J12999,Assumptions!$G$57)+Assumptions!$F$57+$C$13000,Assumptions!$E$57))</f>
        <v>0.0425</v>
      </c>
      <c r="K13025" s="31" t="n">
        <f aca="false">IF(J13157=1,$C$13001,IF(Assumptions!$I$57=1,MAX(K12999,Assumptions!$G$57)+Assumptions!$F$57+$C$13000,Assumptions!$E$57))</f>
        <v>0.0425</v>
      </c>
    </row>
    <row r="13026" customFormat="false" ht="15" hidden="false" customHeight="false" outlineLevel="0" collapsed="false">
      <c r="A13026" s="3" t="s">
        <v>312</v>
      </c>
      <c r="G13026" s="25" t="n">
        <f aca="false">G13022*G13025</f>
        <v>11.760005</v>
      </c>
      <c r="H13026" s="25" t="n">
        <f aca="false">H13022*H13025</f>
        <v>11.760005</v>
      </c>
      <c r="I13026" s="25" t="n">
        <f aca="false">I13022*I13025</f>
        <v>11.760005</v>
      </c>
      <c r="J13026" s="25" t="n">
        <f aca="false">J13022*J13025</f>
        <v>0</v>
      </c>
      <c r="K13026" s="25" t="n">
        <f aca="false">K13022*K13025</f>
        <v>0</v>
      </c>
    </row>
    <row r="13027" customFormat="false" ht="15" hidden="false" customHeight="false" outlineLevel="0" collapsed="false">
      <c r="A13027" s="3" t="s">
        <v>313</v>
      </c>
      <c r="G13027" s="25" t="n">
        <f aca="false">G13022*Assumptions!$H$57</f>
        <v>0</v>
      </c>
      <c r="H13027" s="25" t="n">
        <f aca="false">H13022*Assumptions!$H$57</f>
        <v>0</v>
      </c>
      <c r="I13027" s="25" t="n">
        <f aca="false">I13022*Assumptions!$H$57</f>
        <v>0</v>
      </c>
      <c r="J13027" s="25" t="n">
        <f aca="false">J13022*Assumptions!$H$57</f>
        <v>0</v>
      </c>
      <c r="K13027" s="25" t="n">
        <f aca="false">K13022*Assumptions!$H$57</f>
        <v>0</v>
      </c>
    </row>
    <row r="13028" customFormat="false" ht="15" hidden="false" customHeight="false" outlineLevel="0" collapsed="false">
      <c r="A13028" s="3" t="s">
        <v>314</v>
      </c>
      <c r="G13028" s="25" t="n">
        <f aca="false">MIN(G13022,Assumptions!$L$57*Assumptions!$C$57)</f>
        <v>0</v>
      </c>
      <c r="H13028" s="25" t="n">
        <f aca="false">MIN(H13022,Assumptions!$L$57*Assumptions!$C$57)</f>
        <v>0</v>
      </c>
      <c r="I13028" s="25" t="n">
        <f aca="false">MIN(I13022,Assumptions!$L$57*Assumptions!$C$57)</f>
        <v>0</v>
      </c>
      <c r="J13028" s="25" t="n">
        <f aca="false">MIN(J13022,Assumptions!$L$57*Assumptions!$C$57)</f>
        <v>0</v>
      </c>
      <c r="K13028" s="25" t="n">
        <f aca="false">MIN(K13022,Assumptions!$L$57*Assumptions!$C$57)</f>
        <v>0</v>
      </c>
    </row>
    <row r="13029" customFormat="false" ht="15" hidden="false" customHeight="false" outlineLevel="0" collapsed="false">
      <c r="A13029" s="3" t="s">
        <v>315</v>
      </c>
      <c r="G13029" s="25" t="n">
        <f aca="false">IF(AND(Assumptions!$P$57=1,G12973&lt;Assumptions!$K$57),MIN(MAX(0,-G13070),MAX(0,Assumptions!$D$57-G13022)),0)</f>
        <v>0</v>
      </c>
      <c r="H13029" s="25" t="n">
        <f aca="false">IF(AND(Assumptions!$P$57=1,OR(H12973&lt;Assumptions!$K$57,G13157=1)),MIN(MAX(0,-H13070),MAX(0,Assumptions!$D$57-H13022)),0)</f>
        <v>0</v>
      </c>
      <c r="I13029" s="25" t="n">
        <f aca="false">IF(AND(Assumptions!$P$57=1,OR(I12973&lt;Assumptions!$K$57,H13157=1)),MIN(MAX(0,-I13070),MAX(0,Assumptions!$D$57-I13022)),0)</f>
        <v>0</v>
      </c>
      <c r="J13029" s="25" t="n">
        <f aca="false">IF(AND(Assumptions!$P$57=1,OR(J12973&lt;Assumptions!$K$57,I13157=1)),MIN(MAX(0,-J13070),MAX(0,Assumptions!$D$57-J13022)),0)</f>
        <v>0</v>
      </c>
      <c r="K13029" s="25" t="n">
        <f aca="false">IF(AND(Assumptions!$P$57=1,OR(K12973&lt;Assumptions!$K$57,J13157=1)),MIN(MAX(0,-K13070),MAX(0,Assumptions!$D$57-K13022)),0)</f>
        <v>0</v>
      </c>
    </row>
    <row r="13030" customFormat="false" ht="15" hidden="false" customHeight="false" outlineLevel="0" collapsed="false">
      <c r="A13030" s="3" t="s">
        <v>316</v>
      </c>
      <c r="G13030" s="25" t="n">
        <f aca="false">G13023*MIN(G13022-G13028+G13027,MAX(0,G13072-Assumptions!$C$12*G13007-G13017))</f>
        <v>0</v>
      </c>
      <c r="H13030" s="25" t="n">
        <f aca="false">H13023*MIN(H13022-H13028+H13027,MAX(0,H13072-Assumptions!$C$12*H13007-H13017))</f>
        <v>0</v>
      </c>
      <c r="I13030" s="25" t="n">
        <f aca="false">I13023*MIN(I13022-I13028+I13027,MAX(0,I13072-Assumptions!$C$12*I13007-I13017))</f>
        <v>276.706</v>
      </c>
      <c r="J13030" s="25" t="n">
        <f aca="false">J13023*MIN(J13022-J13028+J13027,MAX(0,J13072-Assumptions!$C$12*J13007-J13017))</f>
        <v>0</v>
      </c>
      <c r="K13030" s="25" t="n">
        <f aca="false">K13023*MIN(K13022-K13028+K13027,MAX(0,K13072-Assumptions!$C$12*K13007-K13017))</f>
        <v>0</v>
      </c>
    </row>
    <row r="13031" customFormat="false" ht="15" hidden="false" customHeight="false" outlineLevel="0" collapsed="false">
      <c r="A13031" s="3" t="s">
        <v>317</v>
      </c>
      <c r="G13031" s="25" t="n">
        <f aca="false">Assumptions!$N$57*MIN(G13022+G13029+G13027-G13028-G13030,MAX(0,G13076-G13018))</f>
        <v>0</v>
      </c>
      <c r="H13031" s="25" t="n">
        <f aca="false">Assumptions!$N$57*MIN(H13022+H13029+H13027-H13028-H13030,MAX(0,H13076-H13018))</f>
        <v>0</v>
      </c>
      <c r="I13031" s="25" t="n">
        <f aca="false">Assumptions!$N$57*MIN(I13022+I13029+I13027-I13028-I13030,MAX(0,I13076-I13018))</f>
        <v>0</v>
      </c>
      <c r="J13031" s="25" t="n">
        <f aca="false">Assumptions!$N$57*MIN(J13022+J13029+J13027-J13028-J13030,MAX(0,J13076-J13018))</f>
        <v>0</v>
      </c>
      <c r="K13031" s="25" t="n">
        <f aca="false">Assumptions!$N$57*MIN(K13022+K13029+K13027-K13028-K13030,MAX(0,K13076-K13018))</f>
        <v>0</v>
      </c>
    </row>
    <row r="13032" customFormat="false" ht="15" hidden="false" customHeight="false" outlineLevel="0" collapsed="false">
      <c r="A13032" s="3" t="s">
        <v>318</v>
      </c>
      <c r="G13032" s="25" t="n">
        <f aca="false">G13023*(1-G13007)*(G13022-G13028+G13027-G13030)</f>
        <v>0</v>
      </c>
      <c r="H13032" s="25" t="n">
        <f aca="false">H13023*(1-H13007)*(H13022-H13028+H13027-H13030)</f>
        <v>0</v>
      </c>
      <c r="I13032" s="25" t="n">
        <f aca="false">I13023*(1-I13007)*(I13022-I13028+I13027-I13030)</f>
        <v>0</v>
      </c>
      <c r="J13032" s="25" t="n">
        <f aca="false">J13023*(1-J13007)*(J13022-J13028+J13027-J13030)</f>
        <v>0</v>
      </c>
      <c r="K13032" s="25" t="n">
        <f aca="false">K13023*(1-K13007)*(K13022-K13028+K13027-K13030)</f>
        <v>0</v>
      </c>
    </row>
    <row r="13033" customFormat="false" ht="15" hidden="false" customHeight="false" outlineLevel="0" collapsed="false">
      <c r="A13033" s="2" t="s">
        <v>319</v>
      </c>
      <c r="F13033" s="28" t="n">
        <f aca="false">Assumptions!$C$57</f>
        <v>276.706</v>
      </c>
      <c r="G13033" s="16" t="n">
        <f aca="false">G13022+G13029+G13027-G13028-G13030-G13031</f>
        <v>276.706</v>
      </c>
      <c r="H13033" s="16" t="n">
        <f aca="false">H13022+H13029+H13027-H13028-H13030-H13031</f>
        <v>276.706</v>
      </c>
      <c r="I13033" s="16" t="n">
        <f aca="false">I13022+I13029+I13027-I13028-I13030-I13031</f>
        <v>0</v>
      </c>
      <c r="J13033" s="16" t="n">
        <f aca="false">J13022+J13029+J13027-J13028-J13030-J13031</f>
        <v>0</v>
      </c>
      <c r="K13033" s="16" t="n">
        <f aca="false">K13022+K13029+K13027-K13028-K13030-K13031</f>
        <v>0</v>
      </c>
    </row>
    <row r="13034" customFormat="false" ht="15" hidden="false" customHeight="false" outlineLevel="0" collapsed="false">
      <c r="A13034" s="23" t="s">
        <v>321</v>
      </c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</row>
    <row r="13035" customFormat="false" ht="15" hidden="false" customHeight="false" outlineLevel="0" collapsed="false">
      <c r="A13035" s="3" t="s">
        <v>309</v>
      </c>
      <c r="G13035" s="25" t="n">
        <f aca="false">F13046</f>
        <v>143.75</v>
      </c>
      <c r="H13035" s="25" t="n">
        <f aca="false">G13046</f>
        <v>143.75</v>
      </c>
      <c r="I13035" s="25" t="n">
        <f aca="false">H13046</f>
        <v>143.75</v>
      </c>
      <c r="J13035" s="25" t="n">
        <f aca="false">I13046</f>
        <v>0</v>
      </c>
      <c r="K13035" s="25" t="n">
        <f aca="false">J13046</f>
        <v>0</v>
      </c>
    </row>
    <row r="13036" customFormat="false" ht="15" hidden="false" customHeight="false" outlineLevel="0" collapsed="false">
      <c r="A13036" s="3" t="s">
        <v>310</v>
      </c>
      <c r="G13036" s="20" t="n">
        <f aca="false">IF(G12973=Assumptions!$K$58,1,0)</f>
        <v>0</v>
      </c>
      <c r="H13036" s="20" t="n">
        <f aca="false">IF(H12973=Assumptions!$K$58,1,0)</f>
        <v>0</v>
      </c>
      <c r="I13036" s="20" t="n">
        <f aca="false">IF(I12973=Assumptions!$K$58,1,0)</f>
        <v>1</v>
      </c>
      <c r="J13036" s="20" t="n">
        <f aca="false">IF(J12973=Assumptions!$K$58,1,0)</f>
        <v>0</v>
      </c>
      <c r="K13036" s="20" t="n">
        <f aca="false">IF(K12973=Assumptions!$K$58,1,0)</f>
        <v>0</v>
      </c>
    </row>
    <row r="13038" customFormat="false" ht="15" hidden="false" customHeight="false" outlineLevel="0" collapsed="false">
      <c r="A13038" s="3" t="s">
        <v>311</v>
      </c>
      <c r="G13038" s="31" t="n">
        <f aca="false">IF(Assumptions!$I$58=1,MAX(G12999,Assumptions!$G$58)+Assumptions!$F$58+$C$13000,Assumptions!$E$58)</f>
        <v>0.0425</v>
      </c>
      <c r="H13038" s="31" t="n">
        <f aca="false">IF(G13158=1,$C$13001,IF(Assumptions!$I$58=1,MAX(H12999,Assumptions!$G$58)+Assumptions!$F$58+$C$13000,Assumptions!$E$58))</f>
        <v>0.0425</v>
      </c>
      <c r="I13038" s="31" t="n">
        <f aca="false">IF(H13158=1,$C$13001,IF(Assumptions!$I$58=1,MAX(I12999,Assumptions!$G$58)+Assumptions!$F$58+$C$13000,Assumptions!$E$58))</f>
        <v>0.0425</v>
      </c>
      <c r="J13038" s="31" t="n">
        <f aca="false">IF(I13158=1,$C$13001,IF(Assumptions!$I$58=1,MAX(J12999,Assumptions!$G$58)+Assumptions!$F$58+$C$13000,Assumptions!$E$58))</f>
        <v>0.0425</v>
      </c>
      <c r="K13038" s="31" t="n">
        <f aca="false">IF(J13158=1,$C$13001,IF(Assumptions!$I$58=1,MAX(K12999,Assumptions!$G$58)+Assumptions!$F$58+$C$13000,Assumptions!$E$58))</f>
        <v>0.0425</v>
      </c>
    </row>
    <row r="13039" customFormat="false" ht="15" hidden="false" customHeight="false" outlineLevel="0" collapsed="false">
      <c r="A13039" s="3" t="s">
        <v>312</v>
      </c>
      <c r="G13039" s="25" t="n">
        <f aca="false">G13035*G13038</f>
        <v>6.109375</v>
      </c>
      <c r="H13039" s="25" t="n">
        <f aca="false">H13035*H13038</f>
        <v>6.109375</v>
      </c>
      <c r="I13039" s="25" t="n">
        <f aca="false">I13035*I13038</f>
        <v>6.109375</v>
      </c>
      <c r="J13039" s="25" t="n">
        <f aca="false">J13035*J13038</f>
        <v>0</v>
      </c>
      <c r="K13039" s="25" t="n">
        <f aca="false">K13035*K13038</f>
        <v>0</v>
      </c>
    </row>
    <row r="13040" customFormat="false" ht="15" hidden="false" customHeight="false" outlineLevel="0" collapsed="false">
      <c r="A13040" s="3" t="s">
        <v>313</v>
      </c>
      <c r="G13040" s="25" t="n">
        <f aca="false">G13035*Assumptions!$H$58</f>
        <v>0</v>
      </c>
      <c r="H13040" s="25" t="n">
        <f aca="false">H13035*Assumptions!$H$58</f>
        <v>0</v>
      </c>
      <c r="I13040" s="25" t="n">
        <f aca="false">I13035*Assumptions!$H$58</f>
        <v>0</v>
      </c>
      <c r="J13040" s="25" t="n">
        <f aca="false">J13035*Assumptions!$H$58</f>
        <v>0</v>
      </c>
      <c r="K13040" s="25" t="n">
        <f aca="false">K13035*Assumptions!$H$58</f>
        <v>0</v>
      </c>
    </row>
    <row r="13041" customFormat="false" ht="15" hidden="false" customHeight="false" outlineLevel="0" collapsed="false">
      <c r="A13041" s="3" t="s">
        <v>314</v>
      </c>
      <c r="G13041" s="25" t="n">
        <f aca="false">MIN(G13035,Assumptions!$L$58*Assumptions!$C$58)</f>
        <v>0</v>
      </c>
      <c r="H13041" s="25" t="n">
        <f aca="false">MIN(H13035,Assumptions!$L$58*Assumptions!$C$58)</f>
        <v>0</v>
      </c>
      <c r="I13041" s="25" t="n">
        <f aca="false">MIN(I13035,Assumptions!$L$58*Assumptions!$C$58)</f>
        <v>0</v>
      </c>
      <c r="J13041" s="25" t="n">
        <f aca="false">MIN(J13035,Assumptions!$L$58*Assumptions!$C$58)</f>
        <v>0</v>
      </c>
      <c r="K13041" s="25" t="n">
        <f aca="false">MIN(K13035,Assumptions!$L$58*Assumptions!$C$58)</f>
        <v>0</v>
      </c>
    </row>
    <row r="13042" customFormat="false" ht="15" hidden="false" customHeight="false" outlineLevel="0" collapsed="false">
      <c r="A13042" s="3" t="s">
        <v>315</v>
      </c>
      <c r="G13042" s="25" t="n">
        <f aca="false">IF(AND(Assumptions!$P$58=1,G12973&lt;Assumptions!$K$58),MIN(MAX(0,-G13070),MAX(0,Assumptions!$D$58-G13035)),0)</f>
        <v>0</v>
      </c>
      <c r="H13042" s="25" t="n">
        <f aca="false">IF(AND(Assumptions!$P$58=1,OR(H12973&lt;Assumptions!$K$58,G13158=1)),MIN(MAX(0,-H13070),MAX(0,Assumptions!$D$58-H13035)),0)</f>
        <v>0</v>
      </c>
      <c r="I13042" s="25" t="n">
        <f aca="false">IF(AND(Assumptions!$P$58=1,OR(I12973&lt;Assumptions!$K$58,H13158=1)),MIN(MAX(0,-I13070),MAX(0,Assumptions!$D$58-I13035)),0)</f>
        <v>0</v>
      </c>
      <c r="J13042" s="25" t="n">
        <f aca="false">IF(AND(Assumptions!$P$58=1,OR(J12973&lt;Assumptions!$K$58,I13158=1)),MIN(MAX(0,-J13070),MAX(0,Assumptions!$D$58-J13035)),0)</f>
        <v>0</v>
      </c>
      <c r="K13042" s="25" t="n">
        <f aca="false">IF(AND(Assumptions!$P$58=1,OR(K12973&lt;Assumptions!$K$58,J13158=1)),MIN(MAX(0,-K13070),MAX(0,Assumptions!$D$58-K13035)),0)</f>
        <v>0</v>
      </c>
    </row>
    <row r="13043" customFormat="false" ht="15" hidden="false" customHeight="false" outlineLevel="0" collapsed="false">
      <c r="A13043" s="3" t="s">
        <v>316</v>
      </c>
      <c r="G13043" s="25" t="n">
        <f aca="false">G13036*MIN(G13035-G13041+G13040,MAX(0,G13072-Assumptions!$C$12*G13007-G13017-G13030))</f>
        <v>0</v>
      </c>
      <c r="H13043" s="25" t="n">
        <f aca="false">H13036*MIN(H13035-H13041+H13040,MAX(0,H13072-Assumptions!$C$12*H13007-H13017-H13030))</f>
        <v>0</v>
      </c>
      <c r="I13043" s="25" t="n">
        <f aca="false">I13036*MIN(I13035-I13041+I13040,MAX(0,I13072-Assumptions!$C$12*I13007-I13017-I13030))</f>
        <v>143.75</v>
      </c>
      <c r="J13043" s="25" t="n">
        <f aca="false">J13036*MIN(J13035-J13041+J13040,MAX(0,J13072-Assumptions!$C$12*J13007-J13017-J13030))</f>
        <v>0</v>
      </c>
      <c r="K13043" s="25" t="n">
        <f aca="false">K13036*MIN(K13035-K13041+K13040,MAX(0,K13072-Assumptions!$C$12*K13007-K13017-K13030))</f>
        <v>0</v>
      </c>
    </row>
    <row r="13044" customFormat="false" ht="15" hidden="false" customHeight="false" outlineLevel="0" collapsed="false">
      <c r="A13044" s="3" t="s">
        <v>317</v>
      </c>
      <c r="G13044" s="25" t="n">
        <f aca="false">Assumptions!$N$58*MIN(G13035+G13042+G13040-G13041-G13043,MAX(0,G13076-G13018-G13031))</f>
        <v>0</v>
      </c>
      <c r="H13044" s="25" t="n">
        <f aca="false">Assumptions!$N$58*MIN(H13035+H13042+H13040-H13041-H13043,MAX(0,H13076-H13018-H13031))</f>
        <v>0</v>
      </c>
      <c r="I13044" s="25" t="n">
        <f aca="false">Assumptions!$N$58*MIN(I13035+I13042+I13040-I13041-I13043,MAX(0,I13076-I13018-I13031))</f>
        <v>0</v>
      </c>
      <c r="J13044" s="25" t="n">
        <f aca="false">Assumptions!$N$58*MIN(J13035+J13042+J13040-J13041-J13043,MAX(0,J13076-J13018-J13031))</f>
        <v>0</v>
      </c>
      <c r="K13044" s="25" t="n">
        <f aca="false">Assumptions!$N$58*MIN(K13035+K13042+K13040-K13041-K13043,MAX(0,K13076-K13018-K13031))</f>
        <v>0</v>
      </c>
    </row>
    <row r="13045" customFormat="false" ht="15" hidden="false" customHeight="false" outlineLevel="0" collapsed="false">
      <c r="A13045" s="3" t="s">
        <v>318</v>
      </c>
      <c r="G13045" s="25" t="n">
        <f aca="false">G13036*(1-G13007)*(G13035-G13041+G13040-G13043)</f>
        <v>0</v>
      </c>
      <c r="H13045" s="25" t="n">
        <f aca="false">H13036*(1-H13007)*(H13035-H13041+H13040-H13043)</f>
        <v>0</v>
      </c>
      <c r="I13045" s="25" t="n">
        <f aca="false">I13036*(1-I13007)*(I13035-I13041+I13040-I13043)</f>
        <v>0</v>
      </c>
      <c r="J13045" s="25" t="n">
        <f aca="false">J13036*(1-J13007)*(J13035-J13041+J13040-J13043)</f>
        <v>0</v>
      </c>
      <c r="K13045" s="25" t="n">
        <f aca="false">K13036*(1-K13007)*(K13035-K13041+K13040-K13043)</f>
        <v>0</v>
      </c>
    </row>
    <row r="13046" customFormat="false" ht="15" hidden="false" customHeight="false" outlineLevel="0" collapsed="false">
      <c r="A13046" s="2" t="s">
        <v>319</v>
      </c>
      <c r="F13046" s="28" t="n">
        <f aca="false">Assumptions!$C$58</f>
        <v>143.75</v>
      </c>
      <c r="G13046" s="16" t="n">
        <f aca="false">G13035+G13042+G13040-G13041-G13043-G13044</f>
        <v>143.75</v>
      </c>
      <c r="H13046" s="16" t="n">
        <f aca="false">H13035+H13042+H13040-H13041-H13043-H13044</f>
        <v>143.75</v>
      </c>
      <c r="I13046" s="16" t="n">
        <f aca="false">I13035+I13042+I13040-I13041-I13043-I13044</f>
        <v>0</v>
      </c>
      <c r="J13046" s="16" t="n">
        <f aca="false">J13035+J13042+J13040-J13041-J13043-J13044</f>
        <v>0</v>
      </c>
      <c r="K13046" s="16" t="n">
        <f aca="false">K13035+K13042+K13040-K13041-K13043-K13044</f>
        <v>0</v>
      </c>
    </row>
    <row r="13047" customFormat="false" ht="15" hidden="false" customHeight="false" outlineLevel="0" collapsed="false">
      <c r="A13047" s="23" t="s">
        <v>322</v>
      </c>
      <c r="B13047" s="24"/>
      <c r="C13047" s="24"/>
      <c r="D13047" s="24"/>
      <c r="E13047" s="24"/>
      <c r="F13047" s="24"/>
      <c r="G13047" s="24"/>
      <c r="H13047" s="24"/>
      <c r="I13047" s="24"/>
      <c r="J13047" s="24"/>
      <c r="K13047" s="24"/>
    </row>
    <row r="13048" customFormat="false" ht="15" hidden="false" customHeight="false" outlineLevel="0" collapsed="false">
      <c r="A13048" s="2" t="s">
        <v>323</v>
      </c>
      <c r="F13048" s="16" t="n">
        <f aca="false">F13020+F13033+F13046</f>
        <v>1735.554</v>
      </c>
      <c r="G13048" s="16" t="n">
        <f aca="false">G13020+G13033+G13046</f>
        <v>1735.554</v>
      </c>
      <c r="H13048" s="16" t="n">
        <f aca="false">H13020+H13033+H13046</f>
        <v>1735.554</v>
      </c>
      <c r="I13048" s="16" t="n">
        <f aca="false">I13020+I13033+I13046</f>
        <v>1315.098</v>
      </c>
      <c r="J13048" s="16" t="n">
        <f aca="false">J13020+J13033+J13046</f>
        <v>1315.098</v>
      </c>
      <c r="K13048" s="16" t="n">
        <f aca="false">K13020+K13033+K13046</f>
        <v>1315.098</v>
      </c>
    </row>
    <row r="13049" customFormat="false" ht="15" hidden="false" customHeight="false" outlineLevel="0" collapsed="false">
      <c r="A13049" s="3" t="s">
        <v>324</v>
      </c>
      <c r="G13049" s="25" t="n">
        <f aca="false">G13010*Assumptions!$C$56+G13023*Assumptions!$C$57+G13036*Assumptions!$C$58</f>
        <v>0</v>
      </c>
      <c r="H13049" s="25" t="n">
        <f aca="false">H13010*Assumptions!$C$56+H13023*Assumptions!$C$57+H13036*Assumptions!$C$58</f>
        <v>0</v>
      </c>
      <c r="I13049" s="25" t="n">
        <f aca="false">I13010*Assumptions!$C$56+I13023*Assumptions!$C$57+I13036*Assumptions!$C$58</f>
        <v>420.456</v>
      </c>
      <c r="J13049" s="25" t="n">
        <f aca="false">J13010*Assumptions!$C$56+J13023*Assumptions!$C$57+J13036*Assumptions!$C$58</f>
        <v>0</v>
      </c>
      <c r="K13049" s="25" t="n">
        <f aca="false">K13010*Assumptions!$C$56+K13023*Assumptions!$C$57+K13036*Assumptions!$C$58</f>
        <v>0</v>
      </c>
    </row>
    <row r="13050" customFormat="false" ht="15" hidden="false" customHeight="false" outlineLevel="0" collapsed="false">
      <c r="A13050" s="23" t="s">
        <v>325</v>
      </c>
      <c r="B13050" s="24"/>
      <c r="C13050" s="24"/>
      <c r="D13050" s="24"/>
      <c r="E13050" s="24"/>
      <c r="F13050" s="24"/>
      <c r="G13050" s="24"/>
      <c r="H13050" s="24"/>
      <c r="I13050" s="24"/>
      <c r="J13050" s="24"/>
      <c r="K13050" s="24"/>
    </row>
    <row r="13051" customFormat="false" ht="15" hidden="false" customHeight="false" outlineLevel="0" collapsed="false">
      <c r="A13051" s="3" t="s">
        <v>326</v>
      </c>
      <c r="C13051" s="25" t="n">
        <f aca="false">SUMPRODUCT($G$13010:$K$13010,$G$13009:$K$13009-$G$13015:$K$13015+$G$13014:$K$13014)</f>
        <v>0</v>
      </c>
    </row>
    <row r="13052" customFormat="false" ht="15" hidden="false" customHeight="false" outlineLevel="0" collapsed="false">
      <c r="A13052" s="3" t="s">
        <v>327</v>
      </c>
      <c r="C13052" s="25" t="n">
        <f aca="false">SUMPRODUCT($G$13010:$K$13010,$G$13017:$K$13017)</f>
        <v>0</v>
      </c>
    </row>
    <row r="13053" customFormat="false" ht="15" hidden="false" customHeight="false" outlineLevel="0" collapsed="false">
      <c r="A13053" s="3" t="s">
        <v>328</v>
      </c>
      <c r="C13053" s="3" t="str">
        <f aca="false">IF(SUM($G$13010:$K$13010)=0,"n/a (beyond horizon)",IF(SUMPRODUCT($G$13010:$K$13010,$G$13007:$K$13007)&gt;0,"REFINANCING PASS","REFINANCING FAILURE"))</f>
        <v>n/a (beyond horizon)</v>
      </c>
    </row>
    <row r="13054" customFormat="false" ht="15" hidden="false" customHeight="false" outlineLevel="0" collapsed="false">
      <c r="A13054" s="3" t="s">
        <v>329</v>
      </c>
      <c r="C13054" s="3" t="str">
        <f aca="false">IF(SUM($G$13010:$K$13010)=0,"n/a",IF(C13052&gt;=C13051-0.001,"Repaid from cash",IF(SUMPRODUCT($G$13010:$K$13010,$G$13007:$K$13007)&gt;0,IF(C13052&gt;0,"Partly repaid; remainder refinanced","Refinanced"),IF(SUM($G$13019:$K$13019)&gt;0.001,IF(C13052&gt;0,"Partial repayment; PAYMENT DEFAULT","PAYMENT DEFAULT"),"Repaid from cash"))))</f>
        <v>n/a</v>
      </c>
    </row>
    <row r="13055" customFormat="false" ht="15" hidden="false" customHeight="false" outlineLevel="0" collapsed="false">
      <c r="A13055" s="3" t="s">
        <v>330</v>
      </c>
      <c r="C13055" s="25" t="n">
        <f aca="false">SUMPRODUCT($G$13023:$K$13023,$G$13022:$K$13022-$G$13028:$K$13028+$G$13027:$K$13027)</f>
        <v>276.706</v>
      </c>
    </row>
    <row r="13056" customFormat="false" ht="15" hidden="false" customHeight="false" outlineLevel="0" collapsed="false">
      <c r="A13056" s="3" t="s">
        <v>331</v>
      </c>
      <c r="C13056" s="25" t="n">
        <f aca="false">SUMPRODUCT($G$13023:$K$13023,$G$13030:$K$13030)</f>
        <v>276.706</v>
      </c>
    </row>
    <row r="13057" customFormat="false" ht="15" hidden="false" customHeight="false" outlineLevel="0" collapsed="false">
      <c r="A13057" s="3" t="s">
        <v>332</v>
      </c>
      <c r="C13057" s="3" t="str">
        <f aca="false">IF(SUM($G$13023:$K$13023)=0,"n/a (beyond horizon)",IF(SUMPRODUCT($G$13023:$K$13023,$G$13007:$K$13007)&gt;0,"REFINANCING PASS","REFINANCING FAILURE"))</f>
        <v>REFINANCING FAILURE</v>
      </c>
    </row>
    <row r="13058" customFormat="false" ht="15" hidden="false" customHeight="false" outlineLevel="0" collapsed="false">
      <c r="A13058" s="3" t="s">
        <v>333</v>
      </c>
      <c r="C13058" s="3" t="str">
        <f aca="false">IF(SUM($G$13023:$K$13023)=0,"n/a",IF(C13056&gt;=C13055-0.001,"Repaid from cash",IF(SUMPRODUCT($G$13023:$K$13023,$G$13007:$K$13007)&gt;0,IF(C13056&gt;0,"Partly repaid; remainder refinanced","Refinanced"),IF(SUM($G$13032:$K$13032)&gt;0.001,IF(C13056&gt;0,"Partial repayment; PAYMENT DEFAULT","PAYMENT DEFAULT"),"Repaid from cash"))))</f>
        <v>Repaid from cash</v>
      </c>
    </row>
    <row r="13059" customFormat="false" ht="15" hidden="false" customHeight="false" outlineLevel="0" collapsed="false">
      <c r="A13059" s="3" t="s">
        <v>334</v>
      </c>
      <c r="C13059" s="25" t="n">
        <f aca="false">SUMPRODUCT($G$13036:$K$13036,$G$13035:$K$13035-$G$13041:$K$13041+$G$13040:$K$13040)</f>
        <v>143.75</v>
      </c>
    </row>
    <row r="13060" customFormat="false" ht="15" hidden="false" customHeight="false" outlineLevel="0" collapsed="false">
      <c r="A13060" s="3" t="s">
        <v>335</v>
      </c>
      <c r="C13060" s="25" t="n">
        <f aca="false">SUMPRODUCT($G$13036:$K$13036,$G$13043:$K$13043)</f>
        <v>143.75</v>
      </c>
    </row>
    <row r="13061" customFormat="false" ht="15" hidden="false" customHeight="false" outlineLevel="0" collapsed="false">
      <c r="A13061" s="3" t="s">
        <v>336</v>
      </c>
      <c r="C13061" s="3" t="str">
        <f aca="false">IF(SUM($G$13036:$K$13036)=0,"n/a (beyond horizon)",IF(SUMPRODUCT($G$13036:$K$13036,$G$13007:$K$13007)&gt;0,"REFINANCING PASS","REFINANCING FAILURE"))</f>
        <v>REFINANCING FAILURE</v>
      </c>
    </row>
    <row r="13062" customFormat="false" ht="15" hidden="false" customHeight="false" outlineLevel="0" collapsed="false">
      <c r="A13062" s="3" t="s">
        <v>337</v>
      </c>
      <c r="C13062" s="3" t="str">
        <f aca="false">IF(SUM($G$13036:$K$13036)=0,"n/a",IF(C13060&gt;=C13059-0.001,"Repaid from cash",IF(SUMPRODUCT($G$13036:$K$13036,$G$13007:$K$13007)&gt;0,IF(C13060&gt;0,"Partly repaid; remainder refinanced","Refinanced"),IF(SUM($G$13045:$K$13045)&gt;0.001,IF(C13060&gt;0,"Partial repayment; PAYMENT DEFAULT","PAYMENT DEFAULT"),"Repaid from cash"))))</f>
        <v>Repaid from cash</v>
      </c>
    </row>
    <row r="13063" customFormat="false" ht="15" hidden="false" customHeight="false" outlineLevel="0" collapsed="false">
      <c r="A13063" s="3" t="s">
        <v>338</v>
      </c>
      <c r="C13063" s="20" t="n">
        <f aca="false">IF(C13053="REFINANCING FAILURE",1,0)+IF(C13057="REFINANCING FAILURE",1,0)+IF(C13061="REFINANCING FAILURE",1,0)</f>
        <v>2</v>
      </c>
    </row>
    <row r="13065" customFormat="false" ht="15" hidden="false" customHeight="false" outlineLevel="0" collapsed="false">
      <c r="A13065" s="23" t="s">
        <v>340</v>
      </c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</row>
    <row r="13066" customFormat="false" ht="15" hidden="false" customHeight="false" outlineLevel="0" collapsed="false">
      <c r="A13066" s="3" t="s">
        <v>305</v>
      </c>
      <c r="G13066" s="25" t="n">
        <f aca="false">F13078</f>
        <v>463.996</v>
      </c>
      <c r="H13066" s="25" t="n">
        <f aca="false">G13078</f>
        <v>518.82154744</v>
      </c>
      <c r="I13066" s="25" t="n">
        <f aca="false">H13078</f>
        <v>539.6742833632</v>
      </c>
      <c r="J13066" s="25" t="n">
        <f aca="false">I13078</f>
        <v>120.430022671888</v>
      </c>
      <c r="K13066" s="25" t="n">
        <f aca="false">J13078</f>
        <v>123.071896868977</v>
      </c>
    </row>
    <row r="13067" customFormat="false" ht="15" hidden="false" customHeight="false" outlineLevel="0" collapsed="false">
      <c r="A13067" s="3" t="s">
        <v>341</v>
      </c>
      <c r="G13067" s="25" t="n">
        <f aca="false">G12996</f>
        <v>54.8255474399999</v>
      </c>
      <c r="H13067" s="25" t="n">
        <f aca="false">H12996</f>
        <v>20.8527359232</v>
      </c>
      <c r="I13067" s="25" t="n">
        <f aca="false">I12996</f>
        <v>1.21173930868796</v>
      </c>
      <c r="J13067" s="25" t="n">
        <f aca="false">J12996</f>
        <v>2.6418741970896</v>
      </c>
      <c r="K13067" s="25" t="n">
        <f aca="false">K12996</f>
        <v>-4.39448401276491</v>
      </c>
    </row>
    <row r="13068" customFormat="false" ht="15" hidden="false" customHeight="false" outlineLevel="0" collapsed="false">
      <c r="A13068" s="3" t="s">
        <v>342</v>
      </c>
      <c r="G13068" s="25" t="n">
        <f aca="false">CHOOSE($C$12966,Assumptions!$G$74,Assumptions!$G$93,Assumptions!$G$112)</f>
        <v>0</v>
      </c>
      <c r="H13068" s="25" t="n">
        <f aca="false">CHOOSE($C$12966,Assumptions!$H$74,Assumptions!$H$93,Assumptions!$H$112)</f>
        <v>0</v>
      </c>
      <c r="I13068" s="25" t="n">
        <f aca="false">CHOOSE($C$12966,Assumptions!$I$74,Assumptions!$I$93,Assumptions!$I$112)</f>
        <v>0</v>
      </c>
      <c r="J13068" s="25" t="n">
        <f aca="false">CHOOSE($C$12966,Assumptions!$J$74,Assumptions!$J$93,Assumptions!$J$112)</f>
        <v>0</v>
      </c>
      <c r="K13068" s="25" t="n">
        <f aca="false">CHOOSE($C$12966,Assumptions!$K$74,Assumptions!$K$93,Assumptions!$K$112)</f>
        <v>0</v>
      </c>
    </row>
    <row r="13069" customFormat="false" ht="15" hidden="false" customHeight="false" outlineLevel="0" collapsed="false">
      <c r="A13069" s="3" t="s">
        <v>343</v>
      </c>
      <c r="G13069" s="25" t="n">
        <f aca="false">G13015+G13028+G13041</f>
        <v>0</v>
      </c>
      <c r="H13069" s="25" t="n">
        <f aca="false">H13015+H13028+H13041</f>
        <v>0</v>
      </c>
      <c r="I13069" s="25" t="n">
        <f aca="false">I13015+I13028+I13041</f>
        <v>0</v>
      </c>
      <c r="J13069" s="25" t="n">
        <f aca="false">J13015+J13028+J13041</f>
        <v>0</v>
      </c>
      <c r="K13069" s="25" t="n">
        <f aca="false">K13015+K13028+K13041</f>
        <v>0</v>
      </c>
    </row>
    <row r="13070" customFormat="false" ht="15" hidden="false" customHeight="false" outlineLevel="0" collapsed="false">
      <c r="A13070" s="2" t="s">
        <v>344</v>
      </c>
      <c r="G13070" s="16" t="n">
        <f aca="false">G13066+G13067+G13068-G13069</f>
        <v>518.82154744</v>
      </c>
      <c r="H13070" s="16" t="n">
        <f aca="false">H13066+H13067+H13068-H13069</f>
        <v>539.6742833632</v>
      </c>
      <c r="I13070" s="16" t="n">
        <f aca="false">I13066+I13067+I13068-I13069</f>
        <v>540.886022671888</v>
      </c>
      <c r="J13070" s="16" t="n">
        <f aca="false">J13066+J13067+J13068-J13069</f>
        <v>123.071896868977</v>
      </c>
      <c r="K13070" s="16" t="n">
        <f aca="false">K13066+K13067+K13068-K13069</f>
        <v>118.677412856212</v>
      </c>
    </row>
    <row r="13071" customFormat="false" ht="15" hidden="false" customHeight="false" outlineLevel="0" collapsed="false">
      <c r="A13071" s="3" t="s">
        <v>345</v>
      </c>
      <c r="G13071" s="25" t="n">
        <f aca="false">G13016+G13029+G13042</f>
        <v>0</v>
      </c>
      <c r="H13071" s="25" t="n">
        <f aca="false">H13016+H13029+H13042</f>
        <v>0</v>
      </c>
      <c r="I13071" s="25" t="n">
        <f aca="false">I13016+I13029+I13042</f>
        <v>0</v>
      </c>
      <c r="J13071" s="25" t="n">
        <f aca="false">J13016+J13029+J13042</f>
        <v>0</v>
      </c>
      <c r="K13071" s="25" t="n">
        <f aca="false">K13016+K13029+K13042</f>
        <v>0</v>
      </c>
    </row>
    <row r="13072" customFormat="false" ht="15" hidden="false" customHeight="false" outlineLevel="0" collapsed="false">
      <c r="A13072" s="2" t="s">
        <v>346</v>
      </c>
      <c r="G13072" s="16" t="n">
        <f aca="false">G13070+G13071</f>
        <v>518.82154744</v>
      </c>
      <c r="H13072" s="16" t="n">
        <f aca="false">H13070+H13071</f>
        <v>539.6742833632</v>
      </c>
      <c r="I13072" s="16" t="n">
        <f aca="false">I13070+I13071</f>
        <v>540.886022671888</v>
      </c>
      <c r="J13072" s="16" t="n">
        <f aca="false">J13070+J13071</f>
        <v>123.071896868977</v>
      </c>
      <c r="K13072" s="16" t="n">
        <f aca="false">K13070+K13071</f>
        <v>118.677412856212</v>
      </c>
    </row>
    <row r="13073" customFormat="false" ht="15" hidden="false" customHeight="false" outlineLevel="0" collapsed="false">
      <c r="A13073" s="3" t="s">
        <v>347</v>
      </c>
      <c r="G13073" s="25" t="n">
        <f aca="false">G13017+G13030+G13043</f>
        <v>0</v>
      </c>
      <c r="H13073" s="25" t="n">
        <f aca="false">H13017+H13030+H13043</f>
        <v>0</v>
      </c>
      <c r="I13073" s="25" t="n">
        <f aca="false">I13017+I13030+I13043</f>
        <v>420.456</v>
      </c>
      <c r="J13073" s="25" t="n">
        <f aca="false">J13017+J13030+J13043</f>
        <v>0</v>
      </c>
      <c r="K13073" s="25" t="n">
        <f aca="false">K13017+K13030+K13043</f>
        <v>0</v>
      </c>
    </row>
    <row r="13074" customFormat="false" ht="15" hidden="false" customHeight="false" outlineLevel="0" collapsed="false">
      <c r="A13074" s="2" t="s">
        <v>348</v>
      </c>
      <c r="G13074" s="16" t="n">
        <f aca="false">G13072-G13073</f>
        <v>518.82154744</v>
      </c>
      <c r="H13074" s="16" t="n">
        <f aca="false">H13072-H13073</f>
        <v>539.6742833632</v>
      </c>
      <c r="I13074" s="16" t="n">
        <f aca="false">I13072-I13073</f>
        <v>120.430022671888</v>
      </c>
      <c r="J13074" s="16" t="n">
        <f aca="false">J13072-J13073</f>
        <v>123.071896868977</v>
      </c>
      <c r="K13074" s="16" t="n">
        <f aca="false">K13072-K13073</f>
        <v>118.677412856212</v>
      </c>
    </row>
    <row r="13075" customFormat="false" ht="15" hidden="false" customHeight="false" outlineLevel="0" collapsed="false">
      <c r="A13075" s="3" t="s">
        <v>349</v>
      </c>
      <c r="G13075" s="25" t="n">
        <f aca="false">MAX(0,-G13074)</f>
        <v>0</v>
      </c>
      <c r="H13075" s="25" t="n">
        <f aca="false">MAX(0,-H13074)</f>
        <v>0</v>
      </c>
      <c r="I13075" s="25" t="n">
        <f aca="false">MAX(0,-I13074)</f>
        <v>0</v>
      </c>
      <c r="J13075" s="25" t="n">
        <f aca="false">MAX(0,-J13074)</f>
        <v>0</v>
      </c>
      <c r="K13075" s="25" t="n">
        <f aca="false">MAX(0,-K13074)</f>
        <v>0</v>
      </c>
    </row>
    <row r="13076" customFormat="false" ht="15" hidden="false" customHeight="false" outlineLevel="0" collapsed="false">
      <c r="A13076" s="3" t="s">
        <v>350</v>
      </c>
      <c r="G13076" s="25" t="n">
        <f aca="false">MAX(0,G13074-Assumptions!$C$12)*Assumptions!$C$13</f>
        <v>0</v>
      </c>
      <c r="H13076" s="25" t="n">
        <f aca="false">MAX(0,H13074-Assumptions!$C$12)*Assumptions!$C$13</f>
        <v>0</v>
      </c>
      <c r="I13076" s="25" t="n">
        <f aca="false">MAX(0,I13074-Assumptions!$C$12)*Assumptions!$C$13</f>
        <v>0</v>
      </c>
      <c r="J13076" s="25" t="n">
        <f aca="false">MAX(0,J13074-Assumptions!$C$12)*Assumptions!$C$13</f>
        <v>0</v>
      </c>
      <c r="K13076" s="25" t="n">
        <f aca="false">MAX(0,K13074-Assumptions!$C$12)*Assumptions!$C$13</f>
        <v>0</v>
      </c>
    </row>
    <row r="13077" customFormat="false" ht="15" hidden="false" customHeight="false" outlineLevel="0" collapsed="false">
      <c r="A13077" s="3" t="s">
        <v>351</v>
      </c>
      <c r="G13077" s="25" t="n">
        <f aca="false">G13018+G13031+G13044</f>
        <v>0</v>
      </c>
      <c r="H13077" s="25" t="n">
        <f aca="false">H13018+H13031+H13044</f>
        <v>0</v>
      </c>
      <c r="I13077" s="25" t="n">
        <f aca="false">I13018+I13031+I13044</f>
        <v>0</v>
      </c>
      <c r="J13077" s="25" t="n">
        <f aca="false">J13018+J13031+J13044</f>
        <v>0</v>
      </c>
      <c r="K13077" s="25" t="n">
        <f aca="false">K13018+K13031+K13044</f>
        <v>0</v>
      </c>
    </row>
    <row r="13078" customFormat="false" ht="15" hidden="false" customHeight="false" outlineLevel="0" collapsed="false">
      <c r="A13078" s="2" t="s">
        <v>352</v>
      </c>
      <c r="F13078" s="28" t="n">
        <f aca="false">Assumptions!$C$11</f>
        <v>463.996</v>
      </c>
      <c r="G13078" s="16" t="n">
        <f aca="false">G13074-G13077</f>
        <v>518.82154744</v>
      </c>
      <c r="H13078" s="16" t="n">
        <f aca="false">H13074-H13077</f>
        <v>539.6742833632</v>
      </c>
      <c r="I13078" s="16" t="n">
        <f aca="false">I13074-I13077</f>
        <v>120.430022671888</v>
      </c>
      <c r="J13078" s="16" t="n">
        <f aca="false">J13074-J13077</f>
        <v>123.071896868977</v>
      </c>
      <c r="K13078" s="16" t="n">
        <f aca="false">K13074-K13077</f>
        <v>118.677412856212</v>
      </c>
    </row>
    <row r="13079" customFormat="false" ht="15" hidden="false" customHeight="false" outlineLevel="0" collapsed="false">
      <c r="A13079" s="3" t="s">
        <v>353</v>
      </c>
      <c r="G13079" s="25" t="n">
        <f aca="false">G13019+G13032+G13045</f>
        <v>0</v>
      </c>
      <c r="H13079" s="25" t="n">
        <f aca="false">H13019+H13032+H13045</f>
        <v>0</v>
      </c>
      <c r="I13079" s="25" t="n">
        <f aca="false">I13019+I13032+I13045</f>
        <v>0</v>
      </c>
      <c r="J13079" s="25" t="n">
        <f aca="false">J13019+J13032+J13045</f>
        <v>0</v>
      </c>
      <c r="K13079" s="25" t="n">
        <f aca="false">K13019+K13032+K13045</f>
        <v>0</v>
      </c>
    </row>
    <row r="13080" customFormat="false" ht="15" hidden="false" customHeight="false" outlineLevel="0" collapsed="false">
      <c r="A13080" s="3" t="s">
        <v>354</v>
      </c>
      <c r="G13080" s="20" t="n">
        <f aca="false">IF(OR(G13075&gt;0.001,G13079&gt;0.001),1,0)</f>
        <v>0</v>
      </c>
      <c r="H13080" s="20" t="n">
        <f aca="false">IF(OR(H13075&gt;0.001,H13079&gt;0.001),1,0)</f>
        <v>0</v>
      </c>
      <c r="I13080" s="20" t="n">
        <f aca="false">IF(OR(I13075&gt;0.001,I13079&gt;0.001),1,0)</f>
        <v>0</v>
      </c>
      <c r="J13080" s="20" t="n">
        <f aca="false">IF(OR(J13075&gt;0.001,J13079&gt;0.001),1,0)</f>
        <v>0</v>
      </c>
      <c r="K13080" s="20" t="n">
        <f aca="false">IF(OR(K13075&gt;0.001,K13079&gt;0.001),1,0)</f>
        <v>0</v>
      </c>
    </row>
    <row r="13081" customFormat="false" ht="15" hidden="false" customHeight="false" outlineLevel="0" collapsed="false">
      <c r="A13081" s="3" t="s">
        <v>355</v>
      </c>
      <c r="G13081" s="20" t="n">
        <f aca="false">IF(G13080=1,1,0)</f>
        <v>0</v>
      </c>
      <c r="H13081" s="20" t="n">
        <f aca="false">IF(AND(H13080=1,SUM($G$13080:G13080)=0),1,0)</f>
        <v>0</v>
      </c>
      <c r="I13081" s="20" t="n">
        <f aca="false">IF(AND(I13080=1,SUM($G$13080:H13080)=0),1,0)</f>
        <v>0</v>
      </c>
      <c r="J13081" s="20" t="n">
        <f aca="false">IF(AND(J13080=1,SUM($G$13080:I13080)=0),1,0)</f>
        <v>0</v>
      </c>
      <c r="K13081" s="20" t="n">
        <f aca="false">IF(AND(K13080=1,SUM($G$13080:J13080)=0),1,0)</f>
        <v>0</v>
      </c>
    </row>
    <row r="13082" customFormat="false" ht="15" hidden="false" customHeight="false" outlineLevel="0" collapsed="false">
      <c r="A13082" s="3" t="s">
        <v>356</v>
      </c>
      <c r="G13082" s="25" t="n">
        <f aca="false">(G13048-F13048)-(G13071+G12988-G13069-G13073-G13077)</f>
        <v>0</v>
      </c>
      <c r="H13082" s="25" t="n">
        <f aca="false">(H13048-G13048)-(H13071+H12988-H13069-H13073-H13077)</f>
        <v>0</v>
      </c>
      <c r="I13082" s="25" t="n">
        <f aca="false">(I13048-H13048)-(I13071+I12988-I13069-I13073-I13077)</f>
        <v>0</v>
      </c>
      <c r="J13082" s="25" t="n">
        <f aca="false">(J13048-I13048)-(J13071+J12988-J13069-J13073-J13077)</f>
        <v>0</v>
      </c>
      <c r="K13082" s="25" t="n">
        <f aca="false">(K13048-J13048)-(K13071+K12988-K13069-K13073-K13077)</f>
        <v>0</v>
      </c>
    </row>
    <row r="13084" customFormat="false" ht="15" hidden="false" customHeight="false" outlineLevel="0" collapsed="false">
      <c r="A13084" s="23" t="s">
        <v>358</v>
      </c>
      <c r="B13084" s="24"/>
      <c r="C13084" s="24"/>
      <c r="D13084" s="24"/>
      <c r="E13084" s="24"/>
      <c r="F13084" s="24"/>
      <c r="G13084" s="24"/>
      <c r="H13084" s="24"/>
      <c r="I13084" s="24"/>
      <c r="J13084" s="24"/>
      <c r="K13084" s="24"/>
    </row>
    <row r="13085" customFormat="false" ht="15" hidden="false" customHeight="false" outlineLevel="0" collapsed="false">
      <c r="A13085" s="3" t="s">
        <v>359</v>
      </c>
      <c r="G13085" s="25" t="n">
        <f aca="false">G13048</f>
        <v>1735.554</v>
      </c>
      <c r="H13085" s="25" t="n">
        <f aca="false">H13048</f>
        <v>1735.554</v>
      </c>
      <c r="I13085" s="25" t="n">
        <f aca="false">I13048</f>
        <v>1315.098</v>
      </c>
      <c r="J13085" s="25" t="n">
        <f aca="false">J13048</f>
        <v>1315.098</v>
      </c>
      <c r="K13085" s="25" t="n">
        <f aca="false">K13048</f>
        <v>1315.098</v>
      </c>
    </row>
    <row r="13086" customFormat="false" ht="15" hidden="false" customHeight="false" outlineLevel="0" collapsed="false">
      <c r="A13086" s="3" t="s">
        <v>360</v>
      </c>
      <c r="G13086" s="25" t="n">
        <f aca="false">Assumptions!$O$56*G13020+Assumptions!$O$57*G13033+Assumptions!$O$58*G13046</f>
        <v>1315.098</v>
      </c>
      <c r="H13086" s="25" t="n">
        <f aca="false">Assumptions!$O$56*H13020+Assumptions!$O$57*H13033+Assumptions!$O$58*H13046</f>
        <v>1315.098</v>
      </c>
      <c r="I13086" s="25" t="n">
        <f aca="false">Assumptions!$O$56*I13020+Assumptions!$O$57*I13033+Assumptions!$O$58*I13046</f>
        <v>1315.098</v>
      </c>
      <c r="J13086" s="25" t="n">
        <f aca="false">Assumptions!$O$56*J13020+Assumptions!$O$57*J13033+Assumptions!$O$58*J13046</f>
        <v>1315.098</v>
      </c>
      <c r="K13086" s="25" t="n">
        <f aca="false">Assumptions!$O$56*K13020+Assumptions!$O$57*K13033+Assumptions!$O$58*K13046</f>
        <v>1315.098</v>
      </c>
    </row>
    <row r="13087" customFormat="false" ht="15" hidden="false" customHeight="false" outlineLevel="0" collapsed="false">
      <c r="A13087" s="3" t="s">
        <v>361</v>
      </c>
      <c r="G13087" s="25" t="n">
        <f aca="false">G13085-G13078</f>
        <v>1216.73245256</v>
      </c>
      <c r="H13087" s="25" t="n">
        <f aca="false">H13085-H13078</f>
        <v>1195.8797166368</v>
      </c>
      <c r="I13087" s="25" t="n">
        <f aca="false">I13085-I13078</f>
        <v>1194.66797732811</v>
      </c>
      <c r="J13087" s="25" t="n">
        <f aca="false">J13085-J13078</f>
        <v>1192.02610313102</v>
      </c>
      <c r="K13087" s="25" t="n">
        <f aca="false">K13085-K13078</f>
        <v>1196.42058714379</v>
      </c>
    </row>
    <row r="13088" customFormat="false" ht="15" hidden="false" customHeight="false" outlineLevel="0" collapsed="false">
      <c r="A13088" s="3" t="s">
        <v>362</v>
      </c>
      <c r="G13088" s="32" t="n">
        <f aca="false">IF(G12983&gt;0,G13085/G12983,0)</f>
        <v>6.99885842190068</v>
      </c>
      <c r="H13088" s="32" t="n">
        <f aca="false">IF(H12983&gt;0,H13085/H12983,0)</f>
        <v>8.20980460047</v>
      </c>
      <c r="I13088" s="32" t="n">
        <f aca="false">IF(I12983&gt;0,I13085/I12983,0)</f>
        <v>6.93311397368161</v>
      </c>
      <c r="J13088" s="32" t="n">
        <f aca="false">IF(J12983&gt;0,J13085/J12983,0)</f>
        <v>7.66291544459547</v>
      </c>
      <c r="K13088" s="32" t="n">
        <f aca="false">IF(K12983&gt;0,K13085/K12983,0)</f>
        <v>8.0662267837847</v>
      </c>
    </row>
    <row r="13089" customFormat="false" ht="15" hidden="false" customHeight="false" outlineLevel="0" collapsed="false">
      <c r="A13089" s="3" t="s">
        <v>363</v>
      </c>
      <c r="G13089" s="32" t="n">
        <f aca="false">IF(G12983&gt;0,G13087/G12983,0)</f>
        <v>4.9066397085884</v>
      </c>
      <c r="H13089" s="32" t="n">
        <f aca="false">IF(H12983&gt;0,H13087/H12983,0)</f>
        <v>5.65694804036842</v>
      </c>
      <c r="I13089" s="32" t="n">
        <f aca="false">IF(I12983&gt;0,I13087/I12983,0)</f>
        <v>6.29821446578391</v>
      </c>
      <c r="J13089" s="32" t="n">
        <f aca="false">IF(J12983&gt;0,J13087/J12983,0)</f>
        <v>6.94579053123316</v>
      </c>
      <c r="K13089" s="32" t="n">
        <f aca="false">IF(K12983&gt;0,K13087/K12983,0)</f>
        <v>7.33831226622703</v>
      </c>
    </row>
    <row r="13090" customFormat="false" ht="15" hidden="false" customHeight="false" outlineLevel="0" collapsed="false">
      <c r="A13090" s="3" t="s">
        <v>364</v>
      </c>
      <c r="G13090" s="32" t="n">
        <f aca="false">IF(G12987&gt;0,G12983/G12987,0)</f>
        <v>1.59005643370602</v>
      </c>
      <c r="H13090" s="32" t="n">
        <f aca="false">IF(H12987&gt;0,H12983/H12987,0)</f>
        <v>1.35552310973439</v>
      </c>
      <c r="I13090" s="32" t="n">
        <f aca="false">IF(I12987&gt;0,I12983/I12987,0)</f>
        <v>1.21627391755258</v>
      </c>
      <c r="J13090" s="32" t="n">
        <f aca="false">IF(J12987&gt;0,J12983/J12987,0)</f>
        <v>1.24284413584734</v>
      </c>
      <c r="K13090" s="32" t="n">
        <f aca="false">IF(K12987&gt;0,K12983/K12987,0)</f>
        <v>1.18070192905498</v>
      </c>
    </row>
    <row r="13091" customFormat="false" ht="15" hidden="false" customHeight="false" outlineLevel="0" collapsed="false">
      <c r="A13091" s="3" t="s">
        <v>365</v>
      </c>
      <c r="G13091" s="32" t="n">
        <f aca="false">IF(G12987&gt;0,G12986/G12987,0)</f>
        <v>0.943202831951104</v>
      </c>
      <c r="H13091" s="32" t="n">
        <f aca="false">IF(H12987&gt;0,H12986/H12987,0)</f>
        <v>0.75394926010231</v>
      </c>
      <c r="I13091" s="32" t="n">
        <f aca="false">IF(I12987&gt;0,I12986/I12987,0)</f>
        <v>0.65079449889843</v>
      </c>
      <c r="J13091" s="32" t="n">
        <f aca="false">IF(J12987&gt;0,J12986/J12987,0)</f>
        <v>0.636119854632452</v>
      </c>
      <c r="K13091" s="32" t="n">
        <f aca="false">IF(K12987&gt;0,K12986/K12987,0)</f>
        <v>0.604313861900829</v>
      </c>
    </row>
    <row r="13092" customFormat="false" ht="15" hidden="false" customHeight="false" outlineLevel="0" collapsed="false">
      <c r="A13092" s="3" t="s">
        <v>198</v>
      </c>
      <c r="G13092" s="21" t="n">
        <f aca="false">IF(G13085&gt;0,G12996/G13085,0)</f>
        <v>0.0315896523185104</v>
      </c>
      <c r="H13092" s="21" t="n">
        <f aca="false">IF(H13085&gt;0,H12996/H13085,0)</f>
        <v>0.0120150314673009</v>
      </c>
      <c r="I13092" s="21" t="n">
        <f aca="false">IF(I13085&gt;0,I12996/I13085,0)</f>
        <v>0.000921406091932281</v>
      </c>
      <c r="J13092" s="21" t="n">
        <f aca="false">IF(J13085&gt;0,J12996/J13085,0)</f>
        <v>0.00200888009645638</v>
      </c>
      <c r="K13092" s="21" t="n">
        <f aca="false">IF(K13085&gt;0,K12996/K13085,0)</f>
        <v>-0.00334156390836645</v>
      </c>
    </row>
    <row r="13093" customFormat="false" ht="15" hidden="false" customHeight="false" outlineLevel="0" collapsed="false">
      <c r="A13093" s="3" t="s">
        <v>366</v>
      </c>
      <c r="G13093" s="32" t="n">
        <f aca="false">IF(G12987+G13069&gt;0,(G12983-G12994-G12991)/(G12987+G13069),0)</f>
        <v>1.41780032005454</v>
      </c>
      <c r="H13093" s="32" t="n">
        <f aca="false">IF(H12987+H13069&gt;0,(H12983-H12994-H12991)/(H12987+H13069),0)</f>
        <v>1.1953249240385</v>
      </c>
      <c r="I13093" s="32" t="n">
        <f aca="false">IF(I12987+I13069&gt;0,(I12983-I12994-I12991)/(I12987+I13069),0)</f>
        <v>1.06568762299845</v>
      </c>
      <c r="J13093" s="32" t="n">
        <f aca="false">IF(J12987+J13069&gt;0,(J12983-J12994-J12991)/(J12987+J13069),0)</f>
        <v>1.08127439818719</v>
      </c>
      <c r="K13093" s="32" t="n">
        <f aca="false">IF(K12987+K13069&gt;0,(K12983-K12994-K12991)/(K12987+K13069),0)</f>
        <v>1.02721067827783</v>
      </c>
    </row>
    <row r="13094" customFormat="false" ht="15" hidden="false" customHeight="false" outlineLevel="0" collapsed="false">
      <c r="A13094" s="3" t="s">
        <v>367</v>
      </c>
      <c r="G13094" s="25" t="n">
        <f aca="false">MAX(0,G13078)+Assumptions!$P$56*MAX(0,Assumptions!$D$56-G13020)+Assumptions!$P$57*MAX(0,Assumptions!$D$57-G13033)+Assumptions!$P$58*MAX(0,Assumptions!$D$58-G13046)</f>
        <v>518.82154744</v>
      </c>
      <c r="H13094" s="25" t="n">
        <f aca="false">MAX(0,H13078)+Assumptions!$P$56*MAX(0,Assumptions!$D$56-H13020)+Assumptions!$P$57*MAX(0,Assumptions!$D$57-H13033)+Assumptions!$P$58*MAX(0,Assumptions!$D$58-H13046)</f>
        <v>539.6742833632</v>
      </c>
      <c r="I13094" s="25" t="n">
        <f aca="false">MAX(0,I13078)+Assumptions!$P$56*MAX(0,Assumptions!$D$56-I13020)+Assumptions!$P$57*MAX(0,Assumptions!$D$57-I13033)+Assumptions!$P$58*MAX(0,Assumptions!$D$58-I13046)</f>
        <v>120.430022671888</v>
      </c>
      <c r="J13094" s="25" t="n">
        <f aca="false">MAX(0,J13078)+Assumptions!$P$56*MAX(0,Assumptions!$D$56-J13020)+Assumptions!$P$57*MAX(0,Assumptions!$D$57-J13033)+Assumptions!$P$58*MAX(0,Assumptions!$D$58-J13046)</f>
        <v>123.071896868977</v>
      </c>
      <c r="K13094" s="25" t="n">
        <f aca="false">MAX(0,K13078)+Assumptions!$P$56*MAX(0,Assumptions!$D$56-K13020)+Assumptions!$P$57*MAX(0,Assumptions!$D$57-K13033)+Assumptions!$P$58*MAX(0,Assumptions!$D$58-K13046)</f>
        <v>118.677412856212</v>
      </c>
    </row>
    <row r="13095" customFormat="false" ht="15" hidden="false" customHeight="false" outlineLevel="0" collapsed="false">
      <c r="A13095" s="3" t="s">
        <v>368</v>
      </c>
      <c r="G13095" s="21" t="n">
        <f aca="false">IF(G13085&gt;0,G13085/(G13085+MAX(0,G12983*CHOOSE($C$12966,Assumptions!$C$82,Assumptions!$C$101,Assumptions!$C$120)-G13087)),0)</f>
        <v>0.986836236277321</v>
      </c>
      <c r="H13095" s="21" t="n">
        <f aca="false">IF(H13085&gt;0,H13085/(H13085+MAX(0,H12983*CHOOSE($C$12966,Assumptions!$C$82,Assumptions!$C$101,Assumptions!$C$120)-H13087)),0)</f>
        <v>1</v>
      </c>
      <c r="I13095" s="21" t="n">
        <f aca="false">IF(I13085&gt;0,I13085/(I13085+MAX(0,I12983*CHOOSE($C$12966,Assumptions!$C$82,Assumptions!$C$101,Assumptions!$C$120)-I13087)),0)</f>
        <v>1</v>
      </c>
      <c r="J13095" s="21" t="n">
        <f aca="false">IF(J13085&gt;0,J13085/(J13085+MAX(0,J12983*CHOOSE($C$12966,Assumptions!$C$82,Assumptions!$C$101,Assumptions!$C$120)-J13087)),0)</f>
        <v>1</v>
      </c>
      <c r="K13095" s="21" t="n">
        <f aca="false">IF(K13085&gt;0,K13085/(K13085+MAX(0,K12983*CHOOSE($C$12966,Assumptions!$C$82,Assumptions!$C$101,Assumptions!$C$120)-K13087)),0)</f>
        <v>1</v>
      </c>
    </row>
    <row r="13096" customFormat="false" ht="15" hidden="false" customHeight="false" outlineLevel="0" collapsed="false">
      <c r="A13096" s="3" t="s">
        <v>369</v>
      </c>
      <c r="G13096" s="21" t="n">
        <f aca="false">IF(G13085&gt;0,MAX(0,G13078)/G13085,0)</f>
        <v>0.298937139057615</v>
      </c>
      <c r="H13096" s="21" t="n">
        <f aca="false">IF(H13085&gt;0,MAX(0,H13078)/H13085,0)</f>
        <v>0.310952170524916</v>
      </c>
      <c r="I13096" s="21" t="n">
        <f aca="false">IF(I13085&gt;0,MAX(0,I13078)/I13085,0)</f>
        <v>0.0915749416939937</v>
      </c>
      <c r="J13096" s="21" t="n">
        <f aca="false">IF(J13085&gt;0,MAX(0,J13078)/J13085,0)</f>
        <v>0.0935838217904501</v>
      </c>
      <c r="K13096" s="21" t="n">
        <f aca="false">IF(K13085&gt;0,MAX(0,K13078)/K13085,0)</f>
        <v>0.0902422578820836</v>
      </c>
    </row>
    <row r="13097" customFormat="false" ht="15" hidden="false" customHeight="false" outlineLevel="0" collapsed="false">
      <c r="A13097" s="3" t="s">
        <v>370</v>
      </c>
      <c r="G13097" s="25" t="n">
        <f aca="false">Assumptions!$C$30*(1-CHOOSE($C$12966,Assumptions!$C$85,Assumptions!$C$104,Assumptions!$C$123))</f>
        <v>2086.72535</v>
      </c>
      <c r="H13097" s="25" t="n">
        <f aca="false">Assumptions!$C$30*(1-CHOOSE($C$12966,Assumptions!$C$85,Assumptions!$C$104,Assumptions!$C$123))</f>
        <v>2086.72535</v>
      </c>
      <c r="I13097" s="25" t="n">
        <f aca="false">Assumptions!$C$30*(1-CHOOSE($C$12966,Assumptions!$C$85,Assumptions!$C$104,Assumptions!$C$123))</f>
        <v>2086.72535</v>
      </c>
      <c r="J13097" s="25" t="n">
        <f aca="false">Assumptions!$C$30*(1-CHOOSE($C$12966,Assumptions!$C$85,Assumptions!$C$104,Assumptions!$C$123))</f>
        <v>2086.72535</v>
      </c>
      <c r="K13097" s="25" t="n">
        <f aca="false">Assumptions!$C$30*(1-CHOOSE($C$12966,Assumptions!$C$85,Assumptions!$C$104,Assumptions!$C$123))</f>
        <v>2086.72535</v>
      </c>
    </row>
    <row r="13098" customFormat="false" ht="15" hidden="false" customHeight="false" outlineLevel="0" collapsed="false">
      <c r="A13098" s="23" t="s">
        <v>371</v>
      </c>
      <c r="B13098" s="24"/>
      <c r="C13098" s="24"/>
      <c r="D13098" s="24"/>
      <c r="E13098" s="24"/>
      <c r="F13098" s="24"/>
      <c r="G13098" s="24"/>
      <c r="H13098" s="24"/>
      <c r="I13098" s="24"/>
      <c r="J13098" s="24"/>
      <c r="K13098" s="24"/>
    </row>
    <row r="13099" customFormat="false" ht="15" hidden="false" customHeight="false" outlineLevel="0" collapsed="false">
      <c r="A13099" s="23" t="s">
        <v>372</v>
      </c>
      <c r="B13099" s="24"/>
      <c r="C13099" s="24"/>
      <c r="D13099" s="24"/>
      <c r="E13099" s="24"/>
      <c r="F13099" s="24"/>
      <c r="G13099" s="24"/>
      <c r="H13099" s="24"/>
      <c r="I13099" s="24"/>
      <c r="J13099" s="24"/>
      <c r="K13099" s="24"/>
    </row>
    <row r="13100" customFormat="false" ht="15" hidden="false" customHeight="false" outlineLevel="0" collapsed="false">
      <c r="A13100" s="3" t="s">
        <v>373</v>
      </c>
      <c r="G13100" s="32" t="n">
        <f aca="false">IF(G12983&gt;0,G13087/G12983,99)</f>
        <v>4.9066397085884</v>
      </c>
      <c r="H13100" s="32" t="n">
        <f aca="false">IF(H12983&gt;0,H13087/H12983,99)</f>
        <v>5.65694804036842</v>
      </c>
      <c r="I13100" s="32" t="n">
        <f aca="false">IF(I12983&gt;0,I13087/I12983,99)</f>
        <v>6.29821446578391</v>
      </c>
      <c r="J13100" s="32" t="n">
        <f aca="false">IF(J12983&gt;0,J13087/J12983,99)</f>
        <v>6.94579053123316</v>
      </c>
      <c r="K13100" s="32" t="n">
        <f aca="false">IF(K12983&gt;0,K13087/K12983,99)</f>
        <v>7.33831226622703</v>
      </c>
    </row>
    <row r="13101" customFormat="false" ht="15" hidden="false" customHeight="false" outlineLevel="0" collapsed="false">
      <c r="A13101" s="3" t="s">
        <v>374</v>
      </c>
      <c r="G13101" s="33" t="n">
        <f aca="false">Assumptions!$G$65</f>
        <v>5.25</v>
      </c>
      <c r="H13101" s="33" t="n">
        <f aca="false">Assumptions!$H$65</f>
        <v>5.25</v>
      </c>
      <c r="I13101" s="33" t="n">
        <f aca="false">Assumptions!$I$65</f>
        <v>5</v>
      </c>
      <c r="J13101" s="33" t="n">
        <f aca="false">Assumptions!$J$65</f>
        <v>5</v>
      </c>
      <c r="K13101" s="33" t="n">
        <f aca="false">Assumptions!$K$65</f>
        <v>5</v>
      </c>
    </row>
    <row r="13102" customFormat="false" ht="15" hidden="false" customHeight="false" outlineLevel="0" collapsed="false">
      <c r="A13102" s="3" t="s">
        <v>375</v>
      </c>
      <c r="G13102" s="32" t="n">
        <f aca="false">G13101-G13100</f>
        <v>0.343360291411604</v>
      </c>
      <c r="H13102" s="32" t="n">
        <f aca="false">H13101-H13100</f>
        <v>-0.406948040368418</v>
      </c>
      <c r="I13102" s="32" t="n">
        <f aca="false">I13101-I13100</f>
        <v>-1.29821446578391</v>
      </c>
      <c r="J13102" s="32" t="n">
        <f aca="false">J13101-J13100</f>
        <v>-1.94579053123316</v>
      </c>
      <c r="K13102" s="32" t="n">
        <f aca="false">K13101-K13100</f>
        <v>-2.33831226622703</v>
      </c>
    </row>
    <row r="13103" customFormat="false" ht="15" hidden="false" customHeight="false" outlineLevel="0" collapsed="false">
      <c r="A13103" s="3" t="s">
        <v>376</v>
      </c>
      <c r="G13103" s="21" t="n">
        <f aca="false">IF(G13101=0,0,G13102/ABS(G13101))</f>
        <v>0.0654019602688769</v>
      </c>
      <c r="H13103" s="21" t="n">
        <f aca="false">IF(H13101=0,0,H13102/ABS(H13101))</f>
        <v>-0.0775139124511272</v>
      </c>
      <c r="I13103" s="21" t="n">
        <f aca="false">IF(I13101=0,0,I13102/ABS(I13101))</f>
        <v>-0.259642893156781</v>
      </c>
      <c r="J13103" s="21" t="n">
        <f aca="false">IF(J13101=0,0,J13102/ABS(J13101))</f>
        <v>-0.389158106246632</v>
      </c>
      <c r="K13103" s="21" t="n">
        <f aca="false">IF(K13101=0,0,K13102/ABS(K13101))</f>
        <v>-0.467662453245407</v>
      </c>
    </row>
    <row r="13104" customFormat="false" ht="15" hidden="false" customHeight="false" outlineLevel="0" collapsed="false">
      <c r="A13104" s="3" t="s">
        <v>377</v>
      </c>
      <c r="G13104" s="20" t="n">
        <f aca="false">IF(G13102&lt;0,1,0)</f>
        <v>0</v>
      </c>
      <c r="H13104" s="20" t="n">
        <f aca="false">IF(H13102&lt;0,1,0)</f>
        <v>1</v>
      </c>
      <c r="I13104" s="20" t="n">
        <f aca="false">IF(I13102&lt;0,1,0)</f>
        <v>1</v>
      </c>
      <c r="J13104" s="20" t="n">
        <f aca="false">IF(J13102&lt;0,1,0)</f>
        <v>1</v>
      </c>
      <c r="K13104" s="20" t="n">
        <f aca="false">IF(K13102&lt;0,1,0)</f>
        <v>1</v>
      </c>
    </row>
    <row r="13105" customFormat="false" ht="15" hidden="false" customHeight="false" outlineLevel="0" collapsed="false">
      <c r="A13105" s="3" t="s">
        <v>378</v>
      </c>
      <c r="C13105" s="20" t="n">
        <f aca="false">IFERROR(INDEX($G$12973:$K$12973,MATCH(1,$G$13104:$K$13104,0)),0)</f>
        <v>2028</v>
      </c>
    </row>
    <row r="13106" customFormat="false" ht="15" hidden="false" customHeight="false" outlineLevel="0" collapsed="false">
      <c r="A13106" s="3" t="s">
        <v>379</v>
      </c>
      <c r="C13106" s="21" t="n">
        <f aca="false">MIN($G$13103:$K$13103)</f>
        <v>-0.467662453245407</v>
      </c>
    </row>
    <row r="13107" customFormat="false" ht="15" hidden="false" customHeight="false" outlineLevel="0" collapsed="false">
      <c r="A13107" s="23" t="s">
        <v>380</v>
      </c>
      <c r="B13107" s="24"/>
      <c r="C13107" s="24"/>
      <c r="D13107" s="24"/>
      <c r="E13107" s="24"/>
      <c r="F13107" s="24"/>
      <c r="G13107" s="24"/>
      <c r="H13107" s="24"/>
      <c r="I13107" s="24"/>
      <c r="J13107" s="24"/>
      <c r="K13107" s="24"/>
    </row>
    <row r="13108" customFormat="false" ht="15" hidden="false" customHeight="false" outlineLevel="0" collapsed="false">
      <c r="A13108" s="3" t="s">
        <v>373</v>
      </c>
      <c r="G13108" s="32" t="n">
        <f aca="false">IF(G12987&gt;0,G12983/G12987,99)</f>
        <v>1.59005643370602</v>
      </c>
      <c r="H13108" s="32" t="n">
        <f aca="false">IF(H12987&gt;0,H12983/H12987,99)</f>
        <v>1.35552310973439</v>
      </c>
      <c r="I13108" s="32" t="n">
        <f aca="false">IF(I12987&gt;0,I12983/I12987,99)</f>
        <v>1.21627391755258</v>
      </c>
      <c r="J13108" s="32" t="n">
        <f aca="false">IF(J12987&gt;0,J12983/J12987,99)</f>
        <v>1.24284413584734</v>
      </c>
      <c r="K13108" s="32" t="n">
        <f aca="false">IF(K12987&gt;0,K12983/K12987,99)</f>
        <v>1.18070192905498</v>
      </c>
    </row>
    <row r="13109" customFormat="false" ht="15" hidden="false" customHeight="false" outlineLevel="0" collapsed="false">
      <c r="A13109" s="3" t="s">
        <v>374</v>
      </c>
      <c r="G13109" s="33" t="n">
        <f aca="false">Assumptions!$G$66</f>
        <v>1.4</v>
      </c>
      <c r="H13109" s="33" t="n">
        <f aca="false">Assumptions!$H$66</f>
        <v>1.4</v>
      </c>
      <c r="I13109" s="33" t="n">
        <f aca="false">Assumptions!$I$66</f>
        <v>1.4</v>
      </c>
      <c r="J13109" s="33" t="n">
        <f aca="false">Assumptions!$J$66</f>
        <v>1.5</v>
      </c>
      <c r="K13109" s="33" t="n">
        <f aca="false">Assumptions!$K$66</f>
        <v>1.5</v>
      </c>
    </row>
    <row r="13110" customFormat="false" ht="15" hidden="false" customHeight="false" outlineLevel="0" collapsed="false">
      <c r="A13110" s="3" t="s">
        <v>375</v>
      </c>
      <c r="G13110" s="32" t="n">
        <f aca="false">G13108-G13109</f>
        <v>0.190056433706025</v>
      </c>
      <c r="H13110" s="32" t="n">
        <f aca="false">H13108-H13109</f>
        <v>-0.0444768902656139</v>
      </c>
      <c r="I13110" s="32" t="n">
        <f aca="false">I13108-I13109</f>
        <v>-0.183726082447419</v>
      </c>
      <c r="J13110" s="32" t="n">
        <f aca="false">J13108-J13109</f>
        <v>-0.257155864152655</v>
      </c>
      <c r="K13110" s="32" t="n">
        <f aca="false">K13108-K13109</f>
        <v>-0.319298070945023</v>
      </c>
    </row>
    <row r="13111" customFormat="false" ht="15" hidden="false" customHeight="false" outlineLevel="0" collapsed="false">
      <c r="A13111" s="3" t="s">
        <v>376</v>
      </c>
      <c r="G13111" s="21" t="n">
        <f aca="false">IF(G13109=0,0,G13110/ABS(G13109))</f>
        <v>0.135754595504304</v>
      </c>
      <c r="H13111" s="21" t="n">
        <f aca="false">IF(H13109=0,0,H13110/ABS(H13109))</f>
        <v>-0.0317692073325813</v>
      </c>
      <c r="I13111" s="21" t="n">
        <f aca="false">IF(I13109=0,0,I13110/ABS(I13109))</f>
        <v>-0.131232916033871</v>
      </c>
      <c r="J13111" s="21" t="n">
        <f aca="false">IF(J13109=0,0,J13110/ABS(J13109))</f>
        <v>-0.171437242768437</v>
      </c>
      <c r="K13111" s="21" t="n">
        <f aca="false">IF(K13109=0,0,K13110/ABS(K13109))</f>
        <v>-0.212865380630015</v>
      </c>
    </row>
    <row r="13112" customFormat="false" ht="15" hidden="false" customHeight="false" outlineLevel="0" collapsed="false">
      <c r="A13112" s="3" t="s">
        <v>377</v>
      </c>
      <c r="G13112" s="20" t="n">
        <f aca="false">IF(G13110&lt;0,1,0)</f>
        <v>0</v>
      </c>
      <c r="H13112" s="20" t="n">
        <f aca="false">IF(H13110&lt;0,1,0)</f>
        <v>1</v>
      </c>
      <c r="I13112" s="20" t="n">
        <f aca="false">IF(I13110&lt;0,1,0)</f>
        <v>1</v>
      </c>
      <c r="J13112" s="20" t="n">
        <f aca="false">IF(J13110&lt;0,1,0)</f>
        <v>1</v>
      </c>
      <c r="K13112" s="20" t="n">
        <f aca="false">IF(K13110&lt;0,1,0)</f>
        <v>1</v>
      </c>
    </row>
    <row r="13113" customFormat="false" ht="15" hidden="false" customHeight="false" outlineLevel="0" collapsed="false">
      <c r="A13113" s="3" t="s">
        <v>378</v>
      </c>
      <c r="C13113" s="20" t="n">
        <f aca="false">IFERROR(INDEX($G$12973:$K$12973,MATCH(1,$G$13112:$K$13112,0)),0)</f>
        <v>2028</v>
      </c>
    </row>
    <row r="13114" customFormat="false" ht="15" hidden="false" customHeight="false" outlineLevel="0" collapsed="false">
      <c r="A13114" s="3" t="s">
        <v>379</v>
      </c>
      <c r="C13114" s="21" t="n">
        <f aca="false">MIN($G$13111:$K$13111)</f>
        <v>-0.212865380630015</v>
      </c>
    </row>
    <row r="13115" customFormat="false" ht="15" hidden="false" customHeight="false" outlineLevel="0" collapsed="false">
      <c r="A13115" s="23" t="s">
        <v>381</v>
      </c>
      <c r="B13115" s="24"/>
      <c r="C13115" s="24"/>
      <c r="D13115" s="24"/>
      <c r="E13115" s="24"/>
      <c r="F13115" s="24"/>
      <c r="G13115" s="24"/>
      <c r="H13115" s="24"/>
      <c r="I13115" s="24"/>
      <c r="J13115" s="24"/>
      <c r="K13115" s="24"/>
    </row>
    <row r="13116" customFormat="false" ht="15" hidden="false" customHeight="false" outlineLevel="0" collapsed="false">
      <c r="A13116" s="3" t="s">
        <v>373</v>
      </c>
      <c r="G13116" s="25" t="n">
        <f aca="false">G13094</f>
        <v>518.82154744</v>
      </c>
      <c r="H13116" s="25" t="n">
        <f aca="false">H13094</f>
        <v>539.6742833632</v>
      </c>
      <c r="I13116" s="25" t="n">
        <f aca="false">I13094</f>
        <v>120.430022671888</v>
      </c>
      <c r="J13116" s="25" t="n">
        <f aca="false">J13094</f>
        <v>123.071896868977</v>
      </c>
      <c r="K13116" s="25" t="n">
        <f aca="false">K13094</f>
        <v>118.677412856212</v>
      </c>
    </row>
    <row r="13117" customFormat="false" ht="15" hidden="false" customHeight="false" outlineLevel="0" collapsed="false">
      <c r="A13117" s="3" t="s">
        <v>374</v>
      </c>
      <c r="G13117" s="29" t="n">
        <f aca="false">Assumptions!$G$67</f>
        <v>200</v>
      </c>
      <c r="H13117" s="29" t="n">
        <f aca="false">Assumptions!$H$67</f>
        <v>200</v>
      </c>
      <c r="I13117" s="29" t="n">
        <f aca="false">Assumptions!$I$67</f>
        <v>200</v>
      </c>
      <c r="J13117" s="29" t="n">
        <f aca="false">Assumptions!$J$67</f>
        <v>200</v>
      </c>
      <c r="K13117" s="29" t="n">
        <f aca="false">Assumptions!$K$67</f>
        <v>200</v>
      </c>
    </row>
    <row r="13118" customFormat="false" ht="15" hidden="false" customHeight="false" outlineLevel="0" collapsed="false">
      <c r="A13118" s="3" t="s">
        <v>375</v>
      </c>
      <c r="G13118" s="25" t="n">
        <f aca="false">G13116-G13117</f>
        <v>318.82154744</v>
      </c>
      <c r="H13118" s="25" t="n">
        <f aca="false">H13116-H13117</f>
        <v>339.6742833632</v>
      </c>
      <c r="I13118" s="25" t="n">
        <f aca="false">I13116-I13117</f>
        <v>-79.5699773281123</v>
      </c>
      <c r="J13118" s="25" t="n">
        <f aca="false">J13116-J13117</f>
        <v>-76.9281031310227</v>
      </c>
      <c r="K13118" s="25" t="n">
        <f aca="false">K13116-K13117</f>
        <v>-81.3225871437876</v>
      </c>
    </row>
    <row r="13119" customFormat="false" ht="15" hidden="false" customHeight="false" outlineLevel="0" collapsed="false">
      <c r="A13119" s="3" t="s">
        <v>376</v>
      </c>
      <c r="G13119" s="21" t="n">
        <f aca="false">IF(G13117=0,0,G13118/ABS(G13117))</f>
        <v>1.5941077372</v>
      </c>
      <c r="H13119" s="21" t="n">
        <f aca="false">IF(H13117=0,0,H13118/ABS(H13117))</f>
        <v>1.698371416816</v>
      </c>
      <c r="I13119" s="21" t="n">
        <f aca="false">IF(I13117=0,0,I13118/ABS(I13117))</f>
        <v>-0.397849886640561</v>
      </c>
      <c r="J13119" s="21" t="n">
        <f aca="false">IF(J13117=0,0,J13118/ABS(J13117))</f>
        <v>-0.384640515655113</v>
      </c>
      <c r="K13119" s="21" t="n">
        <f aca="false">IF(K13117=0,0,K13118/ABS(K13117))</f>
        <v>-0.406612935718938</v>
      </c>
    </row>
    <row r="13120" customFormat="false" ht="15" hidden="false" customHeight="false" outlineLevel="0" collapsed="false">
      <c r="A13120" s="3" t="s">
        <v>377</v>
      </c>
      <c r="G13120" s="20" t="n">
        <f aca="false">IF(G13118&lt;0,1,0)</f>
        <v>0</v>
      </c>
      <c r="H13120" s="20" t="n">
        <f aca="false">IF(H13118&lt;0,1,0)</f>
        <v>0</v>
      </c>
      <c r="I13120" s="20" t="n">
        <f aca="false">IF(I13118&lt;0,1,0)</f>
        <v>1</v>
      </c>
      <c r="J13120" s="20" t="n">
        <f aca="false">IF(J13118&lt;0,1,0)</f>
        <v>1</v>
      </c>
      <c r="K13120" s="20" t="n">
        <f aca="false">IF(K13118&lt;0,1,0)</f>
        <v>1</v>
      </c>
    </row>
    <row r="13121" customFormat="false" ht="15" hidden="false" customHeight="false" outlineLevel="0" collapsed="false">
      <c r="A13121" s="3" t="s">
        <v>378</v>
      </c>
      <c r="C13121" s="20" t="n">
        <f aca="false">IFERROR(INDEX($G$12973:$K$12973,MATCH(1,$G$13120:$K$13120,0)),0)</f>
        <v>2029</v>
      </c>
    </row>
    <row r="13122" customFormat="false" ht="15" hidden="false" customHeight="false" outlineLevel="0" collapsed="false">
      <c r="A13122" s="3" t="s">
        <v>379</v>
      </c>
      <c r="C13122" s="21" t="n">
        <f aca="false">MIN($G$13119:$K$13119)</f>
        <v>-0.406612935718938</v>
      </c>
    </row>
    <row r="13123" customFormat="false" ht="15" hidden="false" customHeight="false" outlineLevel="0" collapsed="false">
      <c r="A13123" s="3" t="s">
        <v>382</v>
      </c>
      <c r="G13123" s="20" t="n">
        <f aca="false">G13104+G13112+G13120</f>
        <v>0</v>
      </c>
      <c r="H13123" s="20" t="n">
        <f aca="false">H13104+H13112+H13120</f>
        <v>2</v>
      </c>
      <c r="I13123" s="20" t="n">
        <f aca="false">I13104+I13112+I13120</f>
        <v>3</v>
      </c>
      <c r="J13123" s="20" t="n">
        <f aca="false">J13104+J13112+J13120</f>
        <v>3</v>
      </c>
      <c r="K13123" s="20" t="n">
        <f aca="false">K13104+K13112+K13120</f>
        <v>3</v>
      </c>
    </row>
    <row r="13124" customFormat="false" ht="15" hidden="false" customHeight="false" outlineLevel="0" collapsed="false">
      <c r="A13124" s="3" t="s">
        <v>383</v>
      </c>
      <c r="C13124" s="20" t="n">
        <f aca="false">SUM($G$13123:$K$13123)</f>
        <v>11</v>
      </c>
    </row>
    <row r="13125" customFormat="false" ht="15" hidden="false" customHeight="false" outlineLevel="0" collapsed="false">
      <c r="A13125" s="3" t="s">
        <v>384</v>
      </c>
      <c r="C13125" s="21" t="n">
        <f aca="false">MIN(C13106,C13114,C13122)</f>
        <v>-0.467662453245407</v>
      </c>
    </row>
    <row r="13127" customFormat="false" ht="15" hidden="false" customHeight="false" outlineLevel="0" collapsed="false">
      <c r="A13127" s="23" t="s">
        <v>486</v>
      </c>
      <c r="B13127" s="24"/>
      <c r="C13127" s="24"/>
      <c r="D13127" s="24"/>
      <c r="E13127" s="24"/>
      <c r="F13127" s="24"/>
      <c r="G13127" s="24"/>
      <c r="H13127" s="24"/>
      <c r="I13127" s="24"/>
      <c r="J13127" s="24"/>
      <c r="K13127" s="24"/>
    </row>
    <row r="13128" customFormat="false" ht="15" hidden="false" customHeight="false" outlineLevel="0" collapsed="false">
      <c r="A13128" s="3" t="s">
        <v>487</v>
      </c>
      <c r="G13128" s="20" t="n">
        <f aca="false">IF($C$13129=1,G13081,IF(G12983=MIN($G$12983:$K$12983),1,0))</f>
        <v>0</v>
      </c>
      <c r="H13128" s="20" t="n">
        <f aca="false">IF($C$13129=1,H13081,IF(AND(H12983=MIN($G$12983:$K$12983),SUM($G$13128:G13128)=0),1,0))</f>
        <v>0</v>
      </c>
      <c r="I13128" s="20" t="n">
        <f aca="false">IF($C$13129=1,I13081,IF(AND(I12983=MIN($G$12983:$K$12983),SUM($G$13128:H13128)=0),1,0))</f>
        <v>0</v>
      </c>
      <c r="J13128" s="20" t="n">
        <f aca="false">IF($C$13129=1,J13081,IF(AND(J12983=MIN($G$12983:$K$12983),SUM($G$13128:I13128)=0),1,0))</f>
        <v>0</v>
      </c>
      <c r="K13128" s="20" t="n">
        <f aca="false">IF($C$13129=1,K13081,IF(AND(K12983=MIN($G$12983:$K$12983),SUM($G$13128:J13128)=0),1,0))</f>
        <v>1</v>
      </c>
    </row>
    <row r="13129" customFormat="false" ht="15" hidden="false" customHeight="false" outlineLevel="0" collapsed="false">
      <c r="A13129" s="3" t="s">
        <v>488</v>
      </c>
      <c r="C13129" s="20" t="n">
        <f aca="false">IF(SUM($G$13081:$K$13081)&gt;0,1,0)</f>
        <v>0</v>
      </c>
    </row>
    <row r="13130" customFormat="false" ht="15" hidden="false" customHeight="false" outlineLevel="0" collapsed="false">
      <c r="A13130" s="3" t="s">
        <v>489</v>
      </c>
      <c r="C13130" s="20" t="n">
        <f aca="false">SUMPRODUCT($G$13128:$K$13128,$G$12973:$K$12973)</f>
        <v>2031</v>
      </c>
    </row>
    <row r="13131" customFormat="false" ht="15" hidden="false" customHeight="false" outlineLevel="0" collapsed="false">
      <c r="A13131" s="3" t="s">
        <v>490</v>
      </c>
      <c r="C13131" s="25" t="n">
        <f aca="false">SUMPRODUCT($G$13128:$K$13128,$G$12983:$K$12983)</f>
        <v>163.037568277116</v>
      </c>
    </row>
    <row r="13132" customFormat="false" ht="15" hidden="false" customHeight="false" outlineLevel="0" collapsed="false">
      <c r="A13132" s="3" t="s">
        <v>491</v>
      </c>
      <c r="C13132" s="25" t="n">
        <f aca="false">MAX(0,SUMPRODUCT($G$13128:$K$13128,$G$13078:$K$13078))</f>
        <v>118.677412856212</v>
      </c>
    </row>
    <row r="13133" customFormat="false" ht="15" hidden="false" customHeight="false" outlineLevel="0" collapsed="false">
      <c r="A13133" s="3" t="s">
        <v>492</v>
      </c>
      <c r="C13133" s="25" t="n">
        <f aca="false">(CHOOSE($C$12966,Assumptions!$C$84,Assumptions!$C$103,Assumptions!$C$122)+$C$12970)*C13131</f>
        <v>733.669057247022</v>
      </c>
    </row>
    <row r="13134" customFormat="false" ht="15" hidden="false" customHeight="false" outlineLevel="0" collapsed="false">
      <c r="A13134" s="3" t="s">
        <v>493</v>
      </c>
      <c r="C13134" s="25" t="n">
        <f aca="false">Assumptions!$C$30*(1-CHOOSE($C$12966,Assumptions!$C$85,Assumptions!$C$104,Assumptions!$C$123))*CHOOSE($C$12966,Assumptions!$C$86,Assumptions!$C$105,Assumptions!$C$124)</f>
        <v>626.017605</v>
      </c>
    </row>
    <row r="13135" customFormat="false" ht="15" hidden="false" customHeight="false" outlineLevel="0" collapsed="false">
      <c r="A13135" s="3" t="s">
        <v>494</v>
      </c>
      <c r="C13135" s="25" t="n">
        <f aca="false">MAX(C13133,C13134)+C13132</f>
        <v>852.346470103234</v>
      </c>
    </row>
    <row r="13136" customFormat="false" ht="15" hidden="false" customHeight="false" outlineLevel="0" collapsed="false">
      <c r="A13136" s="2" t="s">
        <v>495</v>
      </c>
      <c r="C13136" s="16" t="n">
        <f aca="false">IF(ISNUMBER(Assumptions!$C$14),Assumptions!$C$14,C13135)</f>
        <v>852.346470103234</v>
      </c>
    </row>
    <row r="13137" customFormat="false" ht="15" hidden="false" customHeight="false" outlineLevel="0" collapsed="false">
      <c r="A13137" s="3" t="s">
        <v>496</v>
      </c>
      <c r="C13137" s="25" t="n">
        <f aca="false">C13136*Assumptions!$C$15</f>
        <v>34.0938588041294</v>
      </c>
    </row>
    <row r="13138" customFormat="false" ht="15" hidden="false" customHeight="false" outlineLevel="0" collapsed="false">
      <c r="A13138" s="2" t="s">
        <v>497</v>
      </c>
      <c r="C13138" s="16" t="n">
        <f aca="false">C13136-C13137</f>
        <v>818.252611299105</v>
      </c>
    </row>
    <row r="13139" customFormat="false" ht="15" hidden="false" customHeight="false" outlineLevel="0" collapsed="false">
      <c r="A13139" s="23" t="s">
        <v>498</v>
      </c>
      <c r="B13139" s="24"/>
      <c r="C13139" s="24"/>
      <c r="D13139" s="24"/>
      <c r="E13139" s="24"/>
      <c r="F13139" s="24"/>
      <c r="G13139" s="24"/>
      <c r="H13139" s="24"/>
      <c r="I13139" s="24"/>
      <c r="J13139" s="24"/>
      <c r="K13139" s="24"/>
    </row>
    <row r="13140" customFormat="false" ht="15" hidden="false" customHeight="false" outlineLevel="0" collapsed="false">
      <c r="A13140" s="3" t="s">
        <v>499</v>
      </c>
      <c r="C13140" s="25" t="n">
        <f aca="false">SUMPRODUCT($G$13128:$K$13128,$G$13020:$K$13020)*(1+SUMPRODUCT($G$13128:$K$13128,$G$13012:$K$13012)*Assumptions!$C$16/12)</f>
        <v>1349.6193225</v>
      </c>
    </row>
    <row r="13141" customFormat="false" ht="15" hidden="false" customHeight="false" outlineLevel="0" collapsed="false">
      <c r="A13141" s="3" t="s">
        <v>500</v>
      </c>
      <c r="C13141" s="25" t="n">
        <f aca="false">SUMPRODUCT($G$13128:$K$13128,$G$13033:$K$13033)*(1+SUMPRODUCT($G$13128:$K$13128,$G$13025:$K$13025)*Assumptions!$C$16/12)</f>
        <v>0</v>
      </c>
    </row>
    <row r="13142" customFormat="false" ht="15" hidden="false" customHeight="false" outlineLevel="0" collapsed="false">
      <c r="A13142" s="3" t="s">
        <v>501</v>
      </c>
      <c r="C13142" s="25" t="n">
        <f aca="false">SUMPRODUCT($G$13128:$K$13128,$G$13046:$K$13046)*(1+SUMPRODUCT($G$13128:$K$13128,$G$13038:$K$13038)*Assumptions!$C$16/12)</f>
        <v>0</v>
      </c>
    </row>
    <row r="13143" customFormat="false" ht="15" hidden="false" customHeight="false" outlineLevel="0" collapsed="false">
      <c r="A13143" s="23" t="s">
        <v>502</v>
      </c>
      <c r="B13143" s="24"/>
      <c r="C13143" s="24"/>
      <c r="D13143" s="24"/>
      <c r="E13143" s="24"/>
      <c r="F13143" s="24"/>
      <c r="G13143" s="24"/>
      <c r="H13143" s="24"/>
      <c r="I13143" s="24"/>
      <c r="J13143" s="24"/>
      <c r="K13143" s="24"/>
    </row>
    <row r="13144" customFormat="false" ht="15" hidden="false" customHeight="false" outlineLevel="0" collapsed="false">
      <c r="A13144" s="3" t="s">
        <v>499</v>
      </c>
      <c r="C13144" s="27" t="n">
        <f aca="false">Assumptions!$M$56</f>
        <v>1</v>
      </c>
    </row>
    <row r="13145" customFormat="false" ht="15" hidden="false" customHeight="false" outlineLevel="0" collapsed="false">
      <c r="A13145" s="3" t="s">
        <v>500</v>
      </c>
      <c r="C13145" s="27" t="n">
        <f aca="false">Assumptions!$M$57</f>
        <v>2</v>
      </c>
    </row>
    <row r="13146" customFormat="false" ht="15" hidden="false" customHeight="false" outlineLevel="0" collapsed="false">
      <c r="A13146" s="3" t="s">
        <v>501</v>
      </c>
      <c r="C13146" s="27" t="n">
        <f aca="false">Assumptions!$M$58</f>
        <v>2</v>
      </c>
    </row>
    <row r="13147" customFormat="false" ht="15" hidden="false" customHeight="false" outlineLevel="0" collapsed="false">
      <c r="A13147" s="23" t="s">
        <v>503</v>
      </c>
      <c r="B13147" s="24"/>
      <c r="C13147" s="24"/>
      <c r="D13147" s="24"/>
      <c r="E13147" s="24"/>
      <c r="F13147" s="24"/>
      <c r="G13147" s="24"/>
      <c r="H13147" s="24"/>
      <c r="I13147" s="24"/>
      <c r="J13147" s="24"/>
      <c r="K13147" s="24"/>
    </row>
    <row r="13148" customFormat="false" ht="15" hidden="false" customHeight="false" outlineLevel="0" collapsed="false">
      <c r="A13148" s="3" t="s">
        <v>499</v>
      </c>
      <c r="C13148" s="35" t="n">
        <f aca="false">Assumptions!$Q$56</f>
        <v>0</v>
      </c>
    </row>
    <row r="13149" customFormat="false" ht="15" hidden="false" customHeight="false" outlineLevel="0" collapsed="false">
      <c r="A13149" s="3" t="s">
        <v>500</v>
      </c>
      <c r="C13149" s="35" t="n">
        <f aca="false">Assumptions!$Q$57</f>
        <v>0</v>
      </c>
    </row>
    <row r="13150" customFormat="false" ht="15" hidden="false" customHeight="false" outlineLevel="0" collapsed="false">
      <c r="A13150" s="3" t="s">
        <v>501</v>
      </c>
      <c r="C13150" s="35" t="n">
        <f aca="false">Assumptions!$Q$58</f>
        <v>0</v>
      </c>
    </row>
    <row r="13151" customFormat="false" ht="15" hidden="false" customHeight="false" outlineLevel="0" collapsed="false">
      <c r="A13151" s="23" t="s">
        <v>504</v>
      </c>
      <c r="B13151" s="24"/>
      <c r="C13151" s="24"/>
      <c r="D13151" s="24"/>
      <c r="E13151" s="24"/>
      <c r="F13151" s="24"/>
      <c r="G13151" s="24"/>
      <c r="H13151" s="24"/>
      <c r="I13151" s="24"/>
      <c r="J13151" s="24"/>
      <c r="K13151" s="24"/>
    </row>
    <row r="13152" customFormat="false" ht="15" hidden="false" customHeight="false" outlineLevel="0" collapsed="false">
      <c r="A13152" s="3" t="s">
        <v>499</v>
      </c>
      <c r="C13152" s="25" t="n">
        <f aca="false">IF(C13148&gt;0,MIN(C13140,C13148*$C$13138),0)</f>
        <v>0</v>
      </c>
    </row>
    <row r="13153" customFormat="false" ht="15" hidden="false" customHeight="false" outlineLevel="0" collapsed="false">
      <c r="A13153" s="3" t="s">
        <v>500</v>
      </c>
      <c r="C13153" s="25" t="n">
        <f aca="false">IF(C13149&gt;0,MIN(C13141,C13149*$C$13138),0)</f>
        <v>0</v>
      </c>
    </row>
    <row r="13154" customFormat="false" ht="15" hidden="false" customHeight="false" outlineLevel="0" collapsed="false">
      <c r="A13154" s="3" t="s">
        <v>501</v>
      </c>
      <c r="C13154" s="25" t="n">
        <f aca="false">IF(C13150&gt;0,MIN(C13142,C13150*$C$13138),0)</f>
        <v>0</v>
      </c>
    </row>
    <row r="13155" customFormat="false" ht="15" hidden="false" customHeight="false" outlineLevel="0" collapsed="false">
      <c r="A13155" s="23" t="s">
        <v>505</v>
      </c>
      <c r="B13155" s="24"/>
      <c r="C13155" s="24"/>
      <c r="D13155" s="24"/>
      <c r="E13155" s="24"/>
      <c r="F13155" s="24"/>
      <c r="G13155" s="24"/>
      <c r="H13155" s="24"/>
      <c r="I13155" s="24"/>
      <c r="J13155" s="24"/>
      <c r="K13155" s="24"/>
    </row>
    <row r="13156" customFormat="false" ht="15" hidden="false" customHeight="false" outlineLevel="0" collapsed="false">
      <c r="A13156" s="3" t="s">
        <v>499</v>
      </c>
      <c r="C13156" s="25" t="n">
        <f aca="false">IF(C13148&gt;0,C13140-C13152,0)</f>
        <v>0</v>
      </c>
      <c r="G13156" s="20" t="n">
        <f aca="false">IF(AND(G13010=1,G13007=1),1,0)</f>
        <v>0</v>
      </c>
      <c r="H13156" s="20" t="n">
        <f aca="false">IF(G13156=1,1,IF(AND(H13010=1,H13007=1),1,0))</f>
        <v>0</v>
      </c>
      <c r="I13156" s="20" t="n">
        <f aca="false">IF(H13156=1,1,IF(AND(I13010=1,I13007=1),1,0))</f>
        <v>0</v>
      </c>
      <c r="J13156" s="20" t="n">
        <f aca="false">IF(I13156=1,1,IF(AND(J13010=1,J13007=1),1,0))</f>
        <v>0</v>
      </c>
      <c r="K13156" s="20" t="n">
        <f aca="false">IF(J13156=1,1,IF(AND(K13010=1,K13007=1),1,0))</f>
        <v>0</v>
      </c>
    </row>
    <row r="13157" customFormat="false" ht="15" hidden="false" customHeight="false" outlineLevel="0" collapsed="false">
      <c r="A13157" s="3" t="s">
        <v>500</v>
      </c>
      <c r="C13157" s="25" t="n">
        <f aca="false">IF(C13149&gt;0,C13141-C13153,0)</f>
        <v>0</v>
      </c>
      <c r="G13157" s="20" t="n">
        <f aca="false">IF(AND(G13023=1,G13007=1),1,0)</f>
        <v>0</v>
      </c>
      <c r="H13157" s="20" t="n">
        <f aca="false">IF(G13157=1,1,IF(AND(H13023=1,H13007=1),1,0))</f>
        <v>0</v>
      </c>
      <c r="I13157" s="20" t="n">
        <f aca="false">IF(H13157=1,1,IF(AND(I13023=1,I13007=1),1,0))</f>
        <v>0</v>
      </c>
      <c r="J13157" s="20" t="n">
        <f aca="false">IF(I13157=1,1,IF(AND(J13023=1,J13007=1),1,0))</f>
        <v>0</v>
      </c>
      <c r="K13157" s="20" t="n">
        <f aca="false">IF(J13157=1,1,IF(AND(K13023=1,K13007=1),1,0))</f>
        <v>0</v>
      </c>
    </row>
    <row r="13158" customFormat="false" ht="15" hidden="false" customHeight="false" outlineLevel="0" collapsed="false">
      <c r="A13158" s="3" t="s">
        <v>501</v>
      </c>
      <c r="C13158" s="25" t="n">
        <f aca="false">IF(C13150&gt;0,C13142-C13154,0)</f>
        <v>0</v>
      </c>
      <c r="G13158" s="20" t="n">
        <f aca="false">IF(AND(G13036=1,G13007=1),1,0)</f>
        <v>0</v>
      </c>
      <c r="H13158" s="20" t="n">
        <f aca="false">IF(G13158=1,1,IF(AND(H13036=1,H13007=1),1,0))</f>
        <v>0</v>
      </c>
      <c r="I13158" s="20" t="n">
        <f aca="false">IF(H13158=1,1,IF(AND(I13036=1,I13007=1),1,0))</f>
        <v>0</v>
      </c>
      <c r="J13158" s="20" t="n">
        <f aca="false">IF(I13158=1,1,IF(AND(J13036=1,J13007=1),1,0))</f>
        <v>0</v>
      </c>
      <c r="K13158" s="20" t="n">
        <f aca="false">IF(J13158=1,1,IF(AND(K13036=1,K13007=1),1,0))</f>
        <v>0</v>
      </c>
    </row>
    <row r="13159" customFormat="false" ht="15" hidden="false" customHeight="false" outlineLevel="0" collapsed="false">
      <c r="A13159" s="23" t="s">
        <v>506</v>
      </c>
      <c r="B13159" s="24"/>
      <c r="C13159" s="24"/>
      <c r="D13159" s="24"/>
      <c r="E13159" s="24"/>
      <c r="F13159" s="24"/>
      <c r="G13159" s="24"/>
      <c r="H13159" s="24"/>
      <c r="I13159" s="24"/>
      <c r="J13159" s="24"/>
      <c r="K13159" s="24"/>
    </row>
    <row r="13160" customFormat="false" ht="15" hidden="false" customHeight="false" outlineLevel="0" collapsed="false">
      <c r="A13160" s="3" t="s">
        <v>499</v>
      </c>
      <c r="C13160" s="25" t="n">
        <f aca="false">IF(C13148&gt;0,C13156,C13140)</f>
        <v>1349.6193225</v>
      </c>
    </row>
    <row r="13161" customFormat="false" ht="15" hidden="false" customHeight="false" outlineLevel="0" collapsed="false">
      <c r="A13161" s="3" t="s">
        <v>500</v>
      </c>
      <c r="C13161" s="25" t="n">
        <f aca="false">IF(C13149&gt;0,C13157,C13141)</f>
        <v>0</v>
      </c>
    </row>
    <row r="13162" customFormat="false" ht="15" hidden="false" customHeight="false" outlineLevel="0" collapsed="false">
      <c r="A13162" s="3" t="s">
        <v>501</v>
      </c>
      <c r="C13162" s="25" t="n">
        <f aca="false">IF(C13150&gt;0,C13158,C13142)</f>
        <v>0</v>
      </c>
    </row>
    <row r="13163" customFormat="false" ht="15" hidden="false" customHeight="false" outlineLevel="0" collapsed="false">
      <c r="A13163" s="23" t="s">
        <v>507</v>
      </c>
      <c r="B13163" s="24"/>
      <c r="C13163" s="24"/>
      <c r="D13163" s="24"/>
      <c r="E13163" s="24"/>
      <c r="F13163" s="24"/>
      <c r="G13163" s="24"/>
      <c r="H13163" s="24"/>
      <c r="I13163" s="24"/>
      <c r="J13163" s="24"/>
      <c r="K13163" s="24"/>
    </row>
    <row r="13164" customFormat="false" ht="15" hidden="false" customHeight="false" outlineLevel="0" collapsed="false">
      <c r="A13164" s="3" t="s">
        <v>499</v>
      </c>
      <c r="C13164" s="20" t="n">
        <f aca="false">IF(C13148&gt;0,Assumptions!$C$17,C13144)</f>
        <v>1</v>
      </c>
    </row>
    <row r="13165" customFormat="false" ht="15" hidden="false" customHeight="false" outlineLevel="0" collapsed="false">
      <c r="A13165" s="3" t="s">
        <v>500</v>
      </c>
      <c r="C13165" s="20" t="n">
        <f aca="false">IF(C13149&gt;0,Assumptions!$C$17,C13145)</f>
        <v>2</v>
      </c>
    </row>
    <row r="13166" customFormat="false" ht="15" hidden="false" customHeight="false" outlineLevel="0" collapsed="false">
      <c r="A13166" s="3" t="s">
        <v>501</v>
      </c>
      <c r="C13166" s="20" t="n">
        <f aca="false">IF(C13150&gt;0,Assumptions!$C$17,C13146)</f>
        <v>2</v>
      </c>
    </row>
    <row r="13167" customFormat="false" ht="15" hidden="false" customHeight="false" outlineLevel="0" collapsed="false">
      <c r="A13167" s="23" t="s">
        <v>508</v>
      </c>
      <c r="B13167" s="24"/>
      <c r="C13167" s="24"/>
      <c r="D13167" s="24"/>
      <c r="E13167" s="24"/>
      <c r="F13167" s="24"/>
      <c r="G13167" s="24"/>
      <c r="H13167" s="24"/>
      <c r="I13167" s="24"/>
      <c r="J13167" s="24"/>
      <c r="K13167" s="24"/>
    </row>
    <row r="13168" customFormat="false" ht="15" hidden="false" customHeight="false" outlineLevel="0" collapsed="false">
      <c r="A13168" s="3" t="s">
        <v>499</v>
      </c>
      <c r="C13168" s="25" t="n">
        <f aca="false">SUMPRODUCT(($C$13164:$C$13166&lt;C13164)*$C$13160:$C$13162)</f>
        <v>0</v>
      </c>
    </row>
    <row r="13169" customFormat="false" ht="15" hidden="false" customHeight="false" outlineLevel="0" collapsed="false">
      <c r="A13169" s="3" t="s">
        <v>500</v>
      </c>
      <c r="C13169" s="25" t="n">
        <f aca="false">SUMPRODUCT(($C$13164:$C$13166&lt;C13165)*$C$13160:$C$13162)</f>
        <v>1349.6193225</v>
      </c>
    </row>
    <row r="13170" customFormat="false" ht="15" hidden="false" customHeight="false" outlineLevel="0" collapsed="false">
      <c r="A13170" s="3" t="s">
        <v>501</v>
      </c>
      <c r="C13170" s="25" t="n">
        <f aca="false">SUMPRODUCT(($C$13164:$C$13166&lt;C13166)*$C$13160:$C$13162)</f>
        <v>1349.6193225</v>
      </c>
    </row>
    <row r="13171" customFormat="false" ht="15" hidden="false" customHeight="false" outlineLevel="0" collapsed="false">
      <c r="A13171" s="23" t="s">
        <v>509</v>
      </c>
      <c r="B13171" s="24"/>
      <c r="C13171" s="24"/>
      <c r="D13171" s="24"/>
      <c r="E13171" s="24"/>
      <c r="F13171" s="24"/>
      <c r="G13171" s="24"/>
      <c r="H13171" s="24"/>
      <c r="I13171" s="24"/>
      <c r="J13171" s="24"/>
      <c r="K13171" s="24"/>
    </row>
    <row r="13172" customFormat="false" ht="15" hidden="false" customHeight="false" outlineLevel="0" collapsed="false">
      <c r="A13172" s="3" t="s">
        <v>499</v>
      </c>
      <c r="C13172" s="25" t="n">
        <f aca="false">SUMPRODUCT(($C$13164:$C$13166=C13164)*$C$13160:$C$13162)</f>
        <v>1349.6193225</v>
      </c>
    </row>
    <row r="13173" customFormat="false" ht="15" hidden="false" customHeight="false" outlineLevel="0" collapsed="false">
      <c r="A13173" s="3" t="s">
        <v>500</v>
      </c>
      <c r="C13173" s="25" t="n">
        <f aca="false">SUMPRODUCT(($C$13164:$C$13166=C13165)*$C$13160:$C$13162)</f>
        <v>0</v>
      </c>
    </row>
    <row r="13174" customFormat="false" ht="15" hidden="false" customHeight="false" outlineLevel="0" collapsed="false">
      <c r="A13174" s="3" t="s">
        <v>501</v>
      </c>
      <c r="C13174" s="25" t="n">
        <f aca="false">SUMPRODUCT(($C$13164:$C$13166=C13166)*$C$13160:$C$13162)</f>
        <v>0</v>
      </c>
    </row>
    <row r="13175" customFormat="false" ht="15" hidden="false" customHeight="false" outlineLevel="0" collapsed="false">
      <c r="A13175" s="23" t="s">
        <v>510</v>
      </c>
      <c r="B13175" s="24"/>
      <c r="C13175" s="24"/>
      <c r="D13175" s="24"/>
      <c r="E13175" s="24"/>
      <c r="F13175" s="24"/>
      <c r="G13175" s="24"/>
      <c r="H13175" s="24"/>
      <c r="I13175" s="24"/>
      <c r="J13175" s="24"/>
      <c r="K13175" s="24"/>
    </row>
    <row r="13176" customFormat="false" ht="15" hidden="false" customHeight="false" outlineLevel="0" collapsed="false">
      <c r="A13176" s="3" t="s">
        <v>499</v>
      </c>
      <c r="C13176" s="25" t="n">
        <f aca="false">IF(C13172=0,0,C13160/C13172*MAX(0,MIN(C13172,$C$13138-SUM($C$13152:$C$13154)-C13168)))</f>
        <v>818.252611299105</v>
      </c>
    </row>
    <row r="13177" customFormat="false" ht="15" hidden="false" customHeight="false" outlineLevel="0" collapsed="false">
      <c r="A13177" s="3" t="s">
        <v>500</v>
      </c>
      <c r="C13177" s="25" t="n">
        <f aca="false">IF(C13173=0,0,C13161/C13173*MAX(0,MIN(C13173,$C$13138-SUM($C$13152:$C$13154)-C13169)))</f>
        <v>0</v>
      </c>
    </row>
    <row r="13178" customFormat="false" ht="15" hidden="false" customHeight="false" outlineLevel="0" collapsed="false">
      <c r="A13178" s="3" t="s">
        <v>501</v>
      </c>
      <c r="C13178" s="25" t="n">
        <f aca="false">IF(C13174=0,0,C13162/C13174*MAX(0,MIN(C13174,$C$13138-SUM($C$13152:$C$13154)-C13170)))</f>
        <v>0</v>
      </c>
    </row>
    <row r="13179" customFormat="false" ht="15" hidden="false" customHeight="false" outlineLevel="0" collapsed="false">
      <c r="A13179" s="23" t="s">
        <v>511</v>
      </c>
      <c r="B13179" s="24"/>
      <c r="C13179" s="24"/>
      <c r="D13179" s="24"/>
      <c r="E13179" s="24"/>
      <c r="F13179" s="24"/>
      <c r="G13179" s="24"/>
      <c r="H13179" s="24"/>
      <c r="I13179" s="24"/>
      <c r="J13179" s="24"/>
      <c r="K13179" s="24"/>
    </row>
    <row r="13180" customFormat="false" ht="15" hidden="false" customHeight="false" outlineLevel="0" collapsed="false">
      <c r="A13180" s="2" t="s">
        <v>499</v>
      </c>
      <c r="C13180" s="16" t="n">
        <f aca="false">C13152+C13176</f>
        <v>818.252611299105</v>
      </c>
    </row>
    <row r="13181" customFormat="false" ht="15" hidden="false" customHeight="false" outlineLevel="0" collapsed="false">
      <c r="A13181" s="2" t="s">
        <v>500</v>
      </c>
      <c r="C13181" s="16" t="n">
        <f aca="false">C13153+C13177</f>
        <v>0</v>
      </c>
    </row>
    <row r="13182" customFormat="false" ht="15" hidden="false" customHeight="false" outlineLevel="0" collapsed="false">
      <c r="A13182" s="2" t="s">
        <v>501</v>
      </c>
      <c r="C13182" s="16" t="n">
        <f aca="false">C13154+C13178</f>
        <v>0</v>
      </c>
    </row>
    <row r="13183" customFormat="false" ht="15" hidden="false" customHeight="false" outlineLevel="0" collapsed="false">
      <c r="A13183" s="23" t="s">
        <v>512</v>
      </c>
      <c r="B13183" s="24"/>
      <c r="C13183" s="24"/>
      <c r="D13183" s="24"/>
      <c r="E13183" s="24"/>
      <c r="F13183" s="24"/>
      <c r="G13183" s="24"/>
      <c r="H13183" s="24"/>
      <c r="I13183" s="24"/>
      <c r="J13183" s="24"/>
      <c r="K13183" s="24"/>
    </row>
    <row r="13184" customFormat="false" ht="15" hidden="false" customHeight="false" outlineLevel="0" collapsed="false">
      <c r="A13184" s="3" t="s">
        <v>499</v>
      </c>
      <c r="C13184" s="21" t="n">
        <f aca="false">IF(C13140=0,1,C13180/C13140)</f>
        <v>0.606284007392095</v>
      </c>
    </row>
    <row r="13185" customFormat="false" ht="15" hidden="false" customHeight="false" outlineLevel="0" collapsed="false">
      <c r="A13185" s="3" t="s">
        <v>500</v>
      </c>
      <c r="C13185" s="21" t="n">
        <f aca="false">IF(C13141=0,1,C13181/C13141)</f>
        <v>1</v>
      </c>
    </row>
    <row r="13186" customFormat="false" ht="15" hidden="false" customHeight="false" outlineLevel="0" collapsed="false">
      <c r="A13186" s="3" t="s">
        <v>501</v>
      </c>
      <c r="C13186" s="21" t="n">
        <f aca="false">IF(C13142=0,1,C13182/C13142)</f>
        <v>1</v>
      </c>
    </row>
    <row r="13187" customFormat="false" ht="15" hidden="false" customHeight="false" outlineLevel="0" collapsed="false">
      <c r="A13187" s="23" t="s">
        <v>513</v>
      </c>
      <c r="B13187" s="24"/>
      <c r="C13187" s="24"/>
      <c r="D13187" s="24"/>
      <c r="E13187" s="24"/>
      <c r="F13187" s="24"/>
      <c r="G13187" s="24"/>
      <c r="H13187" s="24"/>
      <c r="I13187" s="24"/>
      <c r="J13187" s="24"/>
      <c r="K13187" s="24"/>
    </row>
    <row r="13188" customFormat="false" ht="15" hidden="false" customHeight="false" outlineLevel="0" collapsed="false">
      <c r="A13188" s="3" t="s">
        <v>499</v>
      </c>
      <c r="C13188" s="25" t="n">
        <f aca="false">C13140-C13180</f>
        <v>531.366711200895</v>
      </c>
    </row>
    <row r="13189" customFormat="false" ht="15" hidden="false" customHeight="false" outlineLevel="0" collapsed="false">
      <c r="A13189" s="3" t="s">
        <v>500</v>
      </c>
      <c r="C13189" s="25" t="n">
        <f aca="false">C13141-C13181</f>
        <v>0</v>
      </c>
    </row>
    <row r="13190" customFormat="false" ht="15" hidden="false" customHeight="false" outlineLevel="0" collapsed="false">
      <c r="A13190" s="3" t="s">
        <v>501</v>
      </c>
      <c r="C13190" s="25" t="n">
        <f aca="false">C13142-C13182</f>
        <v>0</v>
      </c>
    </row>
    <row r="13191" customFormat="false" ht="15" hidden="false" customHeight="false" outlineLevel="0" collapsed="false">
      <c r="A13191" s="23" t="s">
        <v>514</v>
      </c>
      <c r="B13191" s="24"/>
      <c r="C13191" s="24"/>
      <c r="D13191" s="24"/>
      <c r="E13191" s="24"/>
      <c r="F13191" s="24"/>
      <c r="G13191" s="24"/>
      <c r="H13191" s="24"/>
      <c r="I13191" s="24"/>
      <c r="J13191" s="24"/>
      <c r="K13191" s="24"/>
    </row>
    <row r="13192" customFormat="false" ht="15" hidden="false" customHeight="false" outlineLevel="0" collapsed="false">
      <c r="A13192" s="3" t="s">
        <v>499</v>
      </c>
      <c r="C13192" s="21" t="n">
        <f aca="false">IF(C13140=0,0,C13188/C13140)</f>
        <v>0.393715992607905</v>
      </c>
    </row>
    <row r="13193" customFormat="false" ht="15" hidden="false" customHeight="false" outlineLevel="0" collapsed="false">
      <c r="A13193" s="3" t="s">
        <v>500</v>
      </c>
      <c r="C13193" s="21" t="n">
        <f aca="false">IF(C13141=0,0,C13189/C13141)</f>
        <v>0</v>
      </c>
    </row>
    <row r="13194" customFormat="false" ht="15" hidden="false" customHeight="false" outlineLevel="0" collapsed="false">
      <c r="A13194" s="3" t="s">
        <v>501</v>
      </c>
      <c r="C13194" s="21" t="n">
        <f aca="false">IF(C13142=0,0,C13190/C13142)</f>
        <v>0</v>
      </c>
    </row>
    <row r="13195" customFormat="false" ht="15" hidden="false" customHeight="false" outlineLevel="0" collapsed="false">
      <c r="A13195" s="2" t="s">
        <v>515</v>
      </c>
      <c r="C13195" s="16" t="n">
        <f aca="false">MAX(0,$C$13138-SUM($C$13152:$C$13154)-SUM($C$13160:$C$13162))</f>
        <v>0</v>
      </c>
    </row>
    <row r="13196" customFormat="false" ht="15" hidden="false" customHeight="false" outlineLevel="0" collapsed="false">
      <c r="A13196" s="3" t="s">
        <v>516</v>
      </c>
      <c r="C13196" s="25" t="n">
        <f aca="false">SUM($C$13180:$C$13182)+C13195+C13137-C13136</f>
        <v>0</v>
      </c>
    </row>
    <row r="13198" customFormat="false" ht="15" hidden="false" customHeight="false" outlineLevel="0" collapsed="false">
      <c r="A13198" s="23" t="s">
        <v>519</v>
      </c>
      <c r="B13198" s="24"/>
      <c r="C13198" s="24"/>
      <c r="D13198" s="24"/>
      <c r="E13198" s="24"/>
      <c r="F13198" s="24"/>
      <c r="G13198" s="24"/>
      <c r="H13198" s="24"/>
      <c r="I13198" s="24"/>
      <c r="J13198" s="24"/>
      <c r="K13198" s="24"/>
    </row>
    <row r="13199" customFormat="false" ht="15" hidden="false" customHeight="false" outlineLevel="0" collapsed="false">
      <c r="A13199" s="3" t="s">
        <v>520</v>
      </c>
      <c r="C13199" s="27" t="n">
        <f aca="false">Assumptions!$C$33</f>
        <v>1</v>
      </c>
    </row>
    <row r="13200" customFormat="false" ht="15" hidden="false" customHeight="false" outlineLevel="0" collapsed="false">
      <c r="A13200" s="3" t="s">
        <v>521</v>
      </c>
      <c r="C13200" s="29" t="n">
        <f aca="false">Assumptions!$C$34</f>
        <v>100</v>
      </c>
    </row>
    <row r="13201" customFormat="false" ht="15" hidden="false" customHeight="false" outlineLevel="0" collapsed="false">
      <c r="A13201" s="3" t="s">
        <v>522</v>
      </c>
      <c r="C13201" s="40" t="n">
        <f aca="false">Assumptions!$C$35</f>
        <v>95</v>
      </c>
    </row>
    <row r="13202" customFormat="false" ht="15" hidden="false" customHeight="false" outlineLevel="0" collapsed="false">
      <c r="A13202" s="3" t="s">
        <v>523</v>
      </c>
      <c r="C13202" s="25" t="n">
        <f aca="false">C13200*C13201/100*(1+Assumptions!$C$36)</f>
        <v>95</v>
      </c>
    </row>
    <row r="13203" customFormat="false" ht="15" hidden="false" customHeight="false" outlineLevel="0" collapsed="false">
      <c r="A13203" s="3" t="s">
        <v>524</v>
      </c>
      <c r="C13203" s="27" t="n">
        <f aca="false">Assumptions!$C$37</f>
        <v>3</v>
      </c>
    </row>
    <row r="13204" customFormat="false" ht="15" hidden="false" customHeight="false" outlineLevel="0" collapsed="false">
      <c r="A13204" s="3" t="s">
        <v>525</v>
      </c>
      <c r="C13204" s="20" t="n">
        <f aca="false">IF(C13129=1,SUMPRODUCT($G$13081:$K$13081,$G$12974:$K$12974),0)</f>
        <v>0</v>
      </c>
    </row>
    <row r="13205" customFormat="false" ht="15" hidden="false" customHeight="false" outlineLevel="0" collapsed="false">
      <c r="A13205" s="3" t="s">
        <v>526</v>
      </c>
      <c r="C13205" s="21" t="n">
        <f aca="false">IFERROR(C13200/CHOOSE(C13199,SUMPRODUCT($G$13128:$K$13128,$G$13020:$K$13020),SUMPRODUCT($G$13128:$K$13128,$G$13033:$K$13033),SUMPRODUCT($G$13128:$K$13128,$G$13046:$K$13046)),0)</f>
        <v>0.0760399605200525</v>
      </c>
    </row>
    <row r="13206" customFormat="false" ht="15" hidden="false" customHeight="false" outlineLevel="0" collapsed="false">
      <c r="A13206" s="3" t="s">
        <v>527</v>
      </c>
      <c r="C13206" s="25" t="n">
        <f aca="false">CHOOSE(C13199,C13180,C13181,C13182)*C13205</f>
        <v>62.2198962586138</v>
      </c>
    </row>
    <row r="13207" customFormat="false" ht="15" hidden="false" customHeight="false" outlineLevel="0" collapsed="false">
      <c r="A13207" s="3" t="s">
        <v>528</v>
      </c>
      <c r="C13207" s="21" t="n">
        <f aca="false">CHOOSE(C13199,C13184,C13185,C13186)</f>
        <v>0.606284007392095</v>
      </c>
    </row>
    <row r="13208" customFormat="false" ht="15" hidden="false" customHeight="false" outlineLevel="0" collapsed="false">
      <c r="A13208" s="3" t="s">
        <v>529</v>
      </c>
      <c r="C13208" s="20" t="n">
        <f aca="false">IF(C13129=1,C13204,C13203)</f>
        <v>3</v>
      </c>
    </row>
    <row r="13209" customFormat="false" ht="15" hidden="false" customHeight="false" outlineLevel="0" collapsed="false">
      <c r="A13209" s="3" t="s">
        <v>530</v>
      </c>
      <c r="C13209" s="34" t="n">
        <f aca="false">CHOOSE($C$12966,Assumptions!$C$83,Assumptions!$C$102,Assumptions!$C$121)</f>
        <v>95</v>
      </c>
    </row>
    <row r="13210" customFormat="false" ht="15" hidden="false" customHeight="false" outlineLevel="0" collapsed="false">
      <c r="A13210" s="3" t="s">
        <v>531</v>
      </c>
      <c r="C13210" s="25" t="n">
        <f aca="false">INDEX($G$12983:$K$12983,C13203)*CHOOSE($C$12966,Assumptions!$C$82,Assumptions!$C$101,Assumptions!$C$120)+MAX(0,INDEX($G$13078:$K$13078,C13203))</f>
        <v>1068.84800987949</v>
      </c>
    </row>
    <row r="13211" customFormat="false" ht="15" hidden="false" customHeight="false" outlineLevel="0" collapsed="false">
      <c r="A13211" s="23" t="s">
        <v>532</v>
      </c>
      <c r="B13211" s="24"/>
      <c r="C13211" s="24"/>
      <c r="D13211" s="24"/>
      <c r="E13211" s="24"/>
      <c r="F13211" s="24"/>
      <c r="G13211" s="24"/>
      <c r="H13211" s="24"/>
      <c r="I13211" s="24"/>
      <c r="J13211" s="24"/>
      <c r="K13211" s="24"/>
    </row>
    <row r="13212" customFormat="false" ht="15" hidden="false" customHeight="false" outlineLevel="0" collapsed="false">
      <c r="A13212" s="3" t="s">
        <v>499</v>
      </c>
      <c r="C13212" s="25" t="n">
        <f aca="false">INDEX($G$13020:$K$13020,C13203)</f>
        <v>1315.098</v>
      </c>
    </row>
    <row r="13213" customFormat="false" ht="15" hidden="false" customHeight="false" outlineLevel="0" collapsed="false">
      <c r="A13213" s="3" t="s">
        <v>500</v>
      </c>
      <c r="C13213" s="25" t="n">
        <f aca="false">INDEX($G$13033:$K$13033,C13203)</f>
        <v>0</v>
      </c>
    </row>
    <row r="13214" customFormat="false" ht="15" hidden="false" customHeight="false" outlineLevel="0" collapsed="false">
      <c r="A13214" s="3" t="s">
        <v>501</v>
      </c>
      <c r="C13214" s="25" t="n">
        <f aca="false">INDEX($G$13046:$K$13046,C13203)</f>
        <v>0</v>
      </c>
    </row>
    <row r="13215" customFormat="false" ht="15" hidden="false" customHeight="false" outlineLevel="0" collapsed="false">
      <c r="A13215" s="23" t="s">
        <v>502</v>
      </c>
      <c r="B13215" s="24"/>
      <c r="C13215" s="24"/>
      <c r="D13215" s="24"/>
      <c r="E13215" s="24"/>
      <c r="F13215" s="24"/>
      <c r="G13215" s="24"/>
      <c r="H13215" s="24"/>
      <c r="I13215" s="24"/>
      <c r="J13215" s="24"/>
      <c r="K13215" s="24"/>
    </row>
    <row r="13216" customFormat="false" ht="15" hidden="false" customHeight="false" outlineLevel="0" collapsed="false">
      <c r="A13216" s="3" t="s">
        <v>499</v>
      </c>
      <c r="C13216" s="27" t="n">
        <f aca="false">Assumptions!$M$56</f>
        <v>1</v>
      </c>
    </row>
    <row r="13217" customFormat="false" ht="15" hidden="false" customHeight="false" outlineLevel="0" collapsed="false">
      <c r="A13217" s="3" t="s">
        <v>500</v>
      </c>
      <c r="C13217" s="27" t="n">
        <f aca="false">Assumptions!$M$57</f>
        <v>2</v>
      </c>
    </row>
    <row r="13218" customFormat="false" ht="15" hidden="false" customHeight="false" outlineLevel="0" collapsed="false">
      <c r="A13218" s="3" t="s">
        <v>501</v>
      </c>
      <c r="C13218" s="27" t="n">
        <f aca="false">Assumptions!$M$58</f>
        <v>2</v>
      </c>
    </row>
    <row r="13219" customFormat="false" ht="15" hidden="false" customHeight="false" outlineLevel="0" collapsed="false">
      <c r="A13219" s="23" t="s">
        <v>503</v>
      </c>
      <c r="B13219" s="24"/>
      <c r="C13219" s="24"/>
      <c r="D13219" s="24"/>
      <c r="E13219" s="24"/>
      <c r="F13219" s="24"/>
      <c r="G13219" s="24"/>
      <c r="H13219" s="24"/>
      <c r="I13219" s="24"/>
      <c r="J13219" s="24"/>
      <c r="K13219" s="24"/>
    </row>
    <row r="13220" customFormat="false" ht="15" hidden="false" customHeight="false" outlineLevel="0" collapsed="false">
      <c r="A13220" s="3" t="s">
        <v>499</v>
      </c>
      <c r="C13220" s="35" t="n">
        <f aca="false">Assumptions!$Q$56</f>
        <v>0</v>
      </c>
    </row>
    <row r="13221" customFormat="false" ht="15" hidden="false" customHeight="false" outlineLevel="0" collapsed="false">
      <c r="A13221" s="3" t="s">
        <v>500</v>
      </c>
      <c r="C13221" s="35" t="n">
        <f aca="false">Assumptions!$Q$57</f>
        <v>0</v>
      </c>
    </row>
    <row r="13222" customFormat="false" ht="15" hidden="false" customHeight="false" outlineLevel="0" collapsed="false">
      <c r="A13222" s="3" t="s">
        <v>501</v>
      </c>
      <c r="C13222" s="35" t="n">
        <f aca="false">Assumptions!$Q$58</f>
        <v>0</v>
      </c>
    </row>
    <row r="13223" customFormat="false" ht="15" hidden="false" customHeight="false" outlineLevel="0" collapsed="false">
      <c r="A13223" s="23" t="s">
        <v>504</v>
      </c>
      <c r="B13223" s="24"/>
      <c r="C13223" s="24"/>
      <c r="D13223" s="24"/>
      <c r="E13223" s="24"/>
      <c r="F13223" s="24"/>
      <c r="G13223" s="24"/>
      <c r="H13223" s="24"/>
      <c r="I13223" s="24"/>
      <c r="J13223" s="24"/>
      <c r="K13223" s="24"/>
    </row>
    <row r="13224" customFormat="false" ht="15" hidden="false" customHeight="false" outlineLevel="0" collapsed="false">
      <c r="A13224" s="3" t="s">
        <v>499</v>
      </c>
      <c r="C13224" s="25" t="n">
        <f aca="false">IF(C13220&gt;0,MIN(C13212,C13220*$C$13210),0)</f>
        <v>0</v>
      </c>
    </row>
    <row r="13225" customFormat="false" ht="15" hidden="false" customHeight="false" outlineLevel="0" collapsed="false">
      <c r="A13225" s="3" t="s">
        <v>500</v>
      </c>
      <c r="C13225" s="25" t="n">
        <f aca="false">IF(C13221&gt;0,MIN(C13213,C13221*$C$13210),0)</f>
        <v>0</v>
      </c>
    </row>
    <row r="13226" customFormat="false" ht="15" hidden="false" customHeight="false" outlineLevel="0" collapsed="false">
      <c r="A13226" s="3" t="s">
        <v>501</v>
      </c>
      <c r="C13226" s="25" t="n">
        <f aca="false">IF(C13222&gt;0,MIN(C13214,C13222*$C$13210),0)</f>
        <v>0</v>
      </c>
    </row>
    <row r="13227" customFormat="false" ht="15" hidden="false" customHeight="false" outlineLevel="0" collapsed="false">
      <c r="A13227" s="23" t="s">
        <v>505</v>
      </c>
      <c r="B13227" s="24"/>
      <c r="C13227" s="24"/>
      <c r="D13227" s="24"/>
      <c r="E13227" s="24"/>
      <c r="F13227" s="24"/>
      <c r="G13227" s="24"/>
      <c r="H13227" s="24"/>
      <c r="I13227" s="24"/>
      <c r="J13227" s="24"/>
      <c r="K13227" s="24"/>
    </row>
    <row r="13228" customFormat="false" ht="15" hidden="false" customHeight="false" outlineLevel="0" collapsed="false">
      <c r="A13228" s="3" t="s">
        <v>499</v>
      </c>
      <c r="C13228" s="25" t="n">
        <f aca="false">IF(C13220&gt;0,C13212-C13224,0)</f>
        <v>0</v>
      </c>
    </row>
    <row r="13229" customFormat="false" ht="15" hidden="false" customHeight="false" outlineLevel="0" collapsed="false">
      <c r="A13229" s="3" t="s">
        <v>500</v>
      </c>
      <c r="C13229" s="25" t="n">
        <f aca="false">IF(C13221&gt;0,C13213-C13225,0)</f>
        <v>0</v>
      </c>
    </row>
    <row r="13230" customFormat="false" ht="15" hidden="false" customHeight="false" outlineLevel="0" collapsed="false">
      <c r="A13230" s="3" t="s">
        <v>501</v>
      </c>
      <c r="C13230" s="25" t="n">
        <f aca="false">IF(C13222&gt;0,C13214-C13226,0)</f>
        <v>0</v>
      </c>
    </row>
    <row r="13231" customFormat="false" ht="15" hidden="false" customHeight="false" outlineLevel="0" collapsed="false">
      <c r="A13231" s="23" t="s">
        <v>506</v>
      </c>
      <c r="B13231" s="24"/>
      <c r="C13231" s="24"/>
      <c r="D13231" s="24"/>
      <c r="E13231" s="24"/>
      <c r="F13231" s="24"/>
      <c r="G13231" s="24"/>
      <c r="H13231" s="24"/>
      <c r="I13231" s="24"/>
      <c r="J13231" s="24"/>
      <c r="K13231" s="24"/>
    </row>
    <row r="13232" customFormat="false" ht="15" hidden="false" customHeight="false" outlineLevel="0" collapsed="false">
      <c r="A13232" s="3" t="s">
        <v>499</v>
      </c>
      <c r="C13232" s="25" t="n">
        <f aca="false">IF(C13220&gt;0,C13228,C13212)</f>
        <v>1315.098</v>
      </c>
    </row>
    <row r="13233" customFormat="false" ht="15" hidden="false" customHeight="false" outlineLevel="0" collapsed="false">
      <c r="A13233" s="3" t="s">
        <v>500</v>
      </c>
      <c r="C13233" s="25" t="n">
        <f aca="false">IF(C13221&gt;0,C13229,C13213)</f>
        <v>0</v>
      </c>
    </row>
    <row r="13234" customFormat="false" ht="15" hidden="false" customHeight="false" outlineLevel="0" collapsed="false">
      <c r="A13234" s="3" t="s">
        <v>501</v>
      </c>
      <c r="C13234" s="25" t="n">
        <f aca="false">IF(C13222&gt;0,C13230,C13214)</f>
        <v>0</v>
      </c>
    </row>
    <row r="13235" customFormat="false" ht="15" hidden="false" customHeight="false" outlineLevel="0" collapsed="false">
      <c r="A13235" s="23" t="s">
        <v>507</v>
      </c>
      <c r="B13235" s="24"/>
      <c r="C13235" s="24"/>
      <c r="D13235" s="24"/>
      <c r="E13235" s="24"/>
      <c r="F13235" s="24"/>
      <c r="G13235" s="24"/>
      <c r="H13235" s="24"/>
      <c r="I13235" s="24"/>
      <c r="J13235" s="24"/>
      <c r="K13235" s="24"/>
    </row>
    <row r="13236" customFormat="false" ht="15" hidden="false" customHeight="false" outlineLevel="0" collapsed="false">
      <c r="A13236" s="3" t="s">
        <v>499</v>
      </c>
      <c r="C13236" s="20" t="n">
        <f aca="false">IF(C13220&gt;0,Assumptions!$C$17,C13216)</f>
        <v>1</v>
      </c>
    </row>
    <row r="13237" customFormat="false" ht="15" hidden="false" customHeight="false" outlineLevel="0" collapsed="false">
      <c r="A13237" s="3" t="s">
        <v>500</v>
      </c>
      <c r="C13237" s="20" t="n">
        <f aca="false">IF(C13221&gt;0,Assumptions!$C$17,C13217)</f>
        <v>2</v>
      </c>
    </row>
    <row r="13238" customFormat="false" ht="15" hidden="false" customHeight="false" outlineLevel="0" collapsed="false">
      <c r="A13238" s="3" t="s">
        <v>501</v>
      </c>
      <c r="C13238" s="20" t="n">
        <f aca="false">IF(C13222&gt;0,Assumptions!$C$17,C13218)</f>
        <v>2</v>
      </c>
    </row>
    <row r="13239" customFormat="false" ht="15" hidden="false" customHeight="false" outlineLevel="0" collapsed="false">
      <c r="A13239" s="23" t="s">
        <v>508</v>
      </c>
      <c r="B13239" s="24"/>
      <c r="C13239" s="24"/>
      <c r="D13239" s="24"/>
      <c r="E13239" s="24"/>
      <c r="F13239" s="24"/>
      <c r="G13239" s="24"/>
      <c r="H13239" s="24"/>
      <c r="I13239" s="24"/>
      <c r="J13239" s="24"/>
      <c r="K13239" s="24"/>
    </row>
    <row r="13240" customFormat="false" ht="15" hidden="false" customHeight="false" outlineLevel="0" collapsed="false">
      <c r="A13240" s="3" t="s">
        <v>499</v>
      </c>
      <c r="C13240" s="25" t="n">
        <f aca="false">SUMPRODUCT(($C$13236:$C$13238&lt;C13236)*$C$13232:$C$13234)</f>
        <v>0</v>
      </c>
    </row>
    <row r="13241" customFormat="false" ht="15" hidden="false" customHeight="false" outlineLevel="0" collapsed="false">
      <c r="A13241" s="3" t="s">
        <v>500</v>
      </c>
      <c r="C13241" s="25" t="n">
        <f aca="false">SUMPRODUCT(($C$13236:$C$13238&lt;C13237)*$C$13232:$C$13234)</f>
        <v>1315.098</v>
      </c>
    </row>
    <row r="13242" customFormat="false" ht="15" hidden="false" customHeight="false" outlineLevel="0" collapsed="false">
      <c r="A13242" s="3" t="s">
        <v>501</v>
      </c>
      <c r="C13242" s="25" t="n">
        <f aca="false">SUMPRODUCT(($C$13236:$C$13238&lt;C13238)*$C$13232:$C$13234)</f>
        <v>1315.098</v>
      </c>
    </row>
    <row r="13243" customFormat="false" ht="15" hidden="false" customHeight="false" outlineLevel="0" collapsed="false">
      <c r="A13243" s="23" t="s">
        <v>509</v>
      </c>
      <c r="B13243" s="24"/>
      <c r="C13243" s="24"/>
      <c r="D13243" s="24"/>
      <c r="E13243" s="24"/>
      <c r="F13243" s="24"/>
      <c r="G13243" s="24"/>
      <c r="H13243" s="24"/>
      <c r="I13243" s="24"/>
      <c r="J13243" s="24"/>
      <c r="K13243" s="24"/>
    </row>
    <row r="13244" customFormat="false" ht="15" hidden="false" customHeight="false" outlineLevel="0" collapsed="false">
      <c r="A13244" s="3" t="s">
        <v>499</v>
      </c>
      <c r="C13244" s="25" t="n">
        <f aca="false">SUMPRODUCT(($C$13236:$C$13238=C13236)*$C$13232:$C$13234)</f>
        <v>1315.098</v>
      </c>
    </row>
    <row r="13245" customFormat="false" ht="15" hidden="false" customHeight="false" outlineLevel="0" collapsed="false">
      <c r="A13245" s="3" t="s">
        <v>500</v>
      </c>
      <c r="C13245" s="25" t="n">
        <f aca="false">SUMPRODUCT(($C$13236:$C$13238=C13237)*$C$13232:$C$13234)</f>
        <v>0</v>
      </c>
    </row>
    <row r="13246" customFormat="false" ht="15" hidden="false" customHeight="false" outlineLevel="0" collapsed="false">
      <c r="A13246" s="3" t="s">
        <v>501</v>
      </c>
      <c r="C13246" s="25" t="n">
        <f aca="false">SUMPRODUCT(($C$13236:$C$13238=C13238)*$C$13232:$C$13234)</f>
        <v>0</v>
      </c>
    </row>
    <row r="13247" customFormat="false" ht="15" hidden="false" customHeight="false" outlineLevel="0" collapsed="false">
      <c r="A13247" s="23" t="s">
        <v>510</v>
      </c>
      <c r="B13247" s="24"/>
      <c r="C13247" s="24"/>
      <c r="D13247" s="24"/>
      <c r="E13247" s="24"/>
      <c r="F13247" s="24"/>
      <c r="G13247" s="24"/>
      <c r="H13247" s="24"/>
      <c r="I13247" s="24"/>
      <c r="J13247" s="24"/>
      <c r="K13247" s="24"/>
    </row>
    <row r="13248" customFormat="false" ht="15" hidden="false" customHeight="false" outlineLevel="0" collapsed="false">
      <c r="A13248" s="3" t="s">
        <v>499</v>
      </c>
      <c r="C13248" s="25" t="n">
        <f aca="false">IF(C13244=0,0,C13232/C13244*MAX(0,MIN(C13244,$C$13210-SUM($C$13224:$C$13226)-C13240)))</f>
        <v>1068.84800987949</v>
      </c>
    </row>
    <row r="13249" customFormat="false" ht="15" hidden="false" customHeight="false" outlineLevel="0" collapsed="false">
      <c r="A13249" s="3" t="s">
        <v>500</v>
      </c>
      <c r="C13249" s="25" t="n">
        <f aca="false">IF(C13245=0,0,C13233/C13245*MAX(0,MIN(C13245,$C$13210-SUM($C$13224:$C$13226)-C13241)))</f>
        <v>0</v>
      </c>
    </row>
    <row r="13250" customFormat="false" ht="15" hidden="false" customHeight="false" outlineLevel="0" collapsed="false">
      <c r="A13250" s="3" t="s">
        <v>501</v>
      </c>
      <c r="C13250" s="25" t="n">
        <f aca="false">IF(C13246=0,0,C13234/C13246*MAX(0,MIN(C13246,$C$13210-SUM($C$13224:$C$13226)-C13242)))</f>
        <v>0</v>
      </c>
    </row>
    <row r="13251" customFormat="false" ht="15" hidden="false" customHeight="false" outlineLevel="0" collapsed="false">
      <c r="A13251" s="23" t="s">
        <v>511</v>
      </c>
      <c r="B13251" s="24"/>
      <c r="C13251" s="24"/>
      <c r="D13251" s="24"/>
      <c r="E13251" s="24"/>
      <c r="F13251" s="24"/>
      <c r="G13251" s="24"/>
      <c r="H13251" s="24"/>
      <c r="I13251" s="24"/>
      <c r="J13251" s="24"/>
      <c r="K13251" s="24"/>
    </row>
    <row r="13252" customFormat="false" ht="15" hidden="false" customHeight="false" outlineLevel="0" collapsed="false">
      <c r="A13252" s="2" t="s">
        <v>499</v>
      </c>
      <c r="C13252" s="16" t="n">
        <f aca="false">C13224+C13248</f>
        <v>1068.84800987949</v>
      </c>
    </row>
    <row r="13253" customFormat="false" ht="15" hidden="false" customHeight="false" outlineLevel="0" collapsed="false">
      <c r="A13253" s="2" t="s">
        <v>500</v>
      </c>
      <c r="C13253" s="16" t="n">
        <f aca="false">C13225+C13249</f>
        <v>0</v>
      </c>
    </row>
    <row r="13254" customFormat="false" ht="15" hidden="false" customHeight="false" outlineLevel="0" collapsed="false">
      <c r="A13254" s="2" t="s">
        <v>501</v>
      </c>
      <c r="C13254" s="16" t="n">
        <f aca="false">C13226+C13250</f>
        <v>0</v>
      </c>
    </row>
    <row r="13255" customFormat="false" ht="15" hidden="false" customHeight="false" outlineLevel="0" collapsed="false">
      <c r="A13255" s="23" t="s">
        <v>512</v>
      </c>
      <c r="B13255" s="24"/>
      <c r="C13255" s="24"/>
      <c r="D13255" s="24"/>
      <c r="E13255" s="24"/>
      <c r="F13255" s="24"/>
      <c r="G13255" s="24"/>
      <c r="H13255" s="24"/>
      <c r="I13255" s="24"/>
      <c r="J13255" s="24"/>
      <c r="K13255" s="24"/>
    </row>
    <row r="13256" customFormat="false" ht="15" hidden="false" customHeight="false" outlineLevel="0" collapsed="false">
      <c r="A13256" s="3" t="s">
        <v>499</v>
      </c>
      <c r="C13256" s="21" t="n">
        <f aca="false">IF(C13212=0,1,C13252/C13212)</f>
        <v>0.812751604731729</v>
      </c>
    </row>
    <row r="13257" customFormat="false" ht="15" hidden="false" customHeight="false" outlineLevel="0" collapsed="false">
      <c r="A13257" s="3" t="s">
        <v>500</v>
      </c>
      <c r="C13257" s="21" t="n">
        <f aca="false">IF(C13213=0,1,C13253/C13213)</f>
        <v>1</v>
      </c>
    </row>
    <row r="13258" customFormat="false" ht="15" hidden="false" customHeight="false" outlineLevel="0" collapsed="false">
      <c r="A13258" s="3" t="s">
        <v>501</v>
      </c>
      <c r="C13258" s="21" t="n">
        <f aca="false">IF(C13214=0,1,C13254/C13214)</f>
        <v>1</v>
      </c>
    </row>
    <row r="13259" customFormat="false" ht="15" hidden="false" customHeight="false" outlineLevel="0" collapsed="false">
      <c r="A13259" s="23" t="s">
        <v>513</v>
      </c>
      <c r="B13259" s="24"/>
      <c r="C13259" s="24"/>
      <c r="D13259" s="24"/>
      <c r="E13259" s="24"/>
      <c r="F13259" s="24"/>
      <c r="G13259" s="24"/>
      <c r="H13259" s="24"/>
      <c r="I13259" s="24"/>
      <c r="J13259" s="24"/>
      <c r="K13259" s="24"/>
    </row>
    <row r="13260" customFormat="false" ht="15" hidden="false" customHeight="false" outlineLevel="0" collapsed="false">
      <c r="A13260" s="3" t="s">
        <v>499</v>
      </c>
      <c r="C13260" s="25" t="n">
        <f aca="false">C13212-C13252</f>
        <v>246.249990120512</v>
      </c>
    </row>
    <row r="13261" customFormat="false" ht="15" hidden="false" customHeight="false" outlineLevel="0" collapsed="false">
      <c r="A13261" s="3" t="s">
        <v>500</v>
      </c>
      <c r="C13261" s="25" t="n">
        <f aca="false">C13213-C13253</f>
        <v>0</v>
      </c>
    </row>
    <row r="13262" customFormat="false" ht="15" hidden="false" customHeight="false" outlineLevel="0" collapsed="false">
      <c r="A13262" s="3" t="s">
        <v>501</v>
      </c>
      <c r="C13262" s="25" t="n">
        <f aca="false">C13214-C13254</f>
        <v>0</v>
      </c>
    </row>
    <row r="13263" customFormat="false" ht="15" hidden="false" customHeight="false" outlineLevel="0" collapsed="false">
      <c r="A13263" s="23" t="s">
        <v>514</v>
      </c>
      <c r="B13263" s="24"/>
      <c r="C13263" s="24"/>
      <c r="D13263" s="24"/>
      <c r="E13263" s="24"/>
      <c r="F13263" s="24"/>
      <c r="G13263" s="24"/>
      <c r="H13263" s="24"/>
      <c r="I13263" s="24"/>
      <c r="J13263" s="24"/>
      <c r="K13263" s="24"/>
    </row>
    <row r="13264" customFormat="false" ht="15" hidden="false" customHeight="false" outlineLevel="0" collapsed="false">
      <c r="A13264" s="3" t="s">
        <v>499</v>
      </c>
      <c r="C13264" s="21" t="n">
        <f aca="false">IF(C13212=0,0,C13260/C13212)</f>
        <v>0.187248395268271</v>
      </c>
    </row>
    <row r="13265" customFormat="false" ht="15" hidden="false" customHeight="false" outlineLevel="0" collapsed="false">
      <c r="A13265" s="3" t="s">
        <v>500</v>
      </c>
      <c r="C13265" s="21" t="n">
        <f aca="false">IF(C13213=0,0,C13261/C13213)</f>
        <v>0</v>
      </c>
    </row>
    <row r="13266" customFormat="false" ht="15" hidden="false" customHeight="false" outlineLevel="0" collapsed="false">
      <c r="A13266" s="3" t="s">
        <v>501</v>
      </c>
      <c r="C13266" s="21" t="n">
        <f aca="false">IF(C13214=0,0,C13262/C13214)</f>
        <v>0</v>
      </c>
    </row>
    <row r="13267" customFormat="false" ht="15" hidden="false" customHeight="false" outlineLevel="0" collapsed="false">
      <c r="A13267" s="2" t="s">
        <v>515</v>
      </c>
      <c r="C13267" s="16" t="n">
        <f aca="false">MAX(0,$C$13210-SUM($C$13224:$C$13226)-SUM($C$13232:$C$13234))</f>
        <v>0</v>
      </c>
    </row>
    <row r="13268" customFormat="false" ht="15" hidden="false" customHeight="false" outlineLevel="0" collapsed="false">
      <c r="A13268" s="3" t="s">
        <v>533</v>
      </c>
      <c r="C13268" s="34" t="n">
        <f aca="false">MIN(C13209,100*CHOOSE(C13199,C13256,C13257,C13258))</f>
        <v>81.2751604731729</v>
      </c>
    </row>
    <row r="13269" customFormat="false" ht="15" hidden="false" customHeight="false" outlineLevel="0" collapsed="false">
      <c r="A13269" s="3" t="s">
        <v>534</v>
      </c>
      <c r="C13269" s="20" t="n">
        <f aca="false">IF(C13129=1,C13204+Assumptions!$C$39,C13203)</f>
        <v>3</v>
      </c>
    </row>
    <row r="13270" customFormat="false" ht="15" hidden="false" customHeight="false" outlineLevel="0" collapsed="false">
      <c r="A13270" s="23" t="s">
        <v>535</v>
      </c>
      <c r="B13270" s="24"/>
      <c r="C13270" s="24"/>
      <c r="D13270" s="24"/>
      <c r="E13270" s="24"/>
      <c r="F13270" s="24"/>
      <c r="G13270" s="24"/>
      <c r="H13270" s="24"/>
      <c r="I13270" s="24"/>
      <c r="J13270" s="24"/>
      <c r="K13270" s="24"/>
    </row>
    <row r="13271" customFormat="false" ht="15" hidden="false" customHeight="false" outlineLevel="0" collapsed="false">
      <c r="A13271" s="3" t="s">
        <v>536</v>
      </c>
      <c r="C13271" s="20" t="n">
        <f aca="false">COLUMN()-COLUMN($C$1)</f>
        <v>0</v>
      </c>
      <c r="D13271" s="20" t="n">
        <f aca="false">COLUMN()-COLUMN($C$1)</f>
        <v>1</v>
      </c>
      <c r="E13271" s="20" t="n">
        <f aca="false">COLUMN()-COLUMN($C$1)</f>
        <v>2</v>
      </c>
      <c r="F13271" s="20" t="n">
        <f aca="false">COLUMN()-COLUMN($C$1)</f>
        <v>3</v>
      </c>
      <c r="G13271" s="20" t="n">
        <f aca="false">COLUMN()-COLUMN($C$1)</f>
        <v>4</v>
      </c>
      <c r="H13271" s="20" t="n">
        <f aca="false">COLUMN()-COLUMN($C$1)</f>
        <v>5</v>
      </c>
      <c r="I13271" s="20" t="n">
        <f aca="false">COLUMN()-COLUMN($C$1)</f>
        <v>6</v>
      </c>
    </row>
    <row r="13272" customFormat="false" ht="15" hidden="false" customHeight="false" outlineLevel="0" collapsed="false">
      <c r="A13272" s="3" t="s">
        <v>537</v>
      </c>
      <c r="D13272" s="31" t="n">
        <f aca="false">CHOOSE($C$13199,G13012,G13025,G13038)</f>
        <v>0.105</v>
      </c>
      <c r="E13272" s="31" t="n">
        <f aca="false">CHOOSE($C$13199,H13012,H13025,H13038)</f>
        <v>0.105</v>
      </c>
      <c r="F13272" s="31" t="n">
        <f aca="false">CHOOSE($C$13199,I13012,I13025,I13038)</f>
        <v>0.105</v>
      </c>
      <c r="G13272" s="31" t="n">
        <f aca="false">CHOOSE($C$13199,J13012,J13025,J13038)</f>
        <v>0.105</v>
      </c>
      <c r="H13272" s="31" t="n">
        <f aca="false">CHOOSE($C$13199,K13012,K13025,K13038)</f>
        <v>0.105</v>
      </c>
    </row>
    <row r="13273" customFormat="false" ht="15" hidden="false" customHeight="false" outlineLevel="0" collapsed="false">
      <c r="A13273" s="3" t="s">
        <v>538</v>
      </c>
      <c r="D13273" s="25" t="n">
        <f aca="false">IF(D13271&lt;=$C$13208,$C$13200*D13272,0)</f>
        <v>10.5</v>
      </c>
      <c r="E13273" s="25" t="n">
        <f aca="false">IF(E13271&lt;=$C$13208,$C$13200*E13272,0)</f>
        <v>10.5</v>
      </c>
      <c r="F13273" s="25" t="n">
        <f aca="false">IF(F13271&lt;=$C$13208,$C$13200*F13272,0)</f>
        <v>10.5</v>
      </c>
      <c r="G13273" s="25" t="n">
        <f aca="false">IF(G13271&lt;=$C$13208,$C$13200*G13272,0)</f>
        <v>0</v>
      </c>
      <c r="H13273" s="25" t="n">
        <f aca="false">IF(H13271&lt;=$C$13208,$C$13200*H13272,0)</f>
        <v>0</v>
      </c>
    </row>
    <row r="13274" customFormat="false" ht="15" hidden="false" customHeight="false" outlineLevel="0" collapsed="false">
      <c r="A13274" s="3" t="s">
        <v>539</v>
      </c>
      <c r="D13274" s="25" t="n">
        <f aca="false">IF(AND($C$13129=0,D13271=$C$13203),$C$13200*$C$13268/100,0)+IF(AND($C$13129=1,D13271=$C$13269),$C$13206,0)</f>
        <v>0</v>
      </c>
      <c r="E13274" s="25" t="n">
        <f aca="false">IF(AND($C$13129=0,E13271=$C$13203),$C$13200*$C$13268/100,0)+IF(AND($C$13129=1,E13271=$C$13269),$C$13206,0)</f>
        <v>0</v>
      </c>
      <c r="F13274" s="25" t="n">
        <f aca="false">IF(AND($C$13129=0,F13271=$C$13203),$C$13200*$C$13268/100,0)+IF(AND($C$13129=1,F13271=$C$13269),$C$13206,0)</f>
        <v>81.2751604731729</v>
      </c>
      <c r="G13274" s="25" t="n">
        <f aca="false">IF(AND($C$13129=0,G13271=$C$13203),$C$13200*$C$13268/100,0)+IF(AND($C$13129=1,G13271=$C$13269),$C$13206,0)</f>
        <v>0</v>
      </c>
      <c r="H13274" s="25" t="n">
        <f aca="false">IF(AND($C$13129=0,H13271=$C$13203),$C$13200*$C$13268/100,0)+IF(AND($C$13129=1,H13271=$C$13269),$C$13206,0)</f>
        <v>0</v>
      </c>
      <c r="I13274" s="25" t="n">
        <f aca="false">IF(AND($C$13129=0,I13271=$C$13203),$C$13200*$C$13268/100,0)+IF(AND($C$13129=1,I13271=$C$13269),$C$13206,0)</f>
        <v>0</v>
      </c>
    </row>
    <row r="13275" customFormat="false" ht="15" hidden="false" customHeight="false" outlineLevel="0" collapsed="false">
      <c r="A13275" s="2" t="s">
        <v>540</v>
      </c>
      <c r="C13275" s="16" t="n">
        <f aca="false">-$C$13202</f>
        <v>-95</v>
      </c>
      <c r="D13275" s="16" t="n">
        <f aca="false">D13273+D13274</f>
        <v>10.5</v>
      </c>
      <c r="E13275" s="16" t="n">
        <f aca="false">E13273+E13274</f>
        <v>10.5</v>
      </c>
      <c r="F13275" s="16" t="n">
        <f aca="false">F13273+F13274</f>
        <v>91.7751604731729</v>
      </c>
      <c r="G13275" s="16" t="n">
        <f aca="false">G13273+G13274</f>
        <v>0</v>
      </c>
      <c r="H13275" s="16" t="n">
        <f aca="false">H13273+H13274</f>
        <v>0</v>
      </c>
      <c r="I13275" s="16" t="n">
        <f aca="false">I13273+I13274</f>
        <v>0</v>
      </c>
    </row>
    <row r="13276" customFormat="false" ht="15" hidden="false" customHeight="false" outlineLevel="0" collapsed="false">
      <c r="A13276" s="3" t="s">
        <v>541</v>
      </c>
      <c r="C13276" s="25" t="n">
        <f aca="false">SUM($C$13273:$I$13273)</f>
        <v>31.5</v>
      </c>
    </row>
    <row r="13277" customFormat="false" ht="15" hidden="false" customHeight="false" outlineLevel="0" collapsed="false">
      <c r="A13277" s="3" t="s">
        <v>542</v>
      </c>
      <c r="C13277" s="25" t="n">
        <f aca="false">SUM($C$13274:$I$13274)</f>
        <v>81.2751604731729</v>
      </c>
    </row>
    <row r="13278" customFormat="false" ht="15" hidden="false" customHeight="false" outlineLevel="0" collapsed="false">
      <c r="A13278" s="3" t="s">
        <v>543</v>
      </c>
      <c r="C13278" s="25" t="n">
        <f aca="false">C13276+C13277</f>
        <v>112.775160473173</v>
      </c>
    </row>
    <row r="13279" customFormat="false" ht="15" hidden="false" customHeight="false" outlineLevel="0" collapsed="false">
      <c r="A13279" s="3" t="s">
        <v>544</v>
      </c>
      <c r="C13279" s="25" t="n">
        <f aca="false">C13277-C13200*C13201/100</f>
        <v>-13.7248395268271</v>
      </c>
    </row>
    <row r="13280" customFormat="false" ht="15" hidden="false" customHeight="false" outlineLevel="0" collapsed="false">
      <c r="A13280" s="3" t="s">
        <v>545</v>
      </c>
      <c r="C13280" s="25" t="n">
        <f aca="false">C13278-C13202</f>
        <v>17.7751604731729</v>
      </c>
    </row>
    <row r="13281" customFormat="false" ht="15" hidden="false" customHeight="false" outlineLevel="0" collapsed="false">
      <c r="A13281" s="2" t="s">
        <v>427</v>
      </c>
      <c r="C13281" s="44" t="n">
        <f aca="false">C13278/C13202</f>
        <v>1.18710695234919</v>
      </c>
    </row>
    <row r="13282" customFormat="false" ht="15" hidden="false" customHeight="false" outlineLevel="0" collapsed="false">
      <c r="A13282" s="2" t="s">
        <v>426</v>
      </c>
      <c r="C13282" s="42" t="n">
        <f aca="false">IF(C13278&lt;=0,-1,IFERROR(IRR($C$13275:$I$13275,MAX(-0.9,C13281^(1/C13269)-1)),IRR($C$13275:$I$13275,0.1)))</f>
        <v>0.0653848807562152</v>
      </c>
    </row>
    <row r="13283" customFormat="false" ht="15" hidden="false" customHeight="false" outlineLevel="0" collapsed="false">
      <c r="A13283" s="3" t="s">
        <v>546</v>
      </c>
      <c r="C13283" s="32" t="n">
        <f aca="false">MAX($G$13089:$K$13089)</f>
        <v>7.33831226622703</v>
      </c>
    </row>
    <row r="13284" customFormat="false" ht="15" hidden="false" customHeight="false" outlineLevel="0" collapsed="false">
      <c r="A13284" s="3" t="s">
        <v>547</v>
      </c>
      <c r="C13284" s="32" t="n">
        <f aca="false">MIN($G$13090:$K$13090)</f>
        <v>1.18070192905498</v>
      </c>
    </row>
    <row r="13285" customFormat="false" ht="15" hidden="false" customHeight="false" outlineLevel="0" collapsed="false">
      <c r="A13285" s="3" t="s">
        <v>548</v>
      </c>
      <c r="C13285" s="25" t="n">
        <f aca="false">SUM($G$12996:$K$12996)</f>
        <v>75.1374128562126</v>
      </c>
    </row>
    <row r="13289" customFormat="false" ht="15" hidden="false" customHeight="false" outlineLevel="0" collapsed="false">
      <c r="A13289" s="9" t="s">
        <v>1055</v>
      </c>
      <c r="B13289" s="10"/>
      <c r="C13289" s="10"/>
      <c r="D13289" s="10"/>
      <c r="E13289" s="10"/>
      <c r="F13289" s="10"/>
      <c r="G13289" s="10"/>
      <c r="H13289" s="10"/>
      <c r="I13289" s="10"/>
      <c r="J13289" s="10"/>
      <c r="K13289" s="10"/>
    </row>
    <row r="13290" customFormat="false" ht="15" hidden="false" customHeight="false" outlineLevel="0" collapsed="false">
      <c r="A13290" s="3" t="s">
        <v>1010</v>
      </c>
      <c r="C13290" s="11" t="n">
        <v>2</v>
      </c>
    </row>
    <row r="13291" customFormat="false" ht="15" hidden="false" customHeight="false" outlineLevel="0" collapsed="false">
      <c r="A13291" s="3" t="s">
        <v>1011</v>
      </c>
      <c r="C13291" s="18" t="n">
        <v>0</v>
      </c>
    </row>
    <row r="13292" customFormat="false" ht="15" hidden="false" customHeight="false" outlineLevel="0" collapsed="false">
      <c r="A13292" s="3" t="s">
        <v>1012</v>
      </c>
      <c r="C13292" s="18" t="n">
        <v>0</v>
      </c>
    </row>
    <row r="13293" customFormat="false" ht="15" hidden="false" customHeight="false" outlineLevel="0" collapsed="false">
      <c r="A13293" s="3" t="s">
        <v>1013</v>
      </c>
      <c r="C13293" s="30" t="n">
        <f aca="false">Sensitivities!$A$53</f>
        <v>0.01</v>
      </c>
    </row>
    <row r="13294" customFormat="false" ht="15" hidden="false" customHeight="false" outlineLevel="0" collapsed="false">
      <c r="A13294" s="3" t="s">
        <v>1014</v>
      </c>
      <c r="C13294" s="15" t="n">
        <v>0</v>
      </c>
    </row>
    <row r="13296" customFormat="false" ht="15" hidden="false" customHeight="false" outlineLevel="0" collapsed="false">
      <c r="A13296" s="23" t="s">
        <v>281</v>
      </c>
      <c r="B13296" s="24"/>
      <c r="C13296" s="24"/>
      <c r="D13296" s="24"/>
      <c r="E13296" s="24"/>
      <c r="F13296" s="24"/>
      <c r="G13296" s="24"/>
      <c r="H13296" s="24"/>
      <c r="I13296" s="24"/>
      <c r="J13296" s="24"/>
      <c r="K13296" s="24"/>
    </row>
    <row r="13297" customFormat="false" ht="15" hidden="false" customHeight="false" outlineLevel="0" collapsed="false">
      <c r="A13297" s="3" t="s">
        <v>282</v>
      </c>
      <c r="F13297" s="27" t="n">
        <f aca="false">Assumptions!$C$6</f>
        <v>2026</v>
      </c>
      <c r="G13297" s="20" t="n">
        <f aca="false">F13297+1</f>
        <v>2027</v>
      </c>
      <c r="H13297" s="20" t="n">
        <f aca="false">G13297+1</f>
        <v>2028</v>
      </c>
      <c r="I13297" s="20" t="n">
        <f aca="false">H13297+1</f>
        <v>2029</v>
      </c>
      <c r="J13297" s="20" t="n">
        <f aca="false">I13297+1</f>
        <v>2030</v>
      </c>
      <c r="K13297" s="20" t="n">
        <f aca="false">J13297+1</f>
        <v>2031</v>
      </c>
    </row>
    <row r="13298" customFormat="false" ht="15" hidden="false" customHeight="false" outlineLevel="0" collapsed="false">
      <c r="A13298" s="3" t="s">
        <v>283</v>
      </c>
      <c r="G13298" s="20" t="n">
        <f aca="false">G13297-Assumptions!$C$6</f>
        <v>1</v>
      </c>
      <c r="H13298" s="20" t="n">
        <f aca="false">H13297-Assumptions!$C$6</f>
        <v>2</v>
      </c>
      <c r="I13298" s="20" t="n">
        <f aca="false">I13297-Assumptions!$C$6</f>
        <v>3</v>
      </c>
      <c r="J13298" s="20" t="n">
        <f aca="false">J13297-Assumptions!$C$6</f>
        <v>4</v>
      </c>
      <c r="K13298" s="20" t="n">
        <f aca="false">K13297-Assumptions!$C$6</f>
        <v>5</v>
      </c>
    </row>
    <row r="13299" customFormat="false" ht="15" hidden="false" customHeight="false" outlineLevel="0" collapsed="false">
      <c r="A13299" s="3" t="s">
        <v>165</v>
      </c>
      <c r="G13299" s="21" t="n">
        <f aca="false">CHOOSE($C$13290,Assumptions!$G$71,Assumptions!$G$90,Assumptions!$G$109)+$C$13291</f>
        <v>-0.08</v>
      </c>
      <c r="H13299" s="21" t="n">
        <f aca="false">CHOOSE($C$13290,Assumptions!$H$71,Assumptions!$H$90,Assumptions!$H$109)+$C$13291</f>
        <v>-0.07</v>
      </c>
      <c r="I13299" s="21" t="n">
        <f aca="false">CHOOSE($C$13290,Assumptions!$I$71,Assumptions!$I$90,Assumptions!$I$109)+$C$13291</f>
        <v>-0.06</v>
      </c>
      <c r="J13299" s="21" t="n">
        <f aca="false">CHOOSE($C$13290,Assumptions!$J$71,Assumptions!$J$90,Assumptions!$J$109)+$C$13291</f>
        <v>-0.05</v>
      </c>
      <c r="K13299" s="21" t="n">
        <f aca="false">CHOOSE($C$13290,Assumptions!$K$71,Assumptions!$K$90,Assumptions!$K$109)+$C$13291</f>
        <v>-0.05</v>
      </c>
    </row>
    <row r="13300" customFormat="false" ht="15" hidden="false" customHeight="false" outlineLevel="0" collapsed="false">
      <c r="A13300" s="3" t="s">
        <v>166</v>
      </c>
      <c r="G13300" s="21" t="n">
        <f aca="false">CHOOSE($C$13290,Assumptions!$G$72,Assumptions!$G$91,Assumptions!$G$110)</f>
        <v>0.463246670103635</v>
      </c>
      <c r="H13300" s="21" t="n">
        <f aca="false">CHOOSE($C$13290,Assumptions!$H$72,Assumptions!$H$91,Assumptions!$H$110)</f>
        <v>0.453246670103635</v>
      </c>
      <c r="I13300" s="21" t="n">
        <f aca="false">CHOOSE($C$13290,Assumptions!$I$72,Assumptions!$I$91,Assumptions!$I$110)</f>
        <v>0.448246670103634</v>
      </c>
      <c r="J13300" s="21" t="n">
        <f aca="false">CHOOSE($C$13290,Assumptions!$J$72,Assumptions!$J$91,Assumptions!$J$110)</f>
        <v>0.443246670103635</v>
      </c>
      <c r="K13300" s="21" t="n">
        <f aca="false">CHOOSE($C$13290,Assumptions!$K$72,Assumptions!$K$91,Assumptions!$K$110)</f>
        <v>0.443246670103635</v>
      </c>
    </row>
    <row r="13301" customFormat="false" ht="15" hidden="false" customHeight="false" outlineLevel="0" collapsed="false">
      <c r="A13301" s="3" t="s">
        <v>167</v>
      </c>
      <c r="G13301" s="21" t="n">
        <f aca="false">CHOOSE($C$13290,Assumptions!$G$73,Assumptions!$G$92,Assumptions!$G$111)+$C$13292</f>
        <v>0.12</v>
      </c>
      <c r="H13301" s="21" t="n">
        <f aca="false">CHOOSE($C$13290,Assumptions!$H$73,Assumptions!$H$92,Assumptions!$H$111)+$C$13292</f>
        <v>0.11</v>
      </c>
      <c r="I13301" s="21" t="n">
        <f aca="false">CHOOSE($C$13290,Assumptions!$I$73,Assumptions!$I$92,Assumptions!$I$111)+$C$13292</f>
        <v>0.105</v>
      </c>
      <c r="J13301" s="21" t="n">
        <f aca="false">CHOOSE($C$13290,Assumptions!$J$73,Assumptions!$J$92,Assumptions!$J$111)+$C$13292</f>
        <v>0.1</v>
      </c>
      <c r="K13301" s="21" t="n">
        <f aca="false">CHOOSE($C$13290,Assumptions!$K$73,Assumptions!$K$92,Assumptions!$K$111)+$C$13292</f>
        <v>0.1</v>
      </c>
    </row>
    <row r="13302" customFormat="false" ht="15" hidden="false" customHeight="false" outlineLevel="0" collapsed="false">
      <c r="A13302" s="23" t="s">
        <v>284</v>
      </c>
      <c r="B13302" s="24"/>
      <c r="C13302" s="24"/>
      <c r="D13302" s="24"/>
      <c r="E13302" s="24"/>
      <c r="F13302" s="24"/>
      <c r="G13302" s="24"/>
      <c r="H13302" s="24"/>
      <c r="I13302" s="24"/>
      <c r="J13302" s="24"/>
      <c r="K13302" s="24"/>
    </row>
    <row r="13303" customFormat="false" ht="15" hidden="false" customHeight="false" outlineLevel="0" collapsed="false">
      <c r="A13303" s="2" t="s">
        <v>256</v>
      </c>
      <c r="F13303" s="28" t="n">
        <f aca="false">'Historical Financials'!G23</f>
        <v>2246.166</v>
      </c>
      <c r="G13303" s="16" t="n">
        <f aca="false">F13303*(1+G13299)</f>
        <v>2066.47272</v>
      </c>
      <c r="H13303" s="16" t="n">
        <f aca="false">G13303*(1+H13299)</f>
        <v>1921.8196296</v>
      </c>
      <c r="I13303" s="16" t="n">
        <f aca="false">H13303*(1+I13299)</f>
        <v>1806.510451824</v>
      </c>
      <c r="J13303" s="16" t="n">
        <f aca="false">I13303*(1+J13299)</f>
        <v>1716.1849292328</v>
      </c>
      <c r="K13303" s="16" t="n">
        <f aca="false">J13303*(1+K13299)</f>
        <v>1630.37568277116</v>
      </c>
    </row>
    <row r="13304" customFormat="false" ht="15" hidden="false" customHeight="false" outlineLevel="0" collapsed="false">
      <c r="A13304" s="3" t="s">
        <v>257</v>
      </c>
      <c r="G13304" s="25" t="n">
        <f aca="false">G13303*(1-G13300)</f>
        <v>1109.1861136</v>
      </c>
      <c r="H13304" s="25" t="n">
        <f aca="false">H13303*(1-H13300)</f>
        <v>1050.761281944</v>
      </c>
      <c r="I13304" s="25" t="n">
        <f aca="false">I13303*(1-I13300)</f>
        <v>996.74815728648</v>
      </c>
      <c r="J13304" s="25" t="n">
        <f aca="false">J13303*(1-J13300)</f>
        <v>955.49167406832</v>
      </c>
      <c r="K13304" s="25" t="n">
        <f aca="false">K13303*(1-K13300)</f>
        <v>907.717090364904</v>
      </c>
    </row>
    <row r="13305" customFormat="false" ht="15" hidden="false" customHeight="false" outlineLevel="0" collapsed="false">
      <c r="A13305" s="2" t="s">
        <v>258</v>
      </c>
      <c r="G13305" s="16" t="n">
        <f aca="false">G13303-G13304</f>
        <v>957.2866064</v>
      </c>
      <c r="H13305" s="16" t="n">
        <f aca="false">H13303-H13304</f>
        <v>871.058347656</v>
      </c>
      <c r="I13305" s="16" t="n">
        <f aca="false">I13303-I13304</f>
        <v>809.76229453752</v>
      </c>
      <c r="J13305" s="16" t="n">
        <f aca="false">J13303-J13304</f>
        <v>760.69325516448</v>
      </c>
      <c r="K13305" s="16" t="n">
        <f aca="false">K13303-K13304</f>
        <v>722.658592406256</v>
      </c>
    </row>
    <row r="13306" customFormat="false" ht="15" hidden="false" customHeight="false" outlineLevel="0" collapsed="false">
      <c r="A13306" s="3" t="s">
        <v>285</v>
      </c>
      <c r="G13306" s="25" t="n">
        <f aca="false">G13305-G13307</f>
        <v>709.30988</v>
      </c>
      <c r="H13306" s="25" t="n">
        <f aca="false">H13305-H13307</f>
        <v>659.6581884</v>
      </c>
      <c r="I13306" s="25" t="n">
        <f aca="false">I13305-I13307</f>
        <v>620.078697096</v>
      </c>
      <c r="J13306" s="25" t="n">
        <f aca="false">J13305-J13307</f>
        <v>589.0747622412</v>
      </c>
      <c r="K13306" s="25" t="n">
        <f aca="false">K13305-K13307</f>
        <v>559.62102412914</v>
      </c>
    </row>
    <row r="13307" customFormat="false" ht="15" hidden="false" customHeight="false" outlineLevel="0" collapsed="false">
      <c r="A13307" s="2" t="s">
        <v>286</v>
      </c>
      <c r="G13307" s="16" t="n">
        <f aca="false">G13303*G13301</f>
        <v>247.9767264</v>
      </c>
      <c r="H13307" s="16" t="n">
        <f aca="false">H13303*H13301</f>
        <v>211.400159256</v>
      </c>
      <c r="I13307" s="16" t="n">
        <f aca="false">I13303*I13301</f>
        <v>189.68359744152</v>
      </c>
      <c r="J13307" s="16" t="n">
        <f aca="false">J13303*J13301</f>
        <v>171.61849292328</v>
      </c>
      <c r="K13307" s="16" t="n">
        <f aca="false">K13303*K13301</f>
        <v>163.037568277116</v>
      </c>
    </row>
    <row r="13308" customFormat="false" ht="15" hidden="false" customHeight="false" outlineLevel="0" collapsed="false">
      <c r="A13308" s="3" t="s">
        <v>287</v>
      </c>
      <c r="G13308" s="25" t="n">
        <f aca="false">G13303*'Historical Financials'!G28/'Historical Financials'!G23</f>
        <v>78.47232</v>
      </c>
      <c r="H13308" s="25" t="n">
        <f aca="false">H13303*'Historical Financials'!G28/'Historical Financials'!G23</f>
        <v>72.9792576</v>
      </c>
      <c r="I13308" s="25" t="n">
        <f aca="false">I13303*'Historical Financials'!G28/'Historical Financials'!G23</f>
        <v>68.600502144</v>
      </c>
      <c r="J13308" s="25" t="n">
        <f aca="false">J13303*'Historical Financials'!G28/'Historical Financials'!G23</f>
        <v>65.1704770368</v>
      </c>
      <c r="K13308" s="25" t="n">
        <f aca="false">K13303*'Historical Financials'!G28/'Historical Financials'!G23</f>
        <v>61.91195318496</v>
      </c>
    </row>
    <row r="13309" customFormat="false" ht="15" hidden="false" customHeight="false" outlineLevel="0" collapsed="false">
      <c r="A13309" s="3" t="s">
        <v>288</v>
      </c>
      <c r="G13309" s="25" t="n">
        <f aca="false">G13303*'Historical Financials'!G29/'Historical Financials'!G23</f>
        <v>22.40752</v>
      </c>
      <c r="H13309" s="25" t="n">
        <f aca="false">H13303*'Historical Financials'!G29/'Historical Financials'!G23</f>
        <v>20.8389936</v>
      </c>
      <c r="I13309" s="25" t="n">
        <f aca="false">I13303*'Historical Financials'!G29/'Historical Financials'!G23</f>
        <v>19.588653984</v>
      </c>
      <c r="J13309" s="25" t="n">
        <f aca="false">J13303*'Historical Financials'!G29/'Historical Financials'!G23</f>
        <v>18.6092212848</v>
      </c>
      <c r="K13309" s="25" t="n">
        <f aca="false">K13303*'Historical Financials'!G29/'Historical Financials'!G23</f>
        <v>17.67876022056</v>
      </c>
    </row>
    <row r="13310" customFormat="false" ht="15" hidden="false" customHeight="false" outlineLevel="0" collapsed="false">
      <c r="A13310" s="2" t="s">
        <v>289</v>
      </c>
      <c r="G13310" s="16" t="n">
        <f aca="false">G13307-G13308-G13309</f>
        <v>147.0968864</v>
      </c>
      <c r="H13310" s="16" t="n">
        <f aca="false">H13307-H13308-H13309</f>
        <v>117.581908056</v>
      </c>
      <c r="I13310" s="16" t="n">
        <f aca="false">I13307-I13308-I13309</f>
        <v>101.49444131352</v>
      </c>
      <c r="J13310" s="16" t="n">
        <f aca="false">J13307-J13308-J13309</f>
        <v>87.83879460168</v>
      </c>
      <c r="K13310" s="16" t="n">
        <f aca="false">K13307-K13308-K13309</f>
        <v>83.446854871596</v>
      </c>
    </row>
    <row r="13311" customFormat="false" ht="15" hidden="false" customHeight="false" outlineLevel="0" collapsed="false">
      <c r="A13311" s="3" t="s">
        <v>290</v>
      </c>
      <c r="G13311" s="25" t="n">
        <f aca="false">G13337+G13350+G13363</f>
        <v>155.95467</v>
      </c>
      <c r="H13311" s="25" t="n">
        <f aca="false">H13337+H13350+H13363</f>
        <v>155.95467</v>
      </c>
      <c r="I13311" s="25" t="n">
        <f aca="false">I13337+I13350+I13363</f>
        <v>155.95467</v>
      </c>
      <c r="J13311" s="25" t="n">
        <f aca="false">J13337+J13350+J13363</f>
        <v>138.08529</v>
      </c>
      <c r="K13311" s="25" t="n">
        <f aca="false">K13337+K13350+K13363</f>
        <v>138.08529</v>
      </c>
    </row>
    <row r="13312" customFormat="false" ht="15" hidden="false" customHeight="false" outlineLevel="0" collapsed="false">
      <c r="A13312" s="3" t="s">
        <v>291</v>
      </c>
      <c r="G13312" s="25" t="n">
        <f aca="false">G13338+G13351+G13364</f>
        <v>0</v>
      </c>
      <c r="H13312" s="25" t="n">
        <f aca="false">H13338+H13351+H13364</f>
        <v>0</v>
      </c>
      <c r="I13312" s="25" t="n">
        <f aca="false">I13338+I13351+I13364</f>
        <v>0</v>
      </c>
      <c r="J13312" s="25" t="n">
        <f aca="false">J13338+J13351+J13364</f>
        <v>0</v>
      </c>
      <c r="K13312" s="25" t="n">
        <f aca="false">K13338+K13351+K13364</f>
        <v>0</v>
      </c>
    </row>
    <row r="13313" customFormat="false" ht="15" hidden="false" customHeight="false" outlineLevel="0" collapsed="false">
      <c r="A13313" s="3" t="s">
        <v>239</v>
      </c>
      <c r="G13313" s="25" t="n">
        <f aca="false">G13311+G13312</f>
        <v>155.95467</v>
      </c>
      <c r="H13313" s="25" t="n">
        <f aca="false">H13311+H13312</f>
        <v>155.95467</v>
      </c>
      <c r="I13313" s="25" t="n">
        <f aca="false">I13311+I13312</f>
        <v>155.95467</v>
      </c>
      <c r="J13313" s="25" t="n">
        <f aca="false">J13311+J13312</f>
        <v>138.08529</v>
      </c>
      <c r="K13313" s="25" t="n">
        <f aca="false">K13311+K13312</f>
        <v>138.08529</v>
      </c>
    </row>
    <row r="13314" customFormat="false" ht="15" hidden="false" customHeight="false" outlineLevel="0" collapsed="false">
      <c r="A13314" s="2" t="s">
        <v>264</v>
      </c>
      <c r="G13314" s="16" t="n">
        <f aca="false">G13310-G13313</f>
        <v>-8.85778360000006</v>
      </c>
      <c r="H13314" s="16" t="n">
        <f aca="false">H13310-H13313</f>
        <v>-38.372761944</v>
      </c>
      <c r="I13314" s="16" t="n">
        <f aca="false">I13310-I13313</f>
        <v>-54.46022868648</v>
      </c>
      <c r="J13314" s="16" t="n">
        <f aca="false">J13310-J13313</f>
        <v>-50.24649539832</v>
      </c>
      <c r="K13314" s="16" t="n">
        <f aca="false">K13310-K13313</f>
        <v>-54.638435128404</v>
      </c>
    </row>
    <row r="13315" customFormat="false" ht="15" hidden="false" customHeight="false" outlineLevel="0" collapsed="false">
      <c r="A13315" s="3" t="s">
        <v>292</v>
      </c>
      <c r="G13315" s="25" t="n">
        <f aca="false">MAX(0,G13314)*Assumptions!$C$9</f>
        <v>0</v>
      </c>
      <c r="H13315" s="25" t="n">
        <f aca="false">MAX(0,H13314)*Assumptions!$C$9</f>
        <v>0</v>
      </c>
      <c r="I13315" s="25" t="n">
        <f aca="false">MAX(0,I13314)*Assumptions!$C$9</f>
        <v>0</v>
      </c>
      <c r="J13315" s="25" t="n">
        <f aca="false">MAX(0,J13314)*Assumptions!$C$9</f>
        <v>0</v>
      </c>
      <c r="K13315" s="25" t="n">
        <f aca="false">MAX(0,K13314)*Assumptions!$C$9</f>
        <v>0</v>
      </c>
    </row>
    <row r="13316" customFormat="false" ht="15" hidden="false" customHeight="false" outlineLevel="0" collapsed="false">
      <c r="A13316" s="2" t="s">
        <v>293</v>
      </c>
      <c r="G13316" s="16" t="n">
        <f aca="false">G13314-G13315</f>
        <v>-8.85778360000006</v>
      </c>
      <c r="H13316" s="16" t="n">
        <f aca="false">H13314-H13315</f>
        <v>-38.372761944</v>
      </c>
      <c r="I13316" s="16" t="n">
        <f aca="false">I13314-I13315</f>
        <v>-54.46022868648</v>
      </c>
      <c r="J13316" s="16" t="n">
        <f aca="false">J13314-J13315</f>
        <v>-50.24649539832</v>
      </c>
      <c r="K13316" s="16" t="n">
        <f aca="false">K13314-K13315</f>
        <v>-54.638435128404</v>
      </c>
    </row>
    <row r="13317" customFormat="false" ht="15" hidden="false" customHeight="false" outlineLevel="0" collapsed="false">
      <c r="A13317" s="23" t="s">
        <v>294</v>
      </c>
      <c r="B13317" s="24"/>
      <c r="C13317" s="24"/>
      <c r="D13317" s="24"/>
      <c r="E13317" s="24"/>
      <c r="F13317" s="24"/>
      <c r="G13317" s="24"/>
      <c r="H13317" s="24"/>
      <c r="I13317" s="24"/>
      <c r="J13317" s="24"/>
      <c r="K13317" s="24"/>
    </row>
    <row r="13318" customFormat="false" ht="15" hidden="false" customHeight="false" outlineLevel="0" collapsed="false">
      <c r="A13318" s="3" t="s">
        <v>169</v>
      </c>
      <c r="G13318" s="25" t="n">
        <f aca="false">G13303*CHOOSE($C$13290,Assumptions!$C$75,Assumptions!$C$94,Assumptions!$C$113)</f>
        <v>26.86414536</v>
      </c>
      <c r="H13318" s="25" t="n">
        <f aca="false">H13303*CHOOSE($C$13290,Assumptions!$C$75,Assumptions!$C$94,Assumptions!$C$113)</f>
        <v>24.9836551848</v>
      </c>
      <c r="I13318" s="25" t="n">
        <f aca="false">I13303*CHOOSE($C$13290,Assumptions!$C$75,Assumptions!$C$94,Assumptions!$C$113)</f>
        <v>23.484635873712</v>
      </c>
      <c r="J13318" s="25" t="n">
        <f aca="false">J13303*CHOOSE($C$13290,Assumptions!$C$75,Assumptions!$C$94,Assumptions!$C$113)</f>
        <v>22.3104040800264</v>
      </c>
      <c r="K13318" s="25" t="n">
        <f aca="false">K13303*CHOOSE($C$13290,Assumptions!$C$75,Assumptions!$C$94,Assumptions!$C$113)</f>
        <v>21.1948838760251</v>
      </c>
    </row>
    <row r="13319" customFormat="false" ht="15" hidden="false" customHeight="false" outlineLevel="0" collapsed="false">
      <c r="A13319" s="3" t="s">
        <v>295</v>
      </c>
      <c r="G13319" s="25" t="n">
        <f aca="false">CHOOSE($C$13290,Assumptions!$C$76,Assumptions!$C$95,Assumptions!$C$114)*(G13303-F13303)+CHOOSE($C$13290,Assumptions!$C$77,Assumptions!$C$96,Assumptions!$C$115)*G13303</f>
        <v>10.3323636</v>
      </c>
      <c r="H13319" s="25" t="n">
        <f aca="false">CHOOSE($C$13290,Assumptions!$C$76,Assumptions!$C$95,Assumptions!$C$114)*(H13303-G13303)+CHOOSE($C$13290,Assumptions!$C$77,Assumptions!$C$96,Assumptions!$C$115)*H13303</f>
        <v>9.609098148</v>
      </c>
      <c r="I13319" s="25" t="n">
        <f aca="false">CHOOSE($C$13290,Assumptions!$C$76,Assumptions!$C$95,Assumptions!$C$114)*(I13303-H13303)+CHOOSE($C$13290,Assumptions!$C$77,Assumptions!$C$96,Assumptions!$C$115)*I13303</f>
        <v>9.03255225912</v>
      </c>
      <c r="J13319" s="25" t="n">
        <f aca="false">CHOOSE($C$13290,Assumptions!$C$76,Assumptions!$C$95,Assumptions!$C$114)*(J13303-I13303)+CHOOSE($C$13290,Assumptions!$C$77,Assumptions!$C$96,Assumptions!$C$115)*J13303</f>
        <v>8.580924646164</v>
      </c>
      <c r="K13319" s="25" t="n">
        <f aca="false">CHOOSE($C$13290,Assumptions!$C$76,Assumptions!$C$95,Assumptions!$C$114)*(K13303-J13303)+CHOOSE($C$13290,Assumptions!$C$77,Assumptions!$C$96,Assumptions!$C$115)*K13303</f>
        <v>8.1518784138558</v>
      </c>
    </row>
    <row r="13320" customFormat="false" ht="15" hidden="false" customHeight="false" outlineLevel="0" collapsed="false">
      <c r="A13320" s="2" t="s">
        <v>296</v>
      </c>
      <c r="G13320" s="16" t="n">
        <f aca="false">G13316+G13308+G13309+G13312-G13318-G13319</f>
        <v>54.8255474399999</v>
      </c>
      <c r="H13320" s="16" t="n">
        <f aca="false">H13316+H13308+H13309+H13312-H13318-H13319</f>
        <v>20.8527359232</v>
      </c>
      <c r="I13320" s="16" t="n">
        <f aca="false">I13316+I13308+I13309+I13312-I13318-I13319</f>
        <v>1.21173930868796</v>
      </c>
      <c r="J13320" s="16" t="n">
        <f aca="false">J13316+J13308+J13309+J13312-J13318-J13319</f>
        <v>2.6418741970896</v>
      </c>
      <c r="K13320" s="16" t="n">
        <f aca="false">K13316+K13308+K13309+K13312-K13318-K13319</f>
        <v>-4.39448401276491</v>
      </c>
    </row>
    <row r="13322" customFormat="false" ht="15" hidden="false" customHeight="false" outlineLevel="0" collapsed="false">
      <c r="A13322" s="23" t="s">
        <v>298</v>
      </c>
      <c r="B13322" s="24"/>
      <c r="C13322" s="24"/>
      <c r="D13322" s="24"/>
      <c r="E13322" s="24"/>
      <c r="F13322" s="24"/>
      <c r="G13322" s="24"/>
      <c r="H13322" s="24"/>
      <c r="I13322" s="24"/>
      <c r="J13322" s="24"/>
      <c r="K13322" s="24"/>
    </row>
    <row r="13323" customFormat="false" ht="15" hidden="false" customHeight="false" outlineLevel="0" collapsed="false">
      <c r="A13323" s="3" t="s">
        <v>299</v>
      </c>
      <c r="G13323" s="30" t="n">
        <f aca="false">Assumptions!$G$52</f>
        <v>0.039</v>
      </c>
      <c r="H13323" s="30" t="n">
        <f aca="false">Assumptions!$H$52</f>
        <v>0.0375</v>
      </c>
      <c r="I13323" s="30" t="n">
        <f aca="false">Assumptions!$I$52</f>
        <v>0.035</v>
      </c>
      <c r="J13323" s="30" t="n">
        <f aca="false">Assumptions!$J$52</f>
        <v>0.035</v>
      </c>
      <c r="K13323" s="30" t="n">
        <f aca="false">Assumptions!$K$52</f>
        <v>0.035</v>
      </c>
    </row>
    <row r="13324" customFormat="false" ht="15" hidden="false" customHeight="false" outlineLevel="0" collapsed="false">
      <c r="A13324" s="3" t="s">
        <v>300</v>
      </c>
      <c r="C13324" s="31" t="n">
        <f aca="false">CHOOSE($C$13290,Assumptions!$C$78,Assumptions!$C$97,Assumptions!$C$116)+$C$13293</f>
        <v>0.025</v>
      </c>
    </row>
    <row r="13325" customFormat="false" ht="15" hidden="false" customHeight="false" outlineLevel="0" collapsed="false">
      <c r="A13325" s="3" t="s">
        <v>301</v>
      </c>
      <c r="C13325" s="31" t="n">
        <f aca="false">CHOOSE($C$13290,Assumptions!$C$79,Assumptions!$C$98,Assumptions!$C$117)</f>
        <v>0.13</v>
      </c>
    </row>
    <row r="13326" customFormat="false" ht="15" hidden="false" customHeight="false" outlineLevel="0" collapsed="false">
      <c r="A13326" s="3" t="s">
        <v>302</v>
      </c>
      <c r="C13326" s="32" t="n">
        <f aca="false">CHOOSE($C$13290,Assumptions!$C$80,Assumptions!$C$99,Assumptions!$C$118)</f>
        <v>5.5</v>
      </c>
    </row>
    <row r="13327" customFormat="false" ht="15" hidden="false" customHeight="false" outlineLevel="0" collapsed="false">
      <c r="A13327" s="3" t="s">
        <v>303</v>
      </c>
      <c r="C13327" s="32" t="n">
        <f aca="false">CHOOSE($C$13290,Assumptions!$C$81,Assumptions!$C$100,Assumptions!$C$119)</f>
        <v>1.5</v>
      </c>
    </row>
    <row r="13328" customFormat="false" ht="15" hidden="false" customHeight="false" outlineLevel="0" collapsed="false">
      <c r="A13328" s="3" t="s">
        <v>304</v>
      </c>
      <c r="G13328" s="25" t="n">
        <f aca="false">G13333+G13346+G13359</f>
        <v>1735.554</v>
      </c>
      <c r="H13328" s="25" t="n">
        <f aca="false">H13333+H13346+H13359</f>
        <v>1735.554</v>
      </c>
      <c r="I13328" s="25" t="n">
        <f aca="false">I13333+I13346+I13359</f>
        <v>1735.554</v>
      </c>
      <c r="J13328" s="25" t="n">
        <f aca="false">J13333+J13346+J13359</f>
        <v>1315.098</v>
      </c>
      <c r="K13328" s="25" t="n">
        <f aca="false">K13333+K13346+K13359</f>
        <v>1315.098</v>
      </c>
    </row>
    <row r="13329" customFormat="false" ht="15" hidden="false" customHeight="false" outlineLevel="0" collapsed="false">
      <c r="A13329" s="3" t="s">
        <v>305</v>
      </c>
      <c r="G13329" s="25" t="n">
        <f aca="false">F13402</f>
        <v>463.996</v>
      </c>
      <c r="H13329" s="25" t="n">
        <f aca="false">G13402</f>
        <v>518.82154744</v>
      </c>
      <c r="I13329" s="25" t="n">
        <f aca="false">H13402</f>
        <v>539.6742833632</v>
      </c>
      <c r="J13329" s="25" t="n">
        <f aca="false">I13402</f>
        <v>120.430022671888</v>
      </c>
      <c r="K13329" s="25" t="n">
        <f aca="false">J13402</f>
        <v>123.071896868977</v>
      </c>
    </row>
    <row r="13330" customFormat="false" ht="15" hidden="false" customHeight="false" outlineLevel="0" collapsed="false">
      <c r="A13330" s="3" t="s">
        <v>306</v>
      </c>
      <c r="G13330" s="25" t="n">
        <f aca="false">G13333*IF(G13334=1,$C$13325,IF(Assumptions!$I$56=1,MAX(G13323,Assumptions!$G$56)+Assumptions!$F$56+$C$13324,Assumptions!$E$56))+G13346*IF(G13347=1,$C$13325,IF(Assumptions!$I$57=1,MAX(G13323,Assumptions!$G$57)+Assumptions!$F$57+$C$13324,Assumptions!$E$57))+G13359*IF(G13360=1,$C$13325,IF(Assumptions!$I$58=1,MAX(G13323,Assumptions!$G$58)+Assumptions!$F$58+$C$13324,Assumptions!$E$58))</f>
        <v>155.95467</v>
      </c>
      <c r="H13330" s="25" t="n">
        <f aca="false">H13333*IF(OR(H13334=1,G13480=1),$C$13325,IF(Assumptions!$I$56=1,MAX(H13323,Assumptions!$G$56)+Assumptions!$F$56+$C$13324,Assumptions!$E$56))+H13346*IF(OR(H13347=1,G13481=1),$C$13325,IF(Assumptions!$I$57=1,MAX(H13323,Assumptions!$G$57)+Assumptions!$F$57+$C$13324,Assumptions!$E$57))+H13359*IF(OR(H13360=1,G13482=1),$C$13325,IF(Assumptions!$I$58=1,MAX(H13323,Assumptions!$G$58)+Assumptions!$F$58+$C$13324,Assumptions!$E$58))</f>
        <v>155.95467</v>
      </c>
      <c r="I13330" s="25" t="n">
        <f aca="false">I13333*IF(OR(I13334=1,H13480=1),$C$13325,IF(Assumptions!$I$56=1,MAX(I13323,Assumptions!$G$56)+Assumptions!$F$56+$C$13324,Assumptions!$E$56))+I13346*IF(OR(I13347=1,H13481=1),$C$13325,IF(Assumptions!$I$57=1,MAX(I13323,Assumptions!$G$57)+Assumptions!$F$57+$C$13324,Assumptions!$E$57))+I13359*IF(OR(I13360=1,H13482=1),$C$13325,IF(Assumptions!$I$58=1,MAX(I13323,Assumptions!$G$58)+Assumptions!$F$58+$C$13324,Assumptions!$E$58))</f>
        <v>192.74457</v>
      </c>
      <c r="J13330" s="25" t="n">
        <f aca="false">J13333*IF(OR(J13334=1,I13480=1),$C$13325,IF(Assumptions!$I$56=1,MAX(J13323,Assumptions!$G$56)+Assumptions!$F$56+$C$13324,Assumptions!$E$56))+J13346*IF(OR(J13347=1,I13481=1),$C$13325,IF(Assumptions!$I$57=1,MAX(J13323,Assumptions!$G$57)+Assumptions!$F$57+$C$13324,Assumptions!$E$57))+J13359*IF(OR(J13360=1,I13482=1),$C$13325,IF(Assumptions!$I$58=1,MAX(J13323,Assumptions!$G$58)+Assumptions!$F$58+$C$13324,Assumptions!$E$58))</f>
        <v>138.08529</v>
      </c>
      <c r="K13330" s="25" t="n">
        <f aca="false">K13333*IF(OR(K13334=1,J13480=1),$C$13325,IF(Assumptions!$I$56=1,MAX(K13323,Assumptions!$G$56)+Assumptions!$F$56+$C$13324,Assumptions!$E$56))+K13346*IF(OR(K13347=1,J13481=1),$C$13325,IF(Assumptions!$I$57=1,MAX(K13323,Assumptions!$G$57)+Assumptions!$F$57+$C$13324,Assumptions!$E$57))+K13359*IF(OR(K13360=1,J13482=1),$C$13325,IF(Assumptions!$I$58=1,MAX(K13323,Assumptions!$G$58)+Assumptions!$F$58+$C$13324,Assumptions!$E$58))</f>
        <v>138.08529</v>
      </c>
    </row>
    <row r="13331" customFormat="false" ht="15" hidden="false" customHeight="false" outlineLevel="0" collapsed="false">
      <c r="A13331" s="3" t="s">
        <v>307</v>
      </c>
      <c r="G13331" s="20" t="n">
        <f aca="false">IF(G13307&lt;=0,0,IF(AND((G13328-G13329)/G13307&lt;=$C$13326,G13307/G13330&gt;=$C$13327),1,0))</f>
        <v>1</v>
      </c>
      <c r="H13331" s="20" t="n">
        <f aca="false">IF(H13307&lt;=0,0,IF(AND((H13328-H13329)/H13307&lt;=$C$13326,H13307/H13330&gt;=$C$13327),1,0))</f>
        <v>0</v>
      </c>
      <c r="I13331" s="20" t="n">
        <f aca="false">IF(I13307&lt;=0,0,IF(AND((I13328-I13329)/I13307&lt;=$C$13326,I13307/I13330&gt;=$C$13327),1,0))</f>
        <v>0</v>
      </c>
      <c r="J13331" s="20" t="n">
        <f aca="false">IF(J13307&lt;=0,0,IF(AND((J13328-J13329)/J13307&lt;=$C$13326,J13307/J13330&gt;=$C$13327),1,0))</f>
        <v>0</v>
      </c>
      <c r="K13331" s="20" t="n">
        <f aca="false">IF(K13307&lt;=0,0,IF(AND((K13328-K13329)/K13307&lt;=$C$13326,K13307/K13330&gt;=$C$13327),1,0))</f>
        <v>0</v>
      </c>
    </row>
    <row r="13332" customFormat="false" ht="15" hidden="false" customHeight="false" outlineLevel="0" collapsed="false">
      <c r="A13332" s="23" t="s">
        <v>308</v>
      </c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</row>
    <row r="13333" customFormat="false" ht="15" hidden="false" customHeight="false" outlineLevel="0" collapsed="false">
      <c r="A13333" s="3" t="s">
        <v>309</v>
      </c>
      <c r="G13333" s="25" t="n">
        <f aca="false">F13344</f>
        <v>1315.098</v>
      </c>
      <c r="H13333" s="25" t="n">
        <f aca="false">G13344</f>
        <v>1315.098</v>
      </c>
      <c r="I13333" s="25" t="n">
        <f aca="false">H13344</f>
        <v>1315.098</v>
      </c>
      <c r="J13333" s="25" t="n">
        <f aca="false">I13344</f>
        <v>1315.098</v>
      </c>
      <c r="K13333" s="25" t="n">
        <f aca="false">J13344</f>
        <v>1315.098</v>
      </c>
    </row>
    <row r="13334" customFormat="false" ht="15" hidden="false" customHeight="false" outlineLevel="0" collapsed="false">
      <c r="A13334" s="3" t="s">
        <v>310</v>
      </c>
      <c r="G13334" s="20" t="n">
        <f aca="false">IF(G13297=Assumptions!$K$56,1,0)</f>
        <v>0</v>
      </c>
      <c r="H13334" s="20" t="n">
        <f aca="false">IF(H13297=Assumptions!$K$56,1,0)</f>
        <v>0</v>
      </c>
      <c r="I13334" s="20" t="n">
        <f aca="false">IF(I13297=Assumptions!$K$56,1,0)</f>
        <v>0</v>
      </c>
      <c r="J13334" s="20" t="n">
        <f aca="false">IF(J13297=Assumptions!$K$56,1,0)</f>
        <v>0</v>
      </c>
      <c r="K13334" s="20" t="n">
        <f aca="false">IF(K13297=Assumptions!$K$56,1,0)</f>
        <v>0</v>
      </c>
    </row>
    <row r="13336" customFormat="false" ht="15" hidden="false" customHeight="false" outlineLevel="0" collapsed="false">
      <c r="A13336" s="3" t="s">
        <v>311</v>
      </c>
      <c r="G13336" s="31" t="n">
        <f aca="false">IF(Assumptions!$I$56=1,MAX(G13323,Assumptions!$G$56)+Assumptions!$F$56+$C$13324,Assumptions!$E$56)</f>
        <v>0.105</v>
      </c>
      <c r="H13336" s="31" t="n">
        <f aca="false">IF(G13480=1,$C$13325,IF(Assumptions!$I$56=1,MAX(H13323,Assumptions!$G$56)+Assumptions!$F$56+$C$13324,Assumptions!$E$56))</f>
        <v>0.105</v>
      </c>
      <c r="I13336" s="31" t="n">
        <f aca="false">IF(H13480=1,$C$13325,IF(Assumptions!$I$56=1,MAX(I13323,Assumptions!$G$56)+Assumptions!$F$56+$C$13324,Assumptions!$E$56))</f>
        <v>0.105</v>
      </c>
      <c r="J13336" s="31" t="n">
        <f aca="false">IF(I13480=1,$C$13325,IF(Assumptions!$I$56=1,MAX(J13323,Assumptions!$G$56)+Assumptions!$F$56+$C$13324,Assumptions!$E$56))</f>
        <v>0.105</v>
      </c>
      <c r="K13336" s="31" t="n">
        <f aca="false">IF(J13480=1,$C$13325,IF(Assumptions!$I$56=1,MAX(K13323,Assumptions!$G$56)+Assumptions!$F$56+$C$13324,Assumptions!$E$56))</f>
        <v>0.105</v>
      </c>
    </row>
    <row r="13337" customFormat="false" ht="15" hidden="false" customHeight="false" outlineLevel="0" collapsed="false">
      <c r="A13337" s="3" t="s">
        <v>312</v>
      </c>
      <c r="G13337" s="25" t="n">
        <f aca="false">G13333*G13336</f>
        <v>138.08529</v>
      </c>
      <c r="H13337" s="25" t="n">
        <f aca="false">H13333*H13336</f>
        <v>138.08529</v>
      </c>
      <c r="I13337" s="25" t="n">
        <f aca="false">I13333*I13336</f>
        <v>138.08529</v>
      </c>
      <c r="J13337" s="25" t="n">
        <f aca="false">J13333*J13336</f>
        <v>138.08529</v>
      </c>
      <c r="K13337" s="25" t="n">
        <f aca="false">K13333*K13336</f>
        <v>138.08529</v>
      </c>
    </row>
    <row r="13338" customFormat="false" ht="15" hidden="false" customHeight="false" outlineLevel="0" collapsed="false">
      <c r="A13338" s="3" t="s">
        <v>313</v>
      </c>
      <c r="G13338" s="25" t="n">
        <f aca="false">G13333*Assumptions!$H$56</f>
        <v>0</v>
      </c>
      <c r="H13338" s="25" t="n">
        <f aca="false">H13333*Assumptions!$H$56</f>
        <v>0</v>
      </c>
      <c r="I13338" s="25" t="n">
        <f aca="false">I13333*Assumptions!$H$56</f>
        <v>0</v>
      </c>
      <c r="J13338" s="25" t="n">
        <f aca="false">J13333*Assumptions!$H$56</f>
        <v>0</v>
      </c>
      <c r="K13338" s="25" t="n">
        <f aca="false">K13333*Assumptions!$H$56</f>
        <v>0</v>
      </c>
    </row>
    <row r="13339" customFormat="false" ht="15" hidden="false" customHeight="false" outlineLevel="0" collapsed="false">
      <c r="A13339" s="3" t="s">
        <v>314</v>
      </c>
      <c r="G13339" s="25" t="n">
        <f aca="false">MIN(G13333,Assumptions!$L$56*Assumptions!$C$56)</f>
        <v>0</v>
      </c>
      <c r="H13339" s="25" t="n">
        <f aca="false">MIN(H13333,Assumptions!$L$56*Assumptions!$C$56)</f>
        <v>0</v>
      </c>
      <c r="I13339" s="25" t="n">
        <f aca="false">MIN(I13333,Assumptions!$L$56*Assumptions!$C$56)</f>
        <v>0</v>
      </c>
      <c r="J13339" s="25" t="n">
        <f aca="false">MIN(J13333,Assumptions!$L$56*Assumptions!$C$56)</f>
        <v>0</v>
      </c>
      <c r="K13339" s="25" t="n">
        <f aca="false">MIN(K13333,Assumptions!$L$56*Assumptions!$C$56)</f>
        <v>0</v>
      </c>
    </row>
    <row r="13340" customFormat="false" ht="15" hidden="false" customHeight="false" outlineLevel="0" collapsed="false">
      <c r="A13340" s="3" t="s">
        <v>315</v>
      </c>
      <c r="G13340" s="25" t="n">
        <f aca="false">IF(AND(Assumptions!$P$56=1,G13297&lt;Assumptions!$K$56),MIN(MAX(0,-G13394),MAX(0,Assumptions!$D$56-G13333)),0)</f>
        <v>0</v>
      </c>
      <c r="H13340" s="25" t="n">
        <f aca="false">IF(AND(Assumptions!$P$56=1,OR(H13297&lt;Assumptions!$K$56,G13480=1)),MIN(MAX(0,-H13394),MAX(0,Assumptions!$D$56-H13333)),0)</f>
        <v>0</v>
      </c>
      <c r="I13340" s="25" t="n">
        <f aca="false">IF(AND(Assumptions!$P$56=1,OR(I13297&lt;Assumptions!$K$56,H13480=1)),MIN(MAX(0,-I13394),MAX(0,Assumptions!$D$56-I13333)),0)</f>
        <v>0</v>
      </c>
      <c r="J13340" s="25" t="n">
        <f aca="false">IF(AND(Assumptions!$P$56=1,OR(J13297&lt;Assumptions!$K$56,I13480=1)),MIN(MAX(0,-J13394),MAX(0,Assumptions!$D$56-J13333)),0)</f>
        <v>0</v>
      </c>
      <c r="K13340" s="25" t="n">
        <f aca="false">IF(AND(Assumptions!$P$56=1,OR(K13297&lt;Assumptions!$K$56,J13480=1)),MIN(MAX(0,-K13394),MAX(0,Assumptions!$D$56-K13333)),0)</f>
        <v>0</v>
      </c>
    </row>
    <row r="13341" customFormat="false" ht="15" hidden="false" customHeight="false" outlineLevel="0" collapsed="false">
      <c r="A13341" s="3" t="s">
        <v>316</v>
      </c>
      <c r="G13341" s="25" t="n">
        <f aca="false">G13334*MIN(G13333-G13339+G13338,MAX(0,G13396-Assumptions!$C$12*G13331))</f>
        <v>0</v>
      </c>
      <c r="H13341" s="25" t="n">
        <f aca="false">H13334*MIN(H13333-H13339+H13338,MAX(0,H13396-Assumptions!$C$12*H13331))</f>
        <v>0</v>
      </c>
      <c r="I13341" s="25" t="n">
        <f aca="false">I13334*MIN(I13333-I13339+I13338,MAX(0,I13396-Assumptions!$C$12*I13331))</f>
        <v>0</v>
      </c>
      <c r="J13341" s="25" t="n">
        <f aca="false">J13334*MIN(J13333-J13339+J13338,MAX(0,J13396-Assumptions!$C$12*J13331))</f>
        <v>0</v>
      </c>
      <c r="K13341" s="25" t="n">
        <f aca="false">K13334*MIN(K13333-K13339+K13338,MAX(0,K13396-Assumptions!$C$12*K13331))</f>
        <v>0</v>
      </c>
    </row>
    <row r="13342" customFormat="false" ht="15" hidden="false" customHeight="false" outlineLevel="0" collapsed="false">
      <c r="A13342" s="3" t="s">
        <v>317</v>
      </c>
      <c r="G13342" s="25" t="n">
        <f aca="false">Assumptions!$N$56*MIN(G13333+G13340+G13338-G13339-G13341,MAX(0,G13400))</f>
        <v>0</v>
      </c>
      <c r="H13342" s="25" t="n">
        <f aca="false">Assumptions!$N$56*MIN(H13333+H13340+H13338-H13339-H13341,MAX(0,H13400))</f>
        <v>0</v>
      </c>
      <c r="I13342" s="25" t="n">
        <f aca="false">Assumptions!$N$56*MIN(I13333+I13340+I13338-I13339-I13341,MAX(0,I13400))</f>
        <v>0</v>
      </c>
      <c r="J13342" s="25" t="n">
        <f aca="false">Assumptions!$N$56*MIN(J13333+J13340+J13338-J13339-J13341,MAX(0,J13400))</f>
        <v>0</v>
      </c>
      <c r="K13342" s="25" t="n">
        <f aca="false">Assumptions!$N$56*MIN(K13333+K13340+K13338-K13339-K13341,MAX(0,K13400))</f>
        <v>0</v>
      </c>
    </row>
    <row r="13343" customFormat="false" ht="15" hidden="false" customHeight="false" outlineLevel="0" collapsed="false">
      <c r="A13343" s="3" t="s">
        <v>318</v>
      </c>
      <c r="G13343" s="25" t="n">
        <f aca="false">G13334*(1-G13331)*(G13333-G13339+G13338-G13341)</f>
        <v>0</v>
      </c>
      <c r="H13343" s="25" t="n">
        <f aca="false">H13334*(1-H13331)*(H13333-H13339+H13338-H13341)</f>
        <v>0</v>
      </c>
      <c r="I13343" s="25" t="n">
        <f aca="false">I13334*(1-I13331)*(I13333-I13339+I13338-I13341)</f>
        <v>0</v>
      </c>
      <c r="J13343" s="25" t="n">
        <f aca="false">J13334*(1-J13331)*(J13333-J13339+J13338-J13341)</f>
        <v>0</v>
      </c>
      <c r="K13343" s="25" t="n">
        <f aca="false">K13334*(1-K13331)*(K13333-K13339+K13338-K13341)</f>
        <v>0</v>
      </c>
    </row>
    <row r="13344" customFormat="false" ht="15" hidden="false" customHeight="false" outlineLevel="0" collapsed="false">
      <c r="A13344" s="2" t="s">
        <v>319</v>
      </c>
      <c r="F13344" s="28" t="n">
        <f aca="false">Assumptions!$C$56</f>
        <v>1315.098</v>
      </c>
      <c r="G13344" s="16" t="n">
        <f aca="false">G13333+G13340+G13338-G13339-G13341-G13342</f>
        <v>1315.098</v>
      </c>
      <c r="H13344" s="16" t="n">
        <f aca="false">H13333+H13340+H13338-H13339-H13341-H13342</f>
        <v>1315.098</v>
      </c>
      <c r="I13344" s="16" t="n">
        <f aca="false">I13333+I13340+I13338-I13339-I13341-I13342</f>
        <v>1315.098</v>
      </c>
      <c r="J13344" s="16" t="n">
        <f aca="false">J13333+J13340+J13338-J13339-J13341-J13342</f>
        <v>1315.098</v>
      </c>
      <c r="K13344" s="16" t="n">
        <f aca="false">K13333+K13340+K13338-K13339-K13341-K13342</f>
        <v>1315.098</v>
      </c>
    </row>
    <row r="13345" customFormat="false" ht="15" hidden="false" customHeight="false" outlineLevel="0" collapsed="false">
      <c r="A13345" s="23" t="s">
        <v>320</v>
      </c>
      <c r="B13345" s="24"/>
      <c r="C13345" s="24"/>
      <c r="D13345" s="24"/>
      <c r="E13345" s="24"/>
      <c r="F13345" s="24"/>
      <c r="G13345" s="24"/>
      <c r="H13345" s="24"/>
      <c r="I13345" s="24"/>
      <c r="J13345" s="24"/>
      <c r="K13345" s="24"/>
    </row>
    <row r="13346" customFormat="false" ht="15" hidden="false" customHeight="false" outlineLevel="0" collapsed="false">
      <c r="A13346" s="3" t="s">
        <v>309</v>
      </c>
      <c r="G13346" s="25" t="n">
        <f aca="false">F13357</f>
        <v>276.706</v>
      </c>
      <c r="H13346" s="25" t="n">
        <f aca="false">G13357</f>
        <v>276.706</v>
      </c>
      <c r="I13346" s="25" t="n">
        <f aca="false">H13357</f>
        <v>276.706</v>
      </c>
      <c r="J13346" s="25" t="n">
        <f aca="false">I13357</f>
        <v>0</v>
      </c>
      <c r="K13346" s="25" t="n">
        <f aca="false">J13357</f>
        <v>0</v>
      </c>
    </row>
    <row r="13347" customFormat="false" ht="15" hidden="false" customHeight="false" outlineLevel="0" collapsed="false">
      <c r="A13347" s="3" t="s">
        <v>310</v>
      </c>
      <c r="G13347" s="20" t="n">
        <f aca="false">IF(G13297=Assumptions!$K$57,1,0)</f>
        <v>0</v>
      </c>
      <c r="H13347" s="20" t="n">
        <f aca="false">IF(H13297=Assumptions!$K$57,1,0)</f>
        <v>0</v>
      </c>
      <c r="I13347" s="20" t="n">
        <f aca="false">IF(I13297=Assumptions!$K$57,1,0)</f>
        <v>1</v>
      </c>
      <c r="J13347" s="20" t="n">
        <f aca="false">IF(J13297=Assumptions!$K$57,1,0)</f>
        <v>0</v>
      </c>
      <c r="K13347" s="20" t="n">
        <f aca="false">IF(K13297=Assumptions!$K$57,1,0)</f>
        <v>0</v>
      </c>
    </row>
    <row r="13349" customFormat="false" ht="15" hidden="false" customHeight="false" outlineLevel="0" collapsed="false">
      <c r="A13349" s="3" t="s">
        <v>311</v>
      </c>
      <c r="G13349" s="31" t="n">
        <f aca="false">IF(Assumptions!$I$57=1,MAX(G13323,Assumptions!$G$57)+Assumptions!$F$57+$C$13324,Assumptions!$E$57)</f>
        <v>0.0425</v>
      </c>
      <c r="H13349" s="31" t="n">
        <f aca="false">IF(G13481=1,$C$13325,IF(Assumptions!$I$57=1,MAX(H13323,Assumptions!$G$57)+Assumptions!$F$57+$C$13324,Assumptions!$E$57))</f>
        <v>0.0425</v>
      </c>
      <c r="I13349" s="31" t="n">
        <f aca="false">IF(H13481=1,$C$13325,IF(Assumptions!$I$57=1,MAX(I13323,Assumptions!$G$57)+Assumptions!$F$57+$C$13324,Assumptions!$E$57))</f>
        <v>0.0425</v>
      </c>
      <c r="J13349" s="31" t="n">
        <f aca="false">IF(I13481=1,$C$13325,IF(Assumptions!$I$57=1,MAX(J13323,Assumptions!$G$57)+Assumptions!$F$57+$C$13324,Assumptions!$E$57))</f>
        <v>0.0425</v>
      </c>
      <c r="K13349" s="31" t="n">
        <f aca="false">IF(J13481=1,$C$13325,IF(Assumptions!$I$57=1,MAX(K13323,Assumptions!$G$57)+Assumptions!$F$57+$C$13324,Assumptions!$E$57))</f>
        <v>0.0425</v>
      </c>
    </row>
    <row r="13350" customFormat="false" ht="15" hidden="false" customHeight="false" outlineLevel="0" collapsed="false">
      <c r="A13350" s="3" t="s">
        <v>312</v>
      </c>
      <c r="G13350" s="25" t="n">
        <f aca="false">G13346*G13349</f>
        <v>11.760005</v>
      </c>
      <c r="H13350" s="25" t="n">
        <f aca="false">H13346*H13349</f>
        <v>11.760005</v>
      </c>
      <c r="I13350" s="25" t="n">
        <f aca="false">I13346*I13349</f>
        <v>11.760005</v>
      </c>
      <c r="J13350" s="25" t="n">
        <f aca="false">J13346*J13349</f>
        <v>0</v>
      </c>
      <c r="K13350" s="25" t="n">
        <f aca="false">K13346*K13349</f>
        <v>0</v>
      </c>
    </row>
    <row r="13351" customFormat="false" ht="15" hidden="false" customHeight="false" outlineLevel="0" collapsed="false">
      <c r="A13351" s="3" t="s">
        <v>313</v>
      </c>
      <c r="G13351" s="25" t="n">
        <f aca="false">G13346*Assumptions!$H$57</f>
        <v>0</v>
      </c>
      <c r="H13351" s="25" t="n">
        <f aca="false">H13346*Assumptions!$H$57</f>
        <v>0</v>
      </c>
      <c r="I13351" s="25" t="n">
        <f aca="false">I13346*Assumptions!$H$57</f>
        <v>0</v>
      </c>
      <c r="J13351" s="25" t="n">
        <f aca="false">J13346*Assumptions!$H$57</f>
        <v>0</v>
      </c>
      <c r="K13351" s="25" t="n">
        <f aca="false">K13346*Assumptions!$H$57</f>
        <v>0</v>
      </c>
    </row>
    <row r="13352" customFormat="false" ht="15" hidden="false" customHeight="false" outlineLevel="0" collapsed="false">
      <c r="A13352" s="3" t="s">
        <v>314</v>
      </c>
      <c r="G13352" s="25" t="n">
        <f aca="false">MIN(G13346,Assumptions!$L$57*Assumptions!$C$57)</f>
        <v>0</v>
      </c>
      <c r="H13352" s="25" t="n">
        <f aca="false">MIN(H13346,Assumptions!$L$57*Assumptions!$C$57)</f>
        <v>0</v>
      </c>
      <c r="I13352" s="25" t="n">
        <f aca="false">MIN(I13346,Assumptions!$L$57*Assumptions!$C$57)</f>
        <v>0</v>
      </c>
      <c r="J13352" s="25" t="n">
        <f aca="false">MIN(J13346,Assumptions!$L$57*Assumptions!$C$57)</f>
        <v>0</v>
      </c>
      <c r="K13352" s="25" t="n">
        <f aca="false">MIN(K13346,Assumptions!$L$57*Assumptions!$C$57)</f>
        <v>0</v>
      </c>
    </row>
    <row r="13353" customFormat="false" ht="15" hidden="false" customHeight="false" outlineLevel="0" collapsed="false">
      <c r="A13353" s="3" t="s">
        <v>315</v>
      </c>
      <c r="G13353" s="25" t="n">
        <f aca="false">IF(AND(Assumptions!$P$57=1,G13297&lt;Assumptions!$K$57),MIN(MAX(0,-G13394),MAX(0,Assumptions!$D$57-G13346)),0)</f>
        <v>0</v>
      </c>
      <c r="H13353" s="25" t="n">
        <f aca="false">IF(AND(Assumptions!$P$57=1,OR(H13297&lt;Assumptions!$K$57,G13481=1)),MIN(MAX(0,-H13394),MAX(0,Assumptions!$D$57-H13346)),0)</f>
        <v>0</v>
      </c>
      <c r="I13353" s="25" t="n">
        <f aca="false">IF(AND(Assumptions!$P$57=1,OR(I13297&lt;Assumptions!$K$57,H13481=1)),MIN(MAX(0,-I13394),MAX(0,Assumptions!$D$57-I13346)),0)</f>
        <v>0</v>
      </c>
      <c r="J13353" s="25" t="n">
        <f aca="false">IF(AND(Assumptions!$P$57=1,OR(J13297&lt;Assumptions!$K$57,I13481=1)),MIN(MAX(0,-J13394),MAX(0,Assumptions!$D$57-J13346)),0)</f>
        <v>0</v>
      </c>
      <c r="K13353" s="25" t="n">
        <f aca="false">IF(AND(Assumptions!$P$57=1,OR(K13297&lt;Assumptions!$K$57,J13481=1)),MIN(MAX(0,-K13394),MAX(0,Assumptions!$D$57-K13346)),0)</f>
        <v>0</v>
      </c>
    </row>
    <row r="13354" customFormat="false" ht="15" hidden="false" customHeight="false" outlineLevel="0" collapsed="false">
      <c r="A13354" s="3" t="s">
        <v>316</v>
      </c>
      <c r="G13354" s="25" t="n">
        <f aca="false">G13347*MIN(G13346-G13352+G13351,MAX(0,G13396-Assumptions!$C$12*G13331-G13341))</f>
        <v>0</v>
      </c>
      <c r="H13354" s="25" t="n">
        <f aca="false">H13347*MIN(H13346-H13352+H13351,MAX(0,H13396-Assumptions!$C$12*H13331-H13341))</f>
        <v>0</v>
      </c>
      <c r="I13354" s="25" t="n">
        <f aca="false">I13347*MIN(I13346-I13352+I13351,MAX(0,I13396-Assumptions!$C$12*I13331-I13341))</f>
        <v>276.706</v>
      </c>
      <c r="J13354" s="25" t="n">
        <f aca="false">J13347*MIN(J13346-J13352+J13351,MAX(0,J13396-Assumptions!$C$12*J13331-J13341))</f>
        <v>0</v>
      </c>
      <c r="K13354" s="25" t="n">
        <f aca="false">K13347*MIN(K13346-K13352+K13351,MAX(0,K13396-Assumptions!$C$12*K13331-K13341))</f>
        <v>0</v>
      </c>
    </row>
    <row r="13355" customFormat="false" ht="15" hidden="false" customHeight="false" outlineLevel="0" collapsed="false">
      <c r="A13355" s="3" t="s">
        <v>317</v>
      </c>
      <c r="G13355" s="25" t="n">
        <f aca="false">Assumptions!$N$57*MIN(G13346+G13353+G13351-G13352-G13354,MAX(0,G13400-G13342))</f>
        <v>0</v>
      </c>
      <c r="H13355" s="25" t="n">
        <f aca="false">Assumptions!$N$57*MIN(H13346+H13353+H13351-H13352-H13354,MAX(0,H13400-H13342))</f>
        <v>0</v>
      </c>
      <c r="I13355" s="25" t="n">
        <f aca="false">Assumptions!$N$57*MIN(I13346+I13353+I13351-I13352-I13354,MAX(0,I13400-I13342))</f>
        <v>0</v>
      </c>
      <c r="J13355" s="25" t="n">
        <f aca="false">Assumptions!$N$57*MIN(J13346+J13353+J13351-J13352-J13354,MAX(0,J13400-J13342))</f>
        <v>0</v>
      </c>
      <c r="K13355" s="25" t="n">
        <f aca="false">Assumptions!$N$57*MIN(K13346+K13353+K13351-K13352-K13354,MAX(0,K13400-K13342))</f>
        <v>0</v>
      </c>
    </row>
    <row r="13356" customFormat="false" ht="15" hidden="false" customHeight="false" outlineLevel="0" collapsed="false">
      <c r="A13356" s="3" t="s">
        <v>318</v>
      </c>
      <c r="G13356" s="25" t="n">
        <f aca="false">G13347*(1-G13331)*(G13346-G13352+G13351-G13354)</f>
        <v>0</v>
      </c>
      <c r="H13356" s="25" t="n">
        <f aca="false">H13347*(1-H13331)*(H13346-H13352+H13351-H13354)</f>
        <v>0</v>
      </c>
      <c r="I13356" s="25" t="n">
        <f aca="false">I13347*(1-I13331)*(I13346-I13352+I13351-I13354)</f>
        <v>0</v>
      </c>
      <c r="J13356" s="25" t="n">
        <f aca="false">J13347*(1-J13331)*(J13346-J13352+J13351-J13354)</f>
        <v>0</v>
      </c>
      <c r="K13356" s="25" t="n">
        <f aca="false">K13347*(1-K13331)*(K13346-K13352+K13351-K13354)</f>
        <v>0</v>
      </c>
    </row>
    <row r="13357" customFormat="false" ht="15" hidden="false" customHeight="false" outlineLevel="0" collapsed="false">
      <c r="A13357" s="2" t="s">
        <v>319</v>
      </c>
      <c r="F13357" s="28" t="n">
        <f aca="false">Assumptions!$C$57</f>
        <v>276.706</v>
      </c>
      <c r="G13357" s="16" t="n">
        <f aca="false">G13346+G13353+G13351-G13352-G13354-G13355</f>
        <v>276.706</v>
      </c>
      <c r="H13357" s="16" t="n">
        <f aca="false">H13346+H13353+H13351-H13352-H13354-H13355</f>
        <v>276.706</v>
      </c>
      <c r="I13357" s="16" t="n">
        <f aca="false">I13346+I13353+I13351-I13352-I13354-I13355</f>
        <v>0</v>
      </c>
      <c r="J13357" s="16" t="n">
        <f aca="false">J13346+J13353+J13351-J13352-J13354-J13355</f>
        <v>0</v>
      </c>
      <c r="K13357" s="16" t="n">
        <f aca="false">K13346+K13353+K13351-K13352-K13354-K13355</f>
        <v>0</v>
      </c>
    </row>
    <row r="13358" customFormat="false" ht="15" hidden="false" customHeight="false" outlineLevel="0" collapsed="false">
      <c r="A13358" s="23" t="s">
        <v>321</v>
      </c>
      <c r="B13358" s="24"/>
      <c r="C13358" s="24"/>
      <c r="D13358" s="24"/>
      <c r="E13358" s="24"/>
      <c r="F13358" s="24"/>
      <c r="G13358" s="24"/>
      <c r="H13358" s="24"/>
      <c r="I13358" s="24"/>
      <c r="J13358" s="24"/>
      <c r="K13358" s="24"/>
    </row>
    <row r="13359" customFormat="false" ht="15" hidden="false" customHeight="false" outlineLevel="0" collapsed="false">
      <c r="A13359" s="3" t="s">
        <v>309</v>
      </c>
      <c r="G13359" s="25" t="n">
        <f aca="false">F13370</f>
        <v>143.75</v>
      </c>
      <c r="H13359" s="25" t="n">
        <f aca="false">G13370</f>
        <v>143.75</v>
      </c>
      <c r="I13359" s="25" t="n">
        <f aca="false">H13370</f>
        <v>143.75</v>
      </c>
      <c r="J13359" s="25" t="n">
        <f aca="false">I13370</f>
        <v>0</v>
      </c>
      <c r="K13359" s="25" t="n">
        <f aca="false">J13370</f>
        <v>0</v>
      </c>
    </row>
    <row r="13360" customFormat="false" ht="15" hidden="false" customHeight="false" outlineLevel="0" collapsed="false">
      <c r="A13360" s="3" t="s">
        <v>310</v>
      </c>
      <c r="G13360" s="20" t="n">
        <f aca="false">IF(G13297=Assumptions!$K$58,1,0)</f>
        <v>0</v>
      </c>
      <c r="H13360" s="20" t="n">
        <f aca="false">IF(H13297=Assumptions!$K$58,1,0)</f>
        <v>0</v>
      </c>
      <c r="I13360" s="20" t="n">
        <f aca="false">IF(I13297=Assumptions!$K$58,1,0)</f>
        <v>1</v>
      </c>
      <c r="J13360" s="20" t="n">
        <f aca="false">IF(J13297=Assumptions!$K$58,1,0)</f>
        <v>0</v>
      </c>
      <c r="K13360" s="20" t="n">
        <f aca="false">IF(K13297=Assumptions!$K$58,1,0)</f>
        <v>0</v>
      </c>
    </row>
    <row r="13362" customFormat="false" ht="15" hidden="false" customHeight="false" outlineLevel="0" collapsed="false">
      <c r="A13362" s="3" t="s">
        <v>311</v>
      </c>
      <c r="G13362" s="31" t="n">
        <f aca="false">IF(Assumptions!$I$58=1,MAX(G13323,Assumptions!$G$58)+Assumptions!$F$58+$C$13324,Assumptions!$E$58)</f>
        <v>0.0425</v>
      </c>
      <c r="H13362" s="31" t="n">
        <f aca="false">IF(G13482=1,$C$13325,IF(Assumptions!$I$58=1,MAX(H13323,Assumptions!$G$58)+Assumptions!$F$58+$C$13324,Assumptions!$E$58))</f>
        <v>0.0425</v>
      </c>
      <c r="I13362" s="31" t="n">
        <f aca="false">IF(H13482=1,$C$13325,IF(Assumptions!$I$58=1,MAX(I13323,Assumptions!$G$58)+Assumptions!$F$58+$C$13324,Assumptions!$E$58))</f>
        <v>0.0425</v>
      </c>
      <c r="J13362" s="31" t="n">
        <f aca="false">IF(I13482=1,$C$13325,IF(Assumptions!$I$58=1,MAX(J13323,Assumptions!$G$58)+Assumptions!$F$58+$C$13324,Assumptions!$E$58))</f>
        <v>0.0425</v>
      </c>
      <c r="K13362" s="31" t="n">
        <f aca="false">IF(J13482=1,$C$13325,IF(Assumptions!$I$58=1,MAX(K13323,Assumptions!$G$58)+Assumptions!$F$58+$C$13324,Assumptions!$E$58))</f>
        <v>0.0425</v>
      </c>
    </row>
    <row r="13363" customFormat="false" ht="15" hidden="false" customHeight="false" outlineLevel="0" collapsed="false">
      <c r="A13363" s="3" t="s">
        <v>312</v>
      </c>
      <c r="G13363" s="25" t="n">
        <f aca="false">G13359*G13362</f>
        <v>6.109375</v>
      </c>
      <c r="H13363" s="25" t="n">
        <f aca="false">H13359*H13362</f>
        <v>6.109375</v>
      </c>
      <c r="I13363" s="25" t="n">
        <f aca="false">I13359*I13362</f>
        <v>6.109375</v>
      </c>
      <c r="J13363" s="25" t="n">
        <f aca="false">J13359*J13362</f>
        <v>0</v>
      </c>
      <c r="K13363" s="25" t="n">
        <f aca="false">K13359*K13362</f>
        <v>0</v>
      </c>
    </row>
    <row r="13364" customFormat="false" ht="15" hidden="false" customHeight="false" outlineLevel="0" collapsed="false">
      <c r="A13364" s="3" t="s">
        <v>313</v>
      </c>
      <c r="G13364" s="25" t="n">
        <f aca="false">G13359*Assumptions!$H$58</f>
        <v>0</v>
      </c>
      <c r="H13364" s="25" t="n">
        <f aca="false">H13359*Assumptions!$H$58</f>
        <v>0</v>
      </c>
      <c r="I13364" s="25" t="n">
        <f aca="false">I13359*Assumptions!$H$58</f>
        <v>0</v>
      </c>
      <c r="J13364" s="25" t="n">
        <f aca="false">J13359*Assumptions!$H$58</f>
        <v>0</v>
      </c>
      <c r="K13364" s="25" t="n">
        <f aca="false">K13359*Assumptions!$H$58</f>
        <v>0</v>
      </c>
    </row>
    <row r="13365" customFormat="false" ht="15" hidden="false" customHeight="false" outlineLevel="0" collapsed="false">
      <c r="A13365" s="3" t="s">
        <v>314</v>
      </c>
      <c r="G13365" s="25" t="n">
        <f aca="false">MIN(G13359,Assumptions!$L$58*Assumptions!$C$58)</f>
        <v>0</v>
      </c>
      <c r="H13365" s="25" t="n">
        <f aca="false">MIN(H13359,Assumptions!$L$58*Assumptions!$C$58)</f>
        <v>0</v>
      </c>
      <c r="I13365" s="25" t="n">
        <f aca="false">MIN(I13359,Assumptions!$L$58*Assumptions!$C$58)</f>
        <v>0</v>
      </c>
      <c r="J13365" s="25" t="n">
        <f aca="false">MIN(J13359,Assumptions!$L$58*Assumptions!$C$58)</f>
        <v>0</v>
      </c>
      <c r="K13365" s="25" t="n">
        <f aca="false">MIN(K13359,Assumptions!$L$58*Assumptions!$C$58)</f>
        <v>0</v>
      </c>
    </row>
    <row r="13366" customFormat="false" ht="15" hidden="false" customHeight="false" outlineLevel="0" collapsed="false">
      <c r="A13366" s="3" t="s">
        <v>315</v>
      </c>
      <c r="G13366" s="25" t="n">
        <f aca="false">IF(AND(Assumptions!$P$58=1,G13297&lt;Assumptions!$K$58),MIN(MAX(0,-G13394),MAX(0,Assumptions!$D$58-G13359)),0)</f>
        <v>0</v>
      </c>
      <c r="H13366" s="25" t="n">
        <f aca="false">IF(AND(Assumptions!$P$58=1,OR(H13297&lt;Assumptions!$K$58,G13482=1)),MIN(MAX(0,-H13394),MAX(0,Assumptions!$D$58-H13359)),0)</f>
        <v>0</v>
      </c>
      <c r="I13366" s="25" t="n">
        <f aca="false">IF(AND(Assumptions!$P$58=1,OR(I13297&lt;Assumptions!$K$58,H13482=1)),MIN(MAX(0,-I13394),MAX(0,Assumptions!$D$58-I13359)),0)</f>
        <v>0</v>
      </c>
      <c r="J13366" s="25" t="n">
        <f aca="false">IF(AND(Assumptions!$P$58=1,OR(J13297&lt;Assumptions!$K$58,I13482=1)),MIN(MAX(0,-J13394),MAX(0,Assumptions!$D$58-J13359)),0)</f>
        <v>0</v>
      </c>
      <c r="K13366" s="25" t="n">
        <f aca="false">IF(AND(Assumptions!$P$58=1,OR(K13297&lt;Assumptions!$K$58,J13482=1)),MIN(MAX(0,-K13394),MAX(0,Assumptions!$D$58-K13359)),0)</f>
        <v>0</v>
      </c>
    </row>
    <row r="13367" customFormat="false" ht="15" hidden="false" customHeight="false" outlineLevel="0" collapsed="false">
      <c r="A13367" s="3" t="s">
        <v>316</v>
      </c>
      <c r="G13367" s="25" t="n">
        <f aca="false">G13360*MIN(G13359-G13365+G13364,MAX(0,G13396-Assumptions!$C$12*G13331-G13341-G13354))</f>
        <v>0</v>
      </c>
      <c r="H13367" s="25" t="n">
        <f aca="false">H13360*MIN(H13359-H13365+H13364,MAX(0,H13396-Assumptions!$C$12*H13331-H13341-H13354))</f>
        <v>0</v>
      </c>
      <c r="I13367" s="25" t="n">
        <f aca="false">I13360*MIN(I13359-I13365+I13364,MAX(0,I13396-Assumptions!$C$12*I13331-I13341-I13354))</f>
        <v>143.75</v>
      </c>
      <c r="J13367" s="25" t="n">
        <f aca="false">J13360*MIN(J13359-J13365+J13364,MAX(0,J13396-Assumptions!$C$12*J13331-J13341-J13354))</f>
        <v>0</v>
      </c>
      <c r="K13367" s="25" t="n">
        <f aca="false">K13360*MIN(K13359-K13365+K13364,MAX(0,K13396-Assumptions!$C$12*K13331-K13341-K13354))</f>
        <v>0</v>
      </c>
    </row>
    <row r="13368" customFormat="false" ht="15" hidden="false" customHeight="false" outlineLevel="0" collapsed="false">
      <c r="A13368" s="3" t="s">
        <v>317</v>
      </c>
      <c r="G13368" s="25" t="n">
        <f aca="false">Assumptions!$N$58*MIN(G13359+G13366+G13364-G13365-G13367,MAX(0,G13400-G13342-G13355))</f>
        <v>0</v>
      </c>
      <c r="H13368" s="25" t="n">
        <f aca="false">Assumptions!$N$58*MIN(H13359+H13366+H13364-H13365-H13367,MAX(0,H13400-H13342-H13355))</f>
        <v>0</v>
      </c>
      <c r="I13368" s="25" t="n">
        <f aca="false">Assumptions!$N$58*MIN(I13359+I13366+I13364-I13365-I13367,MAX(0,I13400-I13342-I13355))</f>
        <v>0</v>
      </c>
      <c r="J13368" s="25" t="n">
        <f aca="false">Assumptions!$N$58*MIN(J13359+J13366+J13364-J13365-J13367,MAX(0,J13400-J13342-J13355))</f>
        <v>0</v>
      </c>
      <c r="K13368" s="25" t="n">
        <f aca="false">Assumptions!$N$58*MIN(K13359+K13366+K13364-K13365-K13367,MAX(0,K13400-K13342-K13355))</f>
        <v>0</v>
      </c>
    </row>
    <row r="13369" customFormat="false" ht="15" hidden="false" customHeight="false" outlineLevel="0" collapsed="false">
      <c r="A13369" s="3" t="s">
        <v>318</v>
      </c>
      <c r="G13369" s="25" t="n">
        <f aca="false">G13360*(1-G13331)*(G13359-G13365+G13364-G13367)</f>
        <v>0</v>
      </c>
      <c r="H13369" s="25" t="n">
        <f aca="false">H13360*(1-H13331)*(H13359-H13365+H13364-H13367)</f>
        <v>0</v>
      </c>
      <c r="I13369" s="25" t="n">
        <f aca="false">I13360*(1-I13331)*(I13359-I13365+I13364-I13367)</f>
        <v>0</v>
      </c>
      <c r="J13369" s="25" t="n">
        <f aca="false">J13360*(1-J13331)*(J13359-J13365+J13364-J13367)</f>
        <v>0</v>
      </c>
      <c r="K13369" s="25" t="n">
        <f aca="false">K13360*(1-K13331)*(K13359-K13365+K13364-K13367)</f>
        <v>0</v>
      </c>
    </row>
    <row r="13370" customFormat="false" ht="15" hidden="false" customHeight="false" outlineLevel="0" collapsed="false">
      <c r="A13370" s="2" t="s">
        <v>319</v>
      </c>
      <c r="F13370" s="28" t="n">
        <f aca="false">Assumptions!$C$58</f>
        <v>143.75</v>
      </c>
      <c r="G13370" s="16" t="n">
        <f aca="false">G13359+G13366+G13364-G13365-G13367-G13368</f>
        <v>143.75</v>
      </c>
      <c r="H13370" s="16" t="n">
        <f aca="false">H13359+H13366+H13364-H13365-H13367-H13368</f>
        <v>143.75</v>
      </c>
      <c r="I13370" s="16" t="n">
        <f aca="false">I13359+I13366+I13364-I13365-I13367-I13368</f>
        <v>0</v>
      </c>
      <c r="J13370" s="16" t="n">
        <f aca="false">J13359+J13366+J13364-J13365-J13367-J13368</f>
        <v>0</v>
      </c>
      <c r="K13370" s="16" t="n">
        <f aca="false">K13359+K13366+K13364-K13365-K13367-K13368</f>
        <v>0</v>
      </c>
    </row>
    <row r="13371" customFormat="false" ht="15" hidden="false" customHeight="false" outlineLevel="0" collapsed="false">
      <c r="A13371" s="23" t="s">
        <v>322</v>
      </c>
      <c r="B13371" s="24"/>
      <c r="C13371" s="24"/>
      <c r="D13371" s="24"/>
      <c r="E13371" s="24"/>
      <c r="F13371" s="24"/>
      <c r="G13371" s="24"/>
      <c r="H13371" s="24"/>
      <c r="I13371" s="24"/>
      <c r="J13371" s="24"/>
      <c r="K13371" s="24"/>
    </row>
    <row r="13372" customFormat="false" ht="15" hidden="false" customHeight="false" outlineLevel="0" collapsed="false">
      <c r="A13372" s="2" t="s">
        <v>323</v>
      </c>
      <c r="F13372" s="16" t="n">
        <f aca="false">F13344+F13357+F13370</f>
        <v>1735.554</v>
      </c>
      <c r="G13372" s="16" t="n">
        <f aca="false">G13344+G13357+G13370</f>
        <v>1735.554</v>
      </c>
      <c r="H13372" s="16" t="n">
        <f aca="false">H13344+H13357+H13370</f>
        <v>1735.554</v>
      </c>
      <c r="I13372" s="16" t="n">
        <f aca="false">I13344+I13357+I13370</f>
        <v>1315.098</v>
      </c>
      <c r="J13372" s="16" t="n">
        <f aca="false">J13344+J13357+J13370</f>
        <v>1315.098</v>
      </c>
      <c r="K13372" s="16" t="n">
        <f aca="false">K13344+K13357+K13370</f>
        <v>1315.098</v>
      </c>
    </row>
    <row r="13373" customFormat="false" ht="15" hidden="false" customHeight="false" outlineLevel="0" collapsed="false">
      <c r="A13373" s="3" t="s">
        <v>324</v>
      </c>
      <c r="G13373" s="25" t="n">
        <f aca="false">G13334*Assumptions!$C$56+G13347*Assumptions!$C$57+G13360*Assumptions!$C$58</f>
        <v>0</v>
      </c>
      <c r="H13373" s="25" t="n">
        <f aca="false">H13334*Assumptions!$C$56+H13347*Assumptions!$C$57+H13360*Assumptions!$C$58</f>
        <v>0</v>
      </c>
      <c r="I13373" s="25" t="n">
        <f aca="false">I13334*Assumptions!$C$56+I13347*Assumptions!$C$57+I13360*Assumptions!$C$58</f>
        <v>420.456</v>
      </c>
      <c r="J13373" s="25" t="n">
        <f aca="false">J13334*Assumptions!$C$56+J13347*Assumptions!$C$57+J13360*Assumptions!$C$58</f>
        <v>0</v>
      </c>
      <c r="K13373" s="25" t="n">
        <f aca="false">K13334*Assumptions!$C$56+K13347*Assumptions!$C$57+K13360*Assumptions!$C$58</f>
        <v>0</v>
      </c>
    </row>
    <row r="13374" customFormat="false" ht="15" hidden="false" customHeight="false" outlineLevel="0" collapsed="false">
      <c r="A13374" s="23" t="s">
        <v>325</v>
      </c>
      <c r="B13374" s="24"/>
      <c r="C13374" s="24"/>
      <c r="D13374" s="24"/>
      <c r="E13374" s="24"/>
      <c r="F13374" s="24"/>
      <c r="G13374" s="24"/>
      <c r="H13374" s="24"/>
      <c r="I13374" s="24"/>
      <c r="J13374" s="24"/>
      <c r="K13374" s="24"/>
    </row>
    <row r="13375" customFormat="false" ht="15" hidden="false" customHeight="false" outlineLevel="0" collapsed="false">
      <c r="A13375" s="3" t="s">
        <v>326</v>
      </c>
      <c r="C13375" s="25" t="n">
        <f aca="false">SUMPRODUCT($G$13334:$K$13334,$G$13333:$K$13333-$G$13339:$K$13339+$G$13338:$K$13338)</f>
        <v>0</v>
      </c>
    </row>
    <row r="13376" customFormat="false" ht="15" hidden="false" customHeight="false" outlineLevel="0" collapsed="false">
      <c r="A13376" s="3" t="s">
        <v>327</v>
      </c>
      <c r="C13376" s="25" t="n">
        <f aca="false">SUMPRODUCT($G$13334:$K$13334,$G$13341:$K$13341)</f>
        <v>0</v>
      </c>
    </row>
    <row r="13377" customFormat="false" ht="15" hidden="false" customHeight="false" outlineLevel="0" collapsed="false">
      <c r="A13377" s="3" t="s">
        <v>328</v>
      </c>
      <c r="C13377" s="3" t="str">
        <f aca="false">IF(SUM($G$13334:$K$13334)=0,"n/a (beyond horizon)",IF(SUMPRODUCT($G$13334:$K$13334,$G$13331:$K$13331)&gt;0,"REFINANCING PASS","REFINANCING FAILURE"))</f>
        <v>n/a (beyond horizon)</v>
      </c>
    </row>
    <row r="13378" customFormat="false" ht="15" hidden="false" customHeight="false" outlineLevel="0" collapsed="false">
      <c r="A13378" s="3" t="s">
        <v>329</v>
      </c>
      <c r="C13378" s="3" t="str">
        <f aca="false">IF(SUM($G$13334:$K$13334)=0,"n/a",IF(C13376&gt;=C13375-0.001,"Repaid from cash",IF(SUMPRODUCT($G$13334:$K$13334,$G$13331:$K$13331)&gt;0,IF(C13376&gt;0,"Partly repaid; remainder refinanced","Refinanced"),IF(SUM($G$13343:$K$13343)&gt;0.001,IF(C13376&gt;0,"Partial repayment; PAYMENT DEFAULT","PAYMENT DEFAULT"),"Repaid from cash"))))</f>
        <v>n/a</v>
      </c>
    </row>
    <row r="13379" customFormat="false" ht="15" hidden="false" customHeight="false" outlineLevel="0" collapsed="false">
      <c r="A13379" s="3" t="s">
        <v>330</v>
      </c>
      <c r="C13379" s="25" t="n">
        <f aca="false">SUMPRODUCT($G$13347:$K$13347,$G$13346:$K$13346-$G$13352:$K$13352+$G$13351:$K$13351)</f>
        <v>276.706</v>
      </c>
    </row>
    <row r="13380" customFormat="false" ht="15" hidden="false" customHeight="false" outlineLevel="0" collapsed="false">
      <c r="A13380" s="3" t="s">
        <v>331</v>
      </c>
      <c r="C13380" s="25" t="n">
        <f aca="false">SUMPRODUCT($G$13347:$K$13347,$G$13354:$K$13354)</f>
        <v>276.706</v>
      </c>
    </row>
    <row r="13381" customFormat="false" ht="15" hidden="false" customHeight="false" outlineLevel="0" collapsed="false">
      <c r="A13381" s="3" t="s">
        <v>332</v>
      </c>
      <c r="C13381" s="3" t="str">
        <f aca="false">IF(SUM($G$13347:$K$13347)=0,"n/a (beyond horizon)",IF(SUMPRODUCT($G$13347:$K$13347,$G$13331:$K$13331)&gt;0,"REFINANCING PASS","REFINANCING FAILURE"))</f>
        <v>REFINANCING FAILURE</v>
      </c>
    </row>
    <row r="13382" customFormat="false" ht="15" hidden="false" customHeight="false" outlineLevel="0" collapsed="false">
      <c r="A13382" s="3" t="s">
        <v>333</v>
      </c>
      <c r="C13382" s="3" t="str">
        <f aca="false">IF(SUM($G$13347:$K$13347)=0,"n/a",IF(C13380&gt;=C13379-0.001,"Repaid from cash",IF(SUMPRODUCT($G$13347:$K$13347,$G$13331:$K$13331)&gt;0,IF(C13380&gt;0,"Partly repaid; remainder refinanced","Refinanced"),IF(SUM($G$13356:$K$13356)&gt;0.001,IF(C13380&gt;0,"Partial repayment; PAYMENT DEFAULT","PAYMENT DEFAULT"),"Repaid from cash"))))</f>
        <v>Repaid from cash</v>
      </c>
    </row>
    <row r="13383" customFormat="false" ht="15" hidden="false" customHeight="false" outlineLevel="0" collapsed="false">
      <c r="A13383" s="3" t="s">
        <v>334</v>
      </c>
      <c r="C13383" s="25" t="n">
        <f aca="false">SUMPRODUCT($G$13360:$K$13360,$G$13359:$K$13359-$G$13365:$K$13365+$G$13364:$K$13364)</f>
        <v>143.75</v>
      </c>
    </row>
    <row r="13384" customFormat="false" ht="15" hidden="false" customHeight="false" outlineLevel="0" collapsed="false">
      <c r="A13384" s="3" t="s">
        <v>335</v>
      </c>
      <c r="C13384" s="25" t="n">
        <f aca="false">SUMPRODUCT($G$13360:$K$13360,$G$13367:$K$13367)</f>
        <v>143.75</v>
      </c>
    </row>
    <row r="13385" customFormat="false" ht="15" hidden="false" customHeight="false" outlineLevel="0" collapsed="false">
      <c r="A13385" s="3" t="s">
        <v>336</v>
      </c>
      <c r="C13385" s="3" t="str">
        <f aca="false">IF(SUM($G$13360:$K$13360)=0,"n/a (beyond horizon)",IF(SUMPRODUCT($G$13360:$K$13360,$G$13331:$K$13331)&gt;0,"REFINANCING PASS","REFINANCING FAILURE"))</f>
        <v>REFINANCING FAILURE</v>
      </c>
    </row>
    <row r="13386" customFormat="false" ht="15" hidden="false" customHeight="false" outlineLevel="0" collapsed="false">
      <c r="A13386" s="3" t="s">
        <v>337</v>
      </c>
      <c r="C13386" s="3" t="str">
        <f aca="false">IF(SUM($G$13360:$K$13360)=0,"n/a",IF(C13384&gt;=C13383-0.001,"Repaid from cash",IF(SUMPRODUCT($G$13360:$K$13360,$G$13331:$K$13331)&gt;0,IF(C13384&gt;0,"Partly repaid; remainder refinanced","Refinanced"),IF(SUM($G$13369:$K$13369)&gt;0.001,IF(C13384&gt;0,"Partial repayment; PAYMENT DEFAULT","PAYMENT DEFAULT"),"Repaid from cash"))))</f>
        <v>Repaid from cash</v>
      </c>
    </row>
    <row r="13387" customFormat="false" ht="15" hidden="false" customHeight="false" outlineLevel="0" collapsed="false">
      <c r="A13387" s="3" t="s">
        <v>338</v>
      </c>
      <c r="C13387" s="20" t="n">
        <f aca="false">IF(C13377="REFINANCING FAILURE",1,0)+IF(C13381="REFINANCING FAILURE",1,0)+IF(C13385="REFINANCING FAILURE",1,0)</f>
        <v>2</v>
      </c>
    </row>
    <row r="13389" customFormat="false" ht="15" hidden="false" customHeight="false" outlineLevel="0" collapsed="false">
      <c r="A13389" s="23" t="s">
        <v>340</v>
      </c>
      <c r="B13389" s="24"/>
      <c r="C13389" s="24"/>
      <c r="D13389" s="24"/>
      <c r="E13389" s="24"/>
      <c r="F13389" s="24"/>
      <c r="G13389" s="24"/>
      <c r="H13389" s="24"/>
      <c r="I13389" s="24"/>
      <c r="J13389" s="24"/>
      <c r="K13389" s="24"/>
    </row>
    <row r="13390" customFormat="false" ht="15" hidden="false" customHeight="false" outlineLevel="0" collapsed="false">
      <c r="A13390" s="3" t="s">
        <v>305</v>
      </c>
      <c r="G13390" s="25" t="n">
        <f aca="false">F13402</f>
        <v>463.996</v>
      </c>
      <c r="H13390" s="25" t="n">
        <f aca="false">G13402</f>
        <v>518.82154744</v>
      </c>
      <c r="I13390" s="25" t="n">
        <f aca="false">H13402</f>
        <v>539.6742833632</v>
      </c>
      <c r="J13390" s="25" t="n">
        <f aca="false">I13402</f>
        <v>120.430022671888</v>
      </c>
      <c r="K13390" s="25" t="n">
        <f aca="false">J13402</f>
        <v>123.071896868977</v>
      </c>
    </row>
    <row r="13391" customFormat="false" ht="15" hidden="false" customHeight="false" outlineLevel="0" collapsed="false">
      <c r="A13391" s="3" t="s">
        <v>341</v>
      </c>
      <c r="G13391" s="25" t="n">
        <f aca="false">G13320</f>
        <v>54.8255474399999</v>
      </c>
      <c r="H13391" s="25" t="n">
        <f aca="false">H13320</f>
        <v>20.8527359232</v>
      </c>
      <c r="I13391" s="25" t="n">
        <f aca="false">I13320</f>
        <v>1.21173930868796</v>
      </c>
      <c r="J13391" s="25" t="n">
        <f aca="false">J13320</f>
        <v>2.6418741970896</v>
      </c>
      <c r="K13391" s="25" t="n">
        <f aca="false">K13320</f>
        <v>-4.39448401276491</v>
      </c>
    </row>
    <row r="13392" customFormat="false" ht="15" hidden="false" customHeight="false" outlineLevel="0" collapsed="false">
      <c r="A13392" s="3" t="s">
        <v>342</v>
      </c>
      <c r="G13392" s="25" t="n">
        <f aca="false">CHOOSE($C$13290,Assumptions!$G$74,Assumptions!$G$93,Assumptions!$G$112)</f>
        <v>0</v>
      </c>
      <c r="H13392" s="25" t="n">
        <f aca="false">CHOOSE($C$13290,Assumptions!$H$74,Assumptions!$H$93,Assumptions!$H$112)</f>
        <v>0</v>
      </c>
      <c r="I13392" s="25" t="n">
        <f aca="false">CHOOSE($C$13290,Assumptions!$I$74,Assumptions!$I$93,Assumptions!$I$112)</f>
        <v>0</v>
      </c>
      <c r="J13392" s="25" t="n">
        <f aca="false">CHOOSE($C$13290,Assumptions!$J$74,Assumptions!$J$93,Assumptions!$J$112)</f>
        <v>0</v>
      </c>
      <c r="K13392" s="25" t="n">
        <f aca="false">CHOOSE($C$13290,Assumptions!$K$74,Assumptions!$K$93,Assumptions!$K$112)</f>
        <v>0</v>
      </c>
    </row>
    <row r="13393" customFormat="false" ht="15" hidden="false" customHeight="false" outlineLevel="0" collapsed="false">
      <c r="A13393" s="3" t="s">
        <v>343</v>
      </c>
      <c r="G13393" s="25" t="n">
        <f aca="false">G13339+G13352+G13365</f>
        <v>0</v>
      </c>
      <c r="H13393" s="25" t="n">
        <f aca="false">H13339+H13352+H13365</f>
        <v>0</v>
      </c>
      <c r="I13393" s="25" t="n">
        <f aca="false">I13339+I13352+I13365</f>
        <v>0</v>
      </c>
      <c r="J13393" s="25" t="n">
        <f aca="false">J13339+J13352+J13365</f>
        <v>0</v>
      </c>
      <c r="K13393" s="25" t="n">
        <f aca="false">K13339+K13352+K13365</f>
        <v>0</v>
      </c>
    </row>
    <row r="13394" customFormat="false" ht="15" hidden="false" customHeight="false" outlineLevel="0" collapsed="false">
      <c r="A13394" s="2" t="s">
        <v>344</v>
      </c>
      <c r="G13394" s="16" t="n">
        <f aca="false">G13390+G13391+G13392-G13393</f>
        <v>518.82154744</v>
      </c>
      <c r="H13394" s="16" t="n">
        <f aca="false">H13390+H13391+H13392-H13393</f>
        <v>539.6742833632</v>
      </c>
      <c r="I13394" s="16" t="n">
        <f aca="false">I13390+I13391+I13392-I13393</f>
        <v>540.886022671888</v>
      </c>
      <c r="J13394" s="16" t="n">
        <f aca="false">J13390+J13391+J13392-J13393</f>
        <v>123.071896868977</v>
      </c>
      <c r="K13394" s="16" t="n">
        <f aca="false">K13390+K13391+K13392-K13393</f>
        <v>118.677412856212</v>
      </c>
    </row>
    <row r="13395" customFormat="false" ht="15" hidden="false" customHeight="false" outlineLevel="0" collapsed="false">
      <c r="A13395" s="3" t="s">
        <v>345</v>
      </c>
      <c r="G13395" s="25" t="n">
        <f aca="false">G13340+G13353+G13366</f>
        <v>0</v>
      </c>
      <c r="H13395" s="25" t="n">
        <f aca="false">H13340+H13353+H13366</f>
        <v>0</v>
      </c>
      <c r="I13395" s="25" t="n">
        <f aca="false">I13340+I13353+I13366</f>
        <v>0</v>
      </c>
      <c r="J13395" s="25" t="n">
        <f aca="false">J13340+J13353+J13366</f>
        <v>0</v>
      </c>
      <c r="K13395" s="25" t="n">
        <f aca="false">K13340+K13353+K13366</f>
        <v>0</v>
      </c>
    </row>
    <row r="13396" customFormat="false" ht="15" hidden="false" customHeight="false" outlineLevel="0" collapsed="false">
      <c r="A13396" s="2" t="s">
        <v>346</v>
      </c>
      <c r="G13396" s="16" t="n">
        <f aca="false">G13394+G13395</f>
        <v>518.82154744</v>
      </c>
      <c r="H13396" s="16" t="n">
        <f aca="false">H13394+H13395</f>
        <v>539.6742833632</v>
      </c>
      <c r="I13396" s="16" t="n">
        <f aca="false">I13394+I13395</f>
        <v>540.886022671888</v>
      </c>
      <c r="J13396" s="16" t="n">
        <f aca="false">J13394+J13395</f>
        <v>123.071896868977</v>
      </c>
      <c r="K13396" s="16" t="n">
        <f aca="false">K13394+K13395</f>
        <v>118.677412856212</v>
      </c>
    </row>
    <row r="13397" customFormat="false" ht="15" hidden="false" customHeight="false" outlineLevel="0" collapsed="false">
      <c r="A13397" s="3" t="s">
        <v>347</v>
      </c>
      <c r="G13397" s="25" t="n">
        <f aca="false">G13341+G13354+G13367</f>
        <v>0</v>
      </c>
      <c r="H13397" s="25" t="n">
        <f aca="false">H13341+H13354+H13367</f>
        <v>0</v>
      </c>
      <c r="I13397" s="25" t="n">
        <f aca="false">I13341+I13354+I13367</f>
        <v>420.456</v>
      </c>
      <c r="J13397" s="25" t="n">
        <f aca="false">J13341+J13354+J13367</f>
        <v>0</v>
      </c>
      <c r="K13397" s="25" t="n">
        <f aca="false">K13341+K13354+K13367</f>
        <v>0</v>
      </c>
    </row>
    <row r="13398" customFormat="false" ht="15" hidden="false" customHeight="false" outlineLevel="0" collapsed="false">
      <c r="A13398" s="2" t="s">
        <v>348</v>
      </c>
      <c r="G13398" s="16" t="n">
        <f aca="false">G13396-G13397</f>
        <v>518.82154744</v>
      </c>
      <c r="H13398" s="16" t="n">
        <f aca="false">H13396-H13397</f>
        <v>539.6742833632</v>
      </c>
      <c r="I13398" s="16" t="n">
        <f aca="false">I13396-I13397</f>
        <v>120.430022671888</v>
      </c>
      <c r="J13398" s="16" t="n">
        <f aca="false">J13396-J13397</f>
        <v>123.071896868977</v>
      </c>
      <c r="K13398" s="16" t="n">
        <f aca="false">K13396-K13397</f>
        <v>118.677412856212</v>
      </c>
    </row>
    <row r="13399" customFormat="false" ht="15" hidden="false" customHeight="false" outlineLevel="0" collapsed="false">
      <c r="A13399" s="3" t="s">
        <v>349</v>
      </c>
      <c r="G13399" s="25" t="n">
        <f aca="false">MAX(0,-G13398)</f>
        <v>0</v>
      </c>
      <c r="H13399" s="25" t="n">
        <f aca="false">MAX(0,-H13398)</f>
        <v>0</v>
      </c>
      <c r="I13399" s="25" t="n">
        <f aca="false">MAX(0,-I13398)</f>
        <v>0</v>
      </c>
      <c r="J13399" s="25" t="n">
        <f aca="false">MAX(0,-J13398)</f>
        <v>0</v>
      </c>
      <c r="K13399" s="25" t="n">
        <f aca="false">MAX(0,-K13398)</f>
        <v>0</v>
      </c>
    </row>
    <row r="13400" customFormat="false" ht="15" hidden="false" customHeight="false" outlineLevel="0" collapsed="false">
      <c r="A13400" s="3" t="s">
        <v>350</v>
      </c>
      <c r="G13400" s="25" t="n">
        <f aca="false">MAX(0,G13398-Assumptions!$C$12)*Assumptions!$C$13</f>
        <v>0</v>
      </c>
      <c r="H13400" s="25" t="n">
        <f aca="false">MAX(0,H13398-Assumptions!$C$12)*Assumptions!$C$13</f>
        <v>0</v>
      </c>
      <c r="I13400" s="25" t="n">
        <f aca="false">MAX(0,I13398-Assumptions!$C$12)*Assumptions!$C$13</f>
        <v>0</v>
      </c>
      <c r="J13400" s="25" t="n">
        <f aca="false">MAX(0,J13398-Assumptions!$C$12)*Assumptions!$C$13</f>
        <v>0</v>
      </c>
      <c r="K13400" s="25" t="n">
        <f aca="false">MAX(0,K13398-Assumptions!$C$12)*Assumptions!$C$13</f>
        <v>0</v>
      </c>
    </row>
    <row r="13401" customFormat="false" ht="15" hidden="false" customHeight="false" outlineLevel="0" collapsed="false">
      <c r="A13401" s="3" t="s">
        <v>351</v>
      </c>
      <c r="G13401" s="25" t="n">
        <f aca="false">G13342+G13355+G13368</f>
        <v>0</v>
      </c>
      <c r="H13401" s="25" t="n">
        <f aca="false">H13342+H13355+H13368</f>
        <v>0</v>
      </c>
      <c r="I13401" s="25" t="n">
        <f aca="false">I13342+I13355+I13368</f>
        <v>0</v>
      </c>
      <c r="J13401" s="25" t="n">
        <f aca="false">J13342+J13355+J13368</f>
        <v>0</v>
      </c>
      <c r="K13401" s="25" t="n">
        <f aca="false">K13342+K13355+K13368</f>
        <v>0</v>
      </c>
    </row>
    <row r="13402" customFormat="false" ht="15" hidden="false" customHeight="false" outlineLevel="0" collapsed="false">
      <c r="A13402" s="2" t="s">
        <v>352</v>
      </c>
      <c r="F13402" s="28" t="n">
        <f aca="false">Assumptions!$C$11</f>
        <v>463.996</v>
      </c>
      <c r="G13402" s="16" t="n">
        <f aca="false">G13398-G13401</f>
        <v>518.82154744</v>
      </c>
      <c r="H13402" s="16" t="n">
        <f aca="false">H13398-H13401</f>
        <v>539.6742833632</v>
      </c>
      <c r="I13402" s="16" t="n">
        <f aca="false">I13398-I13401</f>
        <v>120.430022671888</v>
      </c>
      <c r="J13402" s="16" t="n">
        <f aca="false">J13398-J13401</f>
        <v>123.071896868977</v>
      </c>
      <c r="K13402" s="16" t="n">
        <f aca="false">K13398-K13401</f>
        <v>118.677412856212</v>
      </c>
    </row>
    <row r="13403" customFormat="false" ht="15" hidden="false" customHeight="false" outlineLevel="0" collapsed="false">
      <c r="A13403" s="3" t="s">
        <v>353</v>
      </c>
      <c r="G13403" s="25" t="n">
        <f aca="false">G13343+G13356+G13369</f>
        <v>0</v>
      </c>
      <c r="H13403" s="25" t="n">
        <f aca="false">H13343+H13356+H13369</f>
        <v>0</v>
      </c>
      <c r="I13403" s="25" t="n">
        <f aca="false">I13343+I13356+I13369</f>
        <v>0</v>
      </c>
      <c r="J13403" s="25" t="n">
        <f aca="false">J13343+J13356+J13369</f>
        <v>0</v>
      </c>
      <c r="K13403" s="25" t="n">
        <f aca="false">K13343+K13356+K13369</f>
        <v>0</v>
      </c>
    </row>
    <row r="13404" customFormat="false" ht="15" hidden="false" customHeight="false" outlineLevel="0" collapsed="false">
      <c r="A13404" s="3" t="s">
        <v>354</v>
      </c>
      <c r="G13404" s="20" t="n">
        <f aca="false">IF(OR(G13399&gt;0.001,G13403&gt;0.001),1,0)</f>
        <v>0</v>
      </c>
      <c r="H13404" s="20" t="n">
        <f aca="false">IF(OR(H13399&gt;0.001,H13403&gt;0.001),1,0)</f>
        <v>0</v>
      </c>
      <c r="I13404" s="20" t="n">
        <f aca="false">IF(OR(I13399&gt;0.001,I13403&gt;0.001),1,0)</f>
        <v>0</v>
      </c>
      <c r="J13404" s="20" t="n">
        <f aca="false">IF(OR(J13399&gt;0.001,J13403&gt;0.001),1,0)</f>
        <v>0</v>
      </c>
      <c r="K13404" s="20" t="n">
        <f aca="false">IF(OR(K13399&gt;0.001,K13403&gt;0.001),1,0)</f>
        <v>0</v>
      </c>
    </row>
    <row r="13405" customFormat="false" ht="15" hidden="false" customHeight="false" outlineLevel="0" collapsed="false">
      <c r="A13405" s="3" t="s">
        <v>355</v>
      </c>
      <c r="G13405" s="20" t="n">
        <f aca="false">IF(G13404=1,1,0)</f>
        <v>0</v>
      </c>
      <c r="H13405" s="20" t="n">
        <f aca="false">IF(AND(H13404=1,SUM($G$13404:G13404)=0),1,0)</f>
        <v>0</v>
      </c>
      <c r="I13405" s="20" t="n">
        <f aca="false">IF(AND(I13404=1,SUM($G$13404:H13404)=0),1,0)</f>
        <v>0</v>
      </c>
      <c r="J13405" s="20" t="n">
        <f aca="false">IF(AND(J13404=1,SUM($G$13404:I13404)=0),1,0)</f>
        <v>0</v>
      </c>
      <c r="K13405" s="20" t="n">
        <f aca="false">IF(AND(K13404=1,SUM($G$13404:J13404)=0),1,0)</f>
        <v>0</v>
      </c>
    </row>
    <row r="13406" customFormat="false" ht="15" hidden="false" customHeight="false" outlineLevel="0" collapsed="false">
      <c r="A13406" s="3" t="s">
        <v>356</v>
      </c>
      <c r="G13406" s="25" t="n">
        <f aca="false">(G13372-F13372)-(G13395+G13312-G13393-G13397-G13401)</f>
        <v>0</v>
      </c>
      <c r="H13406" s="25" t="n">
        <f aca="false">(H13372-G13372)-(H13395+H13312-H13393-H13397-H13401)</f>
        <v>0</v>
      </c>
      <c r="I13406" s="25" t="n">
        <f aca="false">(I13372-H13372)-(I13395+I13312-I13393-I13397-I13401)</f>
        <v>0</v>
      </c>
      <c r="J13406" s="25" t="n">
        <f aca="false">(J13372-I13372)-(J13395+J13312-J13393-J13397-J13401)</f>
        <v>0</v>
      </c>
      <c r="K13406" s="25" t="n">
        <f aca="false">(K13372-J13372)-(K13395+K13312-K13393-K13397-K13401)</f>
        <v>0</v>
      </c>
    </row>
    <row r="13408" customFormat="false" ht="15" hidden="false" customHeight="false" outlineLevel="0" collapsed="false">
      <c r="A13408" s="23" t="s">
        <v>358</v>
      </c>
      <c r="B13408" s="24"/>
      <c r="C13408" s="24"/>
      <c r="D13408" s="24"/>
      <c r="E13408" s="24"/>
      <c r="F13408" s="24"/>
      <c r="G13408" s="24"/>
      <c r="H13408" s="24"/>
      <c r="I13408" s="24"/>
      <c r="J13408" s="24"/>
      <c r="K13408" s="24"/>
    </row>
    <row r="13409" customFormat="false" ht="15" hidden="false" customHeight="false" outlineLevel="0" collapsed="false">
      <c r="A13409" s="3" t="s">
        <v>359</v>
      </c>
      <c r="G13409" s="25" t="n">
        <f aca="false">G13372</f>
        <v>1735.554</v>
      </c>
      <c r="H13409" s="25" t="n">
        <f aca="false">H13372</f>
        <v>1735.554</v>
      </c>
      <c r="I13409" s="25" t="n">
        <f aca="false">I13372</f>
        <v>1315.098</v>
      </c>
      <c r="J13409" s="25" t="n">
        <f aca="false">J13372</f>
        <v>1315.098</v>
      </c>
      <c r="K13409" s="25" t="n">
        <f aca="false">K13372</f>
        <v>1315.098</v>
      </c>
    </row>
    <row r="13410" customFormat="false" ht="15" hidden="false" customHeight="false" outlineLevel="0" collapsed="false">
      <c r="A13410" s="3" t="s">
        <v>360</v>
      </c>
      <c r="G13410" s="25" t="n">
        <f aca="false">Assumptions!$O$56*G13344+Assumptions!$O$57*G13357+Assumptions!$O$58*G13370</f>
        <v>1315.098</v>
      </c>
      <c r="H13410" s="25" t="n">
        <f aca="false">Assumptions!$O$56*H13344+Assumptions!$O$57*H13357+Assumptions!$O$58*H13370</f>
        <v>1315.098</v>
      </c>
      <c r="I13410" s="25" t="n">
        <f aca="false">Assumptions!$O$56*I13344+Assumptions!$O$57*I13357+Assumptions!$O$58*I13370</f>
        <v>1315.098</v>
      </c>
      <c r="J13410" s="25" t="n">
        <f aca="false">Assumptions!$O$56*J13344+Assumptions!$O$57*J13357+Assumptions!$O$58*J13370</f>
        <v>1315.098</v>
      </c>
      <c r="K13410" s="25" t="n">
        <f aca="false">Assumptions!$O$56*K13344+Assumptions!$O$57*K13357+Assumptions!$O$58*K13370</f>
        <v>1315.098</v>
      </c>
    </row>
    <row r="13411" customFormat="false" ht="15" hidden="false" customHeight="false" outlineLevel="0" collapsed="false">
      <c r="A13411" s="3" t="s">
        <v>361</v>
      </c>
      <c r="G13411" s="25" t="n">
        <f aca="false">G13409-G13402</f>
        <v>1216.73245256</v>
      </c>
      <c r="H13411" s="25" t="n">
        <f aca="false">H13409-H13402</f>
        <v>1195.8797166368</v>
      </c>
      <c r="I13411" s="25" t="n">
        <f aca="false">I13409-I13402</f>
        <v>1194.66797732811</v>
      </c>
      <c r="J13411" s="25" t="n">
        <f aca="false">J13409-J13402</f>
        <v>1192.02610313102</v>
      </c>
      <c r="K13411" s="25" t="n">
        <f aca="false">K13409-K13402</f>
        <v>1196.42058714379</v>
      </c>
    </row>
    <row r="13412" customFormat="false" ht="15" hidden="false" customHeight="false" outlineLevel="0" collapsed="false">
      <c r="A13412" s="3" t="s">
        <v>362</v>
      </c>
      <c r="G13412" s="32" t="n">
        <f aca="false">IF(G13307&gt;0,G13409/G13307,0)</f>
        <v>6.99885842190068</v>
      </c>
      <c r="H13412" s="32" t="n">
        <f aca="false">IF(H13307&gt;0,H13409/H13307,0)</f>
        <v>8.20980460047</v>
      </c>
      <c r="I13412" s="32" t="n">
        <f aca="false">IF(I13307&gt;0,I13409/I13307,0)</f>
        <v>6.93311397368161</v>
      </c>
      <c r="J13412" s="32" t="n">
        <f aca="false">IF(J13307&gt;0,J13409/J13307,0)</f>
        <v>7.66291544459547</v>
      </c>
      <c r="K13412" s="32" t="n">
        <f aca="false">IF(K13307&gt;0,K13409/K13307,0)</f>
        <v>8.0662267837847</v>
      </c>
    </row>
    <row r="13413" customFormat="false" ht="15" hidden="false" customHeight="false" outlineLevel="0" collapsed="false">
      <c r="A13413" s="3" t="s">
        <v>363</v>
      </c>
      <c r="G13413" s="32" t="n">
        <f aca="false">IF(G13307&gt;0,G13411/G13307,0)</f>
        <v>4.9066397085884</v>
      </c>
      <c r="H13413" s="32" t="n">
        <f aca="false">IF(H13307&gt;0,H13411/H13307,0)</f>
        <v>5.65694804036842</v>
      </c>
      <c r="I13413" s="32" t="n">
        <f aca="false">IF(I13307&gt;0,I13411/I13307,0)</f>
        <v>6.29821446578391</v>
      </c>
      <c r="J13413" s="32" t="n">
        <f aca="false">IF(J13307&gt;0,J13411/J13307,0)</f>
        <v>6.94579053123316</v>
      </c>
      <c r="K13413" s="32" t="n">
        <f aca="false">IF(K13307&gt;0,K13411/K13307,0)</f>
        <v>7.33831226622703</v>
      </c>
    </row>
    <row r="13414" customFormat="false" ht="15" hidden="false" customHeight="false" outlineLevel="0" collapsed="false">
      <c r="A13414" s="3" t="s">
        <v>364</v>
      </c>
      <c r="G13414" s="32" t="n">
        <f aca="false">IF(G13311&gt;0,G13307/G13311,0)</f>
        <v>1.59005643370602</v>
      </c>
      <c r="H13414" s="32" t="n">
        <f aca="false">IF(H13311&gt;0,H13307/H13311,0)</f>
        <v>1.35552310973439</v>
      </c>
      <c r="I13414" s="32" t="n">
        <f aca="false">IF(I13311&gt;0,I13307/I13311,0)</f>
        <v>1.21627391755258</v>
      </c>
      <c r="J13414" s="32" t="n">
        <f aca="false">IF(J13311&gt;0,J13307/J13311,0)</f>
        <v>1.24284413584734</v>
      </c>
      <c r="K13414" s="32" t="n">
        <f aca="false">IF(K13311&gt;0,K13307/K13311,0)</f>
        <v>1.18070192905498</v>
      </c>
    </row>
    <row r="13415" customFormat="false" ht="15" hidden="false" customHeight="false" outlineLevel="0" collapsed="false">
      <c r="A13415" s="3" t="s">
        <v>365</v>
      </c>
      <c r="G13415" s="32" t="n">
        <f aca="false">IF(G13311&gt;0,G13310/G13311,0)</f>
        <v>0.943202831951104</v>
      </c>
      <c r="H13415" s="32" t="n">
        <f aca="false">IF(H13311&gt;0,H13310/H13311,0)</f>
        <v>0.75394926010231</v>
      </c>
      <c r="I13415" s="32" t="n">
        <f aca="false">IF(I13311&gt;0,I13310/I13311,0)</f>
        <v>0.65079449889843</v>
      </c>
      <c r="J13415" s="32" t="n">
        <f aca="false">IF(J13311&gt;0,J13310/J13311,0)</f>
        <v>0.636119854632452</v>
      </c>
      <c r="K13415" s="32" t="n">
        <f aca="false">IF(K13311&gt;0,K13310/K13311,0)</f>
        <v>0.604313861900829</v>
      </c>
    </row>
    <row r="13416" customFormat="false" ht="15" hidden="false" customHeight="false" outlineLevel="0" collapsed="false">
      <c r="A13416" s="3" t="s">
        <v>198</v>
      </c>
      <c r="G13416" s="21" t="n">
        <f aca="false">IF(G13409&gt;0,G13320/G13409,0)</f>
        <v>0.0315896523185104</v>
      </c>
      <c r="H13416" s="21" t="n">
        <f aca="false">IF(H13409&gt;0,H13320/H13409,0)</f>
        <v>0.0120150314673009</v>
      </c>
      <c r="I13416" s="21" t="n">
        <f aca="false">IF(I13409&gt;0,I13320/I13409,0)</f>
        <v>0.000921406091932281</v>
      </c>
      <c r="J13416" s="21" t="n">
        <f aca="false">IF(J13409&gt;0,J13320/J13409,0)</f>
        <v>0.00200888009645638</v>
      </c>
      <c r="K13416" s="21" t="n">
        <f aca="false">IF(K13409&gt;0,K13320/K13409,0)</f>
        <v>-0.00334156390836645</v>
      </c>
    </row>
    <row r="13417" customFormat="false" ht="15" hidden="false" customHeight="false" outlineLevel="0" collapsed="false">
      <c r="A13417" s="3" t="s">
        <v>366</v>
      </c>
      <c r="G13417" s="32" t="n">
        <f aca="false">IF(G13311+G13393&gt;0,(G13307-G13318-G13315)/(G13311+G13393),0)</f>
        <v>1.41780032005454</v>
      </c>
      <c r="H13417" s="32" t="n">
        <f aca="false">IF(H13311+H13393&gt;0,(H13307-H13318-H13315)/(H13311+H13393),0)</f>
        <v>1.1953249240385</v>
      </c>
      <c r="I13417" s="32" t="n">
        <f aca="false">IF(I13311+I13393&gt;0,(I13307-I13318-I13315)/(I13311+I13393),0)</f>
        <v>1.06568762299845</v>
      </c>
      <c r="J13417" s="32" t="n">
        <f aca="false">IF(J13311+J13393&gt;0,(J13307-J13318-J13315)/(J13311+J13393),0)</f>
        <v>1.08127439818719</v>
      </c>
      <c r="K13417" s="32" t="n">
        <f aca="false">IF(K13311+K13393&gt;0,(K13307-K13318-K13315)/(K13311+K13393),0)</f>
        <v>1.02721067827783</v>
      </c>
    </row>
    <row r="13418" customFormat="false" ht="15" hidden="false" customHeight="false" outlineLevel="0" collapsed="false">
      <c r="A13418" s="3" t="s">
        <v>367</v>
      </c>
      <c r="G13418" s="25" t="n">
        <f aca="false">MAX(0,G13402)+Assumptions!$P$56*MAX(0,Assumptions!$D$56-G13344)+Assumptions!$P$57*MAX(0,Assumptions!$D$57-G13357)+Assumptions!$P$58*MAX(0,Assumptions!$D$58-G13370)</f>
        <v>518.82154744</v>
      </c>
      <c r="H13418" s="25" t="n">
        <f aca="false">MAX(0,H13402)+Assumptions!$P$56*MAX(0,Assumptions!$D$56-H13344)+Assumptions!$P$57*MAX(0,Assumptions!$D$57-H13357)+Assumptions!$P$58*MAX(0,Assumptions!$D$58-H13370)</f>
        <v>539.6742833632</v>
      </c>
      <c r="I13418" s="25" t="n">
        <f aca="false">MAX(0,I13402)+Assumptions!$P$56*MAX(0,Assumptions!$D$56-I13344)+Assumptions!$P$57*MAX(0,Assumptions!$D$57-I13357)+Assumptions!$P$58*MAX(0,Assumptions!$D$58-I13370)</f>
        <v>120.430022671888</v>
      </c>
      <c r="J13418" s="25" t="n">
        <f aca="false">MAX(0,J13402)+Assumptions!$P$56*MAX(0,Assumptions!$D$56-J13344)+Assumptions!$P$57*MAX(0,Assumptions!$D$57-J13357)+Assumptions!$P$58*MAX(0,Assumptions!$D$58-J13370)</f>
        <v>123.071896868977</v>
      </c>
      <c r="K13418" s="25" t="n">
        <f aca="false">MAX(0,K13402)+Assumptions!$P$56*MAX(0,Assumptions!$D$56-K13344)+Assumptions!$P$57*MAX(0,Assumptions!$D$57-K13357)+Assumptions!$P$58*MAX(0,Assumptions!$D$58-K13370)</f>
        <v>118.677412856212</v>
      </c>
    </row>
    <row r="13419" customFormat="false" ht="15" hidden="false" customHeight="false" outlineLevel="0" collapsed="false">
      <c r="A13419" s="3" t="s">
        <v>368</v>
      </c>
      <c r="G13419" s="21" t="n">
        <f aca="false">IF(G13409&gt;0,G13409/(G13409+MAX(0,G13307*CHOOSE($C$13290,Assumptions!$C$82,Assumptions!$C$101,Assumptions!$C$120)-G13411)),0)</f>
        <v>0.986836236277321</v>
      </c>
      <c r="H13419" s="21" t="n">
        <f aca="false">IF(H13409&gt;0,H13409/(H13409+MAX(0,H13307*CHOOSE($C$13290,Assumptions!$C$82,Assumptions!$C$101,Assumptions!$C$120)-H13411)),0)</f>
        <v>1</v>
      </c>
      <c r="I13419" s="21" t="n">
        <f aca="false">IF(I13409&gt;0,I13409/(I13409+MAX(0,I13307*CHOOSE($C$13290,Assumptions!$C$82,Assumptions!$C$101,Assumptions!$C$120)-I13411)),0)</f>
        <v>1</v>
      </c>
      <c r="J13419" s="21" t="n">
        <f aca="false">IF(J13409&gt;0,J13409/(J13409+MAX(0,J13307*CHOOSE($C$13290,Assumptions!$C$82,Assumptions!$C$101,Assumptions!$C$120)-J13411)),0)</f>
        <v>1</v>
      </c>
      <c r="K13419" s="21" t="n">
        <f aca="false">IF(K13409&gt;0,K13409/(K13409+MAX(0,K13307*CHOOSE($C$13290,Assumptions!$C$82,Assumptions!$C$101,Assumptions!$C$120)-K13411)),0)</f>
        <v>1</v>
      </c>
    </row>
    <row r="13420" customFormat="false" ht="15" hidden="false" customHeight="false" outlineLevel="0" collapsed="false">
      <c r="A13420" s="3" t="s">
        <v>369</v>
      </c>
      <c r="G13420" s="21" t="n">
        <f aca="false">IF(G13409&gt;0,MAX(0,G13402)/G13409,0)</f>
        <v>0.298937139057615</v>
      </c>
      <c r="H13420" s="21" t="n">
        <f aca="false">IF(H13409&gt;0,MAX(0,H13402)/H13409,0)</f>
        <v>0.310952170524916</v>
      </c>
      <c r="I13420" s="21" t="n">
        <f aca="false">IF(I13409&gt;0,MAX(0,I13402)/I13409,0)</f>
        <v>0.0915749416939937</v>
      </c>
      <c r="J13420" s="21" t="n">
        <f aca="false">IF(J13409&gt;0,MAX(0,J13402)/J13409,0)</f>
        <v>0.0935838217904501</v>
      </c>
      <c r="K13420" s="21" t="n">
        <f aca="false">IF(K13409&gt;0,MAX(0,K13402)/K13409,0)</f>
        <v>0.0902422578820836</v>
      </c>
    </row>
    <row r="13421" customFormat="false" ht="15" hidden="false" customHeight="false" outlineLevel="0" collapsed="false">
      <c r="A13421" s="3" t="s">
        <v>370</v>
      </c>
      <c r="G13421" s="25" t="n">
        <f aca="false">Assumptions!$C$30*(1-CHOOSE($C$13290,Assumptions!$C$85,Assumptions!$C$104,Assumptions!$C$123))</f>
        <v>2086.72535</v>
      </c>
      <c r="H13421" s="25" t="n">
        <f aca="false">Assumptions!$C$30*(1-CHOOSE($C$13290,Assumptions!$C$85,Assumptions!$C$104,Assumptions!$C$123))</f>
        <v>2086.72535</v>
      </c>
      <c r="I13421" s="25" t="n">
        <f aca="false">Assumptions!$C$30*(1-CHOOSE($C$13290,Assumptions!$C$85,Assumptions!$C$104,Assumptions!$C$123))</f>
        <v>2086.72535</v>
      </c>
      <c r="J13421" s="25" t="n">
        <f aca="false">Assumptions!$C$30*(1-CHOOSE($C$13290,Assumptions!$C$85,Assumptions!$C$104,Assumptions!$C$123))</f>
        <v>2086.72535</v>
      </c>
      <c r="K13421" s="25" t="n">
        <f aca="false">Assumptions!$C$30*(1-CHOOSE($C$13290,Assumptions!$C$85,Assumptions!$C$104,Assumptions!$C$123))</f>
        <v>2086.72535</v>
      </c>
    </row>
    <row r="13422" customFormat="false" ht="15" hidden="false" customHeight="false" outlineLevel="0" collapsed="false">
      <c r="A13422" s="23" t="s">
        <v>371</v>
      </c>
      <c r="B13422" s="24"/>
      <c r="C13422" s="24"/>
      <c r="D13422" s="24"/>
      <c r="E13422" s="24"/>
      <c r="F13422" s="24"/>
      <c r="G13422" s="24"/>
      <c r="H13422" s="24"/>
      <c r="I13422" s="24"/>
      <c r="J13422" s="24"/>
      <c r="K13422" s="24"/>
    </row>
    <row r="13423" customFormat="false" ht="15" hidden="false" customHeight="false" outlineLevel="0" collapsed="false">
      <c r="A13423" s="23" t="s">
        <v>372</v>
      </c>
      <c r="B13423" s="24"/>
      <c r="C13423" s="24"/>
      <c r="D13423" s="24"/>
      <c r="E13423" s="24"/>
      <c r="F13423" s="24"/>
      <c r="G13423" s="24"/>
      <c r="H13423" s="24"/>
      <c r="I13423" s="24"/>
      <c r="J13423" s="24"/>
      <c r="K13423" s="24"/>
    </row>
    <row r="13424" customFormat="false" ht="15" hidden="false" customHeight="false" outlineLevel="0" collapsed="false">
      <c r="A13424" s="3" t="s">
        <v>373</v>
      </c>
      <c r="G13424" s="32" t="n">
        <f aca="false">IF(G13307&gt;0,G13411/G13307,99)</f>
        <v>4.9066397085884</v>
      </c>
      <c r="H13424" s="32" t="n">
        <f aca="false">IF(H13307&gt;0,H13411/H13307,99)</f>
        <v>5.65694804036842</v>
      </c>
      <c r="I13424" s="32" t="n">
        <f aca="false">IF(I13307&gt;0,I13411/I13307,99)</f>
        <v>6.29821446578391</v>
      </c>
      <c r="J13424" s="32" t="n">
        <f aca="false">IF(J13307&gt;0,J13411/J13307,99)</f>
        <v>6.94579053123316</v>
      </c>
      <c r="K13424" s="32" t="n">
        <f aca="false">IF(K13307&gt;0,K13411/K13307,99)</f>
        <v>7.33831226622703</v>
      </c>
    </row>
    <row r="13425" customFormat="false" ht="15" hidden="false" customHeight="false" outlineLevel="0" collapsed="false">
      <c r="A13425" s="3" t="s">
        <v>374</v>
      </c>
      <c r="G13425" s="33" t="n">
        <f aca="false">Assumptions!$G$65</f>
        <v>5.25</v>
      </c>
      <c r="H13425" s="33" t="n">
        <f aca="false">Assumptions!$H$65</f>
        <v>5.25</v>
      </c>
      <c r="I13425" s="33" t="n">
        <f aca="false">Assumptions!$I$65</f>
        <v>5</v>
      </c>
      <c r="J13425" s="33" t="n">
        <f aca="false">Assumptions!$J$65</f>
        <v>5</v>
      </c>
      <c r="K13425" s="33" t="n">
        <f aca="false">Assumptions!$K$65</f>
        <v>5</v>
      </c>
    </row>
    <row r="13426" customFormat="false" ht="15" hidden="false" customHeight="false" outlineLevel="0" collapsed="false">
      <c r="A13426" s="3" t="s">
        <v>375</v>
      </c>
      <c r="G13426" s="32" t="n">
        <f aca="false">G13425-G13424</f>
        <v>0.343360291411604</v>
      </c>
      <c r="H13426" s="32" t="n">
        <f aca="false">H13425-H13424</f>
        <v>-0.406948040368418</v>
      </c>
      <c r="I13426" s="32" t="n">
        <f aca="false">I13425-I13424</f>
        <v>-1.29821446578391</v>
      </c>
      <c r="J13426" s="32" t="n">
        <f aca="false">J13425-J13424</f>
        <v>-1.94579053123316</v>
      </c>
      <c r="K13426" s="32" t="n">
        <f aca="false">K13425-K13424</f>
        <v>-2.33831226622703</v>
      </c>
    </row>
    <row r="13427" customFormat="false" ht="15" hidden="false" customHeight="false" outlineLevel="0" collapsed="false">
      <c r="A13427" s="3" t="s">
        <v>376</v>
      </c>
      <c r="G13427" s="21" t="n">
        <f aca="false">IF(G13425=0,0,G13426/ABS(G13425))</f>
        <v>0.0654019602688769</v>
      </c>
      <c r="H13427" s="21" t="n">
        <f aca="false">IF(H13425=0,0,H13426/ABS(H13425))</f>
        <v>-0.0775139124511272</v>
      </c>
      <c r="I13427" s="21" t="n">
        <f aca="false">IF(I13425=0,0,I13426/ABS(I13425))</f>
        <v>-0.259642893156781</v>
      </c>
      <c r="J13427" s="21" t="n">
        <f aca="false">IF(J13425=0,0,J13426/ABS(J13425))</f>
        <v>-0.389158106246632</v>
      </c>
      <c r="K13427" s="21" t="n">
        <f aca="false">IF(K13425=0,0,K13426/ABS(K13425))</f>
        <v>-0.467662453245407</v>
      </c>
    </row>
    <row r="13428" customFormat="false" ht="15" hidden="false" customHeight="false" outlineLevel="0" collapsed="false">
      <c r="A13428" s="3" t="s">
        <v>377</v>
      </c>
      <c r="G13428" s="20" t="n">
        <f aca="false">IF(G13426&lt;0,1,0)</f>
        <v>0</v>
      </c>
      <c r="H13428" s="20" t="n">
        <f aca="false">IF(H13426&lt;0,1,0)</f>
        <v>1</v>
      </c>
      <c r="I13428" s="20" t="n">
        <f aca="false">IF(I13426&lt;0,1,0)</f>
        <v>1</v>
      </c>
      <c r="J13428" s="20" t="n">
        <f aca="false">IF(J13426&lt;0,1,0)</f>
        <v>1</v>
      </c>
      <c r="K13428" s="20" t="n">
        <f aca="false">IF(K13426&lt;0,1,0)</f>
        <v>1</v>
      </c>
    </row>
    <row r="13429" customFormat="false" ht="15" hidden="false" customHeight="false" outlineLevel="0" collapsed="false">
      <c r="A13429" s="3" t="s">
        <v>378</v>
      </c>
      <c r="C13429" s="20" t="n">
        <f aca="false">IFERROR(INDEX($G$13297:$K$13297,MATCH(1,$G$13428:$K$13428,0)),0)</f>
        <v>2028</v>
      </c>
    </row>
    <row r="13430" customFormat="false" ht="15" hidden="false" customHeight="false" outlineLevel="0" collapsed="false">
      <c r="A13430" s="3" t="s">
        <v>379</v>
      </c>
      <c r="C13430" s="21" t="n">
        <f aca="false">MIN($G$13427:$K$13427)</f>
        <v>-0.467662453245407</v>
      </c>
    </row>
    <row r="13431" customFormat="false" ht="15" hidden="false" customHeight="false" outlineLevel="0" collapsed="false">
      <c r="A13431" s="23" t="s">
        <v>380</v>
      </c>
      <c r="B13431" s="24"/>
      <c r="C13431" s="24"/>
      <c r="D13431" s="24"/>
      <c r="E13431" s="24"/>
      <c r="F13431" s="24"/>
      <c r="G13431" s="24"/>
      <c r="H13431" s="24"/>
      <c r="I13431" s="24"/>
      <c r="J13431" s="24"/>
      <c r="K13431" s="24"/>
    </row>
    <row r="13432" customFormat="false" ht="15" hidden="false" customHeight="false" outlineLevel="0" collapsed="false">
      <c r="A13432" s="3" t="s">
        <v>373</v>
      </c>
      <c r="G13432" s="32" t="n">
        <f aca="false">IF(G13311&gt;0,G13307/G13311,99)</f>
        <v>1.59005643370602</v>
      </c>
      <c r="H13432" s="32" t="n">
        <f aca="false">IF(H13311&gt;0,H13307/H13311,99)</f>
        <v>1.35552310973439</v>
      </c>
      <c r="I13432" s="32" t="n">
        <f aca="false">IF(I13311&gt;0,I13307/I13311,99)</f>
        <v>1.21627391755258</v>
      </c>
      <c r="J13432" s="32" t="n">
        <f aca="false">IF(J13311&gt;0,J13307/J13311,99)</f>
        <v>1.24284413584734</v>
      </c>
      <c r="K13432" s="32" t="n">
        <f aca="false">IF(K13311&gt;0,K13307/K13311,99)</f>
        <v>1.18070192905498</v>
      </c>
    </row>
    <row r="13433" customFormat="false" ht="15" hidden="false" customHeight="false" outlineLevel="0" collapsed="false">
      <c r="A13433" s="3" t="s">
        <v>374</v>
      </c>
      <c r="G13433" s="33" t="n">
        <f aca="false">Assumptions!$G$66</f>
        <v>1.4</v>
      </c>
      <c r="H13433" s="33" t="n">
        <f aca="false">Assumptions!$H$66</f>
        <v>1.4</v>
      </c>
      <c r="I13433" s="33" t="n">
        <f aca="false">Assumptions!$I$66</f>
        <v>1.4</v>
      </c>
      <c r="J13433" s="33" t="n">
        <f aca="false">Assumptions!$J$66</f>
        <v>1.5</v>
      </c>
      <c r="K13433" s="33" t="n">
        <f aca="false">Assumptions!$K$66</f>
        <v>1.5</v>
      </c>
    </row>
    <row r="13434" customFormat="false" ht="15" hidden="false" customHeight="false" outlineLevel="0" collapsed="false">
      <c r="A13434" s="3" t="s">
        <v>375</v>
      </c>
      <c r="G13434" s="32" t="n">
        <f aca="false">G13432-G13433</f>
        <v>0.190056433706025</v>
      </c>
      <c r="H13434" s="32" t="n">
        <f aca="false">H13432-H13433</f>
        <v>-0.0444768902656139</v>
      </c>
      <c r="I13434" s="32" t="n">
        <f aca="false">I13432-I13433</f>
        <v>-0.183726082447419</v>
      </c>
      <c r="J13434" s="32" t="n">
        <f aca="false">J13432-J13433</f>
        <v>-0.257155864152655</v>
      </c>
      <c r="K13434" s="32" t="n">
        <f aca="false">K13432-K13433</f>
        <v>-0.319298070945023</v>
      </c>
    </row>
    <row r="13435" customFormat="false" ht="15" hidden="false" customHeight="false" outlineLevel="0" collapsed="false">
      <c r="A13435" s="3" t="s">
        <v>376</v>
      </c>
      <c r="G13435" s="21" t="n">
        <f aca="false">IF(G13433=0,0,G13434/ABS(G13433))</f>
        <v>0.135754595504304</v>
      </c>
      <c r="H13435" s="21" t="n">
        <f aca="false">IF(H13433=0,0,H13434/ABS(H13433))</f>
        <v>-0.0317692073325813</v>
      </c>
      <c r="I13435" s="21" t="n">
        <f aca="false">IF(I13433=0,0,I13434/ABS(I13433))</f>
        <v>-0.131232916033871</v>
      </c>
      <c r="J13435" s="21" t="n">
        <f aca="false">IF(J13433=0,0,J13434/ABS(J13433))</f>
        <v>-0.171437242768437</v>
      </c>
      <c r="K13435" s="21" t="n">
        <f aca="false">IF(K13433=0,0,K13434/ABS(K13433))</f>
        <v>-0.212865380630015</v>
      </c>
    </row>
    <row r="13436" customFormat="false" ht="15" hidden="false" customHeight="false" outlineLevel="0" collapsed="false">
      <c r="A13436" s="3" t="s">
        <v>377</v>
      </c>
      <c r="G13436" s="20" t="n">
        <f aca="false">IF(G13434&lt;0,1,0)</f>
        <v>0</v>
      </c>
      <c r="H13436" s="20" t="n">
        <f aca="false">IF(H13434&lt;0,1,0)</f>
        <v>1</v>
      </c>
      <c r="I13436" s="20" t="n">
        <f aca="false">IF(I13434&lt;0,1,0)</f>
        <v>1</v>
      </c>
      <c r="J13436" s="20" t="n">
        <f aca="false">IF(J13434&lt;0,1,0)</f>
        <v>1</v>
      </c>
      <c r="K13436" s="20" t="n">
        <f aca="false">IF(K13434&lt;0,1,0)</f>
        <v>1</v>
      </c>
    </row>
    <row r="13437" customFormat="false" ht="15" hidden="false" customHeight="false" outlineLevel="0" collapsed="false">
      <c r="A13437" s="3" t="s">
        <v>378</v>
      </c>
      <c r="C13437" s="20" t="n">
        <f aca="false">IFERROR(INDEX($G$13297:$K$13297,MATCH(1,$G$13436:$K$13436,0)),0)</f>
        <v>2028</v>
      </c>
    </row>
    <row r="13438" customFormat="false" ht="15" hidden="false" customHeight="false" outlineLevel="0" collapsed="false">
      <c r="A13438" s="3" t="s">
        <v>379</v>
      </c>
      <c r="C13438" s="21" t="n">
        <f aca="false">MIN($G$13435:$K$13435)</f>
        <v>-0.212865380630015</v>
      </c>
    </row>
    <row r="13439" customFormat="false" ht="15" hidden="false" customHeight="false" outlineLevel="0" collapsed="false">
      <c r="A13439" s="23" t="s">
        <v>381</v>
      </c>
      <c r="B13439" s="24"/>
      <c r="C13439" s="24"/>
      <c r="D13439" s="24"/>
      <c r="E13439" s="24"/>
      <c r="F13439" s="24"/>
      <c r="G13439" s="24"/>
      <c r="H13439" s="24"/>
      <c r="I13439" s="24"/>
      <c r="J13439" s="24"/>
      <c r="K13439" s="24"/>
    </row>
    <row r="13440" customFormat="false" ht="15" hidden="false" customHeight="false" outlineLevel="0" collapsed="false">
      <c r="A13440" s="3" t="s">
        <v>373</v>
      </c>
      <c r="G13440" s="25" t="n">
        <f aca="false">G13418</f>
        <v>518.82154744</v>
      </c>
      <c r="H13440" s="25" t="n">
        <f aca="false">H13418</f>
        <v>539.6742833632</v>
      </c>
      <c r="I13440" s="25" t="n">
        <f aca="false">I13418</f>
        <v>120.430022671888</v>
      </c>
      <c r="J13440" s="25" t="n">
        <f aca="false">J13418</f>
        <v>123.071896868977</v>
      </c>
      <c r="K13440" s="25" t="n">
        <f aca="false">K13418</f>
        <v>118.677412856212</v>
      </c>
    </row>
    <row r="13441" customFormat="false" ht="15" hidden="false" customHeight="false" outlineLevel="0" collapsed="false">
      <c r="A13441" s="3" t="s">
        <v>374</v>
      </c>
      <c r="G13441" s="29" t="n">
        <f aca="false">Assumptions!$G$67</f>
        <v>200</v>
      </c>
      <c r="H13441" s="29" t="n">
        <f aca="false">Assumptions!$H$67</f>
        <v>200</v>
      </c>
      <c r="I13441" s="29" t="n">
        <f aca="false">Assumptions!$I$67</f>
        <v>200</v>
      </c>
      <c r="J13441" s="29" t="n">
        <f aca="false">Assumptions!$J$67</f>
        <v>200</v>
      </c>
      <c r="K13441" s="29" t="n">
        <f aca="false">Assumptions!$K$67</f>
        <v>200</v>
      </c>
    </row>
    <row r="13442" customFormat="false" ht="15" hidden="false" customHeight="false" outlineLevel="0" collapsed="false">
      <c r="A13442" s="3" t="s">
        <v>375</v>
      </c>
      <c r="G13442" s="25" t="n">
        <f aca="false">G13440-G13441</f>
        <v>318.82154744</v>
      </c>
      <c r="H13442" s="25" t="n">
        <f aca="false">H13440-H13441</f>
        <v>339.6742833632</v>
      </c>
      <c r="I13442" s="25" t="n">
        <f aca="false">I13440-I13441</f>
        <v>-79.5699773281123</v>
      </c>
      <c r="J13442" s="25" t="n">
        <f aca="false">J13440-J13441</f>
        <v>-76.9281031310227</v>
      </c>
      <c r="K13442" s="25" t="n">
        <f aca="false">K13440-K13441</f>
        <v>-81.3225871437876</v>
      </c>
    </row>
    <row r="13443" customFormat="false" ht="15" hidden="false" customHeight="false" outlineLevel="0" collapsed="false">
      <c r="A13443" s="3" t="s">
        <v>376</v>
      </c>
      <c r="G13443" s="21" t="n">
        <f aca="false">IF(G13441=0,0,G13442/ABS(G13441))</f>
        <v>1.5941077372</v>
      </c>
      <c r="H13443" s="21" t="n">
        <f aca="false">IF(H13441=0,0,H13442/ABS(H13441))</f>
        <v>1.698371416816</v>
      </c>
      <c r="I13443" s="21" t="n">
        <f aca="false">IF(I13441=0,0,I13442/ABS(I13441))</f>
        <v>-0.397849886640561</v>
      </c>
      <c r="J13443" s="21" t="n">
        <f aca="false">IF(J13441=0,0,J13442/ABS(J13441))</f>
        <v>-0.384640515655113</v>
      </c>
      <c r="K13443" s="21" t="n">
        <f aca="false">IF(K13441=0,0,K13442/ABS(K13441))</f>
        <v>-0.406612935718938</v>
      </c>
    </row>
    <row r="13444" customFormat="false" ht="15" hidden="false" customHeight="false" outlineLevel="0" collapsed="false">
      <c r="A13444" s="3" t="s">
        <v>377</v>
      </c>
      <c r="G13444" s="20" t="n">
        <f aca="false">IF(G13442&lt;0,1,0)</f>
        <v>0</v>
      </c>
      <c r="H13444" s="20" t="n">
        <f aca="false">IF(H13442&lt;0,1,0)</f>
        <v>0</v>
      </c>
      <c r="I13444" s="20" t="n">
        <f aca="false">IF(I13442&lt;0,1,0)</f>
        <v>1</v>
      </c>
      <c r="J13444" s="20" t="n">
        <f aca="false">IF(J13442&lt;0,1,0)</f>
        <v>1</v>
      </c>
      <c r="K13444" s="20" t="n">
        <f aca="false">IF(K13442&lt;0,1,0)</f>
        <v>1</v>
      </c>
    </row>
    <row r="13445" customFormat="false" ht="15" hidden="false" customHeight="false" outlineLevel="0" collapsed="false">
      <c r="A13445" s="3" t="s">
        <v>378</v>
      </c>
      <c r="C13445" s="20" t="n">
        <f aca="false">IFERROR(INDEX($G$13297:$K$13297,MATCH(1,$G$13444:$K$13444,0)),0)</f>
        <v>2029</v>
      </c>
    </row>
    <row r="13446" customFormat="false" ht="15" hidden="false" customHeight="false" outlineLevel="0" collapsed="false">
      <c r="A13446" s="3" t="s">
        <v>379</v>
      </c>
      <c r="C13446" s="21" t="n">
        <f aca="false">MIN($G$13443:$K$13443)</f>
        <v>-0.406612935718938</v>
      </c>
    </row>
    <row r="13447" customFormat="false" ht="15" hidden="false" customHeight="false" outlineLevel="0" collapsed="false">
      <c r="A13447" s="3" t="s">
        <v>382</v>
      </c>
      <c r="G13447" s="20" t="n">
        <f aca="false">G13428+G13436+G13444</f>
        <v>0</v>
      </c>
      <c r="H13447" s="20" t="n">
        <f aca="false">H13428+H13436+H13444</f>
        <v>2</v>
      </c>
      <c r="I13447" s="20" t="n">
        <f aca="false">I13428+I13436+I13444</f>
        <v>3</v>
      </c>
      <c r="J13447" s="20" t="n">
        <f aca="false">J13428+J13436+J13444</f>
        <v>3</v>
      </c>
      <c r="K13447" s="20" t="n">
        <f aca="false">K13428+K13436+K13444</f>
        <v>3</v>
      </c>
    </row>
    <row r="13448" customFormat="false" ht="15" hidden="false" customHeight="false" outlineLevel="0" collapsed="false">
      <c r="A13448" s="3" t="s">
        <v>383</v>
      </c>
      <c r="C13448" s="20" t="n">
        <f aca="false">SUM($G$13447:$K$13447)</f>
        <v>11</v>
      </c>
    </row>
    <row r="13449" customFormat="false" ht="15" hidden="false" customHeight="false" outlineLevel="0" collapsed="false">
      <c r="A13449" s="3" t="s">
        <v>384</v>
      </c>
      <c r="C13449" s="21" t="n">
        <f aca="false">MIN(C13430,C13438,C13446)</f>
        <v>-0.467662453245407</v>
      </c>
    </row>
    <row r="13451" customFormat="false" ht="15" hidden="false" customHeight="false" outlineLevel="0" collapsed="false">
      <c r="A13451" s="23" t="s">
        <v>486</v>
      </c>
      <c r="B13451" s="24"/>
      <c r="C13451" s="24"/>
      <c r="D13451" s="24"/>
      <c r="E13451" s="24"/>
      <c r="F13451" s="24"/>
      <c r="G13451" s="24"/>
      <c r="H13451" s="24"/>
      <c r="I13451" s="24"/>
      <c r="J13451" s="24"/>
      <c r="K13451" s="24"/>
    </row>
    <row r="13452" customFormat="false" ht="15" hidden="false" customHeight="false" outlineLevel="0" collapsed="false">
      <c r="A13452" s="3" t="s">
        <v>487</v>
      </c>
      <c r="G13452" s="20" t="n">
        <f aca="false">IF($C$13453=1,G13405,IF(G13307=MIN($G$13307:$K$13307),1,0))</f>
        <v>0</v>
      </c>
      <c r="H13452" s="20" t="n">
        <f aca="false">IF($C$13453=1,H13405,IF(AND(H13307=MIN($G$13307:$K$13307),SUM($G$13452:G13452)=0),1,0))</f>
        <v>0</v>
      </c>
      <c r="I13452" s="20" t="n">
        <f aca="false">IF($C$13453=1,I13405,IF(AND(I13307=MIN($G$13307:$K$13307),SUM($G$13452:H13452)=0),1,0))</f>
        <v>0</v>
      </c>
      <c r="J13452" s="20" t="n">
        <f aca="false">IF($C$13453=1,J13405,IF(AND(J13307=MIN($G$13307:$K$13307),SUM($G$13452:I13452)=0),1,0))</f>
        <v>0</v>
      </c>
      <c r="K13452" s="20" t="n">
        <f aca="false">IF($C$13453=1,K13405,IF(AND(K13307=MIN($G$13307:$K$13307),SUM($G$13452:J13452)=0),1,0))</f>
        <v>1</v>
      </c>
    </row>
    <row r="13453" customFormat="false" ht="15" hidden="false" customHeight="false" outlineLevel="0" collapsed="false">
      <c r="A13453" s="3" t="s">
        <v>488</v>
      </c>
      <c r="C13453" s="20" t="n">
        <f aca="false">IF(SUM($G$13405:$K$13405)&gt;0,1,0)</f>
        <v>0</v>
      </c>
    </row>
    <row r="13454" customFormat="false" ht="15" hidden="false" customHeight="false" outlineLevel="0" collapsed="false">
      <c r="A13454" s="3" t="s">
        <v>489</v>
      </c>
      <c r="C13454" s="20" t="n">
        <f aca="false">SUMPRODUCT($G$13452:$K$13452,$G$13297:$K$13297)</f>
        <v>2031</v>
      </c>
    </row>
    <row r="13455" customFormat="false" ht="15" hidden="false" customHeight="false" outlineLevel="0" collapsed="false">
      <c r="A13455" s="3" t="s">
        <v>490</v>
      </c>
      <c r="C13455" s="25" t="n">
        <f aca="false">SUMPRODUCT($G$13452:$K$13452,$G$13307:$K$13307)</f>
        <v>163.037568277116</v>
      </c>
    </row>
    <row r="13456" customFormat="false" ht="15" hidden="false" customHeight="false" outlineLevel="0" collapsed="false">
      <c r="A13456" s="3" t="s">
        <v>491</v>
      </c>
      <c r="C13456" s="25" t="n">
        <f aca="false">MAX(0,SUMPRODUCT($G$13452:$K$13452,$G$13402:$K$13402))</f>
        <v>118.677412856212</v>
      </c>
    </row>
    <row r="13457" customFormat="false" ht="15" hidden="false" customHeight="false" outlineLevel="0" collapsed="false">
      <c r="A13457" s="3" t="s">
        <v>492</v>
      </c>
      <c r="C13457" s="25" t="n">
        <f aca="false">(CHOOSE($C$13290,Assumptions!$C$84,Assumptions!$C$103,Assumptions!$C$122)+$C$13294)*C13455</f>
        <v>733.669057247022</v>
      </c>
    </row>
    <row r="13458" customFormat="false" ht="15" hidden="false" customHeight="false" outlineLevel="0" collapsed="false">
      <c r="A13458" s="3" t="s">
        <v>493</v>
      </c>
      <c r="C13458" s="25" t="n">
        <f aca="false">Assumptions!$C$30*(1-CHOOSE($C$13290,Assumptions!$C$85,Assumptions!$C$104,Assumptions!$C$123))*CHOOSE($C$13290,Assumptions!$C$86,Assumptions!$C$105,Assumptions!$C$124)</f>
        <v>626.017605</v>
      </c>
    </row>
    <row r="13459" customFormat="false" ht="15" hidden="false" customHeight="false" outlineLevel="0" collapsed="false">
      <c r="A13459" s="3" t="s">
        <v>494</v>
      </c>
      <c r="C13459" s="25" t="n">
        <f aca="false">MAX(C13457,C13458)+C13456</f>
        <v>852.346470103234</v>
      </c>
    </row>
    <row r="13460" customFormat="false" ht="15" hidden="false" customHeight="false" outlineLevel="0" collapsed="false">
      <c r="A13460" s="2" t="s">
        <v>495</v>
      </c>
      <c r="C13460" s="16" t="n">
        <f aca="false">IF(ISNUMBER(Assumptions!$C$14),Assumptions!$C$14,C13459)</f>
        <v>852.346470103234</v>
      </c>
    </row>
    <row r="13461" customFormat="false" ht="15" hidden="false" customHeight="false" outlineLevel="0" collapsed="false">
      <c r="A13461" s="3" t="s">
        <v>496</v>
      </c>
      <c r="C13461" s="25" t="n">
        <f aca="false">C13460*Assumptions!$C$15</f>
        <v>34.0938588041294</v>
      </c>
    </row>
    <row r="13462" customFormat="false" ht="15" hidden="false" customHeight="false" outlineLevel="0" collapsed="false">
      <c r="A13462" s="2" t="s">
        <v>497</v>
      </c>
      <c r="C13462" s="16" t="n">
        <f aca="false">C13460-C13461</f>
        <v>818.252611299105</v>
      </c>
    </row>
    <row r="13463" customFormat="false" ht="15" hidden="false" customHeight="false" outlineLevel="0" collapsed="false">
      <c r="A13463" s="23" t="s">
        <v>498</v>
      </c>
      <c r="B13463" s="24"/>
      <c r="C13463" s="24"/>
      <c r="D13463" s="24"/>
      <c r="E13463" s="24"/>
      <c r="F13463" s="24"/>
      <c r="G13463" s="24"/>
      <c r="H13463" s="24"/>
      <c r="I13463" s="24"/>
      <c r="J13463" s="24"/>
      <c r="K13463" s="24"/>
    </row>
    <row r="13464" customFormat="false" ht="15" hidden="false" customHeight="false" outlineLevel="0" collapsed="false">
      <c r="A13464" s="3" t="s">
        <v>499</v>
      </c>
      <c r="C13464" s="25" t="n">
        <f aca="false">SUMPRODUCT($G$13452:$K$13452,$G$13344:$K$13344)*(1+SUMPRODUCT($G$13452:$K$13452,$G$13336:$K$13336)*Assumptions!$C$16/12)</f>
        <v>1349.6193225</v>
      </c>
    </row>
    <row r="13465" customFormat="false" ht="15" hidden="false" customHeight="false" outlineLevel="0" collapsed="false">
      <c r="A13465" s="3" t="s">
        <v>500</v>
      </c>
      <c r="C13465" s="25" t="n">
        <f aca="false">SUMPRODUCT($G$13452:$K$13452,$G$13357:$K$13357)*(1+SUMPRODUCT($G$13452:$K$13452,$G$13349:$K$13349)*Assumptions!$C$16/12)</f>
        <v>0</v>
      </c>
    </row>
    <row r="13466" customFormat="false" ht="15" hidden="false" customHeight="false" outlineLevel="0" collapsed="false">
      <c r="A13466" s="3" t="s">
        <v>501</v>
      </c>
      <c r="C13466" s="25" t="n">
        <f aca="false">SUMPRODUCT($G$13452:$K$13452,$G$13370:$K$13370)*(1+SUMPRODUCT($G$13452:$K$13452,$G$13362:$K$13362)*Assumptions!$C$16/12)</f>
        <v>0</v>
      </c>
    </row>
    <row r="13467" customFormat="false" ht="15" hidden="false" customHeight="false" outlineLevel="0" collapsed="false">
      <c r="A13467" s="23" t="s">
        <v>502</v>
      </c>
      <c r="B13467" s="24"/>
      <c r="C13467" s="24"/>
      <c r="D13467" s="24"/>
      <c r="E13467" s="24"/>
      <c r="F13467" s="24"/>
      <c r="G13467" s="24"/>
      <c r="H13467" s="24"/>
      <c r="I13467" s="24"/>
      <c r="J13467" s="24"/>
      <c r="K13467" s="24"/>
    </row>
    <row r="13468" customFormat="false" ht="15" hidden="false" customHeight="false" outlineLevel="0" collapsed="false">
      <c r="A13468" s="3" t="s">
        <v>499</v>
      </c>
      <c r="C13468" s="27" t="n">
        <f aca="false">Assumptions!$M$56</f>
        <v>1</v>
      </c>
    </row>
    <row r="13469" customFormat="false" ht="15" hidden="false" customHeight="false" outlineLevel="0" collapsed="false">
      <c r="A13469" s="3" t="s">
        <v>500</v>
      </c>
      <c r="C13469" s="27" t="n">
        <f aca="false">Assumptions!$M$57</f>
        <v>2</v>
      </c>
    </row>
    <row r="13470" customFormat="false" ht="15" hidden="false" customHeight="false" outlineLevel="0" collapsed="false">
      <c r="A13470" s="3" t="s">
        <v>501</v>
      </c>
      <c r="C13470" s="27" t="n">
        <f aca="false">Assumptions!$M$58</f>
        <v>2</v>
      </c>
    </row>
    <row r="13471" customFormat="false" ht="15" hidden="false" customHeight="false" outlineLevel="0" collapsed="false">
      <c r="A13471" s="23" t="s">
        <v>503</v>
      </c>
      <c r="B13471" s="24"/>
      <c r="C13471" s="24"/>
      <c r="D13471" s="24"/>
      <c r="E13471" s="24"/>
      <c r="F13471" s="24"/>
      <c r="G13471" s="24"/>
      <c r="H13471" s="24"/>
      <c r="I13471" s="24"/>
      <c r="J13471" s="24"/>
      <c r="K13471" s="24"/>
    </row>
    <row r="13472" customFormat="false" ht="15" hidden="false" customHeight="false" outlineLevel="0" collapsed="false">
      <c r="A13472" s="3" t="s">
        <v>499</v>
      </c>
      <c r="C13472" s="35" t="n">
        <f aca="false">Assumptions!$Q$56</f>
        <v>0</v>
      </c>
    </row>
    <row r="13473" customFormat="false" ht="15" hidden="false" customHeight="false" outlineLevel="0" collapsed="false">
      <c r="A13473" s="3" t="s">
        <v>500</v>
      </c>
      <c r="C13473" s="35" t="n">
        <f aca="false">Assumptions!$Q$57</f>
        <v>0</v>
      </c>
    </row>
    <row r="13474" customFormat="false" ht="15" hidden="false" customHeight="false" outlineLevel="0" collapsed="false">
      <c r="A13474" s="3" t="s">
        <v>501</v>
      </c>
      <c r="C13474" s="35" t="n">
        <f aca="false">Assumptions!$Q$58</f>
        <v>0</v>
      </c>
    </row>
    <row r="13475" customFormat="false" ht="15" hidden="false" customHeight="false" outlineLevel="0" collapsed="false">
      <c r="A13475" s="23" t="s">
        <v>504</v>
      </c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</row>
    <row r="13476" customFormat="false" ht="15" hidden="false" customHeight="false" outlineLevel="0" collapsed="false">
      <c r="A13476" s="3" t="s">
        <v>499</v>
      </c>
      <c r="C13476" s="25" t="n">
        <f aca="false">IF(C13472&gt;0,MIN(C13464,C13472*$C$13462),0)</f>
        <v>0</v>
      </c>
    </row>
    <row r="13477" customFormat="false" ht="15" hidden="false" customHeight="false" outlineLevel="0" collapsed="false">
      <c r="A13477" s="3" t="s">
        <v>500</v>
      </c>
      <c r="C13477" s="25" t="n">
        <f aca="false">IF(C13473&gt;0,MIN(C13465,C13473*$C$13462),0)</f>
        <v>0</v>
      </c>
    </row>
    <row r="13478" customFormat="false" ht="15" hidden="false" customHeight="false" outlineLevel="0" collapsed="false">
      <c r="A13478" s="3" t="s">
        <v>501</v>
      </c>
      <c r="C13478" s="25" t="n">
        <f aca="false">IF(C13474&gt;0,MIN(C13466,C13474*$C$13462),0)</f>
        <v>0</v>
      </c>
    </row>
    <row r="13479" customFormat="false" ht="15" hidden="false" customHeight="false" outlineLevel="0" collapsed="false">
      <c r="A13479" s="23" t="s">
        <v>505</v>
      </c>
      <c r="B13479" s="24"/>
      <c r="C13479" s="24"/>
      <c r="D13479" s="24"/>
      <c r="E13479" s="24"/>
      <c r="F13479" s="24"/>
      <c r="G13479" s="24"/>
      <c r="H13479" s="24"/>
      <c r="I13479" s="24"/>
      <c r="J13479" s="24"/>
      <c r="K13479" s="24"/>
    </row>
    <row r="13480" customFormat="false" ht="15" hidden="false" customHeight="false" outlineLevel="0" collapsed="false">
      <c r="A13480" s="3" t="s">
        <v>499</v>
      </c>
      <c r="C13480" s="25" t="n">
        <f aca="false">IF(C13472&gt;0,C13464-C13476,0)</f>
        <v>0</v>
      </c>
      <c r="G13480" s="20" t="n">
        <f aca="false">IF(AND(G13334=1,G13331=1),1,0)</f>
        <v>0</v>
      </c>
      <c r="H13480" s="20" t="n">
        <f aca="false">IF(G13480=1,1,IF(AND(H13334=1,H13331=1),1,0))</f>
        <v>0</v>
      </c>
      <c r="I13480" s="20" t="n">
        <f aca="false">IF(H13480=1,1,IF(AND(I13334=1,I13331=1),1,0))</f>
        <v>0</v>
      </c>
      <c r="J13480" s="20" t="n">
        <f aca="false">IF(I13480=1,1,IF(AND(J13334=1,J13331=1),1,0))</f>
        <v>0</v>
      </c>
      <c r="K13480" s="20" t="n">
        <f aca="false">IF(J13480=1,1,IF(AND(K13334=1,K13331=1),1,0))</f>
        <v>0</v>
      </c>
    </row>
    <row r="13481" customFormat="false" ht="15" hidden="false" customHeight="false" outlineLevel="0" collapsed="false">
      <c r="A13481" s="3" t="s">
        <v>500</v>
      </c>
      <c r="C13481" s="25" t="n">
        <f aca="false">IF(C13473&gt;0,C13465-C13477,0)</f>
        <v>0</v>
      </c>
      <c r="G13481" s="20" t="n">
        <f aca="false">IF(AND(G13347=1,G13331=1),1,0)</f>
        <v>0</v>
      </c>
      <c r="H13481" s="20" t="n">
        <f aca="false">IF(G13481=1,1,IF(AND(H13347=1,H13331=1),1,0))</f>
        <v>0</v>
      </c>
      <c r="I13481" s="20" t="n">
        <f aca="false">IF(H13481=1,1,IF(AND(I13347=1,I13331=1),1,0))</f>
        <v>0</v>
      </c>
      <c r="J13481" s="20" t="n">
        <f aca="false">IF(I13481=1,1,IF(AND(J13347=1,J13331=1),1,0))</f>
        <v>0</v>
      </c>
      <c r="K13481" s="20" t="n">
        <f aca="false">IF(J13481=1,1,IF(AND(K13347=1,K13331=1),1,0))</f>
        <v>0</v>
      </c>
    </row>
    <row r="13482" customFormat="false" ht="15" hidden="false" customHeight="false" outlineLevel="0" collapsed="false">
      <c r="A13482" s="3" t="s">
        <v>501</v>
      </c>
      <c r="C13482" s="25" t="n">
        <f aca="false">IF(C13474&gt;0,C13466-C13478,0)</f>
        <v>0</v>
      </c>
      <c r="G13482" s="20" t="n">
        <f aca="false">IF(AND(G13360=1,G13331=1),1,0)</f>
        <v>0</v>
      </c>
      <c r="H13482" s="20" t="n">
        <f aca="false">IF(G13482=1,1,IF(AND(H13360=1,H13331=1),1,0))</f>
        <v>0</v>
      </c>
      <c r="I13482" s="20" t="n">
        <f aca="false">IF(H13482=1,1,IF(AND(I13360=1,I13331=1),1,0))</f>
        <v>0</v>
      </c>
      <c r="J13482" s="20" t="n">
        <f aca="false">IF(I13482=1,1,IF(AND(J13360=1,J13331=1),1,0))</f>
        <v>0</v>
      </c>
      <c r="K13482" s="20" t="n">
        <f aca="false">IF(J13482=1,1,IF(AND(K13360=1,K13331=1),1,0))</f>
        <v>0</v>
      </c>
    </row>
    <row r="13483" customFormat="false" ht="15" hidden="false" customHeight="false" outlineLevel="0" collapsed="false">
      <c r="A13483" s="23" t="s">
        <v>506</v>
      </c>
      <c r="B13483" s="24"/>
      <c r="C13483" s="24"/>
      <c r="D13483" s="24"/>
      <c r="E13483" s="24"/>
      <c r="F13483" s="24"/>
      <c r="G13483" s="24"/>
      <c r="H13483" s="24"/>
      <c r="I13483" s="24"/>
      <c r="J13483" s="24"/>
      <c r="K13483" s="24"/>
    </row>
    <row r="13484" customFormat="false" ht="15" hidden="false" customHeight="false" outlineLevel="0" collapsed="false">
      <c r="A13484" s="3" t="s">
        <v>499</v>
      </c>
      <c r="C13484" s="25" t="n">
        <f aca="false">IF(C13472&gt;0,C13480,C13464)</f>
        <v>1349.6193225</v>
      </c>
    </row>
    <row r="13485" customFormat="false" ht="15" hidden="false" customHeight="false" outlineLevel="0" collapsed="false">
      <c r="A13485" s="3" t="s">
        <v>500</v>
      </c>
      <c r="C13485" s="25" t="n">
        <f aca="false">IF(C13473&gt;0,C13481,C13465)</f>
        <v>0</v>
      </c>
    </row>
    <row r="13486" customFormat="false" ht="15" hidden="false" customHeight="false" outlineLevel="0" collapsed="false">
      <c r="A13486" s="3" t="s">
        <v>501</v>
      </c>
      <c r="C13486" s="25" t="n">
        <f aca="false">IF(C13474&gt;0,C13482,C13466)</f>
        <v>0</v>
      </c>
    </row>
    <row r="13487" customFormat="false" ht="15" hidden="false" customHeight="false" outlineLevel="0" collapsed="false">
      <c r="A13487" s="23" t="s">
        <v>507</v>
      </c>
      <c r="B13487" s="24"/>
      <c r="C13487" s="24"/>
      <c r="D13487" s="24"/>
      <c r="E13487" s="24"/>
      <c r="F13487" s="24"/>
      <c r="G13487" s="24"/>
      <c r="H13487" s="24"/>
      <c r="I13487" s="24"/>
      <c r="J13487" s="24"/>
      <c r="K13487" s="24"/>
    </row>
    <row r="13488" customFormat="false" ht="15" hidden="false" customHeight="false" outlineLevel="0" collapsed="false">
      <c r="A13488" s="3" t="s">
        <v>499</v>
      </c>
      <c r="C13488" s="20" t="n">
        <f aca="false">IF(C13472&gt;0,Assumptions!$C$17,C13468)</f>
        <v>1</v>
      </c>
    </row>
    <row r="13489" customFormat="false" ht="15" hidden="false" customHeight="false" outlineLevel="0" collapsed="false">
      <c r="A13489" s="3" t="s">
        <v>500</v>
      </c>
      <c r="C13489" s="20" t="n">
        <f aca="false">IF(C13473&gt;0,Assumptions!$C$17,C13469)</f>
        <v>2</v>
      </c>
    </row>
    <row r="13490" customFormat="false" ht="15" hidden="false" customHeight="false" outlineLevel="0" collapsed="false">
      <c r="A13490" s="3" t="s">
        <v>501</v>
      </c>
      <c r="C13490" s="20" t="n">
        <f aca="false">IF(C13474&gt;0,Assumptions!$C$17,C13470)</f>
        <v>2</v>
      </c>
    </row>
    <row r="13491" customFormat="false" ht="15" hidden="false" customHeight="false" outlineLevel="0" collapsed="false">
      <c r="A13491" s="23" t="s">
        <v>508</v>
      </c>
      <c r="B13491" s="24"/>
      <c r="C13491" s="24"/>
      <c r="D13491" s="24"/>
      <c r="E13491" s="24"/>
      <c r="F13491" s="24"/>
      <c r="G13491" s="24"/>
      <c r="H13491" s="24"/>
      <c r="I13491" s="24"/>
      <c r="J13491" s="24"/>
      <c r="K13491" s="24"/>
    </row>
    <row r="13492" customFormat="false" ht="15" hidden="false" customHeight="false" outlineLevel="0" collapsed="false">
      <c r="A13492" s="3" t="s">
        <v>499</v>
      </c>
      <c r="C13492" s="25" t="n">
        <f aca="false">SUMPRODUCT(($C$13488:$C$13490&lt;C13488)*$C$13484:$C$13486)</f>
        <v>0</v>
      </c>
    </row>
    <row r="13493" customFormat="false" ht="15" hidden="false" customHeight="false" outlineLevel="0" collapsed="false">
      <c r="A13493" s="3" t="s">
        <v>500</v>
      </c>
      <c r="C13493" s="25" t="n">
        <f aca="false">SUMPRODUCT(($C$13488:$C$13490&lt;C13489)*$C$13484:$C$13486)</f>
        <v>1349.6193225</v>
      </c>
    </row>
    <row r="13494" customFormat="false" ht="15" hidden="false" customHeight="false" outlineLevel="0" collapsed="false">
      <c r="A13494" s="3" t="s">
        <v>501</v>
      </c>
      <c r="C13494" s="25" t="n">
        <f aca="false">SUMPRODUCT(($C$13488:$C$13490&lt;C13490)*$C$13484:$C$13486)</f>
        <v>1349.6193225</v>
      </c>
    </row>
    <row r="13495" customFormat="false" ht="15" hidden="false" customHeight="false" outlineLevel="0" collapsed="false">
      <c r="A13495" s="23" t="s">
        <v>509</v>
      </c>
      <c r="B13495" s="24"/>
      <c r="C13495" s="24"/>
      <c r="D13495" s="24"/>
      <c r="E13495" s="24"/>
      <c r="F13495" s="24"/>
      <c r="G13495" s="24"/>
      <c r="H13495" s="24"/>
      <c r="I13495" s="24"/>
      <c r="J13495" s="24"/>
      <c r="K13495" s="24"/>
    </row>
    <row r="13496" customFormat="false" ht="15" hidden="false" customHeight="false" outlineLevel="0" collapsed="false">
      <c r="A13496" s="3" t="s">
        <v>499</v>
      </c>
      <c r="C13496" s="25" t="n">
        <f aca="false">SUMPRODUCT(($C$13488:$C$13490=C13488)*$C$13484:$C$13486)</f>
        <v>1349.6193225</v>
      </c>
    </row>
    <row r="13497" customFormat="false" ht="15" hidden="false" customHeight="false" outlineLevel="0" collapsed="false">
      <c r="A13497" s="3" t="s">
        <v>500</v>
      </c>
      <c r="C13497" s="25" t="n">
        <f aca="false">SUMPRODUCT(($C$13488:$C$13490=C13489)*$C$13484:$C$13486)</f>
        <v>0</v>
      </c>
    </row>
    <row r="13498" customFormat="false" ht="15" hidden="false" customHeight="false" outlineLevel="0" collapsed="false">
      <c r="A13498" s="3" t="s">
        <v>501</v>
      </c>
      <c r="C13498" s="25" t="n">
        <f aca="false">SUMPRODUCT(($C$13488:$C$13490=C13490)*$C$13484:$C$13486)</f>
        <v>0</v>
      </c>
    </row>
    <row r="13499" customFormat="false" ht="15" hidden="false" customHeight="false" outlineLevel="0" collapsed="false">
      <c r="A13499" s="23" t="s">
        <v>510</v>
      </c>
      <c r="B13499" s="24"/>
      <c r="C13499" s="24"/>
      <c r="D13499" s="24"/>
      <c r="E13499" s="24"/>
      <c r="F13499" s="24"/>
      <c r="G13499" s="24"/>
      <c r="H13499" s="24"/>
      <c r="I13499" s="24"/>
      <c r="J13499" s="24"/>
      <c r="K13499" s="24"/>
    </row>
    <row r="13500" customFormat="false" ht="15" hidden="false" customHeight="false" outlineLevel="0" collapsed="false">
      <c r="A13500" s="3" t="s">
        <v>499</v>
      </c>
      <c r="C13500" s="25" t="n">
        <f aca="false">IF(C13496=0,0,C13484/C13496*MAX(0,MIN(C13496,$C$13462-SUM($C$13476:$C$13478)-C13492)))</f>
        <v>818.252611299105</v>
      </c>
    </row>
    <row r="13501" customFormat="false" ht="15" hidden="false" customHeight="false" outlineLevel="0" collapsed="false">
      <c r="A13501" s="3" t="s">
        <v>500</v>
      </c>
      <c r="C13501" s="25" t="n">
        <f aca="false">IF(C13497=0,0,C13485/C13497*MAX(0,MIN(C13497,$C$13462-SUM($C$13476:$C$13478)-C13493)))</f>
        <v>0</v>
      </c>
    </row>
    <row r="13502" customFormat="false" ht="15" hidden="false" customHeight="false" outlineLevel="0" collapsed="false">
      <c r="A13502" s="3" t="s">
        <v>501</v>
      </c>
      <c r="C13502" s="25" t="n">
        <f aca="false">IF(C13498=0,0,C13486/C13498*MAX(0,MIN(C13498,$C$13462-SUM($C$13476:$C$13478)-C13494)))</f>
        <v>0</v>
      </c>
    </row>
    <row r="13503" customFormat="false" ht="15" hidden="false" customHeight="false" outlineLevel="0" collapsed="false">
      <c r="A13503" s="23" t="s">
        <v>511</v>
      </c>
      <c r="B13503" s="24"/>
      <c r="C13503" s="24"/>
      <c r="D13503" s="24"/>
      <c r="E13503" s="24"/>
      <c r="F13503" s="24"/>
      <c r="G13503" s="24"/>
      <c r="H13503" s="24"/>
      <c r="I13503" s="24"/>
      <c r="J13503" s="24"/>
      <c r="K13503" s="24"/>
    </row>
    <row r="13504" customFormat="false" ht="15" hidden="false" customHeight="false" outlineLevel="0" collapsed="false">
      <c r="A13504" s="2" t="s">
        <v>499</v>
      </c>
      <c r="C13504" s="16" t="n">
        <f aca="false">C13476+C13500</f>
        <v>818.252611299105</v>
      </c>
    </row>
    <row r="13505" customFormat="false" ht="15" hidden="false" customHeight="false" outlineLevel="0" collapsed="false">
      <c r="A13505" s="2" t="s">
        <v>500</v>
      </c>
      <c r="C13505" s="16" t="n">
        <f aca="false">C13477+C13501</f>
        <v>0</v>
      </c>
    </row>
    <row r="13506" customFormat="false" ht="15" hidden="false" customHeight="false" outlineLevel="0" collapsed="false">
      <c r="A13506" s="2" t="s">
        <v>501</v>
      </c>
      <c r="C13506" s="16" t="n">
        <f aca="false">C13478+C13502</f>
        <v>0</v>
      </c>
    </row>
    <row r="13507" customFormat="false" ht="15" hidden="false" customHeight="false" outlineLevel="0" collapsed="false">
      <c r="A13507" s="23" t="s">
        <v>512</v>
      </c>
      <c r="B13507" s="24"/>
      <c r="C13507" s="24"/>
      <c r="D13507" s="24"/>
      <c r="E13507" s="24"/>
      <c r="F13507" s="24"/>
      <c r="G13507" s="24"/>
      <c r="H13507" s="24"/>
      <c r="I13507" s="24"/>
      <c r="J13507" s="24"/>
      <c r="K13507" s="24"/>
    </row>
    <row r="13508" customFormat="false" ht="15" hidden="false" customHeight="false" outlineLevel="0" collapsed="false">
      <c r="A13508" s="3" t="s">
        <v>499</v>
      </c>
      <c r="C13508" s="21" t="n">
        <f aca="false">IF(C13464=0,1,C13504/C13464)</f>
        <v>0.606284007392095</v>
      </c>
    </row>
    <row r="13509" customFormat="false" ht="15" hidden="false" customHeight="false" outlineLevel="0" collapsed="false">
      <c r="A13509" s="3" t="s">
        <v>500</v>
      </c>
      <c r="C13509" s="21" t="n">
        <f aca="false">IF(C13465=0,1,C13505/C13465)</f>
        <v>1</v>
      </c>
    </row>
    <row r="13510" customFormat="false" ht="15" hidden="false" customHeight="false" outlineLevel="0" collapsed="false">
      <c r="A13510" s="3" t="s">
        <v>501</v>
      </c>
      <c r="C13510" s="21" t="n">
        <f aca="false">IF(C13466=0,1,C13506/C13466)</f>
        <v>1</v>
      </c>
    </row>
    <row r="13511" customFormat="false" ht="15" hidden="false" customHeight="false" outlineLevel="0" collapsed="false">
      <c r="A13511" s="23" t="s">
        <v>513</v>
      </c>
      <c r="B13511" s="24"/>
      <c r="C13511" s="24"/>
      <c r="D13511" s="24"/>
      <c r="E13511" s="24"/>
      <c r="F13511" s="24"/>
      <c r="G13511" s="24"/>
      <c r="H13511" s="24"/>
      <c r="I13511" s="24"/>
      <c r="J13511" s="24"/>
      <c r="K13511" s="24"/>
    </row>
    <row r="13512" customFormat="false" ht="15" hidden="false" customHeight="false" outlineLevel="0" collapsed="false">
      <c r="A13512" s="3" t="s">
        <v>499</v>
      </c>
      <c r="C13512" s="25" t="n">
        <f aca="false">C13464-C13504</f>
        <v>531.366711200895</v>
      </c>
    </row>
    <row r="13513" customFormat="false" ht="15" hidden="false" customHeight="false" outlineLevel="0" collapsed="false">
      <c r="A13513" s="3" t="s">
        <v>500</v>
      </c>
      <c r="C13513" s="25" t="n">
        <f aca="false">C13465-C13505</f>
        <v>0</v>
      </c>
    </row>
    <row r="13514" customFormat="false" ht="15" hidden="false" customHeight="false" outlineLevel="0" collapsed="false">
      <c r="A13514" s="3" t="s">
        <v>501</v>
      </c>
      <c r="C13514" s="25" t="n">
        <f aca="false">C13466-C13506</f>
        <v>0</v>
      </c>
    </row>
    <row r="13515" customFormat="false" ht="15" hidden="false" customHeight="false" outlineLevel="0" collapsed="false">
      <c r="A13515" s="23" t="s">
        <v>514</v>
      </c>
      <c r="B13515" s="24"/>
      <c r="C13515" s="24"/>
      <c r="D13515" s="24"/>
      <c r="E13515" s="24"/>
      <c r="F13515" s="24"/>
      <c r="G13515" s="24"/>
      <c r="H13515" s="24"/>
      <c r="I13515" s="24"/>
      <c r="J13515" s="24"/>
      <c r="K13515" s="24"/>
    </row>
    <row r="13516" customFormat="false" ht="15" hidden="false" customHeight="false" outlineLevel="0" collapsed="false">
      <c r="A13516" s="3" t="s">
        <v>499</v>
      </c>
      <c r="C13516" s="21" t="n">
        <f aca="false">IF(C13464=0,0,C13512/C13464)</f>
        <v>0.393715992607905</v>
      </c>
    </row>
    <row r="13517" customFormat="false" ht="15" hidden="false" customHeight="false" outlineLevel="0" collapsed="false">
      <c r="A13517" s="3" t="s">
        <v>500</v>
      </c>
      <c r="C13517" s="21" t="n">
        <f aca="false">IF(C13465=0,0,C13513/C13465)</f>
        <v>0</v>
      </c>
    </row>
    <row r="13518" customFormat="false" ht="15" hidden="false" customHeight="false" outlineLevel="0" collapsed="false">
      <c r="A13518" s="3" t="s">
        <v>501</v>
      </c>
      <c r="C13518" s="21" t="n">
        <f aca="false">IF(C13466=0,0,C13514/C13466)</f>
        <v>0</v>
      </c>
    </row>
    <row r="13519" customFormat="false" ht="15" hidden="false" customHeight="false" outlineLevel="0" collapsed="false">
      <c r="A13519" s="2" t="s">
        <v>515</v>
      </c>
      <c r="C13519" s="16" t="n">
        <f aca="false">MAX(0,$C$13462-SUM($C$13476:$C$13478)-SUM($C$13484:$C$13486))</f>
        <v>0</v>
      </c>
    </row>
    <row r="13520" customFormat="false" ht="15" hidden="false" customHeight="false" outlineLevel="0" collapsed="false">
      <c r="A13520" s="3" t="s">
        <v>516</v>
      </c>
      <c r="C13520" s="25" t="n">
        <f aca="false">SUM($C$13504:$C$13506)+C13519+C13461-C13460</f>
        <v>0</v>
      </c>
    </row>
    <row r="13522" customFormat="false" ht="15" hidden="false" customHeight="false" outlineLevel="0" collapsed="false">
      <c r="A13522" s="23" t="s">
        <v>519</v>
      </c>
      <c r="B13522" s="24"/>
      <c r="C13522" s="24"/>
      <c r="D13522" s="24"/>
      <c r="E13522" s="24"/>
      <c r="F13522" s="24"/>
      <c r="G13522" s="24"/>
      <c r="H13522" s="24"/>
      <c r="I13522" s="24"/>
      <c r="J13522" s="24"/>
      <c r="K13522" s="24"/>
    </row>
    <row r="13523" customFormat="false" ht="15" hidden="false" customHeight="false" outlineLevel="0" collapsed="false">
      <c r="A13523" s="3" t="s">
        <v>520</v>
      </c>
      <c r="C13523" s="27" t="n">
        <f aca="false">Assumptions!$C$33</f>
        <v>1</v>
      </c>
    </row>
    <row r="13524" customFormat="false" ht="15" hidden="false" customHeight="false" outlineLevel="0" collapsed="false">
      <c r="A13524" s="3" t="s">
        <v>521</v>
      </c>
      <c r="C13524" s="29" t="n">
        <f aca="false">Assumptions!$C$34</f>
        <v>100</v>
      </c>
    </row>
    <row r="13525" customFormat="false" ht="15" hidden="false" customHeight="false" outlineLevel="0" collapsed="false">
      <c r="A13525" s="3" t="s">
        <v>522</v>
      </c>
      <c r="C13525" s="40" t="n">
        <f aca="false">Assumptions!$C$35</f>
        <v>95</v>
      </c>
    </row>
    <row r="13526" customFormat="false" ht="15" hidden="false" customHeight="false" outlineLevel="0" collapsed="false">
      <c r="A13526" s="3" t="s">
        <v>523</v>
      </c>
      <c r="C13526" s="25" t="n">
        <f aca="false">C13524*C13525/100*(1+Assumptions!$C$36)</f>
        <v>95</v>
      </c>
    </row>
    <row r="13527" customFormat="false" ht="15" hidden="false" customHeight="false" outlineLevel="0" collapsed="false">
      <c r="A13527" s="3" t="s">
        <v>524</v>
      </c>
      <c r="C13527" s="27" t="n">
        <f aca="false">Assumptions!$C$37</f>
        <v>3</v>
      </c>
    </row>
    <row r="13528" customFormat="false" ht="15" hidden="false" customHeight="false" outlineLevel="0" collapsed="false">
      <c r="A13528" s="3" t="s">
        <v>525</v>
      </c>
      <c r="C13528" s="20" t="n">
        <f aca="false">IF(C13453=1,SUMPRODUCT($G$13405:$K$13405,$G$13298:$K$13298),0)</f>
        <v>0</v>
      </c>
    </row>
    <row r="13529" customFormat="false" ht="15" hidden="false" customHeight="false" outlineLevel="0" collapsed="false">
      <c r="A13529" s="3" t="s">
        <v>526</v>
      </c>
      <c r="C13529" s="21" t="n">
        <f aca="false">IFERROR(C13524/CHOOSE(C13523,SUMPRODUCT($G$13452:$K$13452,$G$13344:$K$13344),SUMPRODUCT($G$13452:$K$13452,$G$13357:$K$13357),SUMPRODUCT($G$13452:$K$13452,$G$13370:$K$13370)),0)</f>
        <v>0.0760399605200525</v>
      </c>
    </row>
    <row r="13530" customFormat="false" ht="15" hidden="false" customHeight="false" outlineLevel="0" collapsed="false">
      <c r="A13530" s="3" t="s">
        <v>527</v>
      </c>
      <c r="C13530" s="25" t="n">
        <f aca="false">CHOOSE(C13523,C13504,C13505,C13506)*C13529</f>
        <v>62.2198962586138</v>
      </c>
    </row>
    <row r="13531" customFormat="false" ht="15" hidden="false" customHeight="false" outlineLevel="0" collapsed="false">
      <c r="A13531" s="3" t="s">
        <v>528</v>
      </c>
      <c r="C13531" s="21" t="n">
        <f aca="false">CHOOSE(C13523,C13508,C13509,C13510)</f>
        <v>0.606284007392095</v>
      </c>
    </row>
    <row r="13532" customFormat="false" ht="15" hidden="false" customHeight="false" outlineLevel="0" collapsed="false">
      <c r="A13532" s="3" t="s">
        <v>529</v>
      </c>
      <c r="C13532" s="20" t="n">
        <f aca="false">IF(C13453=1,C13528,C13527)</f>
        <v>3</v>
      </c>
    </row>
    <row r="13533" customFormat="false" ht="15" hidden="false" customHeight="false" outlineLevel="0" collapsed="false">
      <c r="A13533" s="3" t="s">
        <v>530</v>
      </c>
      <c r="C13533" s="34" t="n">
        <f aca="false">CHOOSE($C$13290,Assumptions!$C$83,Assumptions!$C$102,Assumptions!$C$121)</f>
        <v>95</v>
      </c>
    </row>
    <row r="13534" customFormat="false" ht="15" hidden="false" customHeight="false" outlineLevel="0" collapsed="false">
      <c r="A13534" s="3" t="s">
        <v>531</v>
      </c>
      <c r="C13534" s="25" t="n">
        <f aca="false">INDEX($G$13307:$K$13307,C13527)*CHOOSE($C$13290,Assumptions!$C$82,Assumptions!$C$101,Assumptions!$C$120)+MAX(0,INDEX($G$13402:$K$13402,C13527))</f>
        <v>1068.84800987949</v>
      </c>
    </row>
    <row r="13535" customFormat="false" ht="15" hidden="false" customHeight="false" outlineLevel="0" collapsed="false">
      <c r="A13535" s="23" t="s">
        <v>532</v>
      </c>
      <c r="B13535" s="24"/>
      <c r="C13535" s="24"/>
      <c r="D13535" s="24"/>
      <c r="E13535" s="24"/>
      <c r="F13535" s="24"/>
      <c r="G13535" s="24"/>
      <c r="H13535" s="24"/>
      <c r="I13535" s="24"/>
      <c r="J13535" s="24"/>
      <c r="K13535" s="24"/>
    </row>
    <row r="13536" customFormat="false" ht="15" hidden="false" customHeight="false" outlineLevel="0" collapsed="false">
      <c r="A13536" s="3" t="s">
        <v>499</v>
      </c>
      <c r="C13536" s="25" t="n">
        <f aca="false">INDEX($G$13344:$K$13344,C13527)</f>
        <v>1315.098</v>
      </c>
    </row>
    <row r="13537" customFormat="false" ht="15" hidden="false" customHeight="false" outlineLevel="0" collapsed="false">
      <c r="A13537" s="3" t="s">
        <v>500</v>
      </c>
      <c r="C13537" s="25" t="n">
        <f aca="false">INDEX($G$13357:$K$13357,C13527)</f>
        <v>0</v>
      </c>
    </row>
    <row r="13538" customFormat="false" ht="15" hidden="false" customHeight="false" outlineLevel="0" collapsed="false">
      <c r="A13538" s="3" t="s">
        <v>501</v>
      </c>
      <c r="C13538" s="25" t="n">
        <f aca="false">INDEX($G$13370:$K$13370,C13527)</f>
        <v>0</v>
      </c>
    </row>
    <row r="13539" customFormat="false" ht="15" hidden="false" customHeight="false" outlineLevel="0" collapsed="false">
      <c r="A13539" s="23" t="s">
        <v>502</v>
      </c>
      <c r="B13539" s="24"/>
      <c r="C13539" s="24"/>
      <c r="D13539" s="24"/>
      <c r="E13539" s="24"/>
      <c r="F13539" s="24"/>
      <c r="G13539" s="24"/>
      <c r="H13539" s="24"/>
      <c r="I13539" s="24"/>
      <c r="J13539" s="24"/>
      <c r="K13539" s="24"/>
    </row>
    <row r="13540" customFormat="false" ht="15" hidden="false" customHeight="false" outlineLevel="0" collapsed="false">
      <c r="A13540" s="3" t="s">
        <v>499</v>
      </c>
      <c r="C13540" s="27" t="n">
        <f aca="false">Assumptions!$M$56</f>
        <v>1</v>
      </c>
    </row>
    <row r="13541" customFormat="false" ht="15" hidden="false" customHeight="false" outlineLevel="0" collapsed="false">
      <c r="A13541" s="3" t="s">
        <v>500</v>
      </c>
      <c r="C13541" s="27" t="n">
        <f aca="false">Assumptions!$M$57</f>
        <v>2</v>
      </c>
    </row>
    <row r="13542" customFormat="false" ht="15" hidden="false" customHeight="false" outlineLevel="0" collapsed="false">
      <c r="A13542" s="3" t="s">
        <v>501</v>
      </c>
      <c r="C13542" s="27" t="n">
        <f aca="false">Assumptions!$M$58</f>
        <v>2</v>
      </c>
    </row>
    <row r="13543" customFormat="false" ht="15" hidden="false" customHeight="false" outlineLevel="0" collapsed="false">
      <c r="A13543" s="23" t="s">
        <v>503</v>
      </c>
      <c r="B13543" s="24"/>
      <c r="C13543" s="24"/>
      <c r="D13543" s="24"/>
      <c r="E13543" s="24"/>
      <c r="F13543" s="24"/>
      <c r="G13543" s="24"/>
      <c r="H13543" s="24"/>
      <c r="I13543" s="24"/>
      <c r="J13543" s="24"/>
      <c r="K13543" s="24"/>
    </row>
    <row r="13544" customFormat="false" ht="15" hidden="false" customHeight="false" outlineLevel="0" collapsed="false">
      <c r="A13544" s="3" t="s">
        <v>499</v>
      </c>
      <c r="C13544" s="35" t="n">
        <f aca="false">Assumptions!$Q$56</f>
        <v>0</v>
      </c>
    </row>
    <row r="13545" customFormat="false" ht="15" hidden="false" customHeight="false" outlineLevel="0" collapsed="false">
      <c r="A13545" s="3" t="s">
        <v>500</v>
      </c>
      <c r="C13545" s="35" t="n">
        <f aca="false">Assumptions!$Q$57</f>
        <v>0</v>
      </c>
    </row>
    <row r="13546" customFormat="false" ht="15" hidden="false" customHeight="false" outlineLevel="0" collapsed="false">
      <c r="A13546" s="3" t="s">
        <v>501</v>
      </c>
      <c r="C13546" s="35" t="n">
        <f aca="false">Assumptions!$Q$58</f>
        <v>0</v>
      </c>
    </row>
    <row r="13547" customFormat="false" ht="15" hidden="false" customHeight="false" outlineLevel="0" collapsed="false">
      <c r="A13547" s="23" t="s">
        <v>504</v>
      </c>
      <c r="B13547" s="24"/>
      <c r="C13547" s="24"/>
      <c r="D13547" s="24"/>
      <c r="E13547" s="24"/>
      <c r="F13547" s="24"/>
      <c r="G13547" s="24"/>
      <c r="H13547" s="24"/>
      <c r="I13547" s="24"/>
      <c r="J13547" s="24"/>
      <c r="K13547" s="24"/>
    </row>
    <row r="13548" customFormat="false" ht="15" hidden="false" customHeight="false" outlineLevel="0" collapsed="false">
      <c r="A13548" s="3" t="s">
        <v>499</v>
      </c>
      <c r="C13548" s="25" t="n">
        <f aca="false">IF(C13544&gt;0,MIN(C13536,C13544*$C$13534),0)</f>
        <v>0</v>
      </c>
    </row>
    <row r="13549" customFormat="false" ht="15" hidden="false" customHeight="false" outlineLevel="0" collapsed="false">
      <c r="A13549" s="3" t="s">
        <v>500</v>
      </c>
      <c r="C13549" s="25" t="n">
        <f aca="false">IF(C13545&gt;0,MIN(C13537,C13545*$C$13534),0)</f>
        <v>0</v>
      </c>
    </row>
    <row r="13550" customFormat="false" ht="15" hidden="false" customHeight="false" outlineLevel="0" collapsed="false">
      <c r="A13550" s="3" t="s">
        <v>501</v>
      </c>
      <c r="C13550" s="25" t="n">
        <f aca="false">IF(C13546&gt;0,MIN(C13538,C13546*$C$13534),0)</f>
        <v>0</v>
      </c>
    </row>
    <row r="13551" customFormat="false" ht="15" hidden="false" customHeight="false" outlineLevel="0" collapsed="false">
      <c r="A13551" s="23" t="s">
        <v>505</v>
      </c>
      <c r="B13551" s="24"/>
      <c r="C13551" s="24"/>
      <c r="D13551" s="24"/>
      <c r="E13551" s="24"/>
      <c r="F13551" s="24"/>
      <c r="G13551" s="24"/>
      <c r="H13551" s="24"/>
      <c r="I13551" s="24"/>
      <c r="J13551" s="24"/>
      <c r="K13551" s="24"/>
    </row>
    <row r="13552" customFormat="false" ht="15" hidden="false" customHeight="false" outlineLevel="0" collapsed="false">
      <c r="A13552" s="3" t="s">
        <v>499</v>
      </c>
      <c r="C13552" s="25" t="n">
        <f aca="false">IF(C13544&gt;0,C13536-C13548,0)</f>
        <v>0</v>
      </c>
    </row>
    <row r="13553" customFormat="false" ht="15" hidden="false" customHeight="false" outlineLevel="0" collapsed="false">
      <c r="A13553" s="3" t="s">
        <v>500</v>
      </c>
      <c r="C13553" s="25" t="n">
        <f aca="false">IF(C13545&gt;0,C13537-C13549,0)</f>
        <v>0</v>
      </c>
    </row>
    <row r="13554" customFormat="false" ht="15" hidden="false" customHeight="false" outlineLevel="0" collapsed="false">
      <c r="A13554" s="3" t="s">
        <v>501</v>
      </c>
      <c r="C13554" s="25" t="n">
        <f aca="false">IF(C13546&gt;0,C13538-C13550,0)</f>
        <v>0</v>
      </c>
    </row>
    <row r="13555" customFormat="false" ht="15" hidden="false" customHeight="false" outlineLevel="0" collapsed="false">
      <c r="A13555" s="23" t="s">
        <v>506</v>
      </c>
      <c r="B13555" s="24"/>
      <c r="C13555" s="24"/>
      <c r="D13555" s="24"/>
      <c r="E13555" s="24"/>
      <c r="F13555" s="24"/>
      <c r="G13555" s="24"/>
      <c r="H13555" s="24"/>
      <c r="I13555" s="24"/>
      <c r="J13555" s="24"/>
      <c r="K13555" s="24"/>
    </row>
    <row r="13556" customFormat="false" ht="15" hidden="false" customHeight="false" outlineLevel="0" collapsed="false">
      <c r="A13556" s="3" t="s">
        <v>499</v>
      </c>
      <c r="C13556" s="25" t="n">
        <f aca="false">IF(C13544&gt;0,C13552,C13536)</f>
        <v>1315.098</v>
      </c>
    </row>
    <row r="13557" customFormat="false" ht="15" hidden="false" customHeight="false" outlineLevel="0" collapsed="false">
      <c r="A13557" s="3" t="s">
        <v>500</v>
      </c>
      <c r="C13557" s="25" t="n">
        <f aca="false">IF(C13545&gt;0,C13553,C13537)</f>
        <v>0</v>
      </c>
    </row>
    <row r="13558" customFormat="false" ht="15" hidden="false" customHeight="false" outlineLevel="0" collapsed="false">
      <c r="A13558" s="3" t="s">
        <v>501</v>
      </c>
      <c r="C13558" s="25" t="n">
        <f aca="false">IF(C13546&gt;0,C13554,C13538)</f>
        <v>0</v>
      </c>
    </row>
    <row r="13559" customFormat="false" ht="15" hidden="false" customHeight="false" outlineLevel="0" collapsed="false">
      <c r="A13559" s="23" t="s">
        <v>507</v>
      </c>
      <c r="B13559" s="24"/>
      <c r="C13559" s="24"/>
      <c r="D13559" s="24"/>
      <c r="E13559" s="24"/>
      <c r="F13559" s="24"/>
      <c r="G13559" s="24"/>
      <c r="H13559" s="24"/>
      <c r="I13559" s="24"/>
      <c r="J13559" s="24"/>
      <c r="K13559" s="24"/>
    </row>
    <row r="13560" customFormat="false" ht="15" hidden="false" customHeight="false" outlineLevel="0" collapsed="false">
      <c r="A13560" s="3" t="s">
        <v>499</v>
      </c>
      <c r="C13560" s="20" t="n">
        <f aca="false">IF(C13544&gt;0,Assumptions!$C$17,C13540)</f>
        <v>1</v>
      </c>
    </row>
    <row r="13561" customFormat="false" ht="15" hidden="false" customHeight="false" outlineLevel="0" collapsed="false">
      <c r="A13561" s="3" t="s">
        <v>500</v>
      </c>
      <c r="C13561" s="20" t="n">
        <f aca="false">IF(C13545&gt;0,Assumptions!$C$17,C13541)</f>
        <v>2</v>
      </c>
    </row>
    <row r="13562" customFormat="false" ht="15" hidden="false" customHeight="false" outlineLevel="0" collapsed="false">
      <c r="A13562" s="3" t="s">
        <v>501</v>
      </c>
      <c r="C13562" s="20" t="n">
        <f aca="false">IF(C13546&gt;0,Assumptions!$C$17,C13542)</f>
        <v>2</v>
      </c>
    </row>
    <row r="13563" customFormat="false" ht="15" hidden="false" customHeight="false" outlineLevel="0" collapsed="false">
      <c r="A13563" s="23" t="s">
        <v>508</v>
      </c>
      <c r="B13563" s="24"/>
      <c r="C13563" s="24"/>
      <c r="D13563" s="24"/>
      <c r="E13563" s="24"/>
      <c r="F13563" s="24"/>
      <c r="G13563" s="24"/>
      <c r="H13563" s="24"/>
      <c r="I13563" s="24"/>
      <c r="J13563" s="24"/>
      <c r="K13563" s="24"/>
    </row>
    <row r="13564" customFormat="false" ht="15" hidden="false" customHeight="false" outlineLevel="0" collapsed="false">
      <c r="A13564" s="3" t="s">
        <v>499</v>
      </c>
      <c r="C13564" s="25" t="n">
        <f aca="false">SUMPRODUCT(($C$13560:$C$13562&lt;C13560)*$C$13556:$C$13558)</f>
        <v>0</v>
      </c>
    </row>
    <row r="13565" customFormat="false" ht="15" hidden="false" customHeight="false" outlineLevel="0" collapsed="false">
      <c r="A13565" s="3" t="s">
        <v>500</v>
      </c>
      <c r="C13565" s="25" t="n">
        <f aca="false">SUMPRODUCT(($C$13560:$C$13562&lt;C13561)*$C$13556:$C$13558)</f>
        <v>1315.098</v>
      </c>
    </row>
    <row r="13566" customFormat="false" ht="15" hidden="false" customHeight="false" outlineLevel="0" collapsed="false">
      <c r="A13566" s="3" t="s">
        <v>501</v>
      </c>
      <c r="C13566" s="25" t="n">
        <f aca="false">SUMPRODUCT(($C$13560:$C$13562&lt;C13562)*$C$13556:$C$13558)</f>
        <v>1315.098</v>
      </c>
    </row>
    <row r="13567" customFormat="false" ht="15" hidden="false" customHeight="false" outlineLevel="0" collapsed="false">
      <c r="A13567" s="23" t="s">
        <v>509</v>
      </c>
      <c r="B13567" s="24"/>
      <c r="C13567" s="24"/>
      <c r="D13567" s="24"/>
      <c r="E13567" s="24"/>
      <c r="F13567" s="24"/>
      <c r="G13567" s="24"/>
      <c r="H13567" s="24"/>
      <c r="I13567" s="24"/>
      <c r="J13567" s="24"/>
      <c r="K13567" s="24"/>
    </row>
    <row r="13568" customFormat="false" ht="15" hidden="false" customHeight="false" outlineLevel="0" collapsed="false">
      <c r="A13568" s="3" t="s">
        <v>499</v>
      </c>
      <c r="C13568" s="25" t="n">
        <f aca="false">SUMPRODUCT(($C$13560:$C$13562=C13560)*$C$13556:$C$13558)</f>
        <v>1315.098</v>
      </c>
    </row>
    <row r="13569" customFormat="false" ht="15" hidden="false" customHeight="false" outlineLevel="0" collapsed="false">
      <c r="A13569" s="3" t="s">
        <v>500</v>
      </c>
      <c r="C13569" s="25" t="n">
        <f aca="false">SUMPRODUCT(($C$13560:$C$13562=C13561)*$C$13556:$C$13558)</f>
        <v>0</v>
      </c>
    </row>
    <row r="13570" customFormat="false" ht="15" hidden="false" customHeight="false" outlineLevel="0" collapsed="false">
      <c r="A13570" s="3" t="s">
        <v>501</v>
      </c>
      <c r="C13570" s="25" t="n">
        <f aca="false">SUMPRODUCT(($C$13560:$C$13562=C13562)*$C$13556:$C$13558)</f>
        <v>0</v>
      </c>
    </row>
    <row r="13571" customFormat="false" ht="15" hidden="false" customHeight="false" outlineLevel="0" collapsed="false">
      <c r="A13571" s="23" t="s">
        <v>510</v>
      </c>
      <c r="B13571" s="24"/>
      <c r="C13571" s="24"/>
      <c r="D13571" s="24"/>
      <c r="E13571" s="24"/>
      <c r="F13571" s="24"/>
      <c r="G13571" s="24"/>
      <c r="H13571" s="24"/>
      <c r="I13571" s="24"/>
      <c r="J13571" s="24"/>
      <c r="K13571" s="24"/>
    </row>
    <row r="13572" customFormat="false" ht="15" hidden="false" customHeight="false" outlineLevel="0" collapsed="false">
      <c r="A13572" s="3" t="s">
        <v>499</v>
      </c>
      <c r="C13572" s="25" t="n">
        <f aca="false">IF(C13568=0,0,C13556/C13568*MAX(0,MIN(C13568,$C$13534-SUM($C$13548:$C$13550)-C13564)))</f>
        <v>1068.84800987949</v>
      </c>
    </row>
    <row r="13573" customFormat="false" ht="15" hidden="false" customHeight="false" outlineLevel="0" collapsed="false">
      <c r="A13573" s="3" t="s">
        <v>500</v>
      </c>
      <c r="C13573" s="25" t="n">
        <f aca="false">IF(C13569=0,0,C13557/C13569*MAX(0,MIN(C13569,$C$13534-SUM($C$13548:$C$13550)-C13565)))</f>
        <v>0</v>
      </c>
    </row>
    <row r="13574" customFormat="false" ht="15" hidden="false" customHeight="false" outlineLevel="0" collapsed="false">
      <c r="A13574" s="3" t="s">
        <v>501</v>
      </c>
      <c r="C13574" s="25" t="n">
        <f aca="false">IF(C13570=0,0,C13558/C13570*MAX(0,MIN(C13570,$C$13534-SUM($C$13548:$C$13550)-C13566)))</f>
        <v>0</v>
      </c>
    </row>
    <row r="13575" customFormat="false" ht="15" hidden="false" customHeight="false" outlineLevel="0" collapsed="false">
      <c r="A13575" s="23" t="s">
        <v>511</v>
      </c>
      <c r="B13575" s="24"/>
      <c r="C13575" s="24"/>
      <c r="D13575" s="24"/>
      <c r="E13575" s="24"/>
      <c r="F13575" s="24"/>
      <c r="G13575" s="24"/>
      <c r="H13575" s="24"/>
      <c r="I13575" s="24"/>
      <c r="J13575" s="24"/>
      <c r="K13575" s="24"/>
    </row>
    <row r="13576" customFormat="false" ht="15" hidden="false" customHeight="false" outlineLevel="0" collapsed="false">
      <c r="A13576" s="2" t="s">
        <v>499</v>
      </c>
      <c r="C13576" s="16" t="n">
        <f aca="false">C13548+C13572</f>
        <v>1068.84800987949</v>
      </c>
    </row>
    <row r="13577" customFormat="false" ht="15" hidden="false" customHeight="false" outlineLevel="0" collapsed="false">
      <c r="A13577" s="2" t="s">
        <v>500</v>
      </c>
      <c r="C13577" s="16" t="n">
        <f aca="false">C13549+C13573</f>
        <v>0</v>
      </c>
    </row>
    <row r="13578" customFormat="false" ht="15" hidden="false" customHeight="false" outlineLevel="0" collapsed="false">
      <c r="A13578" s="2" t="s">
        <v>501</v>
      </c>
      <c r="C13578" s="16" t="n">
        <f aca="false">C13550+C13574</f>
        <v>0</v>
      </c>
    </row>
    <row r="13579" customFormat="false" ht="15" hidden="false" customHeight="false" outlineLevel="0" collapsed="false">
      <c r="A13579" s="23" t="s">
        <v>512</v>
      </c>
      <c r="B13579" s="24"/>
      <c r="C13579" s="24"/>
      <c r="D13579" s="24"/>
      <c r="E13579" s="24"/>
      <c r="F13579" s="24"/>
      <c r="G13579" s="24"/>
      <c r="H13579" s="24"/>
      <c r="I13579" s="24"/>
      <c r="J13579" s="24"/>
      <c r="K13579" s="24"/>
    </row>
    <row r="13580" customFormat="false" ht="15" hidden="false" customHeight="false" outlineLevel="0" collapsed="false">
      <c r="A13580" s="3" t="s">
        <v>499</v>
      </c>
      <c r="C13580" s="21" t="n">
        <f aca="false">IF(C13536=0,1,C13576/C13536)</f>
        <v>0.812751604731729</v>
      </c>
    </row>
    <row r="13581" customFormat="false" ht="15" hidden="false" customHeight="false" outlineLevel="0" collapsed="false">
      <c r="A13581" s="3" t="s">
        <v>500</v>
      </c>
      <c r="C13581" s="21" t="n">
        <f aca="false">IF(C13537=0,1,C13577/C13537)</f>
        <v>1</v>
      </c>
    </row>
    <row r="13582" customFormat="false" ht="15" hidden="false" customHeight="false" outlineLevel="0" collapsed="false">
      <c r="A13582" s="3" t="s">
        <v>501</v>
      </c>
      <c r="C13582" s="21" t="n">
        <f aca="false">IF(C13538=0,1,C13578/C13538)</f>
        <v>1</v>
      </c>
    </row>
    <row r="13583" customFormat="false" ht="15" hidden="false" customHeight="false" outlineLevel="0" collapsed="false">
      <c r="A13583" s="23" t="s">
        <v>513</v>
      </c>
      <c r="B13583" s="24"/>
      <c r="C13583" s="24"/>
      <c r="D13583" s="24"/>
      <c r="E13583" s="24"/>
      <c r="F13583" s="24"/>
      <c r="G13583" s="24"/>
      <c r="H13583" s="24"/>
      <c r="I13583" s="24"/>
      <c r="J13583" s="24"/>
      <c r="K13583" s="24"/>
    </row>
    <row r="13584" customFormat="false" ht="15" hidden="false" customHeight="false" outlineLevel="0" collapsed="false">
      <c r="A13584" s="3" t="s">
        <v>499</v>
      </c>
      <c r="C13584" s="25" t="n">
        <f aca="false">C13536-C13576</f>
        <v>246.249990120512</v>
      </c>
    </row>
    <row r="13585" customFormat="false" ht="15" hidden="false" customHeight="false" outlineLevel="0" collapsed="false">
      <c r="A13585" s="3" t="s">
        <v>500</v>
      </c>
      <c r="C13585" s="25" t="n">
        <f aca="false">C13537-C13577</f>
        <v>0</v>
      </c>
    </row>
    <row r="13586" customFormat="false" ht="15" hidden="false" customHeight="false" outlineLevel="0" collapsed="false">
      <c r="A13586" s="3" t="s">
        <v>501</v>
      </c>
      <c r="C13586" s="25" t="n">
        <f aca="false">C13538-C13578</f>
        <v>0</v>
      </c>
    </row>
    <row r="13587" customFormat="false" ht="15" hidden="false" customHeight="false" outlineLevel="0" collapsed="false">
      <c r="A13587" s="23" t="s">
        <v>514</v>
      </c>
      <c r="B13587" s="24"/>
      <c r="C13587" s="24"/>
      <c r="D13587" s="24"/>
      <c r="E13587" s="24"/>
      <c r="F13587" s="24"/>
      <c r="G13587" s="24"/>
      <c r="H13587" s="24"/>
      <c r="I13587" s="24"/>
      <c r="J13587" s="24"/>
      <c r="K13587" s="24"/>
    </row>
    <row r="13588" customFormat="false" ht="15" hidden="false" customHeight="false" outlineLevel="0" collapsed="false">
      <c r="A13588" s="3" t="s">
        <v>499</v>
      </c>
      <c r="C13588" s="21" t="n">
        <f aca="false">IF(C13536=0,0,C13584/C13536)</f>
        <v>0.187248395268271</v>
      </c>
    </row>
    <row r="13589" customFormat="false" ht="15" hidden="false" customHeight="false" outlineLevel="0" collapsed="false">
      <c r="A13589" s="3" t="s">
        <v>500</v>
      </c>
      <c r="C13589" s="21" t="n">
        <f aca="false">IF(C13537=0,0,C13585/C13537)</f>
        <v>0</v>
      </c>
    </row>
    <row r="13590" customFormat="false" ht="15" hidden="false" customHeight="false" outlineLevel="0" collapsed="false">
      <c r="A13590" s="3" t="s">
        <v>501</v>
      </c>
      <c r="C13590" s="21" t="n">
        <f aca="false">IF(C13538=0,0,C13586/C13538)</f>
        <v>0</v>
      </c>
    </row>
    <row r="13591" customFormat="false" ht="15" hidden="false" customHeight="false" outlineLevel="0" collapsed="false">
      <c r="A13591" s="2" t="s">
        <v>515</v>
      </c>
      <c r="C13591" s="16" t="n">
        <f aca="false">MAX(0,$C$13534-SUM($C$13548:$C$13550)-SUM($C$13556:$C$13558))</f>
        <v>0</v>
      </c>
    </row>
    <row r="13592" customFormat="false" ht="15" hidden="false" customHeight="false" outlineLevel="0" collapsed="false">
      <c r="A13592" s="3" t="s">
        <v>533</v>
      </c>
      <c r="C13592" s="34" t="n">
        <f aca="false">MIN(C13533,100*CHOOSE(C13523,C13580,C13581,C13582))</f>
        <v>81.2751604731729</v>
      </c>
    </row>
    <row r="13593" customFormat="false" ht="15" hidden="false" customHeight="false" outlineLevel="0" collapsed="false">
      <c r="A13593" s="3" t="s">
        <v>534</v>
      </c>
      <c r="C13593" s="20" t="n">
        <f aca="false">IF(C13453=1,C13528+Assumptions!$C$39,C13527)</f>
        <v>3</v>
      </c>
    </row>
    <row r="13594" customFormat="false" ht="15" hidden="false" customHeight="false" outlineLevel="0" collapsed="false">
      <c r="A13594" s="23" t="s">
        <v>535</v>
      </c>
      <c r="B13594" s="24"/>
      <c r="C13594" s="24"/>
      <c r="D13594" s="24"/>
      <c r="E13594" s="24"/>
      <c r="F13594" s="24"/>
      <c r="G13594" s="24"/>
      <c r="H13594" s="24"/>
      <c r="I13594" s="24"/>
      <c r="J13594" s="24"/>
      <c r="K13594" s="24"/>
    </row>
    <row r="13595" customFormat="false" ht="15" hidden="false" customHeight="false" outlineLevel="0" collapsed="false">
      <c r="A13595" s="3" t="s">
        <v>536</v>
      </c>
      <c r="C13595" s="20" t="n">
        <f aca="false">COLUMN()-COLUMN($C$1)</f>
        <v>0</v>
      </c>
      <c r="D13595" s="20" t="n">
        <f aca="false">COLUMN()-COLUMN($C$1)</f>
        <v>1</v>
      </c>
      <c r="E13595" s="20" t="n">
        <f aca="false">COLUMN()-COLUMN($C$1)</f>
        <v>2</v>
      </c>
      <c r="F13595" s="20" t="n">
        <f aca="false">COLUMN()-COLUMN($C$1)</f>
        <v>3</v>
      </c>
      <c r="G13595" s="20" t="n">
        <f aca="false">COLUMN()-COLUMN($C$1)</f>
        <v>4</v>
      </c>
      <c r="H13595" s="20" t="n">
        <f aca="false">COLUMN()-COLUMN($C$1)</f>
        <v>5</v>
      </c>
      <c r="I13595" s="20" t="n">
        <f aca="false">COLUMN()-COLUMN($C$1)</f>
        <v>6</v>
      </c>
    </row>
    <row r="13596" customFormat="false" ht="15" hidden="false" customHeight="false" outlineLevel="0" collapsed="false">
      <c r="A13596" s="3" t="s">
        <v>537</v>
      </c>
      <c r="D13596" s="31" t="n">
        <f aca="false">CHOOSE($C$13523,G13336,G13349,G13362)</f>
        <v>0.105</v>
      </c>
      <c r="E13596" s="31" t="n">
        <f aca="false">CHOOSE($C$13523,H13336,H13349,H13362)</f>
        <v>0.105</v>
      </c>
      <c r="F13596" s="31" t="n">
        <f aca="false">CHOOSE($C$13523,I13336,I13349,I13362)</f>
        <v>0.105</v>
      </c>
      <c r="G13596" s="31" t="n">
        <f aca="false">CHOOSE($C$13523,J13336,J13349,J13362)</f>
        <v>0.105</v>
      </c>
      <c r="H13596" s="31" t="n">
        <f aca="false">CHOOSE($C$13523,K13336,K13349,K13362)</f>
        <v>0.105</v>
      </c>
    </row>
    <row r="13597" customFormat="false" ht="15" hidden="false" customHeight="false" outlineLevel="0" collapsed="false">
      <c r="A13597" s="3" t="s">
        <v>538</v>
      </c>
      <c r="D13597" s="25" t="n">
        <f aca="false">IF(D13595&lt;=$C$13532,$C$13524*D13596,0)</f>
        <v>10.5</v>
      </c>
      <c r="E13597" s="25" t="n">
        <f aca="false">IF(E13595&lt;=$C$13532,$C$13524*E13596,0)</f>
        <v>10.5</v>
      </c>
      <c r="F13597" s="25" t="n">
        <f aca="false">IF(F13595&lt;=$C$13532,$C$13524*F13596,0)</f>
        <v>10.5</v>
      </c>
      <c r="G13597" s="25" t="n">
        <f aca="false">IF(G13595&lt;=$C$13532,$C$13524*G13596,0)</f>
        <v>0</v>
      </c>
      <c r="H13597" s="25" t="n">
        <f aca="false">IF(H13595&lt;=$C$13532,$C$13524*H13596,0)</f>
        <v>0</v>
      </c>
    </row>
    <row r="13598" customFormat="false" ht="15" hidden="false" customHeight="false" outlineLevel="0" collapsed="false">
      <c r="A13598" s="3" t="s">
        <v>539</v>
      </c>
      <c r="D13598" s="25" t="n">
        <f aca="false">IF(AND($C$13453=0,D13595=$C$13527),$C$13524*$C$13592/100,0)+IF(AND($C$13453=1,D13595=$C$13593),$C$13530,0)</f>
        <v>0</v>
      </c>
      <c r="E13598" s="25" t="n">
        <f aca="false">IF(AND($C$13453=0,E13595=$C$13527),$C$13524*$C$13592/100,0)+IF(AND($C$13453=1,E13595=$C$13593),$C$13530,0)</f>
        <v>0</v>
      </c>
      <c r="F13598" s="25" t="n">
        <f aca="false">IF(AND($C$13453=0,F13595=$C$13527),$C$13524*$C$13592/100,0)+IF(AND($C$13453=1,F13595=$C$13593),$C$13530,0)</f>
        <v>81.2751604731729</v>
      </c>
      <c r="G13598" s="25" t="n">
        <f aca="false">IF(AND($C$13453=0,G13595=$C$13527),$C$13524*$C$13592/100,0)+IF(AND($C$13453=1,G13595=$C$13593),$C$13530,0)</f>
        <v>0</v>
      </c>
      <c r="H13598" s="25" t="n">
        <f aca="false">IF(AND($C$13453=0,H13595=$C$13527),$C$13524*$C$13592/100,0)+IF(AND($C$13453=1,H13595=$C$13593),$C$13530,0)</f>
        <v>0</v>
      </c>
      <c r="I13598" s="25" t="n">
        <f aca="false">IF(AND($C$13453=0,I13595=$C$13527),$C$13524*$C$13592/100,0)+IF(AND($C$13453=1,I13595=$C$13593),$C$13530,0)</f>
        <v>0</v>
      </c>
    </row>
    <row r="13599" customFormat="false" ht="15" hidden="false" customHeight="false" outlineLevel="0" collapsed="false">
      <c r="A13599" s="2" t="s">
        <v>540</v>
      </c>
      <c r="C13599" s="16" t="n">
        <f aca="false">-$C$13526</f>
        <v>-95</v>
      </c>
      <c r="D13599" s="16" t="n">
        <f aca="false">D13597+D13598</f>
        <v>10.5</v>
      </c>
      <c r="E13599" s="16" t="n">
        <f aca="false">E13597+E13598</f>
        <v>10.5</v>
      </c>
      <c r="F13599" s="16" t="n">
        <f aca="false">F13597+F13598</f>
        <v>91.7751604731729</v>
      </c>
      <c r="G13599" s="16" t="n">
        <f aca="false">G13597+G13598</f>
        <v>0</v>
      </c>
      <c r="H13599" s="16" t="n">
        <f aca="false">H13597+H13598</f>
        <v>0</v>
      </c>
      <c r="I13599" s="16" t="n">
        <f aca="false">I13597+I13598</f>
        <v>0</v>
      </c>
    </row>
    <row r="13600" customFormat="false" ht="15" hidden="false" customHeight="false" outlineLevel="0" collapsed="false">
      <c r="A13600" s="3" t="s">
        <v>541</v>
      </c>
      <c r="C13600" s="25" t="n">
        <f aca="false">SUM($C$13597:$I$13597)</f>
        <v>31.5</v>
      </c>
    </row>
    <row r="13601" customFormat="false" ht="15" hidden="false" customHeight="false" outlineLevel="0" collapsed="false">
      <c r="A13601" s="3" t="s">
        <v>542</v>
      </c>
      <c r="C13601" s="25" t="n">
        <f aca="false">SUM($C$13598:$I$13598)</f>
        <v>81.2751604731729</v>
      </c>
    </row>
    <row r="13602" customFormat="false" ht="15" hidden="false" customHeight="false" outlineLevel="0" collapsed="false">
      <c r="A13602" s="3" t="s">
        <v>543</v>
      </c>
      <c r="C13602" s="25" t="n">
        <f aca="false">C13600+C13601</f>
        <v>112.775160473173</v>
      </c>
    </row>
    <row r="13603" customFormat="false" ht="15" hidden="false" customHeight="false" outlineLevel="0" collapsed="false">
      <c r="A13603" s="3" t="s">
        <v>544</v>
      </c>
      <c r="C13603" s="25" t="n">
        <f aca="false">C13601-C13524*C13525/100</f>
        <v>-13.7248395268271</v>
      </c>
    </row>
    <row r="13604" customFormat="false" ht="15" hidden="false" customHeight="false" outlineLevel="0" collapsed="false">
      <c r="A13604" s="3" t="s">
        <v>545</v>
      </c>
      <c r="C13604" s="25" t="n">
        <f aca="false">C13602-C13526</f>
        <v>17.7751604731729</v>
      </c>
    </row>
    <row r="13605" customFormat="false" ht="15" hidden="false" customHeight="false" outlineLevel="0" collapsed="false">
      <c r="A13605" s="2" t="s">
        <v>427</v>
      </c>
      <c r="C13605" s="44" t="n">
        <f aca="false">C13602/C13526</f>
        <v>1.18710695234919</v>
      </c>
    </row>
    <row r="13606" customFormat="false" ht="15" hidden="false" customHeight="false" outlineLevel="0" collapsed="false">
      <c r="A13606" s="2" t="s">
        <v>426</v>
      </c>
      <c r="C13606" s="42" t="n">
        <f aca="false">IF(C13602&lt;=0,-1,IFERROR(IRR($C$13599:$I$13599,MAX(-0.9,C13605^(1/C13593)-1)),IRR($C$13599:$I$13599,0.1)))</f>
        <v>0.0653848807562152</v>
      </c>
    </row>
    <row r="13607" customFormat="false" ht="15" hidden="false" customHeight="false" outlineLevel="0" collapsed="false">
      <c r="A13607" s="3" t="s">
        <v>546</v>
      </c>
      <c r="C13607" s="32" t="n">
        <f aca="false">MAX($G$13413:$K$13413)</f>
        <v>7.33831226622703</v>
      </c>
    </row>
    <row r="13608" customFormat="false" ht="15" hidden="false" customHeight="false" outlineLevel="0" collapsed="false">
      <c r="A13608" s="3" t="s">
        <v>547</v>
      </c>
      <c r="C13608" s="32" t="n">
        <f aca="false">MIN($G$13414:$K$13414)</f>
        <v>1.18070192905498</v>
      </c>
    </row>
    <row r="13609" customFormat="false" ht="15" hidden="false" customHeight="false" outlineLevel="0" collapsed="false">
      <c r="A13609" s="3" t="s">
        <v>548</v>
      </c>
      <c r="C13609" s="25" t="n">
        <f aca="false">SUM($G$13320:$K$13320)</f>
        <v>75.1374128562126</v>
      </c>
    </row>
    <row r="13613" customFormat="false" ht="15" hidden="false" customHeight="false" outlineLevel="0" collapsed="false">
      <c r="A13613" s="9" t="s">
        <v>1056</v>
      </c>
      <c r="B13613" s="10"/>
      <c r="C13613" s="10"/>
      <c r="D13613" s="10"/>
      <c r="E13613" s="10"/>
      <c r="F13613" s="10"/>
      <c r="G13613" s="10"/>
      <c r="H13613" s="10"/>
      <c r="I13613" s="10"/>
      <c r="J13613" s="10"/>
      <c r="K13613" s="10"/>
    </row>
    <row r="13614" customFormat="false" ht="15" hidden="false" customHeight="false" outlineLevel="0" collapsed="false">
      <c r="A13614" s="3" t="s">
        <v>1010</v>
      </c>
      <c r="C13614" s="11" t="n">
        <v>2</v>
      </c>
    </row>
    <row r="13615" customFormat="false" ht="15" hidden="false" customHeight="false" outlineLevel="0" collapsed="false">
      <c r="A13615" s="3" t="s">
        <v>1011</v>
      </c>
      <c r="C13615" s="18" t="n">
        <v>0</v>
      </c>
    </row>
    <row r="13616" customFormat="false" ht="15" hidden="false" customHeight="false" outlineLevel="0" collapsed="false">
      <c r="A13616" s="3" t="s">
        <v>1012</v>
      </c>
      <c r="C13616" s="18" t="n">
        <v>0</v>
      </c>
    </row>
    <row r="13617" customFormat="false" ht="15" hidden="false" customHeight="false" outlineLevel="0" collapsed="false">
      <c r="A13617" s="3" t="s">
        <v>1013</v>
      </c>
      <c r="C13617" s="30" t="n">
        <f aca="false">Sensitivities!$A$54</f>
        <v>0.02</v>
      </c>
    </row>
    <row r="13618" customFormat="false" ht="15" hidden="false" customHeight="false" outlineLevel="0" collapsed="false">
      <c r="A13618" s="3" t="s">
        <v>1014</v>
      </c>
      <c r="C13618" s="15" t="n">
        <v>0</v>
      </c>
    </row>
    <row r="13620" customFormat="false" ht="15" hidden="false" customHeight="false" outlineLevel="0" collapsed="false">
      <c r="A13620" s="23" t="s">
        <v>281</v>
      </c>
      <c r="B13620" s="24"/>
      <c r="C13620" s="24"/>
      <c r="D13620" s="24"/>
      <c r="E13620" s="24"/>
      <c r="F13620" s="24"/>
      <c r="G13620" s="24"/>
      <c r="H13620" s="24"/>
      <c r="I13620" s="24"/>
      <c r="J13620" s="24"/>
      <c r="K13620" s="24"/>
    </row>
    <row r="13621" customFormat="false" ht="15" hidden="false" customHeight="false" outlineLevel="0" collapsed="false">
      <c r="A13621" s="3" t="s">
        <v>282</v>
      </c>
      <c r="F13621" s="27" t="n">
        <f aca="false">Assumptions!$C$6</f>
        <v>2026</v>
      </c>
      <c r="G13621" s="20" t="n">
        <f aca="false">F13621+1</f>
        <v>2027</v>
      </c>
      <c r="H13621" s="20" t="n">
        <f aca="false">G13621+1</f>
        <v>2028</v>
      </c>
      <c r="I13621" s="20" t="n">
        <f aca="false">H13621+1</f>
        <v>2029</v>
      </c>
      <c r="J13621" s="20" t="n">
        <f aca="false">I13621+1</f>
        <v>2030</v>
      </c>
      <c r="K13621" s="20" t="n">
        <f aca="false">J13621+1</f>
        <v>2031</v>
      </c>
    </row>
    <row r="13622" customFormat="false" ht="15" hidden="false" customHeight="false" outlineLevel="0" collapsed="false">
      <c r="A13622" s="3" t="s">
        <v>283</v>
      </c>
      <c r="G13622" s="20" t="n">
        <f aca="false">G13621-Assumptions!$C$6</f>
        <v>1</v>
      </c>
      <c r="H13622" s="20" t="n">
        <f aca="false">H13621-Assumptions!$C$6</f>
        <v>2</v>
      </c>
      <c r="I13622" s="20" t="n">
        <f aca="false">I13621-Assumptions!$C$6</f>
        <v>3</v>
      </c>
      <c r="J13622" s="20" t="n">
        <f aca="false">J13621-Assumptions!$C$6</f>
        <v>4</v>
      </c>
      <c r="K13622" s="20" t="n">
        <f aca="false">K13621-Assumptions!$C$6</f>
        <v>5</v>
      </c>
    </row>
    <row r="13623" customFormat="false" ht="15" hidden="false" customHeight="false" outlineLevel="0" collapsed="false">
      <c r="A13623" s="3" t="s">
        <v>165</v>
      </c>
      <c r="G13623" s="21" t="n">
        <f aca="false">CHOOSE($C$13614,Assumptions!$G$71,Assumptions!$G$90,Assumptions!$G$109)+$C$13615</f>
        <v>-0.08</v>
      </c>
      <c r="H13623" s="21" t="n">
        <f aca="false">CHOOSE($C$13614,Assumptions!$H$71,Assumptions!$H$90,Assumptions!$H$109)+$C$13615</f>
        <v>-0.07</v>
      </c>
      <c r="I13623" s="21" t="n">
        <f aca="false">CHOOSE($C$13614,Assumptions!$I$71,Assumptions!$I$90,Assumptions!$I$109)+$C$13615</f>
        <v>-0.06</v>
      </c>
      <c r="J13623" s="21" t="n">
        <f aca="false">CHOOSE($C$13614,Assumptions!$J$71,Assumptions!$J$90,Assumptions!$J$109)+$C$13615</f>
        <v>-0.05</v>
      </c>
      <c r="K13623" s="21" t="n">
        <f aca="false">CHOOSE($C$13614,Assumptions!$K$71,Assumptions!$K$90,Assumptions!$K$109)+$C$13615</f>
        <v>-0.05</v>
      </c>
    </row>
    <row r="13624" customFormat="false" ht="15" hidden="false" customHeight="false" outlineLevel="0" collapsed="false">
      <c r="A13624" s="3" t="s">
        <v>166</v>
      </c>
      <c r="G13624" s="21" t="n">
        <f aca="false">CHOOSE($C$13614,Assumptions!$G$72,Assumptions!$G$91,Assumptions!$G$110)</f>
        <v>0.463246670103635</v>
      </c>
      <c r="H13624" s="21" t="n">
        <f aca="false">CHOOSE($C$13614,Assumptions!$H$72,Assumptions!$H$91,Assumptions!$H$110)</f>
        <v>0.453246670103635</v>
      </c>
      <c r="I13624" s="21" t="n">
        <f aca="false">CHOOSE($C$13614,Assumptions!$I$72,Assumptions!$I$91,Assumptions!$I$110)</f>
        <v>0.448246670103634</v>
      </c>
      <c r="J13624" s="21" t="n">
        <f aca="false">CHOOSE($C$13614,Assumptions!$J$72,Assumptions!$J$91,Assumptions!$J$110)</f>
        <v>0.443246670103635</v>
      </c>
      <c r="K13624" s="21" t="n">
        <f aca="false">CHOOSE($C$13614,Assumptions!$K$72,Assumptions!$K$91,Assumptions!$K$110)</f>
        <v>0.443246670103635</v>
      </c>
    </row>
    <row r="13625" customFormat="false" ht="15" hidden="false" customHeight="false" outlineLevel="0" collapsed="false">
      <c r="A13625" s="3" t="s">
        <v>167</v>
      </c>
      <c r="G13625" s="21" t="n">
        <f aca="false">CHOOSE($C$13614,Assumptions!$G$73,Assumptions!$G$92,Assumptions!$G$111)+$C$13616</f>
        <v>0.12</v>
      </c>
      <c r="H13625" s="21" t="n">
        <f aca="false">CHOOSE($C$13614,Assumptions!$H$73,Assumptions!$H$92,Assumptions!$H$111)+$C$13616</f>
        <v>0.11</v>
      </c>
      <c r="I13625" s="21" t="n">
        <f aca="false">CHOOSE($C$13614,Assumptions!$I$73,Assumptions!$I$92,Assumptions!$I$111)+$C$13616</f>
        <v>0.105</v>
      </c>
      <c r="J13625" s="21" t="n">
        <f aca="false">CHOOSE($C$13614,Assumptions!$J$73,Assumptions!$J$92,Assumptions!$J$111)+$C$13616</f>
        <v>0.1</v>
      </c>
      <c r="K13625" s="21" t="n">
        <f aca="false">CHOOSE($C$13614,Assumptions!$K$73,Assumptions!$K$92,Assumptions!$K$111)+$C$13616</f>
        <v>0.1</v>
      </c>
    </row>
    <row r="13626" customFormat="false" ht="15" hidden="false" customHeight="false" outlineLevel="0" collapsed="false">
      <c r="A13626" s="23" t="s">
        <v>284</v>
      </c>
      <c r="B13626" s="24"/>
      <c r="C13626" s="24"/>
      <c r="D13626" s="24"/>
      <c r="E13626" s="24"/>
      <c r="F13626" s="24"/>
      <c r="G13626" s="24"/>
      <c r="H13626" s="24"/>
      <c r="I13626" s="24"/>
      <c r="J13626" s="24"/>
      <c r="K13626" s="24"/>
    </row>
    <row r="13627" customFormat="false" ht="15" hidden="false" customHeight="false" outlineLevel="0" collapsed="false">
      <c r="A13627" s="2" t="s">
        <v>256</v>
      </c>
      <c r="F13627" s="28" t="n">
        <f aca="false">'Historical Financials'!G23</f>
        <v>2246.166</v>
      </c>
      <c r="G13627" s="16" t="n">
        <f aca="false">F13627*(1+G13623)</f>
        <v>2066.47272</v>
      </c>
      <c r="H13627" s="16" t="n">
        <f aca="false">G13627*(1+H13623)</f>
        <v>1921.8196296</v>
      </c>
      <c r="I13627" s="16" t="n">
        <f aca="false">H13627*(1+I13623)</f>
        <v>1806.510451824</v>
      </c>
      <c r="J13627" s="16" t="n">
        <f aca="false">I13627*(1+J13623)</f>
        <v>1716.1849292328</v>
      </c>
      <c r="K13627" s="16" t="n">
        <f aca="false">J13627*(1+K13623)</f>
        <v>1630.37568277116</v>
      </c>
    </row>
    <row r="13628" customFormat="false" ht="15" hidden="false" customHeight="false" outlineLevel="0" collapsed="false">
      <c r="A13628" s="3" t="s">
        <v>257</v>
      </c>
      <c r="G13628" s="25" t="n">
        <f aca="false">G13627*(1-G13624)</f>
        <v>1109.1861136</v>
      </c>
      <c r="H13628" s="25" t="n">
        <f aca="false">H13627*(1-H13624)</f>
        <v>1050.761281944</v>
      </c>
      <c r="I13628" s="25" t="n">
        <f aca="false">I13627*(1-I13624)</f>
        <v>996.74815728648</v>
      </c>
      <c r="J13628" s="25" t="n">
        <f aca="false">J13627*(1-J13624)</f>
        <v>955.49167406832</v>
      </c>
      <c r="K13628" s="25" t="n">
        <f aca="false">K13627*(1-K13624)</f>
        <v>907.717090364904</v>
      </c>
    </row>
    <row r="13629" customFormat="false" ht="15" hidden="false" customHeight="false" outlineLevel="0" collapsed="false">
      <c r="A13629" s="2" t="s">
        <v>258</v>
      </c>
      <c r="G13629" s="16" t="n">
        <f aca="false">G13627-G13628</f>
        <v>957.2866064</v>
      </c>
      <c r="H13629" s="16" t="n">
        <f aca="false">H13627-H13628</f>
        <v>871.058347656</v>
      </c>
      <c r="I13629" s="16" t="n">
        <f aca="false">I13627-I13628</f>
        <v>809.76229453752</v>
      </c>
      <c r="J13629" s="16" t="n">
        <f aca="false">J13627-J13628</f>
        <v>760.69325516448</v>
      </c>
      <c r="K13629" s="16" t="n">
        <f aca="false">K13627-K13628</f>
        <v>722.658592406256</v>
      </c>
    </row>
    <row r="13630" customFormat="false" ht="15" hidden="false" customHeight="false" outlineLevel="0" collapsed="false">
      <c r="A13630" s="3" t="s">
        <v>285</v>
      </c>
      <c r="G13630" s="25" t="n">
        <f aca="false">G13629-G13631</f>
        <v>709.30988</v>
      </c>
      <c r="H13630" s="25" t="n">
        <f aca="false">H13629-H13631</f>
        <v>659.6581884</v>
      </c>
      <c r="I13630" s="25" t="n">
        <f aca="false">I13629-I13631</f>
        <v>620.078697096</v>
      </c>
      <c r="J13630" s="25" t="n">
        <f aca="false">J13629-J13631</f>
        <v>589.0747622412</v>
      </c>
      <c r="K13630" s="25" t="n">
        <f aca="false">K13629-K13631</f>
        <v>559.62102412914</v>
      </c>
    </row>
    <row r="13631" customFormat="false" ht="15" hidden="false" customHeight="false" outlineLevel="0" collapsed="false">
      <c r="A13631" s="2" t="s">
        <v>286</v>
      </c>
      <c r="G13631" s="16" t="n">
        <f aca="false">G13627*G13625</f>
        <v>247.9767264</v>
      </c>
      <c r="H13631" s="16" t="n">
        <f aca="false">H13627*H13625</f>
        <v>211.400159256</v>
      </c>
      <c r="I13631" s="16" t="n">
        <f aca="false">I13627*I13625</f>
        <v>189.68359744152</v>
      </c>
      <c r="J13631" s="16" t="n">
        <f aca="false">J13627*J13625</f>
        <v>171.61849292328</v>
      </c>
      <c r="K13631" s="16" t="n">
        <f aca="false">K13627*K13625</f>
        <v>163.037568277116</v>
      </c>
    </row>
    <row r="13632" customFormat="false" ht="15" hidden="false" customHeight="false" outlineLevel="0" collapsed="false">
      <c r="A13632" s="3" t="s">
        <v>287</v>
      </c>
      <c r="G13632" s="25" t="n">
        <f aca="false">G13627*'Historical Financials'!G28/'Historical Financials'!G23</f>
        <v>78.47232</v>
      </c>
      <c r="H13632" s="25" t="n">
        <f aca="false">H13627*'Historical Financials'!G28/'Historical Financials'!G23</f>
        <v>72.9792576</v>
      </c>
      <c r="I13632" s="25" t="n">
        <f aca="false">I13627*'Historical Financials'!G28/'Historical Financials'!G23</f>
        <v>68.600502144</v>
      </c>
      <c r="J13632" s="25" t="n">
        <f aca="false">J13627*'Historical Financials'!G28/'Historical Financials'!G23</f>
        <v>65.1704770368</v>
      </c>
      <c r="K13632" s="25" t="n">
        <f aca="false">K13627*'Historical Financials'!G28/'Historical Financials'!G23</f>
        <v>61.91195318496</v>
      </c>
    </row>
    <row r="13633" customFormat="false" ht="15" hidden="false" customHeight="false" outlineLevel="0" collapsed="false">
      <c r="A13633" s="3" t="s">
        <v>288</v>
      </c>
      <c r="G13633" s="25" t="n">
        <f aca="false">G13627*'Historical Financials'!G29/'Historical Financials'!G23</f>
        <v>22.40752</v>
      </c>
      <c r="H13633" s="25" t="n">
        <f aca="false">H13627*'Historical Financials'!G29/'Historical Financials'!G23</f>
        <v>20.8389936</v>
      </c>
      <c r="I13633" s="25" t="n">
        <f aca="false">I13627*'Historical Financials'!G29/'Historical Financials'!G23</f>
        <v>19.588653984</v>
      </c>
      <c r="J13633" s="25" t="n">
        <f aca="false">J13627*'Historical Financials'!G29/'Historical Financials'!G23</f>
        <v>18.6092212848</v>
      </c>
      <c r="K13633" s="25" t="n">
        <f aca="false">K13627*'Historical Financials'!G29/'Historical Financials'!G23</f>
        <v>17.67876022056</v>
      </c>
    </row>
    <row r="13634" customFormat="false" ht="15" hidden="false" customHeight="false" outlineLevel="0" collapsed="false">
      <c r="A13634" s="2" t="s">
        <v>289</v>
      </c>
      <c r="G13634" s="16" t="n">
        <f aca="false">G13631-G13632-G13633</f>
        <v>147.0968864</v>
      </c>
      <c r="H13634" s="16" t="n">
        <f aca="false">H13631-H13632-H13633</f>
        <v>117.581908056</v>
      </c>
      <c r="I13634" s="16" t="n">
        <f aca="false">I13631-I13632-I13633</f>
        <v>101.49444131352</v>
      </c>
      <c r="J13634" s="16" t="n">
        <f aca="false">J13631-J13632-J13633</f>
        <v>87.83879460168</v>
      </c>
      <c r="K13634" s="16" t="n">
        <f aca="false">K13631-K13632-K13633</f>
        <v>83.446854871596</v>
      </c>
    </row>
    <row r="13635" customFormat="false" ht="15" hidden="false" customHeight="false" outlineLevel="0" collapsed="false">
      <c r="A13635" s="3" t="s">
        <v>290</v>
      </c>
      <c r="G13635" s="25" t="n">
        <f aca="false">G13661+G13674+G13687</f>
        <v>155.95467</v>
      </c>
      <c r="H13635" s="25" t="n">
        <f aca="false">H13661+H13674+H13687</f>
        <v>155.95467</v>
      </c>
      <c r="I13635" s="25" t="n">
        <f aca="false">I13661+I13674+I13687</f>
        <v>155.95467</v>
      </c>
      <c r="J13635" s="25" t="n">
        <f aca="false">J13661+J13674+J13687</f>
        <v>138.08529</v>
      </c>
      <c r="K13635" s="25" t="n">
        <f aca="false">K13661+K13674+K13687</f>
        <v>138.08529</v>
      </c>
    </row>
    <row r="13636" customFormat="false" ht="15" hidden="false" customHeight="false" outlineLevel="0" collapsed="false">
      <c r="A13636" s="3" t="s">
        <v>291</v>
      </c>
      <c r="G13636" s="25" t="n">
        <f aca="false">G13662+G13675+G13688</f>
        <v>0</v>
      </c>
      <c r="H13636" s="25" t="n">
        <f aca="false">H13662+H13675+H13688</f>
        <v>0</v>
      </c>
      <c r="I13636" s="25" t="n">
        <f aca="false">I13662+I13675+I13688</f>
        <v>0</v>
      </c>
      <c r="J13636" s="25" t="n">
        <f aca="false">J13662+J13675+J13688</f>
        <v>0</v>
      </c>
      <c r="K13636" s="25" t="n">
        <f aca="false">K13662+K13675+K13688</f>
        <v>0</v>
      </c>
    </row>
    <row r="13637" customFormat="false" ht="15" hidden="false" customHeight="false" outlineLevel="0" collapsed="false">
      <c r="A13637" s="3" t="s">
        <v>239</v>
      </c>
      <c r="G13637" s="25" t="n">
        <f aca="false">G13635+G13636</f>
        <v>155.95467</v>
      </c>
      <c r="H13637" s="25" t="n">
        <f aca="false">H13635+H13636</f>
        <v>155.95467</v>
      </c>
      <c r="I13637" s="25" t="n">
        <f aca="false">I13635+I13636</f>
        <v>155.95467</v>
      </c>
      <c r="J13637" s="25" t="n">
        <f aca="false">J13635+J13636</f>
        <v>138.08529</v>
      </c>
      <c r="K13637" s="25" t="n">
        <f aca="false">K13635+K13636</f>
        <v>138.08529</v>
      </c>
    </row>
    <row r="13638" customFormat="false" ht="15" hidden="false" customHeight="false" outlineLevel="0" collapsed="false">
      <c r="A13638" s="2" t="s">
        <v>264</v>
      </c>
      <c r="G13638" s="16" t="n">
        <f aca="false">G13634-G13637</f>
        <v>-8.85778360000006</v>
      </c>
      <c r="H13638" s="16" t="n">
        <f aca="false">H13634-H13637</f>
        <v>-38.372761944</v>
      </c>
      <c r="I13638" s="16" t="n">
        <f aca="false">I13634-I13637</f>
        <v>-54.46022868648</v>
      </c>
      <c r="J13638" s="16" t="n">
        <f aca="false">J13634-J13637</f>
        <v>-50.24649539832</v>
      </c>
      <c r="K13638" s="16" t="n">
        <f aca="false">K13634-K13637</f>
        <v>-54.638435128404</v>
      </c>
    </row>
    <row r="13639" customFormat="false" ht="15" hidden="false" customHeight="false" outlineLevel="0" collapsed="false">
      <c r="A13639" s="3" t="s">
        <v>292</v>
      </c>
      <c r="G13639" s="25" t="n">
        <f aca="false">MAX(0,G13638)*Assumptions!$C$9</f>
        <v>0</v>
      </c>
      <c r="H13639" s="25" t="n">
        <f aca="false">MAX(0,H13638)*Assumptions!$C$9</f>
        <v>0</v>
      </c>
      <c r="I13639" s="25" t="n">
        <f aca="false">MAX(0,I13638)*Assumptions!$C$9</f>
        <v>0</v>
      </c>
      <c r="J13639" s="25" t="n">
        <f aca="false">MAX(0,J13638)*Assumptions!$C$9</f>
        <v>0</v>
      </c>
      <c r="K13639" s="25" t="n">
        <f aca="false">MAX(0,K13638)*Assumptions!$C$9</f>
        <v>0</v>
      </c>
    </row>
    <row r="13640" customFormat="false" ht="15" hidden="false" customHeight="false" outlineLevel="0" collapsed="false">
      <c r="A13640" s="2" t="s">
        <v>293</v>
      </c>
      <c r="G13640" s="16" t="n">
        <f aca="false">G13638-G13639</f>
        <v>-8.85778360000006</v>
      </c>
      <c r="H13640" s="16" t="n">
        <f aca="false">H13638-H13639</f>
        <v>-38.372761944</v>
      </c>
      <c r="I13640" s="16" t="n">
        <f aca="false">I13638-I13639</f>
        <v>-54.46022868648</v>
      </c>
      <c r="J13640" s="16" t="n">
        <f aca="false">J13638-J13639</f>
        <v>-50.24649539832</v>
      </c>
      <c r="K13640" s="16" t="n">
        <f aca="false">K13638-K13639</f>
        <v>-54.638435128404</v>
      </c>
    </row>
    <row r="13641" customFormat="false" ht="15" hidden="false" customHeight="false" outlineLevel="0" collapsed="false">
      <c r="A13641" s="23" t="s">
        <v>294</v>
      </c>
      <c r="B13641" s="24"/>
      <c r="C13641" s="24"/>
      <c r="D13641" s="24"/>
      <c r="E13641" s="24"/>
      <c r="F13641" s="24"/>
      <c r="G13641" s="24"/>
      <c r="H13641" s="24"/>
      <c r="I13641" s="24"/>
      <c r="J13641" s="24"/>
      <c r="K13641" s="24"/>
    </row>
    <row r="13642" customFormat="false" ht="15" hidden="false" customHeight="false" outlineLevel="0" collapsed="false">
      <c r="A13642" s="3" t="s">
        <v>169</v>
      </c>
      <c r="G13642" s="25" t="n">
        <f aca="false">G13627*CHOOSE($C$13614,Assumptions!$C$75,Assumptions!$C$94,Assumptions!$C$113)</f>
        <v>26.86414536</v>
      </c>
      <c r="H13642" s="25" t="n">
        <f aca="false">H13627*CHOOSE($C$13614,Assumptions!$C$75,Assumptions!$C$94,Assumptions!$C$113)</f>
        <v>24.9836551848</v>
      </c>
      <c r="I13642" s="25" t="n">
        <f aca="false">I13627*CHOOSE($C$13614,Assumptions!$C$75,Assumptions!$C$94,Assumptions!$C$113)</f>
        <v>23.484635873712</v>
      </c>
      <c r="J13642" s="25" t="n">
        <f aca="false">J13627*CHOOSE($C$13614,Assumptions!$C$75,Assumptions!$C$94,Assumptions!$C$113)</f>
        <v>22.3104040800264</v>
      </c>
      <c r="K13642" s="25" t="n">
        <f aca="false">K13627*CHOOSE($C$13614,Assumptions!$C$75,Assumptions!$C$94,Assumptions!$C$113)</f>
        <v>21.1948838760251</v>
      </c>
    </row>
    <row r="13643" customFormat="false" ht="15" hidden="false" customHeight="false" outlineLevel="0" collapsed="false">
      <c r="A13643" s="3" t="s">
        <v>295</v>
      </c>
      <c r="G13643" s="25" t="n">
        <f aca="false">CHOOSE($C$13614,Assumptions!$C$76,Assumptions!$C$95,Assumptions!$C$114)*(G13627-F13627)+CHOOSE($C$13614,Assumptions!$C$77,Assumptions!$C$96,Assumptions!$C$115)*G13627</f>
        <v>10.3323636</v>
      </c>
      <c r="H13643" s="25" t="n">
        <f aca="false">CHOOSE($C$13614,Assumptions!$C$76,Assumptions!$C$95,Assumptions!$C$114)*(H13627-G13627)+CHOOSE($C$13614,Assumptions!$C$77,Assumptions!$C$96,Assumptions!$C$115)*H13627</f>
        <v>9.609098148</v>
      </c>
      <c r="I13643" s="25" t="n">
        <f aca="false">CHOOSE($C$13614,Assumptions!$C$76,Assumptions!$C$95,Assumptions!$C$114)*(I13627-H13627)+CHOOSE($C$13614,Assumptions!$C$77,Assumptions!$C$96,Assumptions!$C$115)*I13627</f>
        <v>9.03255225912</v>
      </c>
      <c r="J13643" s="25" t="n">
        <f aca="false">CHOOSE($C$13614,Assumptions!$C$76,Assumptions!$C$95,Assumptions!$C$114)*(J13627-I13627)+CHOOSE($C$13614,Assumptions!$C$77,Assumptions!$C$96,Assumptions!$C$115)*J13627</f>
        <v>8.580924646164</v>
      </c>
      <c r="K13643" s="25" t="n">
        <f aca="false">CHOOSE($C$13614,Assumptions!$C$76,Assumptions!$C$95,Assumptions!$C$114)*(K13627-J13627)+CHOOSE($C$13614,Assumptions!$C$77,Assumptions!$C$96,Assumptions!$C$115)*K13627</f>
        <v>8.1518784138558</v>
      </c>
    </row>
    <row r="13644" customFormat="false" ht="15" hidden="false" customHeight="false" outlineLevel="0" collapsed="false">
      <c r="A13644" s="2" t="s">
        <v>296</v>
      </c>
      <c r="G13644" s="16" t="n">
        <f aca="false">G13640+G13632+G13633+G13636-G13642-G13643</f>
        <v>54.8255474399999</v>
      </c>
      <c r="H13644" s="16" t="n">
        <f aca="false">H13640+H13632+H13633+H13636-H13642-H13643</f>
        <v>20.8527359232</v>
      </c>
      <c r="I13644" s="16" t="n">
        <f aca="false">I13640+I13632+I13633+I13636-I13642-I13643</f>
        <v>1.21173930868796</v>
      </c>
      <c r="J13644" s="16" t="n">
        <f aca="false">J13640+J13632+J13633+J13636-J13642-J13643</f>
        <v>2.6418741970896</v>
      </c>
      <c r="K13644" s="16" t="n">
        <f aca="false">K13640+K13632+K13633+K13636-K13642-K13643</f>
        <v>-4.39448401276491</v>
      </c>
    </row>
    <row r="13646" customFormat="false" ht="15" hidden="false" customHeight="false" outlineLevel="0" collapsed="false">
      <c r="A13646" s="23" t="s">
        <v>298</v>
      </c>
      <c r="B13646" s="24"/>
      <c r="C13646" s="24"/>
      <c r="D13646" s="24"/>
      <c r="E13646" s="24"/>
      <c r="F13646" s="24"/>
      <c r="G13646" s="24"/>
      <c r="H13646" s="24"/>
      <c r="I13646" s="24"/>
      <c r="J13646" s="24"/>
      <c r="K13646" s="24"/>
    </row>
    <row r="13647" customFormat="false" ht="15" hidden="false" customHeight="false" outlineLevel="0" collapsed="false">
      <c r="A13647" s="3" t="s">
        <v>299</v>
      </c>
      <c r="G13647" s="30" t="n">
        <f aca="false">Assumptions!$G$52</f>
        <v>0.039</v>
      </c>
      <c r="H13647" s="30" t="n">
        <f aca="false">Assumptions!$H$52</f>
        <v>0.0375</v>
      </c>
      <c r="I13647" s="30" t="n">
        <f aca="false">Assumptions!$I$52</f>
        <v>0.035</v>
      </c>
      <c r="J13647" s="30" t="n">
        <f aca="false">Assumptions!$J$52</f>
        <v>0.035</v>
      </c>
      <c r="K13647" s="30" t="n">
        <f aca="false">Assumptions!$K$52</f>
        <v>0.035</v>
      </c>
    </row>
    <row r="13648" customFormat="false" ht="15" hidden="false" customHeight="false" outlineLevel="0" collapsed="false">
      <c r="A13648" s="3" t="s">
        <v>300</v>
      </c>
      <c r="C13648" s="31" t="n">
        <f aca="false">CHOOSE($C$13614,Assumptions!$C$78,Assumptions!$C$97,Assumptions!$C$116)+$C$13617</f>
        <v>0.035</v>
      </c>
    </row>
    <row r="13649" customFormat="false" ht="15" hidden="false" customHeight="false" outlineLevel="0" collapsed="false">
      <c r="A13649" s="3" t="s">
        <v>301</v>
      </c>
      <c r="C13649" s="31" t="n">
        <f aca="false">CHOOSE($C$13614,Assumptions!$C$79,Assumptions!$C$98,Assumptions!$C$117)</f>
        <v>0.13</v>
      </c>
    </row>
    <row r="13650" customFormat="false" ht="15" hidden="false" customHeight="false" outlineLevel="0" collapsed="false">
      <c r="A13650" s="3" t="s">
        <v>302</v>
      </c>
      <c r="C13650" s="32" t="n">
        <f aca="false">CHOOSE($C$13614,Assumptions!$C$80,Assumptions!$C$99,Assumptions!$C$118)</f>
        <v>5.5</v>
      </c>
    </row>
    <row r="13651" customFormat="false" ht="15" hidden="false" customHeight="false" outlineLevel="0" collapsed="false">
      <c r="A13651" s="3" t="s">
        <v>303</v>
      </c>
      <c r="C13651" s="32" t="n">
        <f aca="false">CHOOSE($C$13614,Assumptions!$C$81,Assumptions!$C$100,Assumptions!$C$119)</f>
        <v>1.5</v>
      </c>
    </row>
    <row r="13652" customFormat="false" ht="15" hidden="false" customHeight="false" outlineLevel="0" collapsed="false">
      <c r="A13652" s="3" t="s">
        <v>304</v>
      </c>
      <c r="G13652" s="25" t="n">
        <f aca="false">G13657+G13670+G13683</f>
        <v>1735.554</v>
      </c>
      <c r="H13652" s="25" t="n">
        <f aca="false">H13657+H13670+H13683</f>
        <v>1735.554</v>
      </c>
      <c r="I13652" s="25" t="n">
        <f aca="false">I13657+I13670+I13683</f>
        <v>1735.554</v>
      </c>
      <c r="J13652" s="25" t="n">
        <f aca="false">J13657+J13670+J13683</f>
        <v>1315.098</v>
      </c>
      <c r="K13652" s="25" t="n">
        <f aca="false">K13657+K13670+K13683</f>
        <v>1315.098</v>
      </c>
    </row>
    <row r="13653" customFormat="false" ht="15" hidden="false" customHeight="false" outlineLevel="0" collapsed="false">
      <c r="A13653" s="3" t="s">
        <v>305</v>
      </c>
      <c r="G13653" s="25" t="n">
        <f aca="false">F13726</f>
        <v>463.996</v>
      </c>
      <c r="H13653" s="25" t="n">
        <f aca="false">G13726</f>
        <v>518.82154744</v>
      </c>
      <c r="I13653" s="25" t="n">
        <f aca="false">H13726</f>
        <v>539.6742833632</v>
      </c>
      <c r="J13653" s="25" t="n">
        <f aca="false">I13726</f>
        <v>120.430022671888</v>
      </c>
      <c r="K13653" s="25" t="n">
        <f aca="false">J13726</f>
        <v>123.071896868977</v>
      </c>
    </row>
    <row r="13654" customFormat="false" ht="15" hidden="false" customHeight="false" outlineLevel="0" collapsed="false">
      <c r="A13654" s="3" t="s">
        <v>306</v>
      </c>
      <c r="G13654" s="25" t="n">
        <f aca="false">G13657*IF(G13658=1,$C$13649,IF(Assumptions!$I$56=1,MAX(G13647,Assumptions!$G$56)+Assumptions!$F$56+$C$13648,Assumptions!$E$56))+G13670*IF(G13671=1,$C$13649,IF(Assumptions!$I$57=1,MAX(G13647,Assumptions!$G$57)+Assumptions!$F$57+$C$13648,Assumptions!$E$57))+G13683*IF(G13684=1,$C$13649,IF(Assumptions!$I$58=1,MAX(G13647,Assumptions!$G$58)+Assumptions!$F$58+$C$13648,Assumptions!$E$58))</f>
        <v>155.95467</v>
      </c>
      <c r="H13654" s="25" t="n">
        <f aca="false">H13657*IF(OR(H13658=1,G13804=1),$C$13649,IF(Assumptions!$I$56=1,MAX(H13647,Assumptions!$G$56)+Assumptions!$F$56+$C$13648,Assumptions!$E$56))+H13670*IF(OR(H13671=1,G13805=1),$C$13649,IF(Assumptions!$I$57=1,MAX(H13647,Assumptions!$G$57)+Assumptions!$F$57+$C$13648,Assumptions!$E$57))+H13683*IF(OR(H13684=1,G13806=1),$C$13649,IF(Assumptions!$I$58=1,MAX(H13647,Assumptions!$G$58)+Assumptions!$F$58+$C$13648,Assumptions!$E$58))</f>
        <v>155.95467</v>
      </c>
      <c r="I13654" s="25" t="n">
        <f aca="false">I13657*IF(OR(I13658=1,H13804=1),$C$13649,IF(Assumptions!$I$56=1,MAX(I13647,Assumptions!$G$56)+Assumptions!$F$56+$C$13648,Assumptions!$E$56))+I13670*IF(OR(I13671=1,H13805=1),$C$13649,IF(Assumptions!$I$57=1,MAX(I13647,Assumptions!$G$57)+Assumptions!$F$57+$C$13648,Assumptions!$E$57))+I13683*IF(OR(I13684=1,H13806=1),$C$13649,IF(Assumptions!$I$58=1,MAX(I13647,Assumptions!$G$58)+Assumptions!$F$58+$C$13648,Assumptions!$E$58))</f>
        <v>192.74457</v>
      </c>
      <c r="J13654" s="25" t="n">
        <f aca="false">J13657*IF(OR(J13658=1,I13804=1),$C$13649,IF(Assumptions!$I$56=1,MAX(J13647,Assumptions!$G$56)+Assumptions!$F$56+$C$13648,Assumptions!$E$56))+J13670*IF(OR(J13671=1,I13805=1),$C$13649,IF(Assumptions!$I$57=1,MAX(J13647,Assumptions!$G$57)+Assumptions!$F$57+$C$13648,Assumptions!$E$57))+J13683*IF(OR(J13684=1,I13806=1),$C$13649,IF(Assumptions!$I$58=1,MAX(J13647,Assumptions!$G$58)+Assumptions!$F$58+$C$13648,Assumptions!$E$58))</f>
        <v>138.08529</v>
      </c>
      <c r="K13654" s="25" t="n">
        <f aca="false">K13657*IF(OR(K13658=1,J13804=1),$C$13649,IF(Assumptions!$I$56=1,MAX(K13647,Assumptions!$G$56)+Assumptions!$F$56+$C$13648,Assumptions!$E$56))+K13670*IF(OR(K13671=1,J13805=1),$C$13649,IF(Assumptions!$I$57=1,MAX(K13647,Assumptions!$G$57)+Assumptions!$F$57+$C$13648,Assumptions!$E$57))+K13683*IF(OR(K13684=1,J13806=1),$C$13649,IF(Assumptions!$I$58=1,MAX(K13647,Assumptions!$G$58)+Assumptions!$F$58+$C$13648,Assumptions!$E$58))</f>
        <v>138.08529</v>
      </c>
    </row>
    <row r="13655" customFormat="false" ht="15" hidden="false" customHeight="false" outlineLevel="0" collapsed="false">
      <c r="A13655" s="3" t="s">
        <v>307</v>
      </c>
      <c r="G13655" s="20" t="n">
        <f aca="false">IF(G13631&lt;=0,0,IF(AND((G13652-G13653)/G13631&lt;=$C$13650,G13631/G13654&gt;=$C$13651),1,0))</f>
        <v>1</v>
      </c>
      <c r="H13655" s="20" t="n">
        <f aca="false">IF(H13631&lt;=0,0,IF(AND((H13652-H13653)/H13631&lt;=$C$13650,H13631/H13654&gt;=$C$13651),1,0))</f>
        <v>0</v>
      </c>
      <c r="I13655" s="20" t="n">
        <f aca="false">IF(I13631&lt;=0,0,IF(AND((I13652-I13653)/I13631&lt;=$C$13650,I13631/I13654&gt;=$C$13651),1,0))</f>
        <v>0</v>
      </c>
      <c r="J13655" s="20" t="n">
        <f aca="false">IF(J13631&lt;=0,0,IF(AND((J13652-J13653)/J13631&lt;=$C$13650,J13631/J13654&gt;=$C$13651),1,0))</f>
        <v>0</v>
      </c>
      <c r="K13655" s="20" t="n">
        <f aca="false">IF(K13631&lt;=0,0,IF(AND((K13652-K13653)/K13631&lt;=$C$13650,K13631/K13654&gt;=$C$13651),1,0))</f>
        <v>0</v>
      </c>
    </row>
    <row r="13656" customFormat="false" ht="15" hidden="false" customHeight="false" outlineLevel="0" collapsed="false">
      <c r="A13656" s="23" t="s">
        <v>308</v>
      </c>
      <c r="B13656" s="24"/>
      <c r="C13656" s="24"/>
      <c r="D13656" s="24"/>
      <c r="E13656" s="24"/>
      <c r="F13656" s="24"/>
      <c r="G13656" s="24"/>
      <c r="H13656" s="24"/>
      <c r="I13656" s="24"/>
      <c r="J13656" s="24"/>
      <c r="K13656" s="24"/>
    </row>
    <row r="13657" customFormat="false" ht="15" hidden="false" customHeight="false" outlineLevel="0" collapsed="false">
      <c r="A13657" s="3" t="s">
        <v>309</v>
      </c>
      <c r="G13657" s="25" t="n">
        <f aca="false">F13668</f>
        <v>1315.098</v>
      </c>
      <c r="H13657" s="25" t="n">
        <f aca="false">G13668</f>
        <v>1315.098</v>
      </c>
      <c r="I13657" s="25" t="n">
        <f aca="false">H13668</f>
        <v>1315.098</v>
      </c>
      <c r="J13657" s="25" t="n">
        <f aca="false">I13668</f>
        <v>1315.098</v>
      </c>
      <c r="K13657" s="25" t="n">
        <f aca="false">J13668</f>
        <v>1315.098</v>
      </c>
    </row>
    <row r="13658" customFormat="false" ht="15" hidden="false" customHeight="false" outlineLevel="0" collapsed="false">
      <c r="A13658" s="3" t="s">
        <v>310</v>
      </c>
      <c r="G13658" s="20" t="n">
        <f aca="false">IF(G13621=Assumptions!$K$56,1,0)</f>
        <v>0</v>
      </c>
      <c r="H13658" s="20" t="n">
        <f aca="false">IF(H13621=Assumptions!$K$56,1,0)</f>
        <v>0</v>
      </c>
      <c r="I13658" s="20" t="n">
        <f aca="false">IF(I13621=Assumptions!$K$56,1,0)</f>
        <v>0</v>
      </c>
      <c r="J13658" s="20" t="n">
        <f aca="false">IF(J13621=Assumptions!$K$56,1,0)</f>
        <v>0</v>
      </c>
      <c r="K13658" s="20" t="n">
        <f aca="false">IF(K13621=Assumptions!$K$56,1,0)</f>
        <v>0</v>
      </c>
    </row>
    <row r="13660" customFormat="false" ht="15" hidden="false" customHeight="false" outlineLevel="0" collapsed="false">
      <c r="A13660" s="3" t="s">
        <v>311</v>
      </c>
      <c r="G13660" s="31" t="n">
        <f aca="false">IF(Assumptions!$I$56=1,MAX(G13647,Assumptions!$G$56)+Assumptions!$F$56+$C$13648,Assumptions!$E$56)</f>
        <v>0.105</v>
      </c>
      <c r="H13660" s="31" t="n">
        <f aca="false">IF(G13804=1,$C$13649,IF(Assumptions!$I$56=1,MAX(H13647,Assumptions!$G$56)+Assumptions!$F$56+$C$13648,Assumptions!$E$56))</f>
        <v>0.105</v>
      </c>
      <c r="I13660" s="31" t="n">
        <f aca="false">IF(H13804=1,$C$13649,IF(Assumptions!$I$56=1,MAX(I13647,Assumptions!$G$56)+Assumptions!$F$56+$C$13648,Assumptions!$E$56))</f>
        <v>0.105</v>
      </c>
      <c r="J13660" s="31" t="n">
        <f aca="false">IF(I13804=1,$C$13649,IF(Assumptions!$I$56=1,MAX(J13647,Assumptions!$G$56)+Assumptions!$F$56+$C$13648,Assumptions!$E$56))</f>
        <v>0.105</v>
      </c>
      <c r="K13660" s="31" t="n">
        <f aca="false">IF(J13804=1,$C$13649,IF(Assumptions!$I$56=1,MAX(K13647,Assumptions!$G$56)+Assumptions!$F$56+$C$13648,Assumptions!$E$56))</f>
        <v>0.105</v>
      </c>
    </row>
    <row r="13661" customFormat="false" ht="15" hidden="false" customHeight="false" outlineLevel="0" collapsed="false">
      <c r="A13661" s="3" t="s">
        <v>312</v>
      </c>
      <c r="G13661" s="25" t="n">
        <f aca="false">G13657*G13660</f>
        <v>138.08529</v>
      </c>
      <c r="H13661" s="25" t="n">
        <f aca="false">H13657*H13660</f>
        <v>138.08529</v>
      </c>
      <c r="I13661" s="25" t="n">
        <f aca="false">I13657*I13660</f>
        <v>138.08529</v>
      </c>
      <c r="J13661" s="25" t="n">
        <f aca="false">J13657*J13660</f>
        <v>138.08529</v>
      </c>
      <c r="K13661" s="25" t="n">
        <f aca="false">K13657*K13660</f>
        <v>138.08529</v>
      </c>
    </row>
    <row r="13662" customFormat="false" ht="15" hidden="false" customHeight="false" outlineLevel="0" collapsed="false">
      <c r="A13662" s="3" t="s">
        <v>313</v>
      </c>
      <c r="G13662" s="25" t="n">
        <f aca="false">G13657*Assumptions!$H$56</f>
        <v>0</v>
      </c>
      <c r="H13662" s="25" t="n">
        <f aca="false">H13657*Assumptions!$H$56</f>
        <v>0</v>
      </c>
      <c r="I13662" s="25" t="n">
        <f aca="false">I13657*Assumptions!$H$56</f>
        <v>0</v>
      </c>
      <c r="J13662" s="25" t="n">
        <f aca="false">J13657*Assumptions!$H$56</f>
        <v>0</v>
      </c>
      <c r="K13662" s="25" t="n">
        <f aca="false">K13657*Assumptions!$H$56</f>
        <v>0</v>
      </c>
    </row>
    <row r="13663" customFormat="false" ht="15" hidden="false" customHeight="false" outlineLevel="0" collapsed="false">
      <c r="A13663" s="3" t="s">
        <v>314</v>
      </c>
      <c r="G13663" s="25" t="n">
        <f aca="false">MIN(G13657,Assumptions!$L$56*Assumptions!$C$56)</f>
        <v>0</v>
      </c>
      <c r="H13663" s="25" t="n">
        <f aca="false">MIN(H13657,Assumptions!$L$56*Assumptions!$C$56)</f>
        <v>0</v>
      </c>
      <c r="I13663" s="25" t="n">
        <f aca="false">MIN(I13657,Assumptions!$L$56*Assumptions!$C$56)</f>
        <v>0</v>
      </c>
      <c r="J13663" s="25" t="n">
        <f aca="false">MIN(J13657,Assumptions!$L$56*Assumptions!$C$56)</f>
        <v>0</v>
      </c>
      <c r="K13663" s="25" t="n">
        <f aca="false">MIN(K13657,Assumptions!$L$56*Assumptions!$C$56)</f>
        <v>0</v>
      </c>
    </row>
    <row r="13664" customFormat="false" ht="15" hidden="false" customHeight="false" outlineLevel="0" collapsed="false">
      <c r="A13664" s="3" t="s">
        <v>315</v>
      </c>
      <c r="G13664" s="25" t="n">
        <f aca="false">IF(AND(Assumptions!$P$56=1,G13621&lt;Assumptions!$K$56),MIN(MAX(0,-G13718),MAX(0,Assumptions!$D$56-G13657)),0)</f>
        <v>0</v>
      </c>
      <c r="H13664" s="25" t="n">
        <f aca="false">IF(AND(Assumptions!$P$56=1,OR(H13621&lt;Assumptions!$K$56,G13804=1)),MIN(MAX(0,-H13718),MAX(0,Assumptions!$D$56-H13657)),0)</f>
        <v>0</v>
      </c>
      <c r="I13664" s="25" t="n">
        <f aca="false">IF(AND(Assumptions!$P$56=1,OR(I13621&lt;Assumptions!$K$56,H13804=1)),MIN(MAX(0,-I13718),MAX(0,Assumptions!$D$56-I13657)),0)</f>
        <v>0</v>
      </c>
      <c r="J13664" s="25" t="n">
        <f aca="false">IF(AND(Assumptions!$P$56=1,OR(J13621&lt;Assumptions!$K$56,I13804=1)),MIN(MAX(0,-J13718),MAX(0,Assumptions!$D$56-J13657)),0)</f>
        <v>0</v>
      </c>
      <c r="K13664" s="25" t="n">
        <f aca="false">IF(AND(Assumptions!$P$56=1,OR(K13621&lt;Assumptions!$K$56,J13804=1)),MIN(MAX(0,-K13718),MAX(0,Assumptions!$D$56-K13657)),0)</f>
        <v>0</v>
      </c>
    </row>
    <row r="13665" customFormat="false" ht="15" hidden="false" customHeight="false" outlineLevel="0" collapsed="false">
      <c r="A13665" s="3" t="s">
        <v>316</v>
      </c>
      <c r="G13665" s="25" t="n">
        <f aca="false">G13658*MIN(G13657-G13663+G13662,MAX(0,G13720-Assumptions!$C$12*G13655))</f>
        <v>0</v>
      </c>
      <c r="H13665" s="25" t="n">
        <f aca="false">H13658*MIN(H13657-H13663+H13662,MAX(0,H13720-Assumptions!$C$12*H13655))</f>
        <v>0</v>
      </c>
      <c r="I13665" s="25" t="n">
        <f aca="false">I13658*MIN(I13657-I13663+I13662,MAX(0,I13720-Assumptions!$C$12*I13655))</f>
        <v>0</v>
      </c>
      <c r="J13665" s="25" t="n">
        <f aca="false">J13658*MIN(J13657-J13663+J13662,MAX(0,J13720-Assumptions!$C$12*J13655))</f>
        <v>0</v>
      </c>
      <c r="K13665" s="25" t="n">
        <f aca="false">K13658*MIN(K13657-K13663+K13662,MAX(0,K13720-Assumptions!$C$12*K13655))</f>
        <v>0</v>
      </c>
    </row>
    <row r="13666" customFormat="false" ht="15" hidden="false" customHeight="false" outlineLevel="0" collapsed="false">
      <c r="A13666" s="3" t="s">
        <v>317</v>
      </c>
      <c r="G13666" s="25" t="n">
        <f aca="false">Assumptions!$N$56*MIN(G13657+G13664+G13662-G13663-G13665,MAX(0,G13724))</f>
        <v>0</v>
      </c>
      <c r="H13666" s="25" t="n">
        <f aca="false">Assumptions!$N$56*MIN(H13657+H13664+H13662-H13663-H13665,MAX(0,H13724))</f>
        <v>0</v>
      </c>
      <c r="I13666" s="25" t="n">
        <f aca="false">Assumptions!$N$56*MIN(I13657+I13664+I13662-I13663-I13665,MAX(0,I13724))</f>
        <v>0</v>
      </c>
      <c r="J13666" s="25" t="n">
        <f aca="false">Assumptions!$N$56*MIN(J13657+J13664+J13662-J13663-J13665,MAX(0,J13724))</f>
        <v>0</v>
      </c>
      <c r="K13666" s="25" t="n">
        <f aca="false">Assumptions!$N$56*MIN(K13657+K13664+K13662-K13663-K13665,MAX(0,K13724))</f>
        <v>0</v>
      </c>
    </row>
    <row r="13667" customFormat="false" ht="15" hidden="false" customHeight="false" outlineLevel="0" collapsed="false">
      <c r="A13667" s="3" t="s">
        <v>318</v>
      </c>
      <c r="G13667" s="25" t="n">
        <f aca="false">G13658*(1-G13655)*(G13657-G13663+G13662-G13665)</f>
        <v>0</v>
      </c>
      <c r="H13667" s="25" t="n">
        <f aca="false">H13658*(1-H13655)*(H13657-H13663+H13662-H13665)</f>
        <v>0</v>
      </c>
      <c r="I13667" s="25" t="n">
        <f aca="false">I13658*(1-I13655)*(I13657-I13663+I13662-I13665)</f>
        <v>0</v>
      </c>
      <c r="J13667" s="25" t="n">
        <f aca="false">J13658*(1-J13655)*(J13657-J13663+J13662-J13665)</f>
        <v>0</v>
      </c>
      <c r="K13667" s="25" t="n">
        <f aca="false">K13658*(1-K13655)*(K13657-K13663+K13662-K13665)</f>
        <v>0</v>
      </c>
    </row>
    <row r="13668" customFormat="false" ht="15" hidden="false" customHeight="false" outlineLevel="0" collapsed="false">
      <c r="A13668" s="2" t="s">
        <v>319</v>
      </c>
      <c r="F13668" s="28" t="n">
        <f aca="false">Assumptions!$C$56</f>
        <v>1315.098</v>
      </c>
      <c r="G13668" s="16" t="n">
        <f aca="false">G13657+G13664+G13662-G13663-G13665-G13666</f>
        <v>1315.098</v>
      </c>
      <c r="H13668" s="16" t="n">
        <f aca="false">H13657+H13664+H13662-H13663-H13665-H13666</f>
        <v>1315.098</v>
      </c>
      <c r="I13668" s="16" t="n">
        <f aca="false">I13657+I13664+I13662-I13663-I13665-I13666</f>
        <v>1315.098</v>
      </c>
      <c r="J13668" s="16" t="n">
        <f aca="false">J13657+J13664+J13662-J13663-J13665-J13666</f>
        <v>1315.098</v>
      </c>
      <c r="K13668" s="16" t="n">
        <f aca="false">K13657+K13664+K13662-K13663-K13665-K13666</f>
        <v>1315.098</v>
      </c>
    </row>
    <row r="13669" customFormat="false" ht="15" hidden="false" customHeight="false" outlineLevel="0" collapsed="false">
      <c r="A13669" s="23" t="s">
        <v>320</v>
      </c>
      <c r="B13669" s="24"/>
      <c r="C13669" s="24"/>
      <c r="D13669" s="24"/>
      <c r="E13669" s="24"/>
      <c r="F13669" s="24"/>
      <c r="G13669" s="24"/>
      <c r="H13669" s="24"/>
      <c r="I13669" s="24"/>
      <c r="J13669" s="24"/>
      <c r="K13669" s="24"/>
    </row>
    <row r="13670" customFormat="false" ht="15" hidden="false" customHeight="false" outlineLevel="0" collapsed="false">
      <c r="A13670" s="3" t="s">
        <v>309</v>
      </c>
      <c r="G13670" s="25" t="n">
        <f aca="false">F13681</f>
        <v>276.706</v>
      </c>
      <c r="H13670" s="25" t="n">
        <f aca="false">G13681</f>
        <v>276.706</v>
      </c>
      <c r="I13670" s="25" t="n">
        <f aca="false">H13681</f>
        <v>276.706</v>
      </c>
      <c r="J13670" s="25" t="n">
        <f aca="false">I13681</f>
        <v>0</v>
      </c>
      <c r="K13670" s="25" t="n">
        <f aca="false">J13681</f>
        <v>0</v>
      </c>
    </row>
    <row r="13671" customFormat="false" ht="15" hidden="false" customHeight="false" outlineLevel="0" collapsed="false">
      <c r="A13671" s="3" t="s">
        <v>310</v>
      </c>
      <c r="G13671" s="20" t="n">
        <f aca="false">IF(G13621=Assumptions!$K$57,1,0)</f>
        <v>0</v>
      </c>
      <c r="H13671" s="20" t="n">
        <f aca="false">IF(H13621=Assumptions!$K$57,1,0)</f>
        <v>0</v>
      </c>
      <c r="I13671" s="20" t="n">
        <f aca="false">IF(I13621=Assumptions!$K$57,1,0)</f>
        <v>1</v>
      </c>
      <c r="J13671" s="20" t="n">
        <f aca="false">IF(J13621=Assumptions!$K$57,1,0)</f>
        <v>0</v>
      </c>
      <c r="K13671" s="20" t="n">
        <f aca="false">IF(K13621=Assumptions!$K$57,1,0)</f>
        <v>0</v>
      </c>
    </row>
    <row r="13673" customFormat="false" ht="15" hidden="false" customHeight="false" outlineLevel="0" collapsed="false">
      <c r="A13673" s="3" t="s">
        <v>311</v>
      </c>
      <c r="G13673" s="31" t="n">
        <f aca="false">IF(Assumptions!$I$57=1,MAX(G13647,Assumptions!$G$57)+Assumptions!$F$57+$C$13648,Assumptions!$E$57)</f>
        <v>0.0425</v>
      </c>
      <c r="H13673" s="31" t="n">
        <f aca="false">IF(G13805=1,$C$13649,IF(Assumptions!$I$57=1,MAX(H13647,Assumptions!$G$57)+Assumptions!$F$57+$C$13648,Assumptions!$E$57))</f>
        <v>0.0425</v>
      </c>
      <c r="I13673" s="31" t="n">
        <f aca="false">IF(H13805=1,$C$13649,IF(Assumptions!$I$57=1,MAX(I13647,Assumptions!$G$57)+Assumptions!$F$57+$C$13648,Assumptions!$E$57))</f>
        <v>0.0425</v>
      </c>
      <c r="J13673" s="31" t="n">
        <f aca="false">IF(I13805=1,$C$13649,IF(Assumptions!$I$57=1,MAX(J13647,Assumptions!$G$57)+Assumptions!$F$57+$C$13648,Assumptions!$E$57))</f>
        <v>0.0425</v>
      </c>
      <c r="K13673" s="31" t="n">
        <f aca="false">IF(J13805=1,$C$13649,IF(Assumptions!$I$57=1,MAX(K13647,Assumptions!$G$57)+Assumptions!$F$57+$C$13648,Assumptions!$E$57))</f>
        <v>0.0425</v>
      </c>
    </row>
    <row r="13674" customFormat="false" ht="15" hidden="false" customHeight="false" outlineLevel="0" collapsed="false">
      <c r="A13674" s="3" t="s">
        <v>312</v>
      </c>
      <c r="G13674" s="25" t="n">
        <f aca="false">G13670*G13673</f>
        <v>11.760005</v>
      </c>
      <c r="H13674" s="25" t="n">
        <f aca="false">H13670*H13673</f>
        <v>11.760005</v>
      </c>
      <c r="I13674" s="25" t="n">
        <f aca="false">I13670*I13673</f>
        <v>11.760005</v>
      </c>
      <c r="J13674" s="25" t="n">
        <f aca="false">J13670*J13673</f>
        <v>0</v>
      </c>
      <c r="K13674" s="25" t="n">
        <f aca="false">K13670*K13673</f>
        <v>0</v>
      </c>
    </row>
    <row r="13675" customFormat="false" ht="15" hidden="false" customHeight="false" outlineLevel="0" collapsed="false">
      <c r="A13675" s="3" t="s">
        <v>313</v>
      </c>
      <c r="G13675" s="25" t="n">
        <f aca="false">G13670*Assumptions!$H$57</f>
        <v>0</v>
      </c>
      <c r="H13675" s="25" t="n">
        <f aca="false">H13670*Assumptions!$H$57</f>
        <v>0</v>
      </c>
      <c r="I13675" s="25" t="n">
        <f aca="false">I13670*Assumptions!$H$57</f>
        <v>0</v>
      </c>
      <c r="J13675" s="25" t="n">
        <f aca="false">J13670*Assumptions!$H$57</f>
        <v>0</v>
      </c>
      <c r="K13675" s="25" t="n">
        <f aca="false">K13670*Assumptions!$H$57</f>
        <v>0</v>
      </c>
    </row>
    <row r="13676" customFormat="false" ht="15" hidden="false" customHeight="false" outlineLevel="0" collapsed="false">
      <c r="A13676" s="3" t="s">
        <v>314</v>
      </c>
      <c r="G13676" s="25" t="n">
        <f aca="false">MIN(G13670,Assumptions!$L$57*Assumptions!$C$57)</f>
        <v>0</v>
      </c>
      <c r="H13676" s="25" t="n">
        <f aca="false">MIN(H13670,Assumptions!$L$57*Assumptions!$C$57)</f>
        <v>0</v>
      </c>
      <c r="I13676" s="25" t="n">
        <f aca="false">MIN(I13670,Assumptions!$L$57*Assumptions!$C$57)</f>
        <v>0</v>
      </c>
      <c r="J13676" s="25" t="n">
        <f aca="false">MIN(J13670,Assumptions!$L$57*Assumptions!$C$57)</f>
        <v>0</v>
      </c>
      <c r="K13676" s="25" t="n">
        <f aca="false">MIN(K13670,Assumptions!$L$57*Assumptions!$C$57)</f>
        <v>0</v>
      </c>
    </row>
    <row r="13677" customFormat="false" ht="15" hidden="false" customHeight="false" outlineLevel="0" collapsed="false">
      <c r="A13677" s="3" t="s">
        <v>315</v>
      </c>
      <c r="G13677" s="25" t="n">
        <f aca="false">IF(AND(Assumptions!$P$57=1,G13621&lt;Assumptions!$K$57),MIN(MAX(0,-G13718),MAX(0,Assumptions!$D$57-G13670)),0)</f>
        <v>0</v>
      </c>
      <c r="H13677" s="25" t="n">
        <f aca="false">IF(AND(Assumptions!$P$57=1,OR(H13621&lt;Assumptions!$K$57,G13805=1)),MIN(MAX(0,-H13718),MAX(0,Assumptions!$D$57-H13670)),0)</f>
        <v>0</v>
      </c>
      <c r="I13677" s="25" t="n">
        <f aca="false">IF(AND(Assumptions!$P$57=1,OR(I13621&lt;Assumptions!$K$57,H13805=1)),MIN(MAX(0,-I13718),MAX(0,Assumptions!$D$57-I13670)),0)</f>
        <v>0</v>
      </c>
      <c r="J13677" s="25" t="n">
        <f aca="false">IF(AND(Assumptions!$P$57=1,OR(J13621&lt;Assumptions!$K$57,I13805=1)),MIN(MAX(0,-J13718),MAX(0,Assumptions!$D$57-J13670)),0)</f>
        <v>0</v>
      </c>
      <c r="K13677" s="25" t="n">
        <f aca="false">IF(AND(Assumptions!$P$57=1,OR(K13621&lt;Assumptions!$K$57,J13805=1)),MIN(MAX(0,-K13718),MAX(0,Assumptions!$D$57-K13670)),0)</f>
        <v>0</v>
      </c>
    </row>
    <row r="13678" customFormat="false" ht="15" hidden="false" customHeight="false" outlineLevel="0" collapsed="false">
      <c r="A13678" s="3" t="s">
        <v>316</v>
      </c>
      <c r="G13678" s="25" t="n">
        <f aca="false">G13671*MIN(G13670-G13676+G13675,MAX(0,G13720-Assumptions!$C$12*G13655-G13665))</f>
        <v>0</v>
      </c>
      <c r="H13678" s="25" t="n">
        <f aca="false">H13671*MIN(H13670-H13676+H13675,MAX(0,H13720-Assumptions!$C$12*H13655-H13665))</f>
        <v>0</v>
      </c>
      <c r="I13678" s="25" t="n">
        <f aca="false">I13671*MIN(I13670-I13676+I13675,MAX(0,I13720-Assumptions!$C$12*I13655-I13665))</f>
        <v>276.706</v>
      </c>
      <c r="J13678" s="25" t="n">
        <f aca="false">J13671*MIN(J13670-J13676+J13675,MAX(0,J13720-Assumptions!$C$12*J13655-J13665))</f>
        <v>0</v>
      </c>
      <c r="K13678" s="25" t="n">
        <f aca="false">K13671*MIN(K13670-K13676+K13675,MAX(0,K13720-Assumptions!$C$12*K13655-K13665))</f>
        <v>0</v>
      </c>
    </row>
    <row r="13679" customFormat="false" ht="15" hidden="false" customHeight="false" outlineLevel="0" collapsed="false">
      <c r="A13679" s="3" t="s">
        <v>317</v>
      </c>
      <c r="G13679" s="25" t="n">
        <f aca="false">Assumptions!$N$57*MIN(G13670+G13677+G13675-G13676-G13678,MAX(0,G13724-G13666))</f>
        <v>0</v>
      </c>
      <c r="H13679" s="25" t="n">
        <f aca="false">Assumptions!$N$57*MIN(H13670+H13677+H13675-H13676-H13678,MAX(0,H13724-H13666))</f>
        <v>0</v>
      </c>
      <c r="I13679" s="25" t="n">
        <f aca="false">Assumptions!$N$57*MIN(I13670+I13677+I13675-I13676-I13678,MAX(0,I13724-I13666))</f>
        <v>0</v>
      </c>
      <c r="J13679" s="25" t="n">
        <f aca="false">Assumptions!$N$57*MIN(J13670+J13677+J13675-J13676-J13678,MAX(0,J13724-J13666))</f>
        <v>0</v>
      </c>
      <c r="K13679" s="25" t="n">
        <f aca="false">Assumptions!$N$57*MIN(K13670+K13677+K13675-K13676-K13678,MAX(0,K13724-K13666))</f>
        <v>0</v>
      </c>
    </row>
    <row r="13680" customFormat="false" ht="15" hidden="false" customHeight="false" outlineLevel="0" collapsed="false">
      <c r="A13680" s="3" t="s">
        <v>318</v>
      </c>
      <c r="G13680" s="25" t="n">
        <f aca="false">G13671*(1-G13655)*(G13670-G13676+G13675-G13678)</f>
        <v>0</v>
      </c>
      <c r="H13680" s="25" t="n">
        <f aca="false">H13671*(1-H13655)*(H13670-H13676+H13675-H13678)</f>
        <v>0</v>
      </c>
      <c r="I13680" s="25" t="n">
        <f aca="false">I13671*(1-I13655)*(I13670-I13676+I13675-I13678)</f>
        <v>0</v>
      </c>
      <c r="J13680" s="25" t="n">
        <f aca="false">J13671*(1-J13655)*(J13670-J13676+J13675-J13678)</f>
        <v>0</v>
      </c>
      <c r="K13680" s="25" t="n">
        <f aca="false">K13671*(1-K13655)*(K13670-K13676+K13675-K13678)</f>
        <v>0</v>
      </c>
    </row>
    <row r="13681" customFormat="false" ht="15" hidden="false" customHeight="false" outlineLevel="0" collapsed="false">
      <c r="A13681" s="2" t="s">
        <v>319</v>
      </c>
      <c r="F13681" s="28" t="n">
        <f aca="false">Assumptions!$C$57</f>
        <v>276.706</v>
      </c>
      <c r="G13681" s="16" t="n">
        <f aca="false">G13670+G13677+G13675-G13676-G13678-G13679</f>
        <v>276.706</v>
      </c>
      <c r="H13681" s="16" t="n">
        <f aca="false">H13670+H13677+H13675-H13676-H13678-H13679</f>
        <v>276.706</v>
      </c>
      <c r="I13681" s="16" t="n">
        <f aca="false">I13670+I13677+I13675-I13676-I13678-I13679</f>
        <v>0</v>
      </c>
      <c r="J13681" s="16" t="n">
        <f aca="false">J13670+J13677+J13675-J13676-J13678-J13679</f>
        <v>0</v>
      </c>
      <c r="K13681" s="16" t="n">
        <f aca="false">K13670+K13677+K13675-K13676-K13678-K13679</f>
        <v>0</v>
      </c>
    </row>
    <row r="13682" customFormat="false" ht="15" hidden="false" customHeight="false" outlineLevel="0" collapsed="false">
      <c r="A13682" s="23" t="s">
        <v>321</v>
      </c>
      <c r="B13682" s="24"/>
      <c r="C13682" s="24"/>
      <c r="D13682" s="24"/>
      <c r="E13682" s="24"/>
      <c r="F13682" s="24"/>
      <c r="G13682" s="24"/>
      <c r="H13682" s="24"/>
      <c r="I13682" s="24"/>
      <c r="J13682" s="24"/>
      <c r="K13682" s="24"/>
    </row>
    <row r="13683" customFormat="false" ht="15" hidden="false" customHeight="false" outlineLevel="0" collapsed="false">
      <c r="A13683" s="3" t="s">
        <v>309</v>
      </c>
      <c r="G13683" s="25" t="n">
        <f aca="false">F13694</f>
        <v>143.75</v>
      </c>
      <c r="H13683" s="25" t="n">
        <f aca="false">G13694</f>
        <v>143.75</v>
      </c>
      <c r="I13683" s="25" t="n">
        <f aca="false">H13694</f>
        <v>143.75</v>
      </c>
      <c r="J13683" s="25" t="n">
        <f aca="false">I13694</f>
        <v>0</v>
      </c>
      <c r="K13683" s="25" t="n">
        <f aca="false">J13694</f>
        <v>0</v>
      </c>
    </row>
    <row r="13684" customFormat="false" ht="15" hidden="false" customHeight="false" outlineLevel="0" collapsed="false">
      <c r="A13684" s="3" t="s">
        <v>310</v>
      </c>
      <c r="G13684" s="20" t="n">
        <f aca="false">IF(G13621=Assumptions!$K$58,1,0)</f>
        <v>0</v>
      </c>
      <c r="H13684" s="20" t="n">
        <f aca="false">IF(H13621=Assumptions!$K$58,1,0)</f>
        <v>0</v>
      </c>
      <c r="I13684" s="20" t="n">
        <f aca="false">IF(I13621=Assumptions!$K$58,1,0)</f>
        <v>1</v>
      </c>
      <c r="J13684" s="20" t="n">
        <f aca="false">IF(J13621=Assumptions!$K$58,1,0)</f>
        <v>0</v>
      </c>
      <c r="K13684" s="20" t="n">
        <f aca="false">IF(K13621=Assumptions!$K$58,1,0)</f>
        <v>0</v>
      </c>
    </row>
    <row r="13686" customFormat="false" ht="15" hidden="false" customHeight="false" outlineLevel="0" collapsed="false">
      <c r="A13686" s="3" t="s">
        <v>311</v>
      </c>
      <c r="G13686" s="31" t="n">
        <f aca="false">IF(Assumptions!$I$58=1,MAX(G13647,Assumptions!$G$58)+Assumptions!$F$58+$C$13648,Assumptions!$E$58)</f>
        <v>0.0425</v>
      </c>
      <c r="H13686" s="31" t="n">
        <f aca="false">IF(G13806=1,$C$13649,IF(Assumptions!$I$58=1,MAX(H13647,Assumptions!$G$58)+Assumptions!$F$58+$C$13648,Assumptions!$E$58))</f>
        <v>0.0425</v>
      </c>
      <c r="I13686" s="31" t="n">
        <f aca="false">IF(H13806=1,$C$13649,IF(Assumptions!$I$58=1,MAX(I13647,Assumptions!$G$58)+Assumptions!$F$58+$C$13648,Assumptions!$E$58))</f>
        <v>0.0425</v>
      </c>
      <c r="J13686" s="31" t="n">
        <f aca="false">IF(I13806=1,$C$13649,IF(Assumptions!$I$58=1,MAX(J13647,Assumptions!$G$58)+Assumptions!$F$58+$C$13648,Assumptions!$E$58))</f>
        <v>0.0425</v>
      </c>
      <c r="K13686" s="31" t="n">
        <f aca="false">IF(J13806=1,$C$13649,IF(Assumptions!$I$58=1,MAX(K13647,Assumptions!$G$58)+Assumptions!$F$58+$C$13648,Assumptions!$E$58))</f>
        <v>0.0425</v>
      </c>
    </row>
    <row r="13687" customFormat="false" ht="15" hidden="false" customHeight="false" outlineLevel="0" collapsed="false">
      <c r="A13687" s="3" t="s">
        <v>312</v>
      </c>
      <c r="G13687" s="25" t="n">
        <f aca="false">G13683*G13686</f>
        <v>6.109375</v>
      </c>
      <c r="H13687" s="25" t="n">
        <f aca="false">H13683*H13686</f>
        <v>6.109375</v>
      </c>
      <c r="I13687" s="25" t="n">
        <f aca="false">I13683*I13686</f>
        <v>6.109375</v>
      </c>
      <c r="J13687" s="25" t="n">
        <f aca="false">J13683*J13686</f>
        <v>0</v>
      </c>
      <c r="K13687" s="25" t="n">
        <f aca="false">K13683*K13686</f>
        <v>0</v>
      </c>
    </row>
    <row r="13688" customFormat="false" ht="15" hidden="false" customHeight="false" outlineLevel="0" collapsed="false">
      <c r="A13688" s="3" t="s">
        <v>313</v>
      </c>
      <c r="G13688" s="25" t="n">
        <f aca="false">G13683*Assumptions!$H$58</f>
        <v>0</v>
      </c>
      <c r="H13688" s="25" t="n">
        <f aca="false">H13683*Assumptions!$H$58</f>
        <v>0</v>
      </c>
      <c r="I13688" s="25" t="n">
        <f aca="false">I13683*Assumptions!$H$58</f>
        <v>0</v>
      </c>
      <c r="J13688" s="25" t="n">
        <f aca="false">J13683*Assumptions!$H$58</f>
        <v>0</v>
      </c>
      <c r="K13688" s="25" t="n">
        <f aca="false">K13683*Assumptions!$H$58</f>
        <v>0</v>
      </c>
    </row>
    <row r="13689" customFormat="false" ht="15" hidden="false" customHeight="false" outlineLevel="0" collapsed="false">
      <c r="A13689" s="3" t="s">
        <v>314</v>
      </c>
      <c r="G13689" s="25" t="n">
        <f aca="false">MIN(G13683,Assumptions!$L$58*Assumptions!$C$58)</f>
        <v>0</v>
      </c>
      <c r="H13689" s="25" t="n">
        <f aca="false">MIN(H13683,Assumptions!$L$58*Assumptions!$C$58)</f>
        <v>0</v>
      </c>
      <c r="I13689" s="25" t="n">
        <f aca="false">MIN(I13683,Assumptions!$L$58*Assumptions!$C$58)</f>
        <v>0</v>
      </c>
      <c r="J13689" s="25" t="n">
        <f aca="false">MIN(J13683,Assumptions!$L$58*Assumptions!$C$58)</f>
        <v>0</v>
      </c>
      <c r="K13689" s="25" t="n">
        <f aca="false">MIN(K13683,Assumptions!$L$58*Assumptions!$C$58)</f>
        <v>0</v>
      </c>
    </row>
    <row r="13690" customFormat="false" ht="15" hidden="false" customHeight="false" outlineLevel="0" collapsed="false">
      <c r="A13690" s="3" t="s">
        <v>315</v>
      </c>
      <c r="G13690" s="25" t="n">
        <f aca="false">IF(AND(Assumptions!$P$58=1,G13621&lt;Assumptions!$K$58),MIN(MAX(0,-G13718),MAX(0,Assumptions!$D$58-G13683)),0)</f>
        <v>0</v>
      </c>
      <c r="H13690" s="25" t="n">
        <f aca="false">IF(AND(Assumptions!$P$58=1,OR(H13621&lt;Assumptions!$K$58,G13806=1)),MIN(MAX(0,-H13718),MAX(0,Assumptions!$D$58-H13683)),0)</f>
        <v>0</v>
      </c>
      <c r="I13690" s="25" t="n">
        <f aca="false">IF(AND(Assumptions!$P$58=1,OR(I13621&lt;Assumptions!$K$58,H13806=1)),MIN(MAX(0,-I13718),MAX(0,Assumptions!$D$58-I13683)),0)</f>
        <v>0</v>
      </c>
      <c r="J13690" s="25" t="n">
        <f aca="false">IF(AND(Assumptions!$P$58=1,OR(J13621&lt;Assumptions!$K$58,I13806=1)),MIN(MAX(0,-J13718),MAX(0,Assumptions!$D$58-J13683)),0)</f>
        <v>0</v>
      </c>
      <c r="K13690" s="25" t="n">
        <f aca="false">IF(AND(Assumptions!$P$58=1,OR(K13621&lt;Assumptions!$K$58,J13806=1)),MIN(MAX(0,-K13718),MAX(0,Assumptions!$D$58-K13683)),0)</f>
        <v>0</v>
      </c>
    </row>
    <row r="13691" customFormat="false" ht="15" hidden="false" customHeight="false" outlineLevel="0" collapsed="false">
      <c r="A13691" s="3" t="s">
        <v>316</v>
      </c>
      <c r="G13691" s="25" t="n">
        <f aca="false">G13684*MIN(G13683-G13689+G13688,MAX(0,G13720-Assumptions!$C$12*G13655-G13665-G13678))</f>
        <v>0</v>
      </c>
      <c r="H13691" s="25" t="n">
        <f aca="false">H13684*MIN(H13683-H13689+H13688,MAX(0,H13720-Assumptions!$C$12*H13655-H13665-H13678))</f>
        <v>0</v>
      </c>
      <c r="I13691" s="25" t="n">
        <f aca="false">I13684*MIN(I13683-I13689+I13688,MAX(0,I13720-Assumptions!$C$12*I13655-I13665-I13678))</f>
        <v>143.75</v>
      </c>
      <c r="J13691" s="25" t="n">
        <f aca="false">J13684*MIN(J13683-J13689+J13688,MAX(0,J13720-Assumptions!$C$12*J13655-J13665-J13678))</f>
        <v>0</v>
      </c>
      <c r="K13691" s="25" t="n">
        <f aca="false">K13684*MIN(K13683-K13689+K13688,MAX(0,K13720-Assumptions!$C$12*K13655-K13665-K13678))</f>
        <v>0</v>
      </c>
    </row>
    <row r="13692" customFormat="false" ht="15" hidden="false" customHeight="false" outlineLevel="0" collapsed="false">
      <c r="A13692" s="3" t="s">
        <v>317</v>
      </c>
      <c r="G13692" s="25" t="n">
        <f aca="false">Assumptions!$N$58*MIN(G13683+G13690+G13688-G13689-G13691,MAX(0,G13724-G13666-G13679))</f>
        <v>0</v>
      </c>
      <c r="H13692" s="25" t="n">
        <f aca="false">Assumptions!$N$58*MIN(H13683+H13690+H13688-H13689-H13691,MAX(0,H13724-H13666-H13679))</f>
        <v>0</v>
      </c>
      <c r="I13692" s="25" t="n">
        <f aca="false">Assumptions!$N$58*MIN(I13683+I13690+I13688-I13689-I13691,MAX(0,I13724-I13666-I13679))</f>
        <v>0</v>
      </c>
      <c r="J13692" s="25" t="n">
        <f aca="false">Assumptions!$N$58*MIN(J13683+J13690+J13688-J13689-J13691,MAX(0,J13724-J13666-J13679))</f>
        <v>0</v>
      </c>
      <c r="K13692" s="25" t="n">
        <f aca="false">Assumptions!$N$58*MIN(K13683+K13690+K13688-K13689-K13691,MAX(0,K13724-K13666-K13679))</f>
        <v>0</v>
      </c>
    </row>
    <row r="13693" customFormat="false" ht="15" hidden="false" customHeight="false" outlineLevel="0" collapsed="false">
      <c r="A13693" s="3" t="s">
        <v>318</v>
      </c>
      <c r="G13693" s="25" t="n">
        <f aca="false">G13684*(1-G13655)*(G13683-G13689+G13688-G13691)</f>
        <v>0</v>
      </c>
      <c r="H13693" s="25" t="n">
        <f aca="false">H13684*(1-H13655)*(H13683-H13689+H13688-H13691)</f>
        <v>0</v>
      </c>
      <c r="I13693" s="25" t="n">
        <f aca="false">I13684*(1-I13655)*(I13683-I13689+I13688-I13691)</f>
        <v>0</v>
      </c>
      <c r="J13693" s="25" t="n">
        <f aca="false">J13684*(1-J13655)*(J13683-J13689+J13688-J13691)</f>
        <v>0</v>
      </c>
      <c r="K13693" s="25" t="n">
        <f aca="false">K13684*(1-K13655)*(K13683-K13689+K13688-K13691)</f>
        <v>0</v>
      </c>
    </row>
    <row r="13694" customFormat="false" ht="15" hidden="false" customHeight="false" outlineLevel="0" collapsed="false">
      <c r="A13694" s="2" t="s">
        <v>319</v>
      </c>
      <c r="F13694" s="28" t="n">
        <f aca="false">Assumptions!$C$58</f>
        <v>143.75</v>
      </c>
      <c r="G13694" s="16" t="n">
        <f aca="false">G13683+G13690+G13688-G13689-G13691-G13692</f>
        <v>143.75</v>
      </c>
      <c r="H13694" s="16" t="n">
        <f aca="false">H13683+H13690+H13688-H13689-H13691-H13692</f>
        <v>143.75</v>
      </c>
      <c r="I13694" s="16" t="n">
        <f aca="false">I13683+I13690+I13688-I13689-I13691-I13692</f>
        <v>0</v>
      </c>
      <c r="J13694" s="16" t="n">
        <f aca="false">J13683+J13690+J13688-J13689-J13691-J13692</f>
        <v>0</v>
      </c>
      <c r="K13694" s="16" t="n">
        <f aca="false">K13683+K13690+K13688-K13689-K13691-K13692</f>
        <v>0</v>
      </c>
    </row>
    <row r="13695" customFormat="false" ht="15" hidden="false" customHeight="false" outlineLevel="0" collapsed="false">
      <c r="A13695" s="23" t="s">
        <v>322</v>
      </c>
      <c r="B13695" s="24"/>
      <c r="C13695" s="24"/>
      <c r="D13695" s="24"/>
      <c r="E13695" s="24"/>
      <c r="F13695" s="24"/>
      <c r="G13695" s="24"/>
      <c r="H13695" s="24"/>
      <c r="I13695" s="24"/>
      <c r="J13695" s="24"/>
      <c r="K13695" s="24"/>
    </row>
    <row r="13696" customFormat="false" ht="15" hidden="false" customHeight="false" outlineLevel="0" collapsed="false">
      <c r="A13696" s="2" t="s">
        <v>323</v>
      </c>
      <c r="F13696" s="16" t="n">
        <f aca="false">F13668+F13681+F13694</f>
        <v>1735.554</v>
      </c>
      <c r="G13696" s="16" t="n">
        <f aca="false">G13668+G13681+G13694</f>
        <v>1735.554</v>
      </c>
      <c r="H13696" s="16" t="n">
        <f aca="false">H13668+H13681+H13694</f>
        <v>1735.554</v>
      </c>
      <c r="I13696" s="16" t="n">
        <f aca="false">I13668+I13681+I13694</f>
        <v>1315.098</v>
      </c>
      <c r="J13696" s="16" t="n">
        <f aca="false">J13668+J13681+J13694</f>
        <v>1315.098</v>
      </c>
      <c r="K13696" s="16" t="n">
        <f aca="false">K13668+K13681+K13694</f>
        <v>1315.098</v>
      </c>
    </row>
    <row r="13697" customFormat="false" ht="15" hidden="false" customHeight="false" outlineLevel="0" collapsed="false">
      <c r="A13697" s="3" t="s">
        <v>324</v>
      </c>
      <c r="G13697" s="25" t="n">
        <f aca="false">G13658*Assumptions!$C$56+G13671*Assumptions!$C$57+G13684*Assumptions!$C$58</f>
        <v>0</v>
      </c>
      <c r="H13697" s="25" t="n">
        <f aca="false">H13658*Assumptions!$C$56+H13671*Assumptions!$C$57+H13684*Assumptions!$C$58</f>
        <v>0</v>
      </c>
      <c r="I13697" s="25" t="n">
        <f aca="false">I13658*Assumptions!$C$56+I13671*Assumptions!$C$57+I13684*Assumptions!$C$58</f>
        <v>420.456</v>
      </c>
      <c r="J13697" s="25" t="n">
        <f aca="false">J13658*Assumptions!$C$56+J13671*Assumptions!$C$57+J13684*Assumptions!$C$58</f>
        <v>0</v>
      </c>
      <c r="K13697" s="25" t="n">
        <f aca="false">K13658*Assumptions!$C$56+K13671*Assumptions!$C$57+K13684*Assumptions!$C$58</f>
        <v>0</v>
      </c>
    </row>
    <row r="13698" customFormat="false" ht="15" hidden="false" customHeight="false" outlineLevel="0" collapsed="false">
      <c r="A13698" s="23" t="s">
        <v>325</v>
      </c>
      <c r="B13698" s="24"/>
      <c r="C13698" s="24"/>
      <c r="D13698" s="24"/>
      <c r="E13698" s="24"/>
      <c r="F13698" s="24"/>
      <c r="G13698" s="24"/>
      <c r="H13698" s="24"/>
      <c r="I13698" s="24"/>
      <c r="J13698" s="24"/>
      <c r="K13698" s="24"/>
    </row>
    <row r="13699" customFormat="false" ht="15" hidden="false" customHeight="false" outlineLevel="0" collapsed="false">
      <c r="A13699" s="3" t="s">
        <v>326</v>
      </c>
      <c r="C13699" s="25" t="n">
        <f aca="false">SUMPRODUCT($G$13658:$K$13658,$G$13657:$K$13657-$G$13663:$K$13663+$G$13662:$K$13662)</f>
        <v>0</v>
      </c>
    </row>
    <row r="13700" customFormat="false" ht="15" hidden="false" customHeight="false" outlineLevel="0" collapsed="false">
      <c r="A13700" s="3" t="s">
        <v>327</v>
      </c>
      <c r="C13700" s="25" t="n">
        <f aca="false">SUMPRODUCT($G$13658:$K$13658,$G$13665:$K$13665)</f>
        <v>0</v>
      </c>
    </row>
    <row r="13701" customFormat="false" ht="15" hidden="false" customHeight="false" outlineLevel="0" collapsed="false">
      <c r="A13701" s="3" t="s">
        <v>328</v>
      </c>
      <c r="C13701" s="3" t="str">
        <f aca="false">IF(SUM($G$13658:$K$13658)=0,"n/a (beyond horizon)",IF(SUMPRODUCT($G$13658:$K$13658,$G$13655:$K$13655)&gt;0,"REFINANCING PASS","REFINANCING FAILURE"))</f>
        <v>n/a (beyond horizon)</v>
      </c>
    </row>
    <row r="13702" customFormat="false" ht="15" hidden="false" customHeight="false" outlineLevel="0" collapsed="false">
      <c r="A13702" s="3" t="s">
        <v>329</v>
      </c>
      <c r="C13702" s="3" t="str">
        <f aca="false">IF(SUM($G$13658:$K$13658)=0,"n/a",IF(C13700&gt;=C13699-0.001,"Repaid from cash",IF(SUMPRODUCT($G$13658:$K$13658,$G$13655:$K$13655)&gt;0,IF(C13700&gt;0,"Partly repaid; remainder refinanced","Refinanced"),IF(SUM($G$13667:$K$13667)&gt;0.001,IF(C13700&gt;0,"Partial repayment; PAYMENT DEFAULT","PAYMENT DEFAULT"),"Repaid from cash"))))</f>
        <v>n/a</v>
      </c>
    </row>
    <row r="13703" customFormat="false" ht="15" hidden="false" customHeight="false" outlineLevel="0" collapsed="false">
      <c r="A13703" s="3" t="s">
        <v>330</v>
      </c>
      <c r="C13703" s="25" t="n">
        <f aca="false">SUMPRODUCT($G$13671:$K$13671,$G$13670:$K$13670-$G$13676:$K$13676+$G$13675:$K$13675)</f>
        <v>276.706</v>
      </c>
    </row>
    <row r="13704" customFormat="false" ht="15" hidden="false" customHeight="false" outlineLevel="0" collapsed="false">
      <c r="A13704" s="3" t="s">
        <v>331</v>
      </c>
      <c r="C13704" s="25" t="n">
        <f aca="false">SUMPRODUCT($G$13671:$K$13671,$G$13678:$K$13678)</f>
        <v>276.706</v>
      </c>
    </row>
    <row r="13705" customFormat="false" ht="15" hidden="false" customHeight="false" outlineLevel="0" collapsed="false">
      <c r="A13705" s="3" t="s">
        <v>332</v>
      </c>
      <c r="C13705" s="3" t="str">
        <f aca="false">IF(SUM($G$13671:$K$13671)=0,"n/a (beyond horizon)",IF(SUMPRODUCT($G$13671:$K$13671,$G$13655:$K$13655)&gt;0,"REFINANCING PASS","REFINANCING FAILURE"))</f>
        <v>REFINANCING FAILURE</v>
      </c>
    </row>
    <row r="13706" customFormat="false" ht="15" hidden="false" customHeight="false" outlineLevel="0" collapsed="false">
      <c r="A13706" s="3" t="s">
        <v>333</v>
      </c>
      <c r="C13706" s="3" t="str">
        <f aca="false">IF(SUM($G$13671:$K$13671)=0,"n/a",IF(C13704&gt;=C13703-0.001,"Repaid from cash",IF(SUMPRODUCT($G$13671:$K$13671,$G$13655:$K$13655)&gt;0,IF(C13704&gt;0,"Partly repaid; remainder refinanced","Refinanced"),IF(SUM($G$13680:$K$13680)&gt;0.001,IF(C13704&gt;0,"Partial repayment; PAYMENT DEFAULT","PAYMENT DEFAULT"),"Repaid from cash"))))</f>
        <v>Repaid from cash</v>
      </c>
    </row>
    <row r="13707" customFormat="false" ht="15" hidden="false" customHeight="false" outlineLevel="0" collapsed="false">
      <c r="A13707" s="3" t="s">
        <v>334</v>
      </c>
      <c r="C13707" s="25" t="n">
        <f aca="false">SUMPRODUCT($G$13684:$K$13684,$G$13683:$K$13683-$G$13689:$K$13689+$G$13688:$K$13688)</f>
        <v>143.75</v>
      </c>
    </row>
    <row r="13708" customFormat="false" ht="15" hidden="false" customHeight="false" outlineLevel="0" collapsed="false">
      <c r="A13708" s="3" t="s">
        <v>335</v>
      </c>
      <c r="C13708" s="25" t="n">
        <f aca="false">SUMPRODUCT($G$13684:$K$13684,$G$13691:$K$13691)</f>
        <v>143.75</v>
      </c>
    </row>
    <row r="13709" customFormat="false" ht="15" hidden="false" customHeight="false" outlineLevel="0" collapsed="false">
      <c r="A13709" s="3" t="s">
        <v>336</v>
      </c>
      <c r="C13709" s="3" t="str">
        <f aca="false">IF(SUM($G$13684:$K$13684)=0,"n/a (beyond horizon)",IF(SUMPRODUCT($G$13684:$K$13684,$G$13655:$K$13655)&gt;0,"REFINANCING PASS","REFINANCING FAILURE"))</f>
        <v>REFINANCING FAILURE</v>
      </c>
    </row>
    <row r="13710" customFormat="false" ht="15" hidden="false" customHeight="false" outlineLevel="0" collapsed="false">
      <c r="A13710" s="3" t="s">
        <v>337</v>
      </c>
      <c r="C13710" s="3" t="str">
        <f aca="false">IF(SUM($G$13684:$K$13684)=0,"n/a",IF(C13708&gt;=C13707-0.001,"Repaid from cash",IF(SUMPRODUCT($G$13684:$K$13684,$G$13655:$K$13655)&gt;0,IF(C13708&gt;0,"Partly repaid; remainder refinanced","Refinanced"),IF(SUM($G$13693:$K$13693)&gt;0.001,IF(C13708&gt;0,"Partial repayment; PAYMENT DEFAULT","PAYMENT DEFAULT"),"Repaid from cash"))))</f>
        <v>Repaid from cash</v>
      </c>
    </row>
    <row r="13711" customFormat="false" ht="15" hidden="false" customHeight="false" outlineLevel="0" collapsed="false">
      <c r="A13711" s="3" t="s">
        <v>338</v>
      </c>
      <c r="C13711" s="20" t="n">
        <f aca="false">IF(C13701="REFINANCING FAILURE",1,0)+IF(C13705="REFINANCING FAILURE",1,0)+IF(C13709="REFINANCING FAILURE",1,0)</f>
        <v>2</v>
      </c>
    </row>
    <row r="13713" customFormat="false" ht="15" hidden="false" customHeight="false" outlineLevel="0" collapsed="false">
      <c r="A13713" s="23" t="s">
        <v>340</v>
      </c>
      <c r="B13713" s="24"/>
      <c r="C13713" s="24"/>
      <c r="D13713" s="24"/>
      <c r="E13713" s="24"/>
      <c r="F13713" s="24"/>
      <c r="G13713" s="24"/>
      <c r="H13713" s="24"/>
      <c r="I13713" s="24"/>
      <c r="J13713" s="24"/>
      <c r="K13713" s="24"/>
    </row>
    <row r="13714" customFormat="false" ht="15" hidden="false" customHeight="false" outlineLevel="0" collapsed="false">
      <c r="A13714" s="3" t="s">
        <v>305</v>
      </c>
      <c r="G13714" s="25" t="n">
        <f aca="false">F13726</f>
        <v>463.996</v>
      </c>
      <c r="H13714" s="25" t="n">
        <f aca="false">G13726</f>
        <v>518.82154744</v>
      </c>
      <c r="I13714" s="25" t="n">
        <f aca="false">H13726</f>
        <v>539.6742833632</v>
      </c>
      <c r="J13714" s="25" t="n">
        <f aca="false">I13726</f>
        <v>120.430022671888</v>
      </c>
      <c r="K13714" s="25" t="n">
        <f aca="false">J13726</f>
        <v>123.071896868977</v>
      </c>
    </row>
    <row r="13715" customFormat="false" ht="15" hidden="false" customHeight="false" outlineLevel="0" collapsed="false">
      <c r="A13715" s="3" t="s">
        <v>341</v>
      </c>
      <c r="G13715" s="25" t="n">
        <f aca="false">G13644</f>
        <v>54.8255474399999</v>
      </c>
      <c r="H13715" s="25" t="n">
        <f aca="false">H13644</f>
        <v>20.8527359232</v>
      </c>
      <c r="I13715" s="25" t="n">
        <f aca="false">I13644</f>
        <v>1.21173930868796</v>
      </c>
      <c r="J13715" s="25" t="n">
        <f aca="false">J13644</f>
        <v>2.6418741970896</v>
      </c>
      <c r="K13715" s="25" t="n">
        <f aca="false">K13644</f>
        <v>-4.39448401276491</v>
      </c>
    </row>
    <row r="13716" customFormat="false" ht="15" hidden="false" customHeight="false" outlineLevel="0" collapsed="false">
      <c r="A13716" s="3" t="s">
        <v>342</v>
      </c>
      <c r="G13716" s="25" t="n">
        <f aca="false">CHOOSE($C$13614,Assumptions!$G$74,Assumptions!$G$93,Assumptions!$G$112)</f>
        <v>0</v>
      </c>
      <c r="H13716" s="25" t="n">
        <f aca="false">CHOOSE($C$13614,Assumptions!$H$74,Assumptions!$H$93,Assumptions!$H$112)</f>
        <v>0</v>
      </c>
      <c r="I13716" s="25" t="n">
        <f aca="false">CHOOSE($C$13614,Assumptions!$I$74,Assumptions!$I$93,Assumptions!$I$112)</f>
        <v>0</v>
      </c>
      <c r="J13716" s="25" t="n">
        <f aca="false">CHOOSE($C$13614,Assumptions!$J$74,Assumptions!$J$93,Assumptions!$J$112)</f>
        <v>0</v>
      </c>
      <c r="K13716" s="25" t="n">
        <f aca="false">CHOOSE($C$13614,Assumptions!$K$74,Assumptions!$K$93,Assumptions!$K$112)</f>
        <v>0</v>
      </c>
    </row>
    <row r="13717" customFormat="false" ht="15" hidden="false" customHeight="false" outlineLevel="0" collapsed="false">
      <c r="A13717" s="3" t="s">
        <v>343</v>
      </c>
      <c r="G13717" s="25" t="n">
        <f aca="false">G13663+G13676+G13689</f>
        <v>0</v>
      </c>
      <c r="H13717" s="25" t="n">
        <f aca="false">H13663+H13676+H13689</f>
        <v>0</v>
      </c>
      <c r="I13717" s="25" t="n">
        <f aca="false">I13663+I13676+I13689</f>
        <v>0</v>
      </c>
      <c r="J13717" s="25" t="n">
        <f aca="false">J13663+J13676+J13689</f>
        <v>0</v>
      </c>
      <c r="K13717" s="25" t="n">
        <f aca="false">K13663+K13676+K13689</f>
        <v>0</v>
      </c>
    </row>
    <row r="13718" customFormat="false" ht="15" hidden="false" customHeight="false" outlineLevel="0" collapsed="false">
      <c r="A13718" s="2" t="s">
        <v>344</v>
      </c>
      <c r="G13718" s="16" t="n">
        <f aca="false">G13714+G13715+G13716-G13717</f>
        <v>518.82154744</v>
      </c>
      <c r="H13718" s="16" t="n">
        <f aca="false">H13714+H13715+H13716-H13717</f>
        <v>539.6742833632</v>
      </c>
      <c r="I13718" s="16" t="n">
        <f aca="false">I13714+I13715+I13716-I13717</f>
        <v>540.886022671888</v>
      </c>
      <c r="J13718" s="16" t="n">
        <f aca="false">J13714+J13715+J13716-J13717</f>
        <v>123.071896868977</v>
      </c>
      <c r="K13718" s="16" t="n">
        <f aca="false">K13714+K13715+K13716-K13717</f>
        <v>118.677412856212</v>
      </c>
    </row>
    <row r="13719" customFormat="false" ht="15" hidden="false" customHeight="false" outlineLevel="0" collapsed="false">
      <c r="A13719" s="3" t="s">
        <v>345</v>
      </c>
      <c r="G13719" s="25" t="n">
        <f aca="false">G13664+G13677+G13690</f>
        <v>0</v>
      </c>
      <c r="H13719" s="25" t="n">
        <f aca="false">H13664+H13677+H13690</f>
        <v>0</v>
      </c>
      <c r="I13719" s="25" t="n">
        <f aca="false">I13664+I13677+I13690</f>
        <v>0</v>
      </c>
      <c r="J13719" s="25" t="n">
        <f aca="false">J13664+J13677+J13690</f>
        <v>0</v>
      </c>
      <c r="K13719" s="25" t="n">
        <f aca="false">K13664+K13677+K13690</f>
        <v>0</v>
      </c>
    </row>
    <row r="13720" customFormat="false" ht="15" hidden="false" customHeight="false" outlineLevel="0" collapsed="false">
      <c r="A13720" s="2" t="s">
        <v>346</v>
      </c>
      <c r="G13720" s="16" t="n">
        <f aca="false">G13718+G13719</f>
        <v>518.82154744</v>
      </c>
      <c r="H13720" s="16" t="n">
        <f aca="false">H13718+H13719</f>
        <v>539.6742833632</v>
      </c>
      <c r="I13720" s="16" t="n">
        <f aca="false">I13718+I13719</f>
        <v>540.886022671888</v>
      </c>
      <c r="J13720" s="16" t="n">
        <f aca="false">J13718+J13719</f>
        <v>123.071896868977</v>
      </c>
      <c r="K13720" s="16" t="n">
        <f aca="false">K13718+K13719</f>
        <v>118.677412856212</v>
      </c>
    </row>
    <row r="13721" customFormat="false" ht="15" hidden="false" customHeight="false" outlineLevel="0" collapsed="false">
      <c r="A13721" s="3" t="s">
        <v>347</v>
      </c>
      <c r="G13721" s="25" t="n">
        <f aca="false">G13665+G13678+G13691</f>
        <v>0</v>
      </c>
      <c r="H13721" s="25" t="n">
        <f aca="false">H13665+H13678+H13691</f>
        <v>0</v>
      </c>
      <c r="I13721" s="25" t="n">
        <f aca="false">I13665+I13678+I13691</f>
        <v>420.456</v>
      </c>
      <c r="J13721" s="25" t="n">
        <f aca="false">J13665+J13678+J13691</f>
        <v>0</v>
      </c>
      <c r="K13721" s="25" t="n">
        <f aca="false">K13665+K13678+K13691</f>
        <v>0</v>
      </c>
    </row>
    <row r="13722" customFormat="false" ht="15" hidden="false" customHeight="false" outlineLevel="0" collapsed="false">
      <c r="A13722" s="2" t="s">
        <v>348</v>
      </c>
      <c r="G13722" s="16" t="n">
        <f aca="false">G13720-G13721</f>
        <v>518.82154744</v>
      </c>
      <c r="H13722" s="16" t="n">
        <f aca="false">H13720-H13721</f>
        <v>539.6742833632</v>
      </c>
      <c r="I13722" s="16" t="n">
        <f aca="false">I13720-I13721</f>
        <v>120.430022671888</v>
      </c>
      <c r="J13722" s="16" t="n">
        <f aca="false">J13720-J13721</f>
        <v>123.071896868977</v>
      </c>
      <c r="K13722" s="16" t="n">
        <f aca="false">K13720-K13721</f>
        <v>118.677412856212</v>
      </c>
    </row>
    <row r="13723" customFormat="false" ht="15" hidden="false" customHeight="false" outlineLevel="0" collapsed="false">
      <c r="A13723" s="3" t="s">
        <v>349</v>
      </c>
      <c r="G13723" s="25" t="n">
        <f aca="false">MAX(0,-G13722)</f>
        <v>0</v>
      </c>
      <c r="H13723" s="25" t="n">
        <f aca="false">MAX(0,-H13722)</f>
        <v>0</v>
      </c>
      <c r="I13723" s="25" t="n">
        <f aca="false">MAX(0,-I13722)</f>
        <v>0</v>
      </c>
      <c r="J13723" s="25" t="n">
        <f aca="false">MAX(0,-J13722)</f>
        <v>0</v>
      </c>
      <c r="K13723" s="25" t="n">
        <f aca="false">MAX(0,-K13722)</f>
        <v>0</v>
      </c>
    </row>
    <row r="13724" customFormat="false" ht="15" hidden="false" customHeight="false" outlineLevel="0" collapsed="false">
      <c r="A13724" s="3" t="s">
        <v>350</v>
      </c>
      <c r="G13724" s="25" t="n">
        <f aca="false">MAX(0,G13722-Assumptions!$C$12)*Assumptions!$C$13</f>
        <v>0</v>
      </c>
      <c r="H13724" s="25" t="n">
        <f aca="false">MAX(0,H13722-Assumptions!$C$12)*Assumptions!$C$13</f>
        <v>0</v>
      </c>
      <c r="I13724" s="25" t="n">
        <f aca="false">MAX(0,I13722-Assumptions!$C$12)*Assumptions!$C$13</f>
        <v>0</v>
      </c>
      <c r="J13724" s="25" t="n">
        <f aca="false">MAX(0,J13722-Assumptions!$C$12)*Assumptions!$C$13</f>
        <v>0</v>
      </c>
      <c r="K13724" s="25" t="n">
        <f aca="false">MAX(0,K13722-Assumptions!$C$12)*Assumptions!$C$13</f>
        <v>0</v>
      </c>
    </row>
    <row r="13725" customFormat="false" ht="15" hidden="false" customHeight="false" outlineLevel="0" collapsed="false">
      <c r="A13725" s="3" t="s">
        <v>351</v>
      </c>
      <c r="G13725" s="25" t="n">
        <f aca="false">G13666+G13679+G13692</f>
        <v>0</v>
      </c>
      <c r="H13725" s="25" t="n">
        <f aca="false">H13666+H13679+H13692</f>
        <v>0</v>
      </c>
      <c r="I13725" s="25" t="n">
        <f aca="false">I13666+I13679+I13692</f>
        <v>0</v>
      </c>
      <c r="J13725" s="25" t="n">
        <f aca="false">J13666+J13679+J13692</f>
        <v>0</v>
      </c>
      <c r="K13725" s="25" t="n">
        <f aca="false">K13666+K13679+K13692</f>
        <v>0</v>
      </c>
    </row>
    <row r="13726" customFormat="false" ht="15" hidden="false" customHeight="false" outlineLevel="0" collapsed="false">
      <c r="A13726" s="2" t="s">
        <v>352</v>
      </c>
      <c r="F13726" s="28" t="n">
        <f aca="false">Assumptions!$C$11</f>
        <v>463.996</v>
      </c>
      <c r="G13726" s="16" t="n">
        <f aca="false">G13722-G13725</f>
        <v>518.82154744</v>
      </c>
      <c r="H13726" s="16" t="n">
        <f aca="false">H13722-H13725</f>
        <v>539.6742833632</v>
      </c>
      <c r="I13726" s="16" t="n">
        <f aca="false">I13722-I13725</f>
        <v>120.430022671888</v>
      </c>
      <c r="J13726" s="16" t="n">
        <f aca="false">J13722-J13725</f>
        <v>123.071896868977</v>
      </c>
      <c r="K13726" s="16" t="n">
        <f aca="false">K13722-K13725</f>
        <v>118.677412856212</v>
      </c>
    </row>
    <row r="13727" customFormat="false" ht="15" hidden="false" customHeight="false" outlineLevel="0" collapsed="false">
      <c r="A13727" s="3" t="s">
        <v>353</v>
      </c>
      <c r="G13727" s="25" t="n">
        <f aca="false">G13667+G13680+G13693</f>
        <v>0</v>
      </c>
      <c r="H13727" s="25" t="n">
        <f aca="false">H13667+H13680+H13693</f>
        <v>0</v>
      </c>
      <c r="I13727" s="25" t="n">
        <f aca="false">I13667+I13680+I13693</f>
        <v>0</v>
      </c>
      <c r="J13727" s="25" t="n">
        <f aca="false">J13667+J13680+J13693</f>
        <v>0</v>
      </c>
      <c r="K13727" s="25" t="n">
        <f aca="false">K13667+K13680+K13693</f>
        <v>0</v>
      </c>
    </row>
    <row r="13728" customFormat="false" ht="15" hidden="false" customHeight="false" outlineLevel="0" collapsed="false">
      <c r="A13728" s="3" t="s">
        <v>354</v>
      </c>
      <c r="G13728" s="20" t="n">
        <f aca="false">IF(OR(G13723&gt;0.001,G13727&gt;0.001),1,0)</f>
        <v>0</v>
      </c>
      <c r="H13728" s="20" t="n">
        <f aca="false">IF(OR(H13723&gt;0.001,H13727&gt;0.001),1,0)</f>
        <v>0</v>
      </c>
      <c r="I13728" s="20" t="n">
        <f aca="false">IF(OR(I13723&gt;0.001,I13727&gt;0.001),1,0)</f>
        <v>0</v>
      </c>
      <c r="J13728" s="20" t="n">
        <f aca="false">IF(OR(J13723&gt;0.001,J13727&gt;0.001),1,0)</f>
        <v>0</v>
      </c>
      <c r="K13728" s="20" t="n">
        <f aca="false">IF(OR(K13723&gt;0.001,K13727&gt;0.001),1,0)</f>
        <v>0</v>
      </c>
    </row>
    <row r="13729" customFormat="false" ht="15" hidden="false" customHeight="false" outlineLevel="0" collapsed="false">
      <c r="A13729" s="3" t="s">
        <v>355</v>
      </c>
      <c r="G13729" s="20" t="n">
        <f aca="false">IF(G13728=1,1,0)</f>
        <v>0</v>
      </c>
      <c r="H13729" s="20" t="n">
        <f aca="false">IF(AND(H13728=1,SUM($G$13728:G13728)=0),1,0)</f>
        <v>0</v>
      </c>
      <c r="I13729" s="20" t="n">
        <f aca="false">IF(AND(I13728=1,SUM($G$13728:H13728)=0),1,0)</f>
        <v>0</v>
      </c>
      <c r="J13729" s="20" t="n">
        <f aca="false">IF(AND(J13728=1,SUM($G$13728:I13728)=0),1,0)</f>
        <v>0</v>
      </c>
      <c r="K13729" s="20" t="n">
        <f aca="false">IF(AND(K13728=1,SUM($G$13728:J13728)=0),1,0)</f>
        <v>0</v>
      </c>
    </row>
    <row r="13730" customFormat="false" ht="15" hidden="false" customHeight="false" outlineLevel="0" collapsed="false">
      <c r="A13730" s="3" t="s">
        <v>356</v>
      </c>
      <c r="G13730" s="25" t="n">
        <f aca="false">(G13696-F13696)-(G13719+G13636-G13717-G13721-G13725)</f>
        <v>0</v>
      </c>
      <c r="H13730" s="25" t="n">
        <f aca="false">(H13696-G13696)-(H13719+H13636-H13717-H13721-H13725)</f>
        <v>0</v>
      </c>
      <c r="I13730" s="25" t="n">
        <f aca="false">(I13696-H13696)-(I13719+I13636-I13717-I13721-I13725)</f>
        <v>0</v>
      </c>
      <c r="J13730" s="25" t="n">
        <f aca="false">(J13696-I13696)-(J13719+J13636-J13717-J13721-J13725)</f>
        <v>0</v>
      </c>
      <c r="K13730" s="25" t="n">
        <f aca="false">(K13696-J13696)-(K13719+K13636-K13717-K13721-K13725)</f>
        <v>0</v>
      </c>
    </row>
    <row r="13732" customFormat="false" ht="15" hidden="false" customHeight="false" outlineLevel="0" collapsed="false">
      <c r="A13732" s="23" t="s">
        <v>358</v>
      </c>
      <c r="B13732" s="24"/>
      <c r="C13732" s="24"/>
      <c r="D13732" s="24"/>
      <c r="E13732" s="24"/>
      <c r="F13732" s="24"/>
      <c r="G13732" s="24"/>
      <c r="H13732" s="24"/>
      <c r="I13732" s="24"/>
      <c r="J13732" s="24"/>
      <c r="K13732" s="24"/>
    </row>
    <row r="13733" customFormat="false" ht="15" hidden="false" customHeight="false" outlineLevel="0" collapsed="false">
      <c r="A13733" s="3" t="s">
        <v>359</v>
      </c>
      <c r="G13733" s="25" t="n">
        <f aca="false">G13696</f>
        <v>1735.554</v>
      </c>
      <c r="H13733" s="25" t="n">
        <f aca="false">H13696</f>
        <v>1735.554</v>
      </c>
      <c r="I13733" s="25" t="n">
        <f aca="false">I13696</f>
        <v>1315.098</v>
      </c>
      <c r="J13733" s="25" t="n">
        <f aca="false">J13696</f>
        <v>1315.098</v>
      </c>
      <c r="K13733" s="25" t="n">
        <f aca="false">K13696</f>
        <v>1315.098</v>
      </c>
    </row>
    <row r="13734" customFormat="false" ht="15" hidden="false" customHeight="false" outlineLevel="0" collapsed="false">
      <c r="A13734" s="3" t="s">
        <v>360</v>
      </c>
      <c r="G13734" s="25" t="n">
        <f aca="false">Assumptions!$O$56*G13668+Assumptions!$O$57*G13681+Assumptions!$O$58*G13694</f>
        <v>1315.098</v>
      </c>
      <c r="H13734" s="25" t="n">
        <f aca="false">Assumptions!$O$56*H13668+Assumptions!$O$57*H13681+Assumptions!$O$58*H13694</f>
        <v>1315.098</v>
      </c>
      <c r="I13734" s="25" t="n">
        <f aca="false">Assumptions!$O$56*I13668+Assumptions!$O$57*I13681+Assumptions!$O$58*I13694</f>
        <v>1315.098</v>
      </c>
      <c r="J13734" s="25" t="n">
        <f aca="false">Assumptions!$O$56*J13668+Assumptions!$O$57*J13681+Assumptions!$O$58*J13694</f>
        <v>1315.098</v>
      </c>
      <c r="K13734" s="25" t="n">
        <f aca="false">Assumptions!$O$56*K13668+Assumptions!$O$57*K13681+Assumptions!$O$58*K13694</f>
        <v>1315.098</v>
      </c>
    </row>
    <row r="13735" customFormat="false" ht="15" hidden="false" customHeight="false" outlineLevel="0" collapsed="false">
      <c r="A13735" s="3" t="s">
        <v>361</v>
      </c>
      <c r="G13735" s="25" t="n">
        <f aca="false">G13733-G13726</f>
        <v>1216.73245256</v>
      </c>
      <c r="H13735" s="25" t="n">
        <f aca="false">H13733-H13726</f>
        <v>1195.8797166368</v>
      </c>
      <c r="I13735" s="25" t="n">
        <f aca="false">I13733-I13726</f>
        <v>1194.66797732811</v>
      </c>
      <c r="J13735" s="25" t="n">
        <f aca="false">J13733-J13726</f>
        <v>1192.02610313102</v>
      </c>
      <c r="K13735" s="25" t="n">
        <f aca="false">K13733-K13726</f>
        <v>1196.42058714379</v>
      </c>
    </row>
    <row r="13736" customFormat="false" ht="15" hidden="false" customHeight="false" outlineLevel="0" collapsed="false">
      <c r="A13736" s="3" t="s">
        <v>362</v>
      </c>
      <c r="G13736" s="32" t="n">
        <f aca="false">IF(G13631&gt;0,G13733/G13631,0)</f>
        <v>6.99885842190068</v>
      </c>
      <c r="H13736" s="32" t="n">
        <f aca="false">IF(H13631&gt;0,H13733/H13631,0)</f>
        <v>8.20980460047</v>
      </c>
      <c r="I13736" s="32" t="n">
        <f aca="false">IF(I13631&gt;0,I13733/I13631,0)</f>
        <v>6.93311397368161</v>
      </c>
      <c r="J13736" s="32" t="n">
        <f aca="false">IF(J13631&gt;0,J13733/J13631,0)</f>
        <v>7.66291544459547</v>
      </c>
      <c r="K13736" s="32" t="n">
        <f aca="false">IF(K13631&gt;0,K13733/K13631,0)</f>
        <v>8.0662267837847</v>
      </c>
    </row>
    <row r="13737" customFormat="false" ht="15" hidden="false" customHeight="false" outlineLevel="0" collapsed="false">
      <c r="A13737" s="3" t="s">
        <v>363</v>
      </c>
      <c r="G13737" s="32" t="n">
        <f aca="false">IF(G13631&gt;0,G13735/G13631,0)</f>
        <v>4.9066397085884</v>
      </c>
      <c r="H13737" s="32" t="n">
        <f aca="false">IF(H13631&gt;0,H13735/H13631,0)</f>
        <v>5.65694804036842</v>
      </c>
      <c r="I13737" s="32" t="n">
        <f aca="false">IF(I13631&gt;0,I13735/I13631,0)</f>
        <v>6.29821446578391</v>
      </c>
      <c r="J13737" s="32" t="n">
        <f aca="false">IF(J13631&gt;0,J13735/J13631,0)</f>
        <v>6.94579053123316</v>
      </c>
      <c r="K13737" s="32" t="n">
        <f aca="false">IF(K13631&gt;0,K13735/K13631,0)</f>
        <v>7.33831226622703</v>
      </c>
    </row>
    <row r="13738" customFormat="false" ht="15" hidden="false" customHeight="false" outlineLevel="0" collapsed="false">
      <c r="A13738" s="3" t="s">
        <v>364</v>
      </c>
      <c r="G13738" s="32" t="n">
        <f aca="false">IF(G13635&gt;0,G13631/G13635,0)</f>
        <v>1.59005643370602</v>
      </c>
      <c r="H13738" s="32" t="n">
        <f aca="false">IF(H13635&gt;0,H13631/H13635,0)</f>
        <v>1.35552310973439</v>
      </c>
      <c r="I13738" s="32" t="n">
        <f aca="false">IF(I13635&gt;0,I13631/I13635,0)</f>
        <v>1.21627391755258</v>
      </c>
      <c r="J13738" s="32" t="n">
        <f aca="false">IF(J13635&gt;0,J13631/J13635,0)</f>
        <v>1.24284413584734</v>
      </c>
      <c r="K13738" s="32" t="n">
        <f aca="false">IF(K13635&gt;0,K13631/K13635,0)</f>
        <v>1.18070192905498</v>
      </c>
    </row>
    <row r="13739" customFormat="false" ht="15" hidden="false" customHeight="false" outlineLevel="0" collapsed="false">
      <c r="A13739" s="3" t="s">
        <v>365</v>
      </c>
      <c r="G13739" s="32" t="n">
        <f aca="false">IF(G13635&gt;0,G13634/G13635,0)</f>
        <v>0.943202831951104</v>
      </c>
      <c r="H13739" s="32" t="n">
        <f aca="false">IF(H13635&gt;0,H13634/H13635,0)</f>
        <v>0.75394926010231</v>
      </c>
      <c r="I13739" s="32" t="n">
        <f aca="false">IF(I13635&gt;0,I13634/I13635,0)</f>
        <v>0.65079449889843</v>
      </c>
      <c r="J13739" s="32" t="n">
        <f aca="false">IF(J13635&gt;0,J13634/J13635,0)</f>
        <v>0.636119854632452</v>
      </c>
      <c r="K13739" s="32" t="n">
        <f aca="false">IF(K13635&gt;0,K13634/K13635,0)</f>
        <v>0.604313861900829</v>
      </c>
    </row>
    <row r="13740" customFormat="false" ht="15" hidden="false" customHeight="false" outlineLevel="0" collapsed="false">
      <c r="A13740" s="3" t="s">
        <v>198</v>
      </c>
      <c r="G13740" s="21" t="n">
        <f aca="false">IF(G13733&gt;0,G13644/G13733,0)</f>
        <v>0.0315896523185104</v>
      </c>
      <c r="H13740" s="21" t="n">
        <f aca="false">IF(H13733&gt;0,H13644/H13733,0)</f>
        <v>0.0120150314673009</v>
      </c>
      <c r="I13740" s="21" t="n">
        <f aca="false">IF(I13733&gt;0,I13644/I13733,0)</f>
        <v>0.000921406091932281</v>
      </c>
      <c r="J13740" s="21" t="n">
        <f aca="false">IF(J13733&gt;0,J13644/J13733,0)</f>
        <v>0.00200888009645638</v>
      </c>
      <c r="K13740" s="21" t="n">
        <f aca="false">IF(K13733&gt;0,K13644/K13733,0)</f>
        <v>-0.00334156390836645</v>
      </c>
    </row>
    <row r="13741" customFormat="false" ht="15" hidden="false" customHeight="false" outlineLevel="0" collapsed="false">
      <c r="A13741" s="3" t="s">
        <v>366</v>
      </c>
      <c r="G13741" s="32" t="n">
        <f aca="false">IF(G13635+G13717&gt;0,(G13631-G13642-G13639)/(G13635+G13717),0)</f>
        <v>1.41780032005454</v>
      </c>
      <c r="H13741" s="32" t="n">
        <f aca="false">IF(H13635+H13717&gt;0,(H13631-H13642-H13639)/(H13635+H13717),0)</f>
        <v>1.1953249240385</v>
      </c>
      <c r="I13741" s="32" t="n">
        <f aca="false">IF(I13635+I13717&gt;0,(I13631-I13642-I13639)/(I13635+I13717),0)</f>
        <v>1.06568762299845</v>
      </c>
      <c r="J13741" s="32" t="n">
        <f aca="false">IF(J13635+J13717&gt;0,(J13631-J13642-J13639)/(J13635+J13717),0)</f>
        <v>1.08127439818719</v>
      </c>
      <c r="K13741" s="32" t="n">
        <f aca="false">IF(K13635+K13717&gt;0,(K13631-K13642-K13639)/(K13635+K13717),0)</f>
        <v>1.02721067827783</v>
      </c>
    </row>
    <row r="13742" customFormat="false" ht="15" hidden="false" customHeight="false" outlineLevel="0" collapsed="false">
      <c r="A13742" s="3" t="s">
        <v>367</v>
      </c>
      <c r="G13742" s="25" t="n">
        <f aca="false">MAX(0,G13726)+Assumptions!$P$56*MAX(0,Assumptions!$D$56-G13668)+Assumptions!$P$57*MAX(0,Assumptions!$D$57-G13681)+Assumptions!$P$58*MAX(0,Assumptions!$D$58-G13694)</f>
        <v>518.82154744</v>
      </c>
      <c r="H13742" s="25" t="n">
        <f aca="false">MAX(0,H13726)+Assumptions!$P$56*MAX(0,Assumptions!$D$56-H13668)+Assumptions!$P$57*MAX(0,Assumptions!$D$57-H13681)+Assumptions!$P$58*MAX(0,Assumptions!$D$58-H13694)</f>
        <v>539.6742833632</v>
      </c>
      <c r="I13742" s="25" t="n">
        <f aca="false">MAX(0,I13726)+Assumptions!$P$56*MAX(0,Assumptions!$D$56-I13668)+Assumptions!$P$57*MAX(0,Assumptions!$D$57-I13681)+Assumptions!$P$58*MAX(0,Assumptions!$D$58-I13694)</f>
        <v>120.430022671888</v>
      </c>
      <c r="J13742" s="25" t="n">
        <f aca="false">MAX(0,J13726)+Assumptions!$P$56*MAX(0,Assumptions!$D$56-J13668)+Assumptions!$P$57*MAX(0,Assumptions!$D$57-J13681)+Assumptions!$P$58*MAX(0,Assumptions!$D$58-J13694)</f>
        <v>123.071896868977</v>
      </c>
      <c r="K13742" s="25" t="n">
        <f aca="false">MAX(0,K13726)+Assumptions!$P$56*MAX(0,Assumptions!$D$56-K13668)+Assumptions!$P$57*MAX(0,Assumptions!$D$57-K13681)+Assumptions!$P$58*MAX(0,Assumptions!$D$58-K13694)</f>
        <v>118.677412856212</v>
      </c>
    </row>
    <row r="13743" customFormat="false" ht="15" hidden="false" customHeight="false" outlineLevel="0" collapsed="false">
      <c r="A13743" s="3" t="s">
        <v>368</v>
      </c>
      <c r="G13743" s="21" t="n">
        <f aca="false">IF(G13733&gt;0,G13733/(G13733+MAX(0,G13631*CHOOSE($C$13614,Assumptions!$C$82,Assumptions!$C$101,Assumptions!$C$120)-G13735)),0)</f>
        <v>0.986836236277321</v>
      </c>
      <c r="H13743" s="21" t="n">
        <f aca="false">IF(H13733&gt;0,H13733/(H13733+MAX(0,H13631*CHOOSE($C$13614,Assumptions!$C$82,Assumptions!$C$101,Assumptions!$C$120)-H13735)),0)</f>
        <v>1</v>
      </c>
      <c r="I13743" s="21" t="n">
        <f aca="false">IF(I13733&gt;0,I13733/(I13733+MAX(0,I13631*CHOOSE($C$13614,Assumptions!$C$82,Assumptions!$C$101,Assumptions!$C$120)-I13735)),0)</f>
        <v>1</v>
      </c>
      <c r="J13743" s="21" t="n">
        <f aca="false">IF(J13733&gt;0,J13733/(J13733+MAX(0,J13631*CHOOSE($C$13614,Assumptions!$C$82,Assumptions!$C$101,Assumptions!$C$120)-J13735)),0)</f>
        <v>1</v>
      </c>
      <c r="K13743" s="21" t="n">
        <f aca="false">IF(K13733&gt;0,K13733/(K13733+MAX(0,K13631*CHOOSE($C$13614,Assumptions!$C$82,Assumptions!$C$101,Assumptions!$C$120)-K13735)),0)</f>
        <v>1</v>
      </c>
    </row>
    <row r="13744" customFormat="false" ht="15" hidden="false" customHeight="false" outlineLevel="0" collapsed="false">
      <c r="A13744" s="3" t="s">
        <v>369</v>
      </c>
      <c r="G13744" s="21" t="n">
        <f aca="false">IF(G13733&gt;0,MAX(0,G13726)/G13733,0)</f>
        <v>0.298937139057615</v>
      </c>
      <c r="H13744" s="21" t="n">
        <f aca="false">IF(H13733&gt;0,MAX(0,H13726)/H13733,0)</f>
        <v>0.310952170524916</v>
      </c>
      <c r="I13744" s="21" t="n">
        <f aca="false">IF(I13733&gt;0,MAX(0,I13726)/I13733,0)</f>
        <v>0.0915749416939937</v>
      </c>
      <c r="J13744" s="21" t="n">
        <f aca="false">IF(J13733&gt;0,MAX(0,J13726)/J13733,0)</f>
        <v>0.0935838217904501</v>
      </c>
      <c r="K13744" s="21" t="n">
        <f aca="false">IF(K13733&gt;0,MAX(0,K13726)/K13733,0)</f>
        <v>0.0902422578820836</v>
      </c>
    </row>
    <row r="13745" customFormat="false" ht="15" hidden="false" customHeight="false" outlineLevel="0" collapsed="false">
      <c r="A13745" s="3" t="s">
        <v>370</v>
      </c>
      <c r="G13745" s="25" t="n">
        <f aca="false">Assumptions!$C$30*(1-CHOOSE($C$13614,Assumptions!$C$85,Assumptions!$C$104,Assumptions!$C$123))</f>
        <v>2086.72535</v>
      </c>
      <c r="H13745" s="25" t="n">
        <f aca="false">Assumptions!$C$30*(1-CHOOSE($C$13614,Assumptions!$C$85,Assumptions!$C$104,Assumptions!$C$123))</f>
        <v>2086.72535</v>
      </c>
      <c r="I13745" s="25" t="n">
        <f aca="false">Assumptions!$C$30*(1-CHOOSE($C$13614,Assumptions!$C$85,Assumptions!$C$104,Assumptions!$C$123))</f>
        <v>2086.72535</v>
      </c>
      <c r="J13745" s="25" t="n">
        <f aca="false">Assumptions!$C$30*(1-CHOOSE($C$13614,Assumptions!$C$85,Assumptions!$C$104,Assumptions!$C$123))</f>
        <v>2086.72535</v>
      </c>
      <c r="K13745" s="25" t="n">
        <f aca="false">Assumptions!$C$30*(1-CHOOSE($C$13614,Assumptions!$C$85,Assumptions!$C$104,Assumptions!$C$123))</f>
        <v>2086.72535</v>
      </c>
    </row>
    <row r="13746" customFormat="false" ht="15" hidden="false" customHeight="false" outlineLevel="0" collapsed="false">
      <c r="A13746" s="23" t="s">
        <v>371</v>
      </c>
      <c r="B13746" s="24"/>
      <c r="C13746" s="24"/>
      <c r="D13746" s="24"/>
      <c r="E13746" s="24"/>
      <c r="F13746" s="24"/>
      <c r="G13746" s="24"/>
      <c r="H13746" s="24"/>
      <c r="I13746" s="24"/>
      <c r="J13746" s="24"/>
      <c r="K13746" s="24"/>
    </row>
    <row r="13747" customFormat="false" ht="15" hidden="false" customHeight="false" outlineLevel="0" collapsed="false">
      <c r="A13747" s="23" t="s">
        <v>372</v>
      </c>
      <c r="B13747" s="24"/>
      <c r="C13747" s="24"/>
      <c r="D13747" s="24"/>
      <c r="E13747" s="24"/>
      <c r="F13747" s="24"/>
      <c r="G13747" s="24"/>
      <c r="H13747" s="24"/>
      <c r="I13747" s="24"/>
      <c r="J13747" s="24"/>
      <c r="K13747" s="24"/>
    </row>
    <row r="13748" customFormat="false" ht="15" hidden="false" customHeight="false" outlineLevel="0" collapsed="false">
      <c r="A13748" s="3" t="s">
        <v>373</v>
      </c>
      <c r="G13748" s="32" t="n">
        <f aca="false">IF(G13631&gt;0,G13735/G13631,99)</f>
        <v>4.9066397085884</v>
      </c>
      <c r="H13748" s="32" t="n">
        <f aca="false">IF(H13631&gt;0,H13735/H13631,99)</f>
        <v>5.65694804036842</v>
      </c>
      <c r="I13748" s="32" t="n">
        <f aca="false">IF(I13631&gt;0,I13735/I13631,99)</f>
        <v>6.29821446578391</v>
      </c>
      <c r="J13748" s="32" t="n">
        <f aca="false">IF(J13631&gt;0,J13735/J13631,99)</f>
        <v>6.94579053123316</v>
      </c>
      <c r="K13748" s="32" t="n">
        <f aca="false">IF(K13631&gt;0,K13735/K13631,99)</f>
        <v>7.33831226622703</v>
      </c>
    </row>
    <row r="13749" customFormat="false" ht="15" hidden="false" customHeight="false" outlineLevel="0" collapsed="false">
      <c r="A13749" s="3" t="s">
        <v>374</v>
      </c>
      <c r="G13749" s="33" t="n">
        <f aca="false">Assumptions!$G$65</f>
        <v>5.25</v>
      </c>
      <c r="H13749" s="33" t="n">
        <f aca="false">Assumptions!$H$65</f>
        <v>5.25</v>
      </c>
      <c r="I13749" s="33" t="n">
        <f aca="false">Assumptions!$I$65</f>
        <v>5</v>
      </c>
      <c r="J13749" s="33" t="n">
        <f aca="false">Assumptions!$J$65</f>
        <v>5</v>
      </c>
      <c r="K13749" s="33" t="n">
        <f aca="false">Assumptions!$K$65</f>
        <v>5</v>
      </c>
    </row>
    <row r="13750" customFormat="false" ht="15" hidden="false" customHeight="false" outlineLevel="0" collapsed="false">
      <c r="A13750" s="3" t="s">
        <v>375</v>
      </c>
      <c r="G13750" s="32" t="n">
        <f aca="false">G13749-G13748</f>
        <v>0.343360291411604</v>
      </c>
      <c r="H13750" s="32" t="n">
        <f aca="false">H13749-H13748</f>
        <v>-0.406948040368418</v>
      </c>
      <c r="I13750" s="32" t="n">
        <f aca="false">I13749-I13748</f>
        <v>-1.29821446578391</v>
      </c>
      <c r="J13750" s="32" t="n">
        <f aca="false">J13749-J13748</f>
        <v>-1.94579053123316</v>
      </c>
      <c r="K13750" s="32" t="n">
        <f aca="false">K13749-K13748</f>
        <v>-2.33831226622703</v>
      </c>
    </row>
    <row r="13751" customFormat="false" ht="15" hidden="false" customHeight="false" outlineLevel="0" collapsed="false">
      <c r="A13751" s="3" t="s">
        <v>376</v>
      </c>
      <c r="G13751" s="21" t="n">
        <f aca="false">IF(G13749=0,0,G13750/ABS(G13749))</f>
        <v>0.0654019602688769</v>
      </c>
      <c r="H13751" s="21" t="n">
        <f aca="false">IF(H13749=0,0,H13750/ABS(H13749))</f>
        <v>-0.0775139124511272</v>
      </c>
      <c r="I13751" s="21" t="n">
        <f aca="false">IF(I13749=0,0,I13750/ABS(I13749))</f>
        <v>-0.259642893156781</v>
      </c>
      <c r="J13751" s="21" t="n">
        <f aca="false">IF(J13749=0,0,J13750/ABS(J13749))</f>
        <v>-0.389158106246632</v>
      </c>
      <c r="K13751" s="21" t="n">
        <f aca="false">IF(K13749=0,0,K13750/ABS(K13749))</f>
        <v>-0.467662453245407</v>
      </c>
    </row>
    <row r="13752" customFormat="false" ht="15" hidden="false" customHeight="false" outlineLevel="0" collapsed="false">
      <c r="A13752" s="3" t="s">
        <v>377</v>
      </c>
      <c r="G13752" s="20" t="n">
        <f aca="false">IF(G13750&lt;0,1,0)</f>
        <v>0</v>
      </c>
      <c r="H13752" s="20" t="n">
        <f aca="false">IF(H13750&lt;0,1,0)</f>
        <v>1</v>
      </c>
      <c r="I13752" s="20" t="n">
        <f aca="false">IF(I13750&lt;0,1,0)</f>
        <v>1</v>
      </c>
      <c r="J13752" s="20" t="n">
        <f aca="false">IF(J13750&lt;0,1,0)</f>
        <v>1</v>
      </c>
      <c r="K13752" s="20" t="n">
        <f aca="false">IF(K13750&lt;0,1,0)</f>
        <v>1</v>
      </c>
    </row>
    <row r="13753" customFormat="false" ht="15" hidden="false" customHeight="false" outlineLevel="0" collapsed="false">
      <c r="A13753" s="3" t="s">
        <v>378</v>
      </c>
      <c r="C13753" s="20" t="n">
        <f aca="false">IFERROR(INDEX($G$13621:$K$13621,MATCH(1,$G$13752:$K$13752,0)),0)</f>
        <v>2028</v>
      </c>
    </row>
    <row r="13754" customFormat="false" ht="15" hidden="false" customHeight="false" outlineLevel="0" collapsed="false">
      <c r="A13754" s="3" t="s">
        <v>379</v>
      </c>
      <c r="C13754" s="21" t="n">
        <f aca="false">MIN($G$13751:$K$13751)</f>
        <v>-0.467662453245407</v>
      </c>
    </row>
    <row r="13755" customFormat="false" ht="15" hidden="false" customHeight="false" outlineLevel="0" collapsed="false">
      <c r="A13755" s="23" t="s">
        <v>380</v>
      </c>
      <c r="B13755" s="24"/>
      <c r="C13755" s="24"/>
      <c r="D13755" s="24"/>
      <c r="E13755" s="24"/>
      <c r="F13755" s="24"/>
      <c r="G13755" s="24"/>
      <c r="H13755" s="24"/>
      <c r="I13755" s="24"/>
      <c r="J13755" s="24"/>
      <c r="K13755" s="24"/>
    </row>
    <row r="13756" customFormat="false" ht="15" hidden="false" customHeight="false" outlineLevel="0" collapsed="false">
      <c r="A13756" s="3" t="s">
        <v>373</v>
      </c>
      <c r="G13756" s="32" t="n">
        <f aca="false">IF(G13635&gt;0,G13631/G13635,99)</f>
        <v>1.59005643370602</v>
      </c>
      <c r="H13756" s="32" t="n">
        <f aca="false">IF(H13635&gt;0,H13631/H13635,99)</f>
        <v>1.35552310973439</v>
      </c>
      <c r="I13756" s="32" t="n">
        <f aca="false">IF(I13635&gt;0,I13631/I13635,99)</f>
        <v>1.21627391755258</v>
      </c>
      <c r="J13756" s="32" t="n">
        <f aca="false">IF(J13635&gt;0,J13631/J13635,99)</f>
        <v>1.24284413584734</v>
      </c>
      <c r="K13756" s="32" t="n">
        <f aca="false">IF(K13635&gt;0,K13631/K13635,99)</f>
        <v>1.18070192905498</v>
      </c>
    </row>
    <row r="13757" customFormat="false" ht="15" hidden="false" customHeight="false" outlineLevel="0" collapsed="false">
      <c r="A13757" s="3" t="s">
        <v>374</v>
      </c>
      <c r="G13757" s="33" t="n">
        <f aca="false">Assumptions!$G$66</f>
        <v>1.4</v>
      </c>
      <c r="H13757" s="33" t="n">
        <f aca="false">Assumptions!$H$66</f>
        <v>1.4</v>
      </c>
      <c r="I13757" s="33" t="n">
        <f aca="false">Assumptions!$I$66</f>
        <v>1.4</v>
      </c>
      <c r="J13757" s="33" t="n">
        <f aca="false">Assumptions!$J$66</f>
        <v>1.5</v>
      </c>
      <c r="K13757" s="33" t="n">
        <f aca="false">Assumptions!$K$66</f>
        <v>1.5</v>
      </c>
    </row>
    <row r="13758" customFormat="false" ht="15" hidden="false" customHeight="false" outlineLevel="0" collapsed="false">
      <c r="A13758" s="3" t="s">
        <v>375</v>
      </c>
      <c r="G13758" s="32" t="n">
        <f aca="false">G13756-G13757</f>
        <v>0.190056433706025</v>
      </c>
      <c r="H13758" s="32" t="n">
        <f aca="false">H13756-H13757</f>
        <v>-0.0444768902656139</v>
      </c>
      <c r="I13758" s="32" t="n">
        <f aca="false">I13756-I13757</f>
        <v>-0.183726082447419</v>
      </c>
      <c r="J13758" s="32" t="n">
        <f aca="false">J13756-J13757</f>
        <v>-0.257155864152655</v>
      </c>
      <c r="K13758" s="32" t="n">
        <f aca="false">K13756-K13757</f>
        <v>-0.319298070945023</v>
      </c>
    </row>
    <row r="13759" customFormat="false" ht="15" hidden="false" customHeight="false" outlineLevel="0" collapsed="false">
      <c r="A13759" s="3" t="s">
        <v>376</v>
      </c>
      <c r="G13759" s="21" t="n">
        <f aca="false">IF(G13757=0,0,G13758/ABS(G13757))</f>
        <v>0.135754595504304</v>
      </c>
      <c r="H13759" s="21" t="n">
        <f aca="false">IF(H13757=0,0,H13758/ABS(H13757))</f>
        <v>-0.0317692073325813</v>
      </c>
      <c r="I13759" s="21" t="n">
        <f aca="false">IF(I13757=0,0,I13758/ABS(I13757))</f>
        <v>-0.131232916033871</v>
      </c>
      <c r="J13759" s="21" t="n">
        <f aca="false">IF(J13757=0,0,J13758/ABS(J13757))</f>
        <v>-0.171437242768437</v>
      </c>
      <c r="K13759" s="21" t="n">
        <f aca="false">IF(K13757=0,0,K13758/ABS(K13757))</f>
        <v>-0.212865380630015</v>
      </c>
    </row>
    <row r="13760" customFormat="false" ht="15" hidden="false" customHeight="false" outlineLevel="0" collapsed="false">
      <c r="A13760" s="3" t="s">
        <v>377</v>
      </c>
      <c r="G13760" s="20" t="n">
        <f aca="false">IF(G13758&lt;0,1,0)</f>
        <v>0</v>
      </c>
      <c r="H13760" s="20" t="n">
        <f aca="false">IF(H13758&lt;0,1,0)</f>
        <v>1</v>
      </c>
      <c r="I13760" s="20" t="n">
        <f aca="false">IF(I13758&lt;0,1,0)</f>
        <v>1</v>
      </c>
      <c r="J13760" s="20" t="n">
        <f aca="false">IF(J13758&lt;0,1,0)</f>
        <v>1</v>
      </c>
      <c r="K13760" s="20" t="n">
        <f aca="false">IF(K13758&lt;0,1,0)</f>
        <v>1</v>
      </c>
    </row>
    <row r="13761" customFormat="false" ht="15" hidden="false" customHeight="false" outlineLevel="0" collapsed="false">
      <c r="A13761" s="3" t="s">
        <v>378</v>
      </c>
      <c r="C13761" s="20" t="n">
        <f aca="false">IFERROR(INDEX($G$13621:$K$13621,MATCH(1,$G$13760:$K$13760,0)),0)</f>
        <v>2028</v>
      </c>
    </row>
    <row r="13762" customFormat="false" ht="15" hidden="false" customHeight="false" outlineLevel="0" collapsed="false">
      <c r="A13762" s="3" t="s">
        <v>379</v>
      </c>
      <c r="C13762" s="21" t="n">
        <f aca="false">MIN($G$13759:$K$13759)</f>
        <v>-0.212865380630015</v>
      </c>
    </row>
    <row r="13763" customFormat="false" ht="15" hidden="false" customHeight="false" outlineLevel="0" collapsed="false">
      <c r="A13763" s="23" t="s">
        <v>381</v>
      </c>
      <c r="B13763" s="24"/>
      <c r="C13763" s="24"/>
      <c r="D13763" s="24"/>
      <c r="E13763" s="24"/>
      <c r="F13763" s="24"/>
      <c r="G13763" s="24"/>
      <c r="H13763" s="24"/>
      <c r="I13763" s="24"/>
      <c r="J13763" s="24"/>
      <c r="K13763" s="24"/>
    </row>
    <row r="13764" customFormat="false" ht="15" hidden="false" customHeight="false" outlineLevel="0" collapsed="false">
      <c r="A13764" s="3" t="s">
        <v>373</v>
      </c>
      <c r="G13764" s="25" t="n">
        <f aca="false">G13742</f>
        <v>518.82154744</v>
      </c>
      <c r="H13764" s="25" t="n">
        <f aca="false">H13742</f>
        <v>539.6742833632</v>
      </c>
      <c r="I13764" s="25" t="n">
        <f aca="false">I13742</f>
        <v>120.430022671888</v>
      </c>
      <c r="J13764" s="25" t="n">
        <f aca="false">J13742</f>
        <v>123.071896868977</v>
      </c>
      <c r="K13764" s="25" t="n">
        <f aca="false">K13742</f>
        <v>118.677412856212</v>
      </c>
    </row>
    <row r="13765" customFormat="false" ht="15" hidden="false" customHeight="false" outlineLevel="0" collapsed="false">
      <c r="A13765" s="3" t="s">
        <v>374</v>
      </c>
      <c r="G13765" s="29" t="n">
        <f aca="false">Assumptions!$G$67</f>
        <v>200</v>
      </c>
      <c r="H13765" s="29" t="n">
        <f aca="false">Assumptions!$H$67</f>
        <v>200</v>
      </c>
      <c r="I13765" s="29" t="n">
        <f aca="false">Assumptions!$I$67</f>
        <v>200</v>
      </c>
      <c r="J13765" s="29" t="n">
        <f aca="false">Assumptions!$J$67</f>
        <v>200</v>
      </c>
      <c r="K13765" s="29" t="n">
        <f aca="false">Assumptions!$K$67</f>
        <v>200</v>
      </c>
    </row>
    <row r="13766" customFormat="false" ht="15" hidden="false" customHeight="false" outlineLevel="0" collapsed="false">
      <c r="A13766" s="3" t="s">
        <v>375</v>
      </c>
      <c r="G13766" s="25" t="n">
        <f aca="false">G13764-G13765</f>
        <v>318.82154744</v>
      </c>
      <c r="H13766" s="25" t="n">
        <f aca="false">H13764-H13765</f>
        <v>339.6742833632</v>
      </c>
      <c r="I13766" s="25" t="n">
        <f aca="false">I13764-I13765</f>
        <v>-79.5699773281123</v>
      </c>
      <c r="J13766" s="25" t="n">
        <f aca="false">J13764-J13765</f>
        <v>-76.9281031310227</v>
      </c>
      <c r="K13766" s="25" t="n">
        <f aca="false">K13764-K13765</f>
        <v>-81.3225871437876</v>
      </c>
    </row>
    <row r="13767" customFormat="false" ht="15" hidden="false" customHeight="false" outlineLevel="0" collapsed="false">
      <c r="A13767" s="3" t="s">
        <v>376</v>
      </c>
      <c r="G13767" s="21" t="n">
        <f aca="false">IF(G13765=0,0,G13766/ABS(G13765))</f>
        <v>1.5941077372</v>
      </c>
      <c r="H13767" s="21" t="n">
        <f aca="false">IF(H13765=0,0,H13766/ABS(H13765))</f>
        <v>1.698371416816</v>
      </c>
      <c r="I13767" s="21" t="n">
        <f aca="false">IF(I13765=0,0,I13766/ABS(I13765))</f>
        <v>-0.397849886640561</v>
      </c>
      <c r="J13767" s="21" t="n">
        <f aca="false">IF(J13765=0,0,J13766/ABS(J13765))</f>
        <v>-0.384640515655113</v>
      </c>
      <c r="K13767" s="21" t="n">
        <f aca="false">IF(K13765=0,0,K13766/ABS(K13765))</f>
        <v>-0.406612935718938</v>
      </c>
    </row>
    <row r="13768" customFormat="false" ht="15" hidden="false" customHeight="false" outlineLevel="0" collapsed="false">
      <c r="A13768" s="3" t="s">
        <v>377</v>
      </c>
      <c r="G13768" s="20" t="n">
        <f aca="false">IF(G13766&lt;0,1,0)</f>
        <v>0</v>
      </c>
      <c r="H13768" s="20" t="n">
        <f aca="false">IF(H13766&lt;0,1,0)</f>
        <v>0</v>
      </c>
      <c r="I13768" s="20" t="n">
        <f aca="false">IF(I13766&lt;0,1,0)</f>
        <v>1</v>
      </c>
      <c r="J13768" s="20" t="n">
        <f aca="false">IF(J13766&lt;0,1,0)</f>
        <v>1</v>
      </c>
      <c r="K13768" s="20" t="n">
        <f aca="false">IF(K13766&lt;0,1,0)</f>
        <v>1</v>
      </c>
    </row>
    <row r="13769" customFormat="false" ht="15" hidden="false" customHeight="false" outlineLevel="0" collapsed="false">
      <c r="A13769" s="3" t="s">
        <v>378</v>
      </c>
      <c r="C13769" s="20" t="n">
        <f aca="false">IFERROR(INDEX($G$13621:$K$13621,MATCH(1,$G$13768:$K$13768,0)),0)</f>
        <v>2029</v>
      </c>
    </row>
    <row r="13770" customFormat="false" ht="15" hidden="false" customHeight="false" outlineLevel="0" collapsed="false">
      <c r="A13770" s="3" t="s">
        <v>379</v>
      </c>
      <c r="C13770" s="21" t="n">
        <f aca="false">MIN($G$13767:$K$13767)</f>
        <v>-0.406612935718938</v>
      </c>
    </row>
    <row r="13771" customFormat="false" ht="15" hidden="false" customHeight="false" outlineLevel="0" collapsed="false">
      <c r="A13771" s="3" t="s">
        <v>382</v>
      </c>
      <c r="G13771" s="20" t="n">
        <f aca="false">G13752+G13760+G13768</f>
        <v>0</v>
      </c>
      <c r="H13771" s="20" t="n">
        <f aca="false">H13752+H13760+H13768</f>
        <v>2</v>
      </c>
      <c r="I13771" s="20" t="n">
        <f aca="false">I13752+I13760+I13768</f>
        <v>3</v>
      </c>
      <c r="J13771" s="20" t="n">
        <f aca="false">J13752+J13760+J13768</f>
        <v>3</v>
      </c>
      <c r="K13771" s="20" t="n">
        <f aca="false">K13752+K13760+K13768</f>
        <v>3</v>
      </c>
    </row>
    <row r="13772" customFormat="false" ht="15" hidden="false" customHeight="false" outlineLevel="0" collapsed="false">
      <c r="A13772" s="3" t="s">
        <v>383</v>
      </c>
      <c r="C13772" s="20" t="n">
        <f aca="false">SUM($G$13771:$K$13771)</f>
        <v>11</v>
      </c>
    </row>
    <row r="13773" customFormat="false" ht="15" hidden="false" customHeight="false" outlineLevel="0" collapsed="false">
      <c r="A13773" s="3" t="s">
        <v>384</v>
      </c>
      <c r="C13773" s="21" t="n">
        <f aca="false">MIN(C13754,C13762,C13770)</f>
        <v>-0.467662453245407</v>
      </c>
    </row>
    <row r="13775" customFormat="false" ht="15" hidden="false" customHeight="false" outlineLevel="0" collapsed="false">
      <c r="A13775" s="23" t="s">
        <v>486</v>
      </c>
      <c r="B13775" s="24"/>
      <c r="C13775" s="24"/>
      <c r="D13775" s="24"/>
      <c r="E13775" s="24"/>
      <c r="F13775" s="24"/>
      <c r="G13775" s="24"/>
      <c r="H13775" s="24"/>
      <c r="I13775" s="24"/>
      <c r="J13775" s="24"/>
      <c r="K13775" s="24"/>
    </row>
    <row r="13776" customFormat="false" ht="15" hidden="false" customHeight="false" outlineLevel="0" collapsed="false">
      <c r="A13776" s="3" t="s">
        <v>487</v>
      </c>
      <c r="G13776" s="20" t="n">
        <f aca="false">IF($C$13777=1,G13729,IF(G13631=MIN($G$13631:$K$13631),1,0))</f>
        <v>0</v>
      </c>
      <c r="H13776" s="20" t="n">
        <f aca="false">IF($C$13777=1,H13729,IF(AND(H13631=MIN($G$13631:$K$13631),SUM($G$13776:G13776)=0),1,0))</f>
        <v>0</v>
      </c>
      <c r="I13776" s="20" t="n">
        <f aca="false">IF($C$13777=1,I13729,IF(AND(I13631=MIN($G$13631:$K$13631),SUM($G$13776:H13776)=0),1,0))</f>
        <v>0</v>
      </c>
      <c r="J13776" s="20" t="n">
        <f aca="false">IF($C$13777=1,J13729,IF(AND(J13631=MIN($G$13631:$K$13631),SUM($G$13776:I13776)=0),1,0))</f>
        <v>0</v>
      </c>
      <c r="K13776" s="20" t="n">
        <f aca="false">IF($C$13777=1,K13729,IF(AND(K13631=MIN($G$13631:$K$13631),SUM($G$13776:J13776)=0),1,0))</f>
        <v>1</v>
      </c>
    </row>
    <row r="13777" customFormat="false" ht="15" hidden="false" customHeight="false" outlineLevel="0" collapsed="false">
      <c r="A13777" s="3" t="s">
        <v>488</v>
      </c>
      <c r="C13777" s="20" t="n">
        <f aca="false">IF(SUM($G$13729:$K$13729)&gt;0,1,0)</f>
        <v>0</v>
      </c>
    </row>
    <row r="13778" customFormat="false" ht="15" hidden="false" customHeight="false" outlineLevel="0" collapsed="false">
      <c r="A13778" s="3" t="s">
        <v>489</v>
      </c>
      <c r="C13778" s="20" t="n">
        <f aca="false">SUMPRODUCT($G$13776:$K$13776,$G$13621:$K$13621)</f>
        <v>2031</v>
      </c>
    </row>
    <row r="13779" customFormat="false" ht="15" hidden="false" customHeight="false" outlineLevel="0" collapsed="false">
      <c r="A13779" s="3" t="s">
        <v>490</v>
      </c>
      <c r="C13779" s="25" t="n">
        <f aca="false">SUMPRODUCT($G$13776:$K$13776,$G$13631:$K$13631)</f>
        <v>163.037568277116</v>
      </c>
    </row>
    <row r="13780" customFormat="false" ht="15" hidden="false" customHeight="false" outlineLevel="0" collapsed="false">
      <c r="A13780" s="3" t="s">
        <v>491</v>
      </c>
      <c r="C13780" s="25" t="n">
        <f aca="false">MAX(0,SUMPRODUCT($G$13776:$K$13776,$G$13726:$K$13726))</f>
        <v>118.677412856212</v>
      </c>
    </row>
    <row r="13781" customFormat="false" ht="15" hidden="false" customHeight="false" outlineLevel="0" collapsed="false">
      <c r="A13781" s="3" t="s">
        <v>492</v>
      </c>
      <c r="C13781" s="25" t="n">
        <f aca="false">(CHOOSE($C$13614,Assumptions!$C$84,Assumptions!$C$103,Assumptions!$C$122)+$C$13618)*C13779</f>
        <v>733.669057247022</v>
      </c>
    </row>
    <row r="13782" customFormat="false" ht="15" hidden="false" customHeight="false" outlineLevel="0" collapsed="false">
      <c r="A13782" s="3" t="s">
        <v>493</v>
      </c>
      <c r="C13782" s="25" t="n">
        <f aca="false">Assumptions!$C$30*(1-CHOOSE($C$13614,Assumptions!$C$85,Assumptions!$C$104,Assumptions!$C$123))*CHOOSE($C$13614,Assumptions!$C$86,Assumptions!$C$105,Assumptions!$C$124)</f>
        <v>626.017605</v>
      </c>
    </row>
    <row r="13783" customFormat="false" ht="15" hidden="false" customHeight="false" outlineLevel="0" collapsed="false">
      <c r="A13783" s="3" t="s">
        <v>494</v>
      </c>
      <c r="C13783" s="25" t="n">
        <f aca="false">MAX(C13781,C13782)+C13780</f>
        <v>852.346470103234</v>
      </c>
    </row>
    <row r="13784" customFormat="false" ht="15" hidden="false" customHeight="false" outlineLevel="0" collapsed="false">
      <c r="A13784" s="2" t="s">
        <v>495</v>
      </c>
      <c r="C13784" s="16" t="n">
        <f aca="false">IF(ISNUMBER(Assumptions!$C$14),Assumptions!$C$14,C13783)</f>
        <v>852.346470103234</v>
      </c>
    </row>
    <row r="13785" customFormat="false" ht="15" hidden="false" customHeight="false" outlineLevel="0" collapsed="false">
      <c r="A13785" s="3" t="s">
        <v>496</v>
      </c>
      <c r="C13785" s="25" t="n">
        <f aca="false">C13784*Assumptions!$C$15</f>
        <v>34.0938588041294</v>
      </c>
    </row>
    <row r="13786" customFormat="false" ht="15" hidden="false" customHeight="false" outlineLevel="0" collapsed="false">
      <c r="A13786" s="2" t="s">
        <v>497</v>
      </c>
      <c r="C13786" s="16" t="n">
        <f aca="false">C13784-C13785</f>
        <v>818.252611299105</v>
      </c>
    </row>
    <row r="13787" customFormat="false" ht="15" hidden="false" customHeight="false" outlineLevel="0" collapsed="false">
      <c r="A13787" s="23" t="s">
        <v>498</v>
      </c>
      <c r="B13787" s="24"/>
      <c r="C13787" s="24"/>
      <c r="D13787" s="24"/>
      <c r="E13787" s="24"/>
      <c r="F13787" s="24"/>
      <c r="G13787" s="24"/>
      <c r="H13787" s="24"/>
      <c r="I13787" s="24"/>
      <c r="J13787" s="24"/>
      <c r="K13787" s="24"/>
    </row>
    <row r="13788" customFormat="false" ht="15" hidden="false" customHeight="false" outlineLevel="0" collapsed="false">
      <c r="A13788" s="3" t="s">
        <v>499</v>
      </c>
      <c r="C13788" s="25" t="n">
        <f aca="false">SUMPRODUCT($G$13776:$K$13776,$G$13668:$K$13668)*(1+SUMPRODUCT($G$13776:$K$13776,$G$13660:$K$13660)*Assumptions!$C$16/12)</f>
        <v>1349.6193225</v>
      </c>
    </row>
    <row r="13789" customFormat="false" ht="15" hidden="false" customHeight="false" outlineLevel="0" collapsed="false">
      <c r="A13789" s="3" t="s">
        <v>500</v>
      </c>
      <c r="C13789" s="25" t="n">
        <f aca="false">SUMPRODUCT($G$13776:$K$13776,$G$13681:$K$13681)*(1+SUMPRODUCT($G$13776:$K$13776,$G$13673:$K$13673)*Assumptions!$C$16/12)</f>
        <v>0</v>
      </c>
    </row>
    <row r="13790" customFormat="false" ht="15" hidden="false" customHeight="false" outlineLevel="0" collapsed="false">
      <c r="A13790" s="3" t="s">
        <v>501</v>
      </c>
      <c r="C13790" s="25" t="n">
        <f aca="false">SUMPRODUCT($G$13776:$K$13776,$G$13694:$K$13694)*(1+SUMPRODUCT($G$13776:$K$13776,$G$13686:$K$13686)*Assumptions!$C$16/12)</f>
        <v>0</v>
      </c>
    </row>
    <row r="13791" customFormat="false" ht="15" hidden="false" customHeight="false" outlineLevel="0" collapsed="false">
      <c r="A13791" s="23" t="s">
        <v>502</v>
      </c>
      <c r="B13791" s="24"/>
      <c r="C13791" s="24"/>
      <c r="D13791" s="24"/>
      <c r="E13791" s="24"/>
      <c r="F13791" s="24"/>
      <c r="G13791" s="24"/>
      <c r="H13791" s="24"/>
      <c r="I13791" s="24"/>
      <c r="J13791" s="24"/>
      <c r="K13791" s="24"/>
    </row>
    <row r="13792" customFormat="false" ht="15" hidden="false" customHeight="false" outlineLevel="0" collapsed="false">
      <c r="A13792" s="3" t="s">
        <v>499</v>
      </c>
      <c r="C13792" s="27" t="n">
        <f aca="false">Assumptions!$M$56</f>
        <v>1</v>
      </c>
    </row>
    <row r="13793" customFormat="false" ht="15" hidden="false" customHeight="false" outlineLevel="0" collapsed="false">
      <c r="A13793" s="3" t="s">
        <v>500</v>
      </c>
      <c r="C13793" s="27" t="n">
        <f aca="false">Assumptions!$M$57</f>
        <v>2</v>
      </c>
    </row>
    <row r="13794" customFormat="false" ht="15" hidden="false" customHeight="false" outlineLevel="0" collapsed="false">
      <c r="A13794" s="3" t="s">
        <v>501</v>
      </c>
      <c r="C13794" s="27" t="n">
        <f aca="false">Assumptions!$M$58</f>
        <v>2</v>
      </c>
    </row>
    <row r="13795" customFormat="false" ht="15" hidden="false" customHeight="false" outlineLevel="0" collapsed="false">
      <c r="A13795" s="23" t="s">
        <v>503</v>
      </c>
      <c r="B13795" s="24"/>
      <c r="C13795" s="24"/>
      <c r="D13795" s="24"/>
      <c r="E13795" s="24"/>
      <c r="F13795" s="24"/>
      <c r="G13795" s="24"/>
      <c r="H13795" s="24"/>
      <c r="I13795" s="24"/>
      <c r="J13795" s="24"/>
      <c r="K13795" s="24"/>
    </row>
    <row r="13796" customFormat="false" ht="15" hidden="false" customHeight="false" outlineLevel="0" collapsed="false">
      <c r="A13796" s="3" t="s">
        <v>499</v>
      </c>
      <c r="C13796" s="35" t="n">
        <f aca="false">Assumptions!$Q$56</f>
        <v>0</v>
      </c>
    </row>
    <row r="13797" customFormat="false" ht="15" hidden="false" customHeight="false" outlineLevel="0" collapsed="false">
      <c r="A13797" s="3" t="s">
        <v>500</v>
      </c>
      <c r="C13797" s="35" t="n">
        <f aca="false">Assumptions!$Q$57</f>
        <v>0</v>
      </c>
    </row>
    <row r="13798" customFormat="false" ht="15" hidden="false" customHeight="false" outlineLevel="0" collapsed="false">
      <c r="A13798" s="3" t="s">
        <v>501</v>
      </c>
      <c r="C13798" s="35" t="n">
        <f aca="false">Assumptions!$Q$58</f>
        <v>0</v>
      </c>
    </row>
    <row r="13799" customFormat="false" ht="15" hidden="false" customHeight="false" outlineLevel="0" collapsed="false">
      <c r="A13799" s="23" t="s">
        <v>504</v>
      </c>
      <c r="B13799" s="24"/>
      <c r="C13799" s="24"/>
      <c r="D13799" s="24"/>
      <c r="E13799" s="24"/>
      <c r="F13799" s="24"/>
      <c r="G13799" s="24"/>
      <c r="H13799" s="24"/>
      <c r="I13799" s="24"/>
      <c r="J13799" s="24"/>
      <c r="K13799" s="24"/>
    </row>
    <row r="13800" customFormat="false" ht="15" hidden="false" customHeight="false" outlineLevel="0" collapsed="false">
      <c r="A13800" s="3" t="s">
        <v>499</v>
      </c>
      <c r="C13800" s="25" t="n">
        <f aca="false">IF(C13796&gt;0,MIN(C13788,C13796*$C$13786),0)</f>
        <v>0</v>
      </c>
    </row>
    <row r="13801" customFormat="false" ht="15" hidden="false" customHeight="false" outlineLevel="0" collapsed="false">
      <c r="A13801" s="3" t="s">
        <v>500</v>
      </c>
      <c r="C13801" s="25" t="n">
        <f aca="false">IF(C13797&gt;0,MIN(C13789,C13797*$C$13786),0)</f>
        <v>0</v>
      </c>
    </row>
    <row r="13802" customFormat="false" ht="15" hidden="false" customHeight="false" outlineLevel="0" collapsed="false">
      <c r="A13802" s="3" t="s">
        <v>501</v>
      </c>
      <c r="C13802" s="25" t="n">
        <f aca="false">IF(C13798&gt;0,MIN(C13790,C13798*$C$13786),0)</f>
        <v>0</v>
      </c>
    </row>
    <row r="13803" customFormat="false" ht="15" hidden="false" customHeight="false" outlineLevel="0" collapsed="false">
      <c r="A13803" s="23" t="s">
        <v>505</v>
      </c>
      <c r="B13803" s="24"/>
      <c r="C13803" s="24"/>
      <c r="D13803" s="24"/>
      <c r="E13803" s="24"/>
      <c r="F13803" s="24"/>
      <c r="G13803" s="24"/>
      <c r="H13803" s="24"/>
      <c r="I13803" s="24"/>
      <c r="J13803" s="24"/>
      <c r="K13803" s="24"/>
    </row>
    <row r="13804" customFormat="false" ht="15" hidden="false" customHeight="false" outlineLevel="0" collapsed="false">
      <c r="A13804" s="3" t="s">
        <v>499</v>
      </c>
      <c r="C13804" s="25" t="n">
        <f aca="false">IF(C13796&gt;0,C13788-C13800,0)</f>
        <v>0</v>
      </c>
      <c r="G13804" s="20" t="n">
        <f aca="false">IF(AND(G13658=1,G13655=1),1,0)</f>
        <v>0</v>
      </c>
      <c r="H13804" s="20" t="n">
        <f aca="false">IF(G13804=1,1,IF(AND(H13658=1,H13655=1),1,0))</f>
        <v>0</v>
      </c>
      <c r="I13804" s="20" t="n">
        <f aca="false">IF(H13804=1,1,IF(AND(I13658=1,I13655=1),1,0))</f>
        <v>0</v>
      </c>
      <c r="J13804" s="20" t="n">
        <f aca="false">IF(I13804=1,1,IF(AND(J13658=1,J13655=1),1,0))</f>
        <v>0</v>
      </c>
      <c r="K13804" s="20" t="n">
        <f aca="false">IF(J13804=1,1,IF(AND(K13658=1,K13655=1),1,0))</f>
        <v>0</v>
      </c>
    </row>
    <row r="13805" customFormat="false" ht="15" hidden="false" customHeight="false" outlineLevel="0" collapsed="false">
      <c r="A13805" s="3" t="s">
        <v>500</v>
      </c>
      <c r="C13805" s="25" t="n">
        <f aca="false">IF(C13797&gt;0,C13789-C13801,0)</f>
        <v>0</v>
      </c>
      <c r="G13805" s="20" t="n">
        <f aca="false">IF(AND(G13671=1,G13655=1),1,0)</f>
        <v>0</v>
      </c>
      <c r="H13805" s="20" t="n">
        <f aca="false">IF(G13805=1,1,IF(AND(H13671=1,H13655=1),1,0))</f>
        <v>0</v>
      </c>
      <c r="I13805" s="20" t="n">
        <f aca="false">IF(H13805=1,1,IF(AND(I13671=1,I13655=1),1,0))</f>
        <v>0</v>
      </c>
      <c r="J13805" s="20" t="n">
        <f aca="false">IF(I13805=1,1,IF(AND(J13671=1,J13655=1),1,0))</f>
        <v>0</v>
      </c>
      <c r="K13805" s="20" t="n">
        <f aca="false">IF(J13805=1,1,IF(AND(K13671=1,K13655=1),1,0))</f>
        <v>0</v>
      </c>
    </row>
    <row r="13806" customFormat="false" ht="15" hidden="false" customHeight="false" outlineLevel="0" collapsed="false">
      <c r="A13806" s="3" t="s">
        <v>501</v>
      </c>
      <c r="C13806" s="25" t="n">
        <f aca="false">IF(C13798&gt;0,C13790-C13802,0)</f>
        <v>0</v>
      </c>
      <c r="G13806" s="20" t="n">
        <f aca="false">IF(AND(G13684=1,G13655=1),1,0)</f>
        <v>0</v>
      </c>
      <c r="H13806" s="20" t="n">
        <f aca="false">IF(G13806=1,1,IF(AND(H13684=1,H13655=1),1,0))</f>
        <v>0</v>
      </c>
      <c r="I13806" s="20" t="n">
        <f aca="false">IF(H13806=1,1,IF(AND(I13684=1,I13655=1),1,0))</f>
        <v>0</v>
      </c>
      <c r="J13806" s="20" t="n">
        <f aca="false">IF(I13806=1,1,IF(AND(J13684=1,J13655=1),1,0))</f>
        <v>0</v>
      </c>
      <c r="K13806" s="20" t="n">
        <f aca="false">IF(J13806=1,1,IF(AND(K13684=1,K13655=1),1,0))</f>
        <v>0</v>
      </c>
    </row>
    <row r="13807" customFormat="false" ht="15" hidden="false" customHeight="false" outlineLevel="0" collapsed="false">
      <c r="A13807" s="23" t="s">
        <v>506</v>
      </c>
      <c r="B13807" s="24"/>
      <c r="C13807" s="24"/>
      <c r="D13807" s="24"/>
      <c r="E13807" s="24"/>
      <c r="F13807" s="24"/>
      <c r="G13807" s="24"/>
      <c r="H13807" s="24"/>
      <c r="I13807" s="24"/>
      <c r="J13807" s="24"/>
      <c r="K13807" s="24"/>
    </row>
    <row r="13808" customFormat="false" ht="15" hidden="false" customHeight="false" outlineLevel="0" collapsed="false">
      <c r="A13808" s="3" t="s">
        <v>499</v>
      </c>
      <c r="C13808" s="25" t="n">
        <f aca="false">IF(C13796&gt;0,C13804,C13788)</f>
        <v>1349.6193225</v>
      </c>
    </row>
    <row r="13809" customFormat="false" ht="15" hidden="false" customHeight="false" outlineLevel="0" collapsed="false">
      <c r="A13809" s="3" t="s">
        <v>500</v>
      </c>
      <c r="C13809" s="25" t="n">
        <f aca="false">IF(C13797&gt;0,C13805,C13789)</f>
        <v>0</v>
      </c>
    </row>
    <row r="13810" customFormat="false" ht="15" hidden="false" customHeight="false" outlineLevel="0" collapsed="false">
      <c r="A13810" s="3" t="s">
        <v>501</v>
      </c>
      <c r="C13810" s="25" t="n">
        <f aca="false">IF(C13798&gt;0,C13806,C13790)</f>
        <v>0</v>
      </c>
    </row>
    <row r="13811" customFormat="false" ht="15" hidden="false" customHeight="false" outlineLevel="0" collapsed="false">
      <c r="A13811" s="23" t="s">
        <v>507</v>
      </c>
      <c r="B13811" s="24"/>
      <c r="C13811" s="24"/>
      <c r="D13811" s="24"/>
      <c r="E13811" s="24"/>
      <c r="F13811" s="24"/>
      <c r="G13811" s="24"/>
      <c r="H13811" s="24"/>
      <c r="I13811" s="24"/>
      <c r="J13811" s="24"/>
      <c r="K13811" s="24"/>
    </row>
    <row r="13812" customFormat="false" ht="15" hidden="false" customHeight="false" outlineLevel="0" collapsed="false">
      <c r="A13812" s="3" t="s">
        <v>499</v>
      </c>
      <c r="C13812" s="20" t="n">
        <f aca="false">IF(C13796&gt;0,Assumptions!$C$17,C13792)</f>
        <v>1</v>
      </c>
    </row>
    <row r="13813" customFormat="false" ht="15" hidden="false" customHeight="false" outlineLevel="0" collapsed="false">
      <c r="A13813" s="3" t="s">
        <v>500</v>
      </c>
      <c r="C13813" s="20" t="n">
        <f aca="false">IF(C13797&gt;0,Assumptions!$C$17,C13793)</f>
        <v>2</v>
      </c>
    </row>
    <row r="13814" customFormat="false" ht="15" hidden="false" customHeight="false" outlineLevel="0" collapsed="false">
      <c r="A13814" s="3" t="s">
        <v>501</v>
      </c>
      <c r="C13814" s="20" t="n">
        <f aca="false">IF(C13798&gt;0,Assumptions!$C$17,C13794)</f>
        <v>2</v>
      </c>
    </row>
    <row r="13815" customFormat="false" ht="15" hidden="false" customHeight="false" outlineLevel="0" collapsed="false">
      <c r="A13815" s="23" t="s">
        <v>508</v>
      </c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</row>
    <row r="13816" customFormat="false" ht="15" hidden="false" customHeight="false" outlineLevel="0" collapsed="false">
      <c r="A13816" s="3" t="s">
        <v>499</v>
      </c>
      <c r="C13816" s="25" t="n">
        <f aca="false">SUMPRODUCT(($C$13812:$C$13814&lt;C13812)*$C$13808:$C$13810)</f>
        <v>0</v>
      </c>
    </row>
    <row r="13817" customFormat="false" ht="15" hidden="false" customHeight="false" outlineLevel="0" collapsed="false">
      <c r="A13817" s="3" t="s">
        <v>500</v>
      </c>
      <c r="C13817" s="25" t="n">
        <f aca="false">SUMPRODUCT(($C$13812:$C$13814&lt;C13813)*$C$13808:$C$13810)</f>
        <v>1349.6193225</v>
      </c>
    </row>
    <row r="13818" customFormat="false" ht="15" hidden="false" customHeight="false" outlineLevel="0" collapsed="false">
      <c r="A13818" s="3" t="s">
        <v>501</v>
      </c>
      <c r="C13818" s="25" t="n">
        <f aca="false">SUMPRODUCT(($C$13812:$C$13814&lt;C13814)*$C$13808:$C$13810)</f>
        <v>1349.6193225</v>
      </c>
    </row>
    <row r="13819" customFormat="false" ht="15" hidden="false" customHeight="false" outlineLevel="0" collapsed="false">
      <c r="A13819" s="23" t="s">
        <v>509</v>
      </c>
      <c r="B13819" s="24"/>
      <c r="C13819" s="24"/>
      <c r="D13819" s="24"/>
      <c r="E13819" s="24"/>
      <c r="F13819" s="24"/>
      <c r="G13819" s="24"/>
      <c r="H13819" s="24"/>
      <c r="I13819" s="24"/>
      <c r="J13819" s="24"/>
      <c r="K13819" s="24"/>
    </row>
    <row r="13820" customFormat="false" ht="15" hidden="false" customHeight="false" outlineLevel="0" collapsed="false">
      <c r="A13820" s="3" t="s">
        <v>499</v>
      </c>
      <c r="C13820" s="25" t="n">
        <f aca="false">SUMPRODUCT(($C$13812:$C$13814=C13812)*$C$13808:$C$13810)</f>
        <v>1349.6193225</v>
      </c>
    </row>
    <row r="13821" customFormat="false" ht="15" hidden="false" customHeight="false" outlineLevel="0" collapsed="false">
      <c r="A13821" s="3" t="s">
        <v>500</v>
      </c>
      <c r="C13821" s="25" t="n">
        <f aca="false">SUMPRODUCT(($C$13812:$C$13814=C13813)*$C$13808:$C$13810)</f>
        <v>0</v>
      </c>
    </row>
    <row r="13822" customFormat="false" ht="15" hidden="false" customHeight="false" outlineLevel="0" collapsed="false">
      <c r="A13822" s="3" t="s">
        <v>501</v>
      </c>
      <c r="C13822" s="25" t="n">
        <f aca="false">SUMPRODUCT(($C$13812:$C$13814=C13814)*$C$13808:$C$13810)</f>
        <v>0</v>
      </c>
    </row>
    <row r="13823" customFormat="false" ht="15" hidden="false" customHeight="false" outlineLevel="0" collapsed="false">
      <c r="A13823" s="23" t="s">
        <v>510</v>
      </c>
      <c r="B13823" s="24"/>
      <c r="C13823" s="24"/>
      <c r="D13823" s="24"/>
      <c r="E13823" s="24"/>
      <c r="F13823" s="24"/>
      <c r="G13823" s="24"/>
      <c r="H13823" s="24"/>
      <c r="I13823" s="24"/>
      <c r="J13823" s="24"/>
      <c r="K13823" s="24"/>
    </row>
    <row r="13824" customFormat="false" ht="15" hidden="false" customHeight="false" outlineLevel="0" collapsed="false">
      <c r="A13824" s="3" t="s">
        <v>499</v>
      </c>
      <c r="C13824" s="25" t="n">
        <f aca="false">IF(C13820=0,0,C13808/C13820*MAX(0,MIN(C13820,$C$13786-SUM($C$13800:$C$13802)-C13816)))</f>
        <v>818.252611299105</v>
      </c>
    </row>
    <row r="13825" customFormat="false" ht="15" hidden="false" customHeight="false" outlineLevel="0" collapsed="false">
      <c r="A13825" s="3" t="s">
        <v>500</v>
      </c>
      <c r="C13825" s="25" t="n">
        <f aca="false">IF(C13821=0,0,C13809/C13821*MAX(0,MIN(C13821,$C$13786-SUM($C$13800:$C$13802)-C13817)))</f>
        <v>0</v>
      </c>
    </row>
    <row r="13826" customFormat="false" ht="15" hidden="false" customHeight="false" outlineLevel="0" collapsed="false">
      <c r="A13826" s="3" t="s">
        <v>501</v>
      </c>
      <c r="C13826" s="25" t="n">
        <f aca="false">IF(C13822=0,0,C13810/C13822*MAX(0,MIN(C13822,$C$13786-SUM($C$13800:$C$13802)-C13818)))</f>
        <v>0</v>
      </c>
    </row>
    <row r="13827" customFormat="false" ht="15" hidden="false" customHeight="false" outlineLevel="0" collapsed="false">
      <c r="A13827" s="23" t="s">
        <v>511</v>
      </c>
      <c r="B13827" s="24"/>
      <c r="C13827" s="24"/>
      <c r="D13827" s="24"/>
      <c r="E13827" s="24"/>
      <c r="F13827" s="24"/>
      <c r="G13827" s="24"/>
      <c r="H13827" s="24"/>
      <c r="I13827" s="24"/>
      <c r="J13827" s="24"/>
      <c r="K13827" s="24"/>
    </row>
    <row r="13828" customFormat="false" ht="15" hidden="false" customHeight="false" outlineLevel="0" collapsed="false">
      <c r="A13828" s="2" t="s">
        <v>499</v>
      </c>
      <c r="C13828" s="16" t="n">
        <f aca="false">C13800+C13824</f>
        <v>818.252611299105</v>
      </c>
    </row>
    <row r="13829" customFormat="false" ht="15" hidden="false" customHeight="false" outlineLevel="0" collapsed="false">
      <c r="A13829" s="2" t="s">
        <v>500</v>
      </c>
      <c r="C13829" s="16" t="n">
        <f aca="false">C13801+C13825</f>
        <v>0</v>
      </c>
    </row>
    <row r="13830" customFormat="false" ht="15" hidden="false" customHeight="false" outlineLevel="0" collapsed="false">
      <c r="A13830" s="2" t="s">
        <v>501</v>
      </c>
      <c r="C13830" s="16" t="n">
        <f aca="false">C13802+C13826</f>
        <v>0</v>
      </c>
    </row>
    <row r="13831" customFormat="false" ht="15" hidden="false" customHeight="false" outlineLevel="0" collapsed="false">
      <c r="A13831" s="23" t="s">
        <v>512</v>
      </c>
      <c r="B13831" s="24"/>
      <c r="C13831" s="24"/>
      <c r="D13831" s="24"/>
      <c r="E13831" s="24"/>
      <c r="F13831" s="24"/>
      <c r="G13831" s="24"/>
      <c r="H13831" s="24"/>
      <c r="I13831" s="24"/>
      <c r="J13831" s="24"/>
      <c r="K13831" s="24"/>
    </row>
    <row r="13832" customFormat="false" ht="15" hidden="false" customHeight="false" outlineLevel="0" collapsed="false">
      <c r="A13832" s="3" t="s">
        <v>499</v>
      </c>
      <c r="C13832" s="21" t="n">
        <f aca="false">IF(C13788=0,1,C13828/C13788)</f>
        <v>0.606284007392095</v>
      </c>
    </row>
    <row r="13833" customFormat="false" ht="15" hidden="false" customHeight="false" outlineLevel="0" collapsed="false">
      <c r="A13833" s="3" t="s">
        <v>500</v>
      </c>
      <c r="C13833" s="21" t="n">
        <f aca="false">IF(C13789=0,1,C13829/C13789)</f>
        <v>1</v>
      </c>
    </row>
    <row r="13834" customFormat="false" ht="15" hidden="false" customHeight="false" outlineLevel="0" collapsed="false">
      <c r="A13834" s="3" t="s">
        <v>501</v>
      </c>
      <c r="C13834" s="21" t="n">
        <f aca="false">IF(C13790=0,1,C13830/C13790)</f>
        <v>1</v>
      </c>
    </row>
    <row r="13835" customFormat="false" ht="15" hidden="false" customHeight="false" outlineLevel="0" collapsed="false">
      <c r="A13835" s="23" t="s">
        <v>513</v>
      </c>
      <c r="B13835" s="24"/>
      <c r="C13835" s="24"/>
      <c r="D13835" s="24"/>
      <c r="E13835" s="24"/>
      <c r="F13835" s="24"/>
      <c r="G13835" s="24"/>
      <c r="H13835" s="24"/>
      <c r="I13835" s="24"/>
      <c r="J13835" s="24"/>
      <c r="K13835" s="24"/>
    </row>
    <row r="13836" customFormat="false" ht="15" hidden="false" customHeight="false" outlineLevel="0" collapsed="false">
      <c r="A13836" s="3" t="s">
        <v>499</v>
      </c>
      <c r="C13836" s="25" t="n">
        <f aca="false">C13788-C13828</f>
        <v>531.366711200895</v>
      </c>
    </row>
    <row r="13837" customFormat="false" ht="15" hidden="false" customHeight="false" outlineLevel="0" collapsed="false">
      <c r="A13837" s="3" t="s">
        <v>500</v>
      </c>
      <c r="C13837" s="25" t="n">
        <f aca="false">C13789-C13829</f>
        <v>0</v>
      </c>
    </row>
    <row r="13838" customFormat="false" ht="15" hidden="false" customHeight="false" outlineLevel="0" collapsed="false">
      <c r="A13838" s="3" t="s">
        <v>501</v>
      </c>
      <c r="C13838" s="25" t="n">
        <f aca="false">C13790-C13830</f>
        <v>0</v>
      </c>
    </row>
    <row r="13839" customFormat="false" ht="15" hidden="false" customHeight="false" outlineLevel="0" collapsed="false">
      <c r="A13839" s="23" t="s">
        <v>514</v>
      </c>
      <c r="B13839" s="24"/>
      <c r="C13839" s="24"/>
      <c r="D13839" s="24"/>
      <c r="E13839" s="24"/>
      <c r="F13839" s="24"/>
      <c r="G13839" s="24"/>
      <c r="H13839" s="24"/>
      <c r="I13839" s="24"/>
      <c r="J13839" s="24"/>
      <c r="K13839" s="24"/>
    </row>
    <row r="13840" customFormat="false" ht="15" hidden="false" customHeight="false" outlineLevel="0" collapsed="false">
      <c r="A13840" s="3" t="s">
        <v>499</v>
      </c>
      <c r="C13840" s="21" t="n">
        <f aca="false">IF(C13788=0,0,C13836/C13788)</f>
        <v>0.393715992607905</v>
      </c>
    </row>
    <row r="13841" customFormat="false" ht="15" hidden="false" customHeight="false" outlineLevel="0" collapsed="false">
      <c r="A13841" s="3" t="s">
        <v>500</v>
      </c>
      <c r="C13841" s="21" t="n">
        <f aca="false">IF(C13789=0,0,C13837/C13789)</f>
        <v>0</v>
      </c>
    </row>
    <row r="13842" customFormat="false" ht="15" hidden="false" customHeight="false" outlineLevel="0" collapsed="false">
      <c r="A13842" s="3" t="s">
        <v>501</v>
      </c>
      <c r="C13842" s="21" t="n">
        <f aca="false">IF(C13790=0,0,C13838/C13790)</f>
        <v>0</v>
      </c>
    </row>
    <row r="13843" customFormat="false" ht="15" hidden="false" customHeight="false" outlineLevel="0" collapsed="false">
      <c r="A13843" s="2" t="s">
        <v>515</v>
      </c>
      <c r="C13843" s="16" t="n">
        <f aca="false">MAX(0,$C$13786-SUM($C$13800:$C$13802)-SUM($C$13808:$C$13810))</f>
        <v>0</v>
      </c>
    </row>
    <row r="13844" customFormat="false" ht="15" hidden="false" customHeight="false" outlineLevel="0" collapsed="false">
      <c r="A13844" s="3" t="s">
        <v>516</v>
      </c>
      <c r="C13844" s="25" t="n">
        <f aca="false">SUM($C$13828:$C$13830)+C13843+C13785-C13784</f>
        <v>0</v>
      </c>
    </row>
    <row r="13846" customFormat="false" ht="15" hidden="false" customHeight="false" outlineLevel="0" collapsed="false">
      <c r="A13846" s="23" t="s">
        <v>519</v>
      </c>
      <c r="B13846" s="24"/>
      <c r="C13846" s="24"/>
      <c r="D13846" s="24"/>
      <c r="E13846" s="24"/>
      <c r="F13846" s="24"/>
      <c r="G13846" s="24"/>
      <c r="H13846" s="24"/>
      <c r="I13846" s="24"/>
      <c r="J13846" s="24"/>
      <c r="K13846" s="24"/>
    </row>
    <row r="13847" customFormat="false" ht="15" hidden="false" customHeight="false" outlineLevel="0" collapsed="false">
      <c r="A13847" s="3" t="s">
        <v>520</v>
      </c>
      <c r="C13847" s="27" t="n">
        <f aca="false">Assumptions!$C$33</f>
        <v>1</v>
      </c>
    </row>
    <row r="13848" customFormat="false" ht="15" hidden="false" customHeight="false" outlineLevel="0" collapsed="false">
      <c r="A13848" s="3" t="s">
        <v>521</v>
      </c>
      <c r="C13848" s="29" t="n">
        <f aca="false">Assumptions!$C$34</f>
        <v>100</v>
      </c>
    </row>
    <row r="13849" customFormat="false" ht="15" hidden="false" customHeight="false" outlineLevel="0" collapsed="false">
      <c r="A13849" s="3" t="s">
        <v>522</v>
      </c>
      <c r="C13849" s="40" t="n">
        <f aca="false">Assumptions!$C$35</f>
        <v>95</v>
      </c>
    </row>
    <row r="13850" customFormat="false" ht="15" hidden="false" customHeight="false" outlineLevel="0" collapsed="false">
      <c r="A13850" s="3" t="s">
        <v>523</v>
      </c>
      <c r="C13850" s="25" t="n">
        <f aca="false">C13848*C13849/100*(1+Assumptions!$C$36)</f>
        <v>95</v>
      </c>
    </row>
    <row r="13851" customFormat="false" ht="15" hidden="false" customHeight="false" outlineLevel="0" collapsed="false">
      <c r="A13851" s="3" t="s">
        <v>524</v>
      </c>
      <c r="C13851" s="27" t="n">
        <f aca="false">Assumptions!$C$37</f>
        <v>3</v>
      </c>
    </row>
    <row r="13852" customFormat="false" ht="15" hidden="false" customHeight="false" outlineLevel="0" collapsed="false">
      <c r="A13852" s="3" t="s">
        <v>525</v>
      </c>
      <c r="C13852" s="20" t="n">
        <f aca="false">IF(C13777=1,SUMPRODUCT($G$13729:$K$13729,$G$13622:$K$13622),0)</f>
        <v>0</v>
      </c>
    </row>
    <row r="13853" customFormat="false" ht="15" hidden="false" customHeight="false" outlineLevel="0" collapsed="false">
      <c r="A13853" s="3" t="s">
        <v>526</v>
      </c>
      <c r="C13853" s="21" t="n">
        <f aca="false">IFERROR(C13848/CHOOSE(C13847,SUMPRODUCT($G$13776:$K$13776,$G$13668:$K$13668),SUMPRODUCT($G$13776:$K$13776,$G$13681:$K$13681),SUMPRODUCT($G$13776:$K$13776,$G$13694:$K$13694)),0)</f>
        <v>0.0760399605200525</v>
      </c>
    </row>
    <row r="13854" customFormat="false" ht="15" hidden="false" customHeight="false" outlineLevel="0" collapsed="false">
      <c r="A13854" s="3" t="s">
        <v>527</v>
      </c>
      <c r="C13854" s="25" t="n">
        <f aca="false">CHOOSE(C13847,C13828,C13829,C13830)*C13853</f>
        <v>62.2198962586138</v>
      </c>
    </row>
    <row r="13855" customFormat="false" ht="15" hidden="false" customHeight="false" outlineLevel="0" collapsed="false">
      <c r="A13855" s="3" t="s">
        <v>528</v>
      </c>
      <c r="C13855" s="21" t="n">
        <f aca="false">CHOOSE(C13847,C13832,C13833,C13834)</f>
        <v>0.606284007392095</v>
      </c>
    </row>
    <row r="13856" customFormat="false" ht="15" hidden="false" customHeight="false" outlineLevel="0" collapsed="false">
      <c r="A13856" s="3" t="s">
        <v>529</v>
      </c>
      <c r="C13856" s="20" t="n">
        <f aca="false">IF(C13777=1,C13852,C13851)</f>
        <v>3</v>
      </c>
    </row>
    <row r="13857" customFormat="false" ht="15" hidden="false" customHeight="false" outlineLevel="0" collapsed="false">
      <c r="A13857" s="3" t="s">
        <v>530</v>
      </c>
      <c r="C13857" s="34" t="n">
        <f aca="false">CHOOSE($C$13614,Assumptions!$C$83,Assumptions!$C$102,Assumptions!$C$121)</f>
        <v>95</v>
      </c>
    </row>
    <row r="13858" customFormat="false" ht="15" hidden="false" customHeight="false" outlineLevel="0" collapsed="false">
      <c r="A13858" s="3" t="s">
        <v>531</v>
      </c>
      <c r="C13858" s="25" t="n">
        <f aca="false">INDEX($G$13631:$K$13631,C13851)*CHOOSE($C$13614,Assumptions!$C$82,Assumptions!$C$101,Assumptions!$C$120)+MAX(0,INDEX($G$13726:$K$13726,C13851))</f>
        <v>1068.84800987949</v>
      </c>
    </row>
    <row r="13859" customFormat="false" ht="15" hidden="false" customHeight="false" outlineLevel="0" collapsed="false">
      <c r="A13859" s="23" t="s">
        <v>532</v>
      </c>
      <c r="B13859" s="24"/>
      <c r="C13859" s="24"/>
      <c r="D13859" s="24"/>
      <c r="E13859" s="24"/>
      <c r="F13859" s="24"/>
      <c r="G13859" s="24"/>
      <c r="H13859" s="24"/>
      <c r="I13859" s="24"/>
      <c r="J13859" s="24"/>
      <c r="K13859" s="24"/>
    </row>
    <row r="13860" customFormat="false" ht="15" hidden="false" customHeight="false" outlineLevel="0" collapsed="false">
      <c r="A13860" s="3" t="s">
        <v>499</v>
      </c>
      <c r="C13860" s="25" t="n">
        <f aca="false">INDEX($G$13668:$K$13668,C13851)</f>
        <v>1315.098</v>
      </c>
    </row>
    <row r="13861" customFormat="false" ht="15" hidden="false" customHeight="false" outlineLevel="0" collapsed="false">
      <c r="A13861" s="3" t="s">
        <v>500</v>
      </c>
      <c r="C13861" s="25" t="n">
        <f aca="false">INDEX($G$13681:$K$13681,C13851)</f>
        <v>0</v>
      </c>
    </row>
    <row r="13862" customFormat="false" ht="15" hidden="false" customHeight="false" outlineLevel="0" collapsed="false">
      <c r="A13862" s="3" t="s">
        <v>501</v>
      </c>
      <c r="C13862" s="25" t="n">
        <f aca="false">INDEX($G$13694:$K$13694,C13851)</f>
        <v>0</v>
      </c>
    </row>
    <row r="13863" customFormat="false" ht="15" hidden="false" customHeight="false" outlineLevel="0" collapsed="false">
      <c r="A13863" s="23" t="s">
        <v>502</v>
      </c>
      <c r="B13863" s="24"/>
      <c r="C13863" s="24"/>
      <c r="D13863" s="24"/>
      <c r="E13863" s="24"/>
      <c r="F13863" s="24"/>
      <c r="G13863" s="24"/>
      <c r="H13863" s="24"/>
      <c r="I13863" s="24"/>
      <c r="J13863" s="24"/>
      <c r="K13863" s="24"/>
    </row>
    <row r="13864" customFormat="false" ht="15" hidden="false" customHeight="false" outlineLevel="0" collapsed="false">
      <c r="A13864" s="3" t="s">
        <v>499</v>
      </c>
      <c r="C13864" s="27" t="n">
        <f aca="false">Assumptions!$M$56</f>
        <v>1</v>
      </c>
    </row>
    <row r="13865" customFormat="false" ht="15" hidden="false" customHeight="false" outlineLevel="0" collapsed="false">
      <c r="A13865" s="3" t="s">
        <v>500</v>
      </c>
      <c r="C13865" s="27" t="n">
        <f aca="false">Assumptions!$M$57</f>
        <v>2</v>
      </c>
    </row>
    <row r="13866" customFormat="false" ht="15" hidden="false" customHeight="false" outlineLevel="0" collapsed="false">
      <c r="A13866" s="3" t="s">
        <v>501</v>
      </c>
      <c r="C13866" s="27" t="n">
        <f aca="false">Assumptions!$M$58</f>
        <v>2</v>
      </c>
    </row>
    <row r="13867" customFormat="false" ht="15" hidden="false" customHeight="false" outlineLevel="0" collapsed="false">
      <c r="A13867" s="23" t="s">
        <v>503</v>
      </c>
      <c r="B13867" s="24"/>
      <c r="C13867" s="24"/>
      <c r="D13867" s="24"/>
      <c r="E13867" s="24"/>
      <c r="F13867" s="24"/>
      <c r="G13867" s="24"/>
      <c r="H13867" s="24"/>
      <c r="I13867" s="24"/>
      <c r="J13867" s="24"/>
      <c r="K13867" s="24"/>
    </row>
    <row r="13868" customFormat="false" ht="15" hidden="false" customHeight="false" outlineLevel="0" collapsed="false">
      <c r="A13868" s="3" t="s">
        <v>499</v>
      </c>
      <c r="C13868" s="35" t="n">
        <f aca="false">Assumptions!$Q$56</f>
        <v>0</v>
      </c>
    </row>
    <row r="13869" customFormat="false" ht="15" hidden="false" customHeight="false" outlineLevel="0" collapsed="false">
      <c r="A13869" s="3" t="s">
        <v>500</v>
      </c>
      <c r="C13869" s="35" t="n">
        <f aca="false">Assumptions!$Q$57</f>
        <v>0</v>
      </c>
    </row>
    <row r="13870" customFormat="false" ht="15" hidden="false" customHeight="false" outlineLevel="0" collapsed="false">
      <c r="A13870" s="3" t="s">
        <v>501</v>
      </c>
      <c r="C13870" s="35" t="n">
        <f aca="false">Assumptions!$Q$58</f>
        <v>0</v>
      </c>
    </row>
    <row r="13871" customFormat="false" ht="15" hidden="false" customHeight="false" outlineLevel="0" collapsed="false">
      <c r="A13871" s="23" t="s">
        <v>504</v>
      </c>
      <c r="B13871" s="24"/>
      <c r="C13871" s="24"/>
      <c r="D13871" s="24"/>
      <c r="E13871" s="24"/>
      <c r="F13871" s="24"/>
      <c r="G13871" s="24"/>
      <c r="H13871" s="24"/>
      <c r="I13871" s="24"/>
      <c r="J13871" s="24"/>
      <c r="K13871" s="24"/>
    </row>
    <row r="13872" customFormat="false" ht="15" hidden="false" customHeight="false" outlineLevel="0" collapsed="false">
      <c r="A13872" s="3" t="s">
        <v>499</v>
      </c>
      <c r="C13872" s="25" t="n">
        <f aca="false">IF(C13868&gt;0,MIN(C13860,C13868*$C$13858),0)</f>
        <v>0</v>
      </c>
    </row>
    <row r="13873" customFormat="false" ht="15" hidden="false" customHeight="false" outlineLevel="0" collapsed="false">
      <c r="A13873" s="3" t="s">
        <v>500</v>
      </c>
      <c r="C13873" s="25" t="n">
        <f aca="false">IF(C13869&gt;0,MIN(C13861,C13869*$C$13858),0)</f>
        <v>0</v>
      </c>
    </row>
    <row r="13874" customFormat="false" ht="15" hidden="false" customHeight="false" outlineLevel="0" collapsed="false">
      <c r="A13874" s="3" t="s">
        <v>501</v>
      </c>
      <c r="C13874" s="25" t="n">
        <f aca="false">IF(C13870&gt;0,MIN(C13862,C13870*$C$13858),0)</f>
        <v>0</v>
      </c>
    </row>
    <row r="13875" customFormat="false" ht="15" hidden="false" customHeight="false" outlineLevel="0" collapsed="false">
      <c r="A13875" s="23" t="s">
        <v>505</v>
      </c>
      <c r="B13875" s="24"/>
      <c r="C13875" s="24"/>
      <c r="D13875" s="24"/>
      <c r="E13875" s="24"/>
      <c r="F13875" s="24"/>
      <c r="G13875" s="24"/>
      <c r="H13875" s="24"/>
      <c r="I13875" s="24"/>
      <c r="J13875" s="24"/>
      <c r="K13875" s="24"/>
    </row>
    <row r="13876" customFormat="false" ht="15" hidden="false" customHeight="false" outlineLevel="0" collapsed="false">
      <c r="A13876" s="3" t="s">
        <v>499</v>
      </c>
      <c r="C13876" s="25" t="n">
        <f aca="false">IF(C13868&gt;0,C13860-C13872,0)</f>
        <v>0</v>
      </c>
    </row>
    <row r="13877" customFormat="false" ht="15" hidden="false" customHeight="false" outlineLevel="0" collapsed="false">
      <c r="A13877" s="3" t="s">
        <v>500</v>
      </c>
      <c r="C13877" s="25" t="n">
        <f aca="false">IF(C13869&gt;0,C13861-C13873,0)</f>
        <v>0</v>
      </c>
    </row>
    <row r="13878" customFormat="false" ht="15" hidden="false" customHeight="false" outlineLevel="0" collapsed="false">
      <c r="A13878" s="3" t="s">
        <v>501</v>
      </c>
      <c r="C13878" s="25" t="n">
        <f aca="false">IF(C13870&gt;0,C13862-C13874,0)</f>
        <v>0</v>
      </c>
    </row>
    <row r="13879" customFormat="false" ht="15" hidden="false" customHeight="false" outlineLevel="0" collapsed="false">
      <c r="A13879" s="23" t="s">
        <v>506</v>
      </c>
      <c r="B13879" s="24"/>
      <c r="C13879" s="24"/>
      <c r="D13879" s="24"/>
      <c r="E13879" s="24"/>
      <c r="F13879" s="24"/>
      <c r="G13879" s="24"/>
      <c r="H13879" s="24"/>
      <c r="I13879" s="24"/>
      <c r="J13879" s="24"/>
      <c r="K13879" s="24"/>
    </row>
    <row r="13880" customFormat="false" ht="15" hidden="false" customHeight="false" outlineLevel="0" collapsed="false">
      <c r="A13880" s="3" t="s">
        <v>499</v>
      </c>
      <c r="C13880" s="25" t="n">
        <f aca="false">IF(C13868&gt;0,C13876,C13860)</f>
        <v>1315.098</v>
      </c>
    </row>
    <row r="13881" customFormat="false" ht="15" hidden="false" customHeight="false" outlineLevel="0" collapsed="false">
      <c r="A13881" s="3" t="s">
        <v>500</v>
      </c>
      <c r="C13881" s="25" t="n">
        <f aca="false">IF(C13869&gt;0,C13877,C13861)</f>
        <v>0</v>
      </c>
    </row>
    <row r="13882" customFormat="false" ht="15" hidden="false" customHeight="false" outlineLevel="0" collapsed="false">
      <c r="A13882" s="3" t="s">
        <v>501</v>
      </c>
      <c r="C13882" s="25" t="n">
        <f aca="false">IF(C13870&gt;0,C13878,C13862)</f>
        <v>0</v>
      </c>
    </row>
    <row r="13883" customFormat="false" ht="15" hidden="false" customHeight="false" outlineLevel="0" collapsed="false">
      <c r="A13883" s="23" t="s">
        <v>507</v>
      </c>
      <c r="B13883" s="24"/>
      <c r="C13883" s="24"/>
      <c r="D13883" s="24"/>
      <c r="E13883" s="24"/>
      <c r="F13883" s="24"/>
      <c r="G13883" s="24"/>
      <c r="H13883" s="24"/>
      <c r="I13883" s="24"/>
      <c r="J13883" s="24"/>
      <c r="K13883" s="24"/>
    </row>
    <row r="13884" customFormat="false" ht="15" hidden="false" customHeight="false" outlineLevel="0" collapsed="false">
      <c r="A13884" s="3" t="s">
        <v>499</v>
      </c>
      <c r="C13884" s="20" t="n">
        <f aca="false">IF(C13868&gt;0,Assumptions!$C$17,C13864)</f>
        <v>1</v>
      </c>
    </row>
    <row r="13885" customFormat="false" ht="15" hidden="false" customHeight="false" outlineLevel="0" collapsed="false">
      <c r="A13885" s="3" t="s">
        <v>500</v>
      </c>
      <c r="C13885" s="20" t="n">
        <f aca="false">IF(C13869&gt;0,Assumptions!$C$17,C13865)</f>
        <v>2</v>
      </c>
    </row>
    <row r="13886" customFormat="false" ht="15" hidden="false" customHeight="false" outlineLevel="0" collapsed="false">
      <c r="A13886" s="3" t="s">
        <v>501</v>
      </c>
      <c r="C13886" s="20" t="n">
        <f aca="false">IF(C13870&gt;0,Assumptions!$C$17,C13866)</f>
        <v>2</v>
      </c>
    </row>
    <row r="13887" customFormat="false" ht="15" hidden="false" customHeight="false" outlineLevel="0" collapsed="false">
      <c r="A13887" s="23" t="s">
        <v>508</v>
      </c>
      <c r="B13887" s="24"/>
      <c r="C13887" s="24"/>
      <c r="D13887" s="24"/>
      <c r="E13887" s="24"/>
      <c r="F13887" s="24"/>
      <c r="G13887" s="24"/>
      <c r="H13887" s="24"/>
      <c r="I13887" s="24"/>
      <c r="J13887" s="24"/>
      <c r="K13887" s="24"/>
    </row>
    <row r="13888" customFormat="false" ht="15" hidden="false" customHeight="false" outlineLevel="0" collapsed="false">
      <c r="A13888" s="3" t="s">
        <v>499</v>
      </c>
      <c r="C13888" s="25" t="n">
        <f aca="false">SUMPRODUCT(($C$13884:$C$13886&lt;C13884)*$C$13880:$C$13882)</f>
        <v>0</v>
      </c>
    </row>
    <row r="13889" customFormat="false" ht="15" hidden="false" customHeight="false" outlineLevel="0" collapsed="false">
      <c r="A13889" s="3" t="s">
        <v>500</v>
      </c>
      <c r="C13889" s="25" t="n">
        <f aca="false">SUMPRODUCT(($C$13884:$C$13886&lt;C13885)*$C$13880:$C$13882)</f>
        <v>1315.098</v>
      </c>
    </row>
    <row r="13890" customFormat="false" ht="15" hidden="false" customHeight="false" outlineLevel="0" collapsed="false">
      <c r="A13890" s="3" t="s">
        <v>501</v>
      </c>
      <c r="C13890" s="25" t="n">
        <f aca="false">SUMPRODUCT(($C$13884:$C$13886&lt;C13886)*$C$13880:$C$13882)</f>
        <v>1315.098</v>
      </c>
    </row>
    <row r="13891" customFormat="false" ht="15" hidden="false" customHeight="false" outlineLevel="0" collapsed="false">
      <c r="A13891" s="23" t="s">
        <v>509</v>
      </c>
      <c r="B13891" s="24"/>
      <c r="C13891" s="24"/>
      <c r="D13891" s="24"/>
      <c r="E13891" s="24"/>
      <c r="F13891" s="24"/>
      <c r="G13891" s="24"/>
      <c r="H13891" s="24"/>
      <c r="I13891" s="24"/>
      <c r="J13891" s="24"/>
      <c r="K13891" s="24"/>
    </row>
    <row r="13892" customFormat="false" ht="15" hidden="false" customHeight="false" outlineLevel="0" collapsed="false">
      <c r="A13892" s="3" t="s">
        <v>499</v>
      </c>
      <c r="C13892" s="25" t="n">
        <f aca="false">SUMPRODUCT(($C$13884:$C$13886=C13884)*$C$13880:$C$13882)</f>
        <v>1315.098</v>
      </c>
    </row>
    <row r="13893" customFormat="false" ht="15" hidden="false" customHeight="false" outlineLevel="0" collapsed="false">
      <c r="A13893" s="3" t="s">
        <v>500</v>
      </c>
      <c r="C13893" s="25" t="n">
        <f aca="false">SUMPRODUCT(($C$13884:$C$13886=C13885)*$C$13880:$C$13882)</f>
        <v>0</v>
      </c>
    </row>
    <row r="13894" customFormat="false" ht="15" hidden="false" customHeight="false" outlineLevel="0" collapsed="false">
      <c r="A13894" s="3" t="s">
        <v>501</v>
      </c>
      <c r="C13894" s="25" t="n">
        <f aca="false">SUMPRODUCT(($C$13884:$C$13886=C13886)*$C$13880:$C$13882)</f>
        <v>0</v>
      </c>
    </row>
    <row r="13895" customFormat="false" ht="15" hidden="false" customHeight="false" outlineLevel="0" collapsed="false">
      <c r="A13895" s="23" t="s">
        <v>510</v>
      </c>
      <c r="B13895" s="24"/>
      <c r="C13895" s="24"/>
      <c r="D13895" s="24"/>
      <c r="E13895" s="24"/>
      <c r="F13895" s="24"/>
      <c r="G13895" s="24"/>
      <c r="H13895" s="24"/>
      <c r="I13895" s="24"/>
      <c r="J13895" s="24"/>
      <c r="K13895" s="24"/>
    </row>
    <row r="13896" customFormat="false" ht="15" hidden="false" customHeight="false" outlineLevel="0" collapsed="false">
      <c r="A13896" s="3" t="s">
        <v>499</v>
      </c>
      <c r="C13896" s="25" t="n">
        <f aca="false">IF(C13892=0,0,C13880/C13892*MAX(0,MIN(C13892,$C$13858-SUM($C$13872:$C$13874)-C13888)))</f>
        <v>1068.84800987949</v>
      </c>
    </row>
    <row r="13897" customFormat="false" ht="15" hidden="false" customHeight="false" outlineLevel="0" collapsed="false">
      <c r="A13897" s="3" t="s">
        <v>500</v>
      </c>
      <c r="C13897" s="25" t="n">
        <f aca="false">IF(C13893=0,0,C13881/C13893*MAX(0,MIN(C13893,$C$13858-SUM($C$13872:$C$13874)-C13889)))</f>
        <v>0</v>
      </c>
    </row>
    <row r="13898" customFormat="false" ht="15" hidden="false" customHeight="false" outlineLevel="0" collapsed="false">
      <c r="A13898" s="3" t="s">
        <v>501</v>
      </c>
      <c r="C13898" s="25" t="n">
        <f aca="false">IF(C13894=0,0,C13882/C13894*MAX(0,MIN(C13894,$C$13858-SUM($C$13872:$C$13874)-C13890)))</f>
        <v>0</v>
      </c>
    </row>
    <row r="13899" customFormat="false" ht="15" hidden="false" customHeight="false" outlineLevel="0" collapsed="false">
      <c r="A13899" s="23" t="s">
        <v>511</v>
      </c>
      <c r="B13899" s="24"/>
      <c r="C13899" s="24"/>
      <c r="D13899" s="24"/>
      <c r="E13899" s="24"/>
      <c r="F13899" s="24"/>
      <c r="G13899" s="24"/>
      <c r="H13899" s="24"/>
      <c r="I13899" s="24"/>
      <c r="J13899" s="24"/>
      <c r="K13899" s="24"/>
    </row>
    <row r="13900" customFormat="false" ht="15" hidden="false" customHeight="false" outlineLevel="0" collapsed="false">
      <c r="A13900" s="2" t="s">
        <v>499</v>
      </c>
      <c r="C13900" s="16" t="n">
        <f aca="false">C13872+C13896</f>
        <v>1068.84800987949</v>
      </c>
    </row>
    <row r="13901" customFormat="false" ht="15" hidden="false" customHeight="false" outlineLevel="0" collapsed="false">
      <c r="A13901" s="2" t="s">
        <v>500</v>
      </c>
      <c r="C13901" s="16" t="n">
        <f aca="false">C13873+C13897</f>
        <v>0</v>
      </c>
    </row>
    <row r="13902" customFormat="false" ht="15" hidden="false" customHeight="false" outlineLevel="0" collapsed="false">
      <c r="A13902" s="2" t="s">
        <v>501</v>
      </c>
      <c r="C13902" s="16" t="n">
        <f aca="false">C13874+C13898</f>
        <v>0</v>
      </c>
    </row>
    <row r="13903" customFormat="false" ht="15" hidden="false" customHeight="false" outlineLevel="0" collapsed="false">
      <c r="A13903" s="23" t="s">
        <v>512</v>
      </c>
      <c r="B13903" s="24"/>
      <c r="C13903" s="24"/>
      <c r="D13903" s="24"/>
      <c r="E13903" s="24"/>
      <c r="F13903" s="24"/>
      <c r="G13903" s="24"/>
      <c r="H13903" s="24"/>
      <c r="I13903" s="24"/>
      <c r="J13903" s="24"/>
      <c r="K13903" s="24"/>
    </row>
    <row r="13904" customFormat="false" ht="15" hidden="false" customHeight="false" outlineLevel="0" collapsed="false">
      <c r="A13904" s="3" t="s">
        <v>499</v>
      </c>
      <c r="C13904" s="21" t="n">
        <f aca="false">IF(C13860=0,1,C13900/C13860)</f>
        <v>0.812751604731729</v>
      </c>
    </row>
    <row r="13905" customFormat="false" ht="15" hidden="false" customHeight="false" outlineLevel="0" collapsed="false">
      <c r="A13905" s="3" t="s">
        <v>500</v>
      </c>
      <c r="C13905" s="21" t="n">
        <f aca="false">IF(C13861=0,1,C13901/C13861)</f>
        <v>1</v>
      </c>
    </row>
    <row r="13906" customFormat="false" ht="15" hidden="false" customHeight="false" outlineLevel="0" collapsed="false">
      <c r="A13906" s="3" t="s">
        <v>501</v>
      </c>
      <c r="C13906" s="21" t="n">
        <f aca="false">IF(C13862=0,1,C13902/C13862)</f>
        <v>1</v>
      </c>
    </row>
    <row r="13907" customFormat="false" ht="15" hidden="false" customHeight="false" outlineLevel="0" collapsed="false">
      <c r="A13907" s="23" t="s">
        <v>513</v>
      </c>
      <c r="B13907" s="24"/>
      <c r="C13907" s="24"/>
      <c r="D13907" s="24"/>
      <c r="E13907" s="24"/>
      <c r="F13907" s="24"/>
      <c r="G13907" s="24"/>
      <c r="H13907" s="24"/>
      <c r="I13907" s="24"/>
      <c r="J13907" s="24"/>
      <c r="K13907" s="24"/>
    </row>
    <row r="13908" customFormat="false" ht="15" hidden="false" customHeight="false" outlineLevel="0" collapsed="false">
      <c r="A13908" s="3" t="s">
        <v>499</v>
      </c>
      <c r="C13908" s="25" t="n">
        <f aca="false">C13860-C13900</f>
        <v>246.249990120512</v>
      </c>
    </row>
    <row r="13909" customFormat="false" ht="15" hidden="false" customHeight="false" outlineLevel="0" collapsed="false">
      <c r="A13909" s="3" t="s">
        <v>500</v>
      </c>
      <c r="C13909" s="25" t="n">
        <f aca="false">C13861-C13901</f>
        <v>0</v>
      </c>
    </row>
    <row r="13910" customFormat="false" ht="15" hidden="false" customHeight="false" outlineLevel="0" collapsed="false">
      <c r="A13910" s="3" t="s">
        <v>501</v>
      </c>
      <c r="C13910" s="25" t="n">
        <f aca="false">C13862-C13902</f>
        <v>0</v>
      </c>
    </row>
    <row r="13911" customFormat="false" ht="15" hidden="false" customHeight="false" outlineLevel="0" collapsed="false">
      <c r="A13911" s="23" t="s">
        <v>514</v>
      </c>
      <c r="B13911" s="24"/>
      <c r="C13911" s="24"/>
      <c r="D13911" s="24"/>
      <c r="E13911" s="24"/>
      <c r="F13911" s="24"/>
      <c r="G13911" s="24"/>
      <c r="H13911" s="24"/>
      <c r="I13911" s="24"/>
      <c r="J13911" s="24"/>
      <c r="K13911" s="24"/>
    </row>
    <row r="13912" customFormat="false" ht="15" hidden="false" customHeight="false" outlineLevel="0" collapsed="false">
      <c r="A13912" s="3" t="s">
        <v>499</v>
      </c>
      <c r="C13912" s="21" t="n">
        <f aca="false">IF(C13860=0,0,C13908/C13860)</f>
        <v>0.187248395268271</v>
      </c>
    </row>
    <row r="13913" customFormat="false" ht="15" hidden="false" customHeight="false" outlineLevel="0" collapsed="false">
      <c r="A13913" s="3" t="s">
        <v>500</v>
      </c>
      <c r="C13913" s="21" t="n">
        <f aca="false">IF(C13861=0,0,C13909/C13861)</f>
        <v>0</v>
      </c>
    </row>
    <row r="13914" customFormat="false" ht="15" hidden="false" customHeight="false" outlineLevel="0" collapsed="false">
      <c r="A13914" s="3" t="s">
        <v>501</v>
      </c>
      <c r="C13914" s="21" t="n">
        <f aca="false">IF(C13862=0,0,C13910/C13862)</f>
        <v>0</v>
      </c>
    </row>
    <row r="13915" customFormat="false" ht="15" hidden="false" customHeight="false" outlineLevel="0" collapsed="false">
      <c r="A13915" s="2" t="s">
        <v>515</v>
      </c>
      <c r="C13915" s="16" t="n">
        <f aca="false">MAX(0,$C$13858-SUM($C$13872:$C$13874)-SUM($C$13880:$C$13882))</f>
        <v>0</v>
      </c>
    </row>
    <row r="13916" customFormat="false" ht="15" hidden="false" customHeight="false" outlineLevel="0" collapsed="false">
      <c r="A13916" s="3" t="s">
        <v>533</v>
      </c>
      <c r="C13916" s="34" t="n">
        <f aca="false">MIN(C13857,100*CHOOSE(C13847,C13904,C13905,C13906))</f>
        <v>81.2751604731729</v>
      </c>
    </row>
    <row r="13917" customFormat="false" ht="15" hidden="false" customHeight="false" outlineLevel="0" collapsed="false">
      <c r="A13917" s="3" t="s">
        <v>534</v>
      </c>
      <c r="C13917" s="20" t="n">
        <f aca="false">IF(C13777=1,C13852+Assumptions!$C$39,C13851)</f>
        <v>3</v>
      </c>
    </row>
    <row r="13918" customFormat="false" ht="15" hidden="false" customHeight="false" outlineLevel="0" collapsed="false">
      <c r="A13918" s="23" t="s">
        <v>535</v>
      </c>
      <c r="B13918" s="24"/>
      <c r="C13918" s="24"/>
      <c r="D13918" s="24"/>
      <c r="E13918" s="24"/>
      <c r="F13918" s="24"/>
      <c r="G13918" s="24"/>
      <c r="H13918" s="24"/>
      <c r="I13918" s="24"/>
      <c r="J13918" s="24"/>
      <c r="K13918" s="24"/>
    </row>
    <row r="13919" customFormat="false" ht="15" hidden="false" customHeight="false" outlineLevel="0" collapsed="false">
      <c r="A13919" s="3" t="s">
        <v>536</v>
      </c>
      <c r="C13919" s="20" t="n">
        <f aca="false">COLUMN()-COLUMN($C$1)</f>
        <v>0</v>
      </c>
      <c r="D13919" s="20" t="n">
        <f aca="false">COLUMN()-COLUMN($C$1)</f>
        <v>1</v>
      </c>
      <c r="E13919" s="20" t="n">
        <f aca="false">COLUMN()-COLUMN($C$1)</f>
        <v>2</v>
      </c>
      <c r="F13919" s="20" t="n">
        <f aca="false">COLUMN()-COLUMN($C$1)</f>
        <v>3</v>
      </c>
      <c r="G13919" s="20" t="n">
        <f aca="false">COLUMN()-COLUMN($C$1)</f>
        <v>4</v>
      </c>
      <c r="H13919" s="20" t="n">
        <f aca="false">COLUMN()-COLUMN($C$1)</f>
        <v>5</v>
      </c>
      <c r="I13919" s="20" t="n">
        <f aca="false">COLUMN()-COLUMN($C$1)</f>
        <v>6</v>
      </c>
    </row>
    <row r="13920" customFormat="false" ht="15" hidden="false" customHeight="false" outlineLevel="0" collapsed="false">
      <c r="A13920" s="3" t="s">
        <v>537</v>
      </c>
      <c r="D13920" s="31" t="n">
        <f aca="false">CHOOSE($C$13847,G13660,G13673,G13686)</f>
        <v>0.105</v>
      </c>
      <c r="E13920" s="31" t="n">
        <f aca="false">CHOOSE($C$13847,H13660,H13673,H13686)</f>
        <v>0.105</v>
      </c>
      <c r="F13920" s="31" t="n">
        <f aca="false">CHOOSE($C$13847,I13660,I13673,I13686)</f>
        <v>0.105</v>
      </c>
      <c r="G13920" s="31" t="n">
        <f aca="false">CHOOSE($C$13847,J13660,J13673,J13686)</f>
        <v>0.105</v>
      </c>
      <c r="H13920" s="31" t="n">
        <f aca="false">CHOOSE($C$13847,K13660,K13673,K13686)</f>
        <v>0.105</v>
      </c>
    </row>
    <row r="13921" customFormat="false" ht="15" hidden="false" customHeight="false" outlineLevel="0" collapsed="false">
      <c r="A13921" s="3" t="s">
        <v>538</v>
      </c>
      <c r="D13921" s="25" t="n">
        <f aca="false">IF(D13919&lt;=$C$13856,$C$13848*D13920,0)</f>
        <v>10.5</v>
      </c>
      <c r="E13921" s="25" t="n">
        <f aca="false">IF(E13919&lt;=$C$13856,$C$13848*E13920,0)</f>
        <v>10.5</v>
      </c>
      <c r="F13921" s="25" t="n">
        <f aca="false">IF(F13919&lt;=$C$13856,$C$13848*F13920,0)</f>
        <v>10.5</v>
      </c>
      <c r="G13921" s="25" t="n">
        <f aca="false">IF(G13919&lt;=$C$13856,$C$13848*G13920,0)</f>
        <v>0</v>
      </c>
      <c r="H13921" s="25" t="n">
        <f aca="false">IF(H13919&lt;=$C$13856,$C$13848*H13920,0)</f>
        <v>0</v>
      </c>
    </row>
    <row r="13922" customFormat="false" ht="15" hidden="false" customHeight="false" outlineLevel="0" collapsed="false">
      <c r="A13922" s="3" t="s">
        <v>539</v>
      </c>
      <c r="D13922" s="25" t="n">
        <f aca="false">IF(AND($C$13777=0,D13919=$C$13851),$C$13848*$C$13916/100,0)+IF(AND($C$13777=1,D13919=$C$13917),$C$13854,0)</f>
        <v>0</v>
      </c>
      <c r="E13922" s="25" t="n">
        <f aca="false">IF(AND($C$13777=0,E13919=$C$13851),$C$13848*$C$13916/100,0)+IF(AND($C$13777=1,E13919=$C$13917),$C$13854,0)</f>
        <v>0</v>
      </c>
      <c r="F13922" s="25" t="n">
        <f aca="false">IF(AND($C$13777=0,F13919=$C$13851),$C$13848*$C$13916/100,0)+IF(AND($C$13777=1,F13919=$C$13917),$C$13854,0)</f>
        <v>81.2751604731729</v>
      </c>
      <c r="G13922" s="25" t="n">
        <f aca="false">IF(AND($C$13777=0,G13919=$C$13851),$C$13848*$C$13916/100,0)+IF(AND($C$13777=1,G13919=$C$13917),$C$13854,0)</f>
        <v>0</v>
      </c>
      <c r="H13922" s="25" t="n">
        <f aca="false">IF(AND($C$13777=0,H13919=$C$13851),$C$13848*$C$13916/100,0)+IF(AND($C$13777=1,H13919=$C$13917),$C$13854,0)</f>
        <v>0</v>
      </c>
      <c r="I13922" s="25" t="n">
        <f aca="false">IF(AND($C$13777=0,I13919=$C$13851),$C$13848*$C$13916/100,0)+IF(AND($C$13777=1,I13919=$C$13917),$C$13854,0)</f>
        <v>0</v>
      </c>
    </row>
    <row r="13923" customFormat="false" ht="15" hidden="false" customHeight="false" outlineLevel="0" collapsed="false">
      <c r="A13923" s="2" t="s">
        <v>540</v>
      </c>
      <c r="C13923" s="16" t="n">
        <f aca="false">-$C$13850</f>
        <v>-95</v>
      </c>
      <c r="D13923" s="16" t="n">
        <f aca="false">D13921+D13922</f>
        <v>10.5</v>
      </c>
      <c r="E13923" s="16" t="n">
        <f aca="false">E13921+E13922</f>
        <v>10.5</v>
      </c>
      <c r="F13923" s="16" t="n">
        <f aca="false">F13921+F13922</f>
        <v>91.7751604731729</v>
      </c>
      <c r="G13923" s="16" t="n">
        <f aca="false">G13921+G13922</f>
        <v>0</v>
      </c>
      <c r="H13923" s="16" t="n">
        <f aca="false">H13921+H13922</f>
        <v>0</v>
      </c>
      <c r="I13923" s="16" t="n">
        <f aca="false">I13921+I13922</f>
        <v>0</v>
      </c>
    </row>
    <row r="13924" customFormat="false" ht="15" hidden="false" customHeight="false" outlineLevel="0" collapsed="false">
      <c r="A13924" s="3" t="s">
        <v>541</v>
      </c>
      <c r="C13924" s="25" t="n">
        <f aca="false">SUM($C$13921:$I$13921)</f>
        <v>31.5</v>
      </c>
    </row>
    <row r="13925" customFormat="false" ht="15" hidden="false" customHeight="false" outlineLevel="0" collapsed="false">
      <c r="A13925" s="3" t="s">
        <v>542</v>
      </c>
      <c r="C13925" s="25" t="n">
        <f aca="false">SUM($C$13922:$I$13922)</f>
        <v>81.2751604731729</v>
      </c>
    </row>
    <row r="13926" customFormat="false" ht="15" hidden="false" customHeight="false" outlineLevel="0" collapsed="false">
      <c r="A13926" s="3" t="s">
        <v>543</v>
      </c>
      <c r="C13926" s="25" t="n">
        <f aca="false">C13924+C13925</f>
        <v>112.775160473173</v>
      </c>
    </row>
    <row r="13927" customFormat="false" ht="15" hidden="false" customHeight="false" outlineLevel="0" collapsed="false">
      <c r="A13927" s="3" t="s">
        <v>544</v>
      </c>
      <c r="C13927" s="25" t="n">
        <f aca="false">C13925-C13848*C13849/100</f>
        <v>-13.7248395268271</v>
      </c>
    </row>
    <row r="13928" customFormat="false" ht="15" hidden="false" customHeight="false" outlineLevel="0" collapsed="false">
      <c r="A13928" s="3" t="s">
        <v>545</v>
      </c>
      <c r="C13928" s="25" t="n">
        <f aca="false">C13926-C13850</f>
        <v>17.7751604731729</v>
      </c>
    </row>
    <row r="13929" customFormat="false" ht="15" hidden="false" customHeight="false" outlineLevel="0" collapsed="false">
      <c r="A13929" s="2" t="s">
        <v>427</v>
      </c>
      <c r="C13929" s="44" t="n">
        <f aca="false">C13926/C13850</f>
        <v>1.18710695234919</v>
      </c>
    </row>
    <row r="13930" customFormat="false" ht="15" hidden="false" customHeight="false" outlineLevel="0" collapsed="false">
      <c r="A13930" s="2" t="s">
        <v>426</v>
      </c>
      <c r="C13930" s="42" t="n">
        <f aca="false">IF(C13926&lt;=0,-1,IFERROR(IRR($C$13923:$I$13923,MAX(-0.9,C13929^(1/C13917)-1)),IRR($C$13923:$I$13923,0.1)))</f>
        <v>0.0653848807562152</v>
      </c>
    </row>
    <row r="13931" customFormat="false" ht="15" hidden="false" customHeight="false" outlineLevel="0" collapsed="false">
      <c r="A13931" s="3" t="s">
        <v>546</v>
      </c>
      <c r="C13931" s="32" t="n">
        <f aca="false">MAX($G$13737:$K$13737)</f>
        <v>7.33831226622703</v>
      </c>
    </row>
    <row r="13932" customFormat="false" ht="15" hidden="false" customHeight="false" outlineLevel="0" collapsed="false">
      <c r="A13932" s="3" t="s">
        <v>547</v>
      </c>
      <c r="C13932" s="32" t="n">
        <f aca="false">MIN($G$13738:$K$13738)</f>
        <v>1.18070192905498</v>
      </c>
    </row>
    <row r="13933" customFormat="false" ht="15" hidden="false" customHeight="false" outlineLevel="0" collapsed="false">
      <c r="A13933" s="3" t="s">
        <v>548</v>
      </c>
      <c r="C13933" s="25" t="n">
        <f aca="false">SUM($G$13644:$K$13644)</f>
        <v>75.1374128562126</v>
      </c>
    </row>
    <row r="13937" customFormat="false" ht="15" hidden="false" customHeight="false" outlineLevel="0" collapsed="false">
      <c r="A13937" s="9" t="s">
        <v>1057</v>
      </c>
      <c r="B13937" s="10"/>
      <c r="C13937" s="10"/>
      <c r="D13937" s="10"/>
      <c r="E13937" s="10"/>
      <c r="F13937" s="10"/>
      <c r="G13937" s="10"/>
      <c r="H13937" s="10"/>
      <c r="I13937" s="10"/>
      <c r="J13937" s="10"/>
      <c r="K13937" s="10"/>
    </row>
    <row r="13938" customFormat="false" ht="15" hidden="false" customHeight="false" outlineLevel="0" collapsed="false">
      <c r="A13938" s="3" t="s">
        <v>1010</v>
      </c>
      <c r="C13938" s="11" t="n">
        <v>3</v>
      </c>
    </row>
    <row r="13939" customFormat="false" ht="15" hidden="false" customHeight="false" outlineLevel="0" collapsed="false">
      <c r="A13939" s="3" t="s">
        <v>1011</v>
      </c>
      <c r="C13939" s="18" t="n">
        <v>0</v>
      </c>
    </row>
    <row r="13940" customFormat="false" ht="15" hidden="false" customHeight="false" outlineLevel="0" collapsed="false">
      <c r="A13940" s="3" t="s">
        <v>1012</v>
      </c>
      <c r="C13940" s="18" t="n">
        <v>0</v>
      </c>
    </row>
    <row r="13941" customFormat="false" ht="15" hidden="false" customHeight="false" outlineLevel="0" collapsed="false">
      <c r="A13941" s="3" t="s">
        <v>1013</v>
      </c>
      <c r="C13941" s="30" t="n">
        <f aca="false">Sensitivities!$A$50</f>
        <v>-0.01</v>
      </c>
    </row>
    <row r="13942" customFormat="false" ht="15" hidden="false" customHeight="false" outlineLevel="0" collapsed="false">
      <c r="A13942" s="3" t="s">
        <v>1014</v>
      </c>
      <c r="C13942" s="15" t="n">
        <v>0</v>
      </c>
    </row>
    <row r="13944" customFormat="false" ht="15" hidden="false" customHeight="false" outlineLevel="0" collapsed="false">
      <c r="A13944" s="23" t="s">
        <v>281</v>
      </c>
      <c r="B13944" s="24"/>
      <c r="C13944" s="24"/>
      <c r="D13944" s="24"/>
      <c r="E13944" s="24"/>
      <c r="F13944" s="24"/>
      <c r="G13944" s="24"/>
      <c r="H13944" s="24"/>
      <c r="I13944" s="24"/>
      <c r="J13944" s="24"/>
      <c r="K13944" s="24"/>
    </row>
    <row r="13945" customFormat="false" ht="15" hidden="false" customHeight="false" outlineLevel="0" collapsed="false">
      <c r="A13945" s="3" t="s">
        <v>282</v>
      </c>
      <c r="F13945" s="27" t="n">
        <f aca="false">Assumptions!$C$6</f>
        <v>2026</v>
      </c>
      <c r="G13945" s="20" t="n">
        <f aca="false">F13945+1</f>
        <v>2027</v>
      </c>
      <c r="H13945" s="20" t="n">
        <f aca="false">G13945+1</f>
        <v>2028</v>
      </c>
      <c r="I13945" s="20" t="n">
        <f aca="false">H13945+1</f>
        <v>2029</v>
      </c>
      <c r="J13945" s="20" t="n">
        <f aca="false">I13945+1</f>
        <v>2030</v>
      </c>
      <c r="K13945" s="20" t="n">
        <f aca="false">J13945+1</f>
        <v>2031</v>
      </c>
    </row>
    <row r="13946" customFormat="false" ht="15" hidden="false" customHeight="false" outlineLevel="0" collapsed="false">
      <c r="A13946" s="3" t="s">
        <v>283</v>
      </c>
      <c r="G13946" s="20" t="n">
        <f aca="false">G13945-Assumptions!$C$6</f>
        <v>1</v>
      </c>
      <c r="H13946" s="20" t="n">
        <f aca="false">H13945-Assumptions!$C$6</f>
        <v>2</v>
      </c>
      <c r="I13946" s="20" t="n">
        <f aca="false">I13945-Assumptions!$C$6</f>
        <v>3</v>
      </c>
      <c r="J13946" s="20" t="n">
        <f aca="false">J13945-Assumptions!$C$6</f>
        <v>4</v>
      </c>
      <c r="K13946" s="20" t="n">
        <f aca="false">K13945-Assumptions!$C$6</f>
        <v>5</v>
      </c>
    </row>
    <row r="13947" customFormat="false" ht="15" hidden="false" customHeight="false" outlineLevel="0" collapsed="false">
      <c r="A13947" s="3" t="s">
        <v>165</v>
      </c>
      <c r="G13947" s="21" t="n">
        <f aca="false">CHOOSE($C$13938,Assumptions!$G$71,Assumptions!$G$90,Assumptions!$G$109)+$C$13939</f>
        <v>-0.14</v>
      </c>
      <c r="H13947" s="21" t="n">
        <f aca="false">CHOOSE($C$13938,Assumptions!$H$71,Assumptions!$H$90,Assumptions!$H$109)+$C$13939</f>
        <v>-0.12</v>
      </c>
      <c r="I13947" s="21" t="n">
        <f aca="false">CHOOSE($C$13938,Assumptions!$I$71,Assumptions!$I$90,Assumptions!$I$109)+$C$13939</f>
        <v>-0.1</v>
      </c>
      <c r="J13947" s="21" t="n">
        <f aca="false">CHOOSE($C$13938,Assumptions!$J$71,Assumptions!$J$90,Assumptions!$J$109)+$C$13939</f>
        <v>-0.08</v>
      </c>
      <c r="K13947" s="21" t="n">
        <f aca="false">CHOOSE($C$13938,Assumptions!$K$71,Assumptions!$K$90,Assumptions!$K$109)+$C$13939</f>
        <v>-0.06</v>
      </c>
    </row>
    <row r="13948" customFormat="false" ht="15" hidden="false" customHeight="false" outlineLevel="0" collapsed="false">
      <c r="A13948" s="3" t="s">
        <v>166</v>
      </c>
      <c r="G13948" s="21" t="n">
        <f aca="false">CHOOSE($C$13938,Assumptions!$G$72,Assumptions!$G$91,Assumptions!$G$110)</f>
        <v>0.433246670103635</v>
      </c>
      <c r="H13948" s="21" t="n">
        <f aca="false">CHOOSE($C$13938,Assumptions!$H$72,Assumptions!$H$91,Assumptions!$H$110)</f>
        <v>0.418246670103635</v>
      </c>
      <c r="I13948" s="21" t="n">
        <f aca="false">CHOOSE($C$13938,Assumptions!$I$72,Assumptions!$I$91,Assumptions!$I$110)</f>
        <v>0.413246670103635</v>
      </c>
      <c r="J13948" s="21" t="n">
        <f aca="false">CHOOSE($C$13938,Assumptions!$J$72,Assumptions!$J$91,Assumptions!$J$110)</f>
        <v>0.413246670103635</v>
      </c>
      <c r="K13948" s="21" t="n">
        <f aca="false">CHOOSE($C$13938,Assumptions!$K$72,Assumptions!$K$91,Assumptions!$K$110)</f>
        <v>0.413246670103635</v>
      </c>
    </row>
    <row r="13949" customFormat="false" ht="15" hidden="false" customHeight="false" outlineLevel="0" collapsed="false">
      <c r="A13949" s="3" t="s">
        <v>167</v>
      </c>
      <c r="G13949" s="21" t="n">
        <f aca="false">CHOOSE($C$13938,Assumptions!$G$73,Assumptions!$G$92,Assumptions!$G$111)+$C$13940</f>
        <v>0.09</v>
      </c>
      <c r="H13949" s="21" t="n">
        <f aca="false">CHOOSE($C$13938,Assumptions!$H$73,Assumptions!$H$92,Assumptions!$H$111)+$C$13940</f>
        <v>0.075</v>
      </c>
      <c r="I13949" s="21" t="n">
        <f aca="false">CHOOSE($C$13938,Assumptions!$I$73,Assumptions!$I$92,Assumptions!$I$111)+$C$13940</f>
        <v>0.07</v>
      </c>
      <c r="J13949" s="21" t="n">
        <f aca="false">CHOOSE($C$13938,Assumptions!$J$73,Assumptions!$J$92,Assumptions!$J$111)+$C$13940</f>
        <v>0.07</v>
      </c>
      <c r="K13949" s="21" t="n">
        <f aca="false">CHOOSE($C$13938,Assumptions!$K$73,Assumptions!$K$92,Assumptions!$K$111)+$C$13940</f>
        <v>0.07</v>
      </c>
    </row>
    <row r="13950" customFormat="false" ht="15" hidden="false" customHeight="false" outlineLevel="0" collapsed="false">
      <c r="A13950" s="23" t="s">
        <v>284</v>
      </c>
      <c r="B13950" s="24"/>
      <c r="C13950" s="24"/>
      <c r="D13950" s="24"/>
      <c r="E13950" s="24"/>
      <c r="F13950" s="24"/>
      <c r="G13950" s="24"/>
      <c r="H13950" s="24"/>
      <c r="I13950" s="24"/>
      <c r="J13950" s="24"/>
      <c r="K13950" s="24"/>
    </row>
    <row r="13951" customFormat="false" ht="15" hidden="false" customHeight="false" outlineLevel="0" collapsed="false">
      <c r="A13951" s="2" t="s">
        <v>256</v>
      </c>
      <c r="F13951" s="28" t="n">
        <f aca="false">'Historical Financials'!G23</f>
        <v>2246.166</v>
      </c>
      <c r="G13951" s="16" t="n">
        <f aca="false">F13951*(1+G13947)</f>
        <v>1931.70276</v>
      </c>
      <c r="H13951" s="16" t="n">
        <f aca="false">G13951*(1+H13947)</f>
        <v>1699.8984288</v>
      </c>
      <c r="I13951" s="16" t="n">
        <f aca="false">H13951*(1+I13947)</f>
        <v>1529.90858592</v>
      </c>
      <c r="J13951" s="16" t="n">
        <f aca="false">I13951*(1+J13947)</f>
        <v>1407.5158990464</v>
      </c>
      <c r="K13951" s="16" t="n">
        <f aca="false">J13951*(1+K13947)</f>
        <v>1323.06494510362</v>
      </c>
    </row>
    <row r="13952" customFormat="false" ht="15" hidden="false" customHeight="false" outlineLevel="0" collapsed="false">
      <c r="A13952" s="3" t="s">
        <v>257</v>
      </c>
      <c r="G13952" s="25" t="n">
        <f aca="false">G13951*(1-G13948)</f>
        <v>1094.7989716</v>
      </c>
      <c r="H13952" s="25" t="n">
        <f aca="false">H13951*(1-H13948)</f>
        <v>988.92157144</v>
      </c>
      <c r="I13952" s="25" t="n">
        <f aca="false">I13951*(1-I13948)</f>
        <v>897.6789572256</v>
      </c>
      <c r="J13952" s="25" t="n">
        <f aca="false">J13951*(1-J13948)</f>
        <v>825.864640647552</v>
      </c>
      <c r="K13952" s="25" t="n">
        <f aca="false">K13951*(1-K13948)</f>
        <v>776.312762208699</v>
      </c>
    </row>
    <row r="13953" customFormat="false" ht="15" hidden="false" customHeight="false" outlineLevel="0" collapsed="false">
      <c r="A13953" s="2" t="s">
        <v>258</v>
      </c>
      <c r="G13953" s="16" t="n">
        <f aca="false">G13951-G13952</f>
        <v>836.9037884</v>
      </c>
      <c r="H13953" s="16" t="n">
        <f aca="false">H13951-H13952</f>
        <v>710.97685736</v>
      </c>
      <c r="I13953" s="16" t="n">
        <f aca="false">I13951-I13952</f>
        <v>632.2296286944</v>
      </c>
      <c r="J13953" s="16" t="n">
        <f aca="false">J13951-J13952</f>
        <v>581.651258398848</v>
      </c>
      <c r="K13953" s="16" t="n">
        <f aca="false">K13951-K13952</f>
        <v>546.752182894917</v>
      </c>
    </row>
    <row r="13954" customFormat="false" ht="15" hidden="false" customHeight="false" outlineLevel="0" collapsed="false">
      <c r="A13954" s="3" t="s">
        <v>285</v>
      </c>
      <c r="G13954" s="25" t="n">
        <f aca="false">G13953-G13955</f>
        <v>663.05054</v>
      </c>
      <c r="H13954" s="25" t="n">
        <f aca="false">H13953-H13955</f>
        <v>583.4844752</v>
      </c>
      <c r="I13954" s="25" t="n">
        <f aca="false">I13953-I13955</f>
        <v>525.13602768</v>
      </c>
      <c r="J13954" s="25" t="n">
        <f aca="false">J13953-J13955</f>
        <v>483.1251454656</v>
      </c>
      <c r="K13954" s="25" t="n">
        <f aca="false">K13953-K13955</f>
        <v>454.137636737664</v>
      </c>
    </row>
    <row r="13955" customFormat="false" ht="15" hidden="false" customHeight="false" outlineLevel="0" collapsed="false">
      <c r="A13955" s="2" t="s">
        <v>286</v>
      </c>
      <c r="G13955" s="16" t="n">
        <f aca="false">G13951*G13949</f>
        <v>173.8532484</v>
      </c>
      <c r="H13955" s="16" t="n">
        <f aca="false">H13951*H13949</f>
        <v>127.49238216</v>
      </c>
      <c r="I13955" s="16" t="n">
        <f aca="false">I13951*I13949</f>
        <v>107.0936010144</v>
      </c>
      <c r="J13955" s="16" t="n">
        <f aca="false">J13951*J13949</f>
        <v>98.526112933248</v>
      </c>
      <c r="K13955" s="16" t="n">
        <f aca="false">K13951*K13949</f>
        <v>92.6145461572531</v>
      </c>
    </row>
    <row r="13956" customFormat="false" ht="15" hidden="false" customHeight="false" outlineLevel="0" collapsed="false">
      <c r="A13956" s="3" t="s">
        <v>287</v>
      </c>
      <c r="G13956" s="25" t="n">
        <f aca="false">G13951*'Historical Financials'!G28/'Historical Financials'!G23</f>
        <v>73.35456</v>
      </c>
      <c r="H13956" s="25" t="n">
        <f aca="false">H13951*'Historical Financials'!G28/'Historical Financials'!G23</f>
        <v>64.5520128</v>
      </c>
      <c r="I13956" s="25" t="n">
        <f aca="false">I13951*'Historical Financials'!G28/'Historical Financials'!G23</f>
        <v>58.09681152</v>
      </c>
      <c r="J13956" s="25" t="n">
        <f aca="false">J13951*'Historical Financials'!G28/'Historical Financials'!G23</f>
        <v>53.4490665984</v>
      </c>
      <c r="K13956" s="25" t="n">
        <f aca="false">K13951*'Historical Financials'!G28/'Historical Financials'!G23</f>
        <v>50.242122602496</v>
      </c>
    </row>
    <row r="13957" customFormat="false" ht="15" hidden="false" customHeight="false" outlineLevel="0" collapsed="false">
      <c r="A13957" s="3" t="s">
        <v>288</v>
      </c>
      <c r="G13957" s="25" t="n">
        <f aca="false">G13951*'Historical Financials'!G29/'Historical Financials'!G23</f>
        <v>20.94616</v>
      </c>
      <c r="H13957" s="25" t="n">
        <f aca="false">H13951*'Historical Financials'!G29/'Historical Financials'!G23</f>
        <v>18.4326208</v>
      </c>
      <c r="I13957" s="25" t="n">
        <f aca="false">I13951*'Historical Financials'!G29/'Historical Financials'!G23</f>
        <v>16.58935872</v>
      </c>
      <c r="J13957" s="25" t="n">
        <f aca="false">J13951*'Historical Financials'!G29/'Historical Financials'!G23</f>
        <v>15.2622100224</v>
      </c>
      <c r="K13957" s="25" t="n">
        <f aca="false">K13951*'Historical Financials'!G29/'Historical Financials'!G23</f>
        <v>14.346477421056</v>
      </c>
    </row>
    <row r="13958" customFormat="false" ht="15" hidden="false" customHeight="false" outlineLevel="0" collapsed="false">
      <c r="A13958" s="2" t="s">
        <v>289</v>
      </c>
      <c r="G13958" s="16" t="n">
        <f aca="false">G13955-G13956-G13957</f>
        <v>79.5525284</v>
      </c>
      <c r="H13958" s="16" t="n">
        <f aca="false">H13955-H13956-H13957</f>
        <v>44.50774856</v>
      </c>
      <c r="I13958" s="16" t="n">
        <f aca="false">I13955-I13956-I13957</f>
        <v>32.4074307744</v>
      </c>
      <c r="J13958" s="16" t="n">
        <f aca="false">J13955-J13956-J13957</f>
        <v>29.814836312448</v>
      </c>
      <c r="K13958" s="16" t="n">
        <f aca="false">K13955-K13956-K13957</f>
        <v>28.0259461337011</v>
      </c>
    </row>
    <row r="13959" customFormat="false" ht="15" hidden="false" customHeight="false" outlineLevel="0" collapsed="false">
      <c r="A13959" s="3" t="s">
        <v>290</v>
      </c>
      <c r="G13959" s="25" t="n">
        <f aca="false">G13985+G13998+G14011</f>
        <v>155.95467</v>
      </c>
      <c r="H13959" s="25" t="n">
        <f aca="false">H13985+H13998+H14011</f>
        <v>155.95467</v>
      </c>
      <c r="I13959" s="25" t="n">
        <f aca="false">I13985+I13998+I14011</f>
        <v>155.95467</v>
      </c>
      <c r="J13959" s="25" t="n">
        <f aca="false">J13985+J13998+J14011</f>
        <v>144.463861384154</v>
      </c>
      <c r="K13959" s="25" t="n">
        <f aca="false">K13985+K13998+K14011</f>
        <v>144.463861384154</v>
      </c>
    </row>
    <row r="13960" customFormat="false" ht="15" hidden="false" customHeight="false" outlineLevel="0" collapsed="false">
      <c r="A13960" s="3" t="s">
        <v>291</v>
      </c>
      <c r="G13960" s="25" t="n">
        <f aca="false">G13986+G13999+G14012</f>
        <v>0</v>
      </c>
      <c r="H13960" s="25" t="n">
        <f aca="false">H13986+H13999+H14012</f>
        <v>0</v>
      </c>
      <c r="I13960" s="25" t="n">
        <f aca="false">I13986+I13999+I14012</f>
        <v>0</v>
      </c>
      <c r="J13960" s="25" t="n">
        <f aca="false">J13986+J13999+J14012</f>
        <v>0</v>
      </c>
      <c r="K13960" s="25" t="n">
        <f aca="false">K13986+K13999+K14012</f>
        <v>0</v>
      </c>
    </row>
    <row r="13961" customFormat="false" ht="15" hidden="false" customHeight="false" outlineLevel="0" collapsed="false">
      <c r="A13961" s="3" t="s">
        <v>239</v>
      </c>
      <c r="G13961" s="25" t="n">
        <f aca="false">G13959+G13960</f>
        <v>155.95467</v>
      </c>
      <c r="H13961" s="25" t="n">
        <f aca="false">H13959+H13960</f>
        <v>155.95467</v>
      </c>
      <c r="I13961" s="25" t="n">
        <f aca="false">I13959+I13960</f>
        <v>155.95467</v>
      </c>
      <c r="J13961" s="25" t="n">
        <f aca="false">J13959+J13960</f>
        <v>144.463861384154</v>
      </c>
      <c r="K13961" s="25" t="n">
        <f aca="false">K13959+K13960</f>
        <v>144.463861384154</v>
      </c>
    </row>
    <row r="13962" customFormat="false" ht="15" hidden="false" customHeight="false" outlineLevel="0" collapsed="false">
      <c r="A13962" s="2" t="s">
        <v>264</v>
      </c>
      <c r="G13962" s="16" t="n">
        <f aca="false">G13958-G13961</f>
        <v>-76.4021416</v>
      </c>
      <c r="H13962" s="16" t="n">
        <f aca="false">H13958-H13961</f>
        <v>-111.44692144</v>
      </c>
      <c r="I13962" s="16" t="n">
        <f aca="false">I13958-I13961</f>
        <v>-123.5472392256</v>
      </c>
      <c r="J13962" s="16" t="n">
        <f aca="false">J13958-J13961</f>
        <v>-114.649025071706</v>
      </c>
      <c r="K13962" s="16" t="n">
        <f aca="false">K13958-K13961</f>
        <v>-116.437915250452</v>
      </c>
    </row>
    <row r="13963" customFormat="false" ht="15" hidden="false" customHeight="false" outlineLevel="0" collapsed="false">
      <c r="A13963" s="3" t="s">
        <v>292</v>
      </c>
      <c r="G13963" s="25" t="n">
        <f aca="false">MAX(0,G13962)*Assumptions!$C$9</f>
        <v>0</v>
      </c>
      <c r="H13963" s="25" t="n">
        <f aca="false">MAX(0,H13962)*Assumptions!$C$9</f>
        <v>0</v>
      </c>
      <c r="I13963" s="25" t="n">
        <f aca="false">MAX(0,I13962)*Assumptions!$C$9</f>
        <v>0</v>
      </c>
      <c r="J13963" s="25" t="n">
        <f aca="false">MAX(0,J13962)*Assumptions!$C$9</f>
        <v>0</v>
      </c>
      <c r="K13963" s="25" t="n">
        <f aca="false">MAX(0,K13962)*Assumptions!$C$9</f>
        <v>0</v>
      </c>
    </row>
    <row r="13964" customFormat="false" ht="15" hidden="false" customHeight="false" outlineLevel="0" collapsed="false">
      <c r="A13964" s="2" t="s">
        <v>293</v>
      </c>
      <c r="G13964" s="16" t="n">
        <f aca="false">G13962-G13963</f>
        <v>-76.4021416</v>
      </c>
      <c r="H13964" s="16" t="n">
        <f aca="false">H13962-H13963</f>
        <v>-111.44692144</v>
      </c>
      <c r="I13964" s="16" t="n">
        <f aca="false">I13962-I13963</f>
        <v>-123.5472392256</v>
      </c>
      <c r="J13964" s="16" t="n">
        <f aca="false">J13962-J13963</f>
        <v>-114.649025071706</v>
      </c>
      <c r="K13964" s="16" t="n">
        <f aca="false">K13962-K13963</f>
        <v>-116.437915250452</v>
      </c>
    </row>
    <row r="13965" customFormat="false" ht="15" hidden="false" customHeight="false" outlineLevel="0" collapsed="false">
      <c r="A13965" s="23" t="s">
        <v>294</v>
      </c>
      <c r="B13965" s="24"/>
      <c r="C13965" s="24"/>
      <c r="D13965" s="24"/>
      <c r="E13965" s="24"/>
      <c r="F13965" s="24"/>
      <c r="G13965" s="24"/>
      <c r="H13965" s="24"/>
      <c r="I13965" s="24"/>
      <c r="J13965" s="24"/>
      <c r="K13965" s="24"/>
    </row>
    <row r="13966" customFormat="false" ht="15" hidden="false" customHeight="false" outlineLevel="0" collapsed="false">
      <c r="A13966" s="3" t="s">
        <v>169</v>
      </c>
      <c r="G13966" s="25" t="n">
        <f aca="false">G13951*CHOOSE($C$13938,Assumptions!$C$75,Assumptions!$C$94,Assumptions!$C$113)</f>
        <v>21.24873036</v>
      </c>
      <c r="H13966" s="25" t="n">
        <f aca="false">H13951*CHOOSE($C$13938,Assumptions!$C$75,Assumptions!$C$94,Assumptions!$C$113)</f>
        <v>18.6988827168</v>
      </c>
      <c r="I13966" s="25" t="n">
        <f aca="false">I13951*CHOOSE($C$13938,Assumptions!$C$75,Assumptions!$C$94,Assumptions!$C$113)</f>
        <v>16.82899444512</v>
      </c>
      <c r="J13966" s="25" t="n">
        <f aca="false">J13951*CHOOSE($C$13938,Assumptions!$C$75,Assumptions!$C$94,Assumptions!$C$113)</f>
        <v>15.4826748895104</v>
      </c>
      <c r="K13966" s="25" t="n">
        <f aca="false">K13951*CHOOSE($C$13938,Assumptions!$C$75,Assumptions!$C$94,Assumptions!$C$113)</f>
        <v>14.5537143961398</v>
      </c>
    </row>
    <row r="13967" customFormat="false" ht="15" hidden="false" customHeight="false" outlineLevel="0" collapsed="false">
      <c r="A13967" s="3" t="s">
        <v>295</v>
      </c>
      <c r="G13967" s="25" t="n">
        <f aca="false">CHOOSE($C$13938,Assumptions!$C$76,Assumptions!$C$95,Assumptions!$C$114)*(G13951-F13951)+CHOOSE($C$13938,Assumptions!$C$77,Assumptions!$C$96,Assumptions!$C$115)*G13951</f>
        <v>28.9755414</v>
      </c>
      <c r="H13967" s="25" t="n">
        <f aca="false">CHOOSE($C$13938,Assumptions!$C$76,Assumptions!$C$95,Assumptions!$C$114)*(H13951-G13951)+CHOOSE($C$13938,Assumptions!$C$77,Assumptions!$C$96,Assumptions!$C$115)*H13951</f>
        <v>25.498476432</v>
      </c>
      <c r="I13967" s="25" t="n">
        <f aca="false">CHOOSE($C$13938,Assumptions!$C$76,Assumptions!$C$95,Assumptions!$C$114)*(I13951-H13951)+CHOOSE($C$13938,Assumptions!$C$77,Assumptions!$C$96,Assumptions!$C$115)*I13951</f>
        <v>22.9486287888</v>
      </c>
      <c r="J13967" s="25" t="n">
        <f aca="false">CHOOSE($C$13938,Assumptions!$C$76,Assumptions!$C$95,Assumptions!$C$114)*(J13951-I13951)+CHOOSE($C$13938,Assumptions!$C$77,Assumptions!$C$96,Assumptions!$C$115)*J13951</f>
        <v>21.112738485696</v>
      </c>
      <c r="K13967" s="25" t="n">
        <f aca="false">CHOOSE($C$13938,Assumptions!$C$76,Assumptions!$C$95,Assumptions!$C$114)*(K13951-J13951)+CHOOSE($C$13938,Assumptions!$C$77,Assumptions!$C$96,Assumptions!$C$115)*K13951</f>
        <v>19.8459741765542</v>
      </c>
    </row>
    <row r="13968" customFormat="false" ht="15" hidden="false" customHeight="false" outlineLevel="0" collapsed="false">
      <c r="A13968" s="2" t="s">
        <v>296</v>
      </c>
      <c r="G13968" s="16" t="n">
        <f aca="false">G13964+G13956+G13957+G13960-G13966-G13967</f>
        <v>-32.32569336</v>
      </c>
      <c r="H13968" s="16" t="n">
        <f aca="false">H13964+H13956+H13957+H13960-H13966-H13967</f>
        <v>-72.6596469888</v>
      </c>
      <c r="I13968" s="16" t="n">
        <f aca="false">I13964+I13956+I13957+I13960-I13966-I13967</f>
        <v>-88.63869221952</v>
      </c>
      <c r="J13968" s="16" t="n">
        <f aca="false">J13964+J13956+J13957+J13960-J13966-J13967</f>
        <v>-82.533161826112</v>
      </c>
      <c r="K13968" s="16" t="n">
        <f aca="false">K13964+K13956+K13957+K13960-K13966-K13967</f>
        <v>-86.2490037995945</v>
      </c>
    </row>
    <row r="13970" customFormat="false" ht="15" hidden="false" customHeight="false" outlineLevel="0" collapsed="false">
      <c r="A13970" s="23" t="s">
        <v>298</v>
      </c>
      <c r="B13970" s="24"/>
      <c r="C13970" s="24"/>
      <c r="D13970" s="24"/>
      <c r="E13970" s="24"/>
      <c r="F13970" s="24"/>
      <c r="G13970" s="24"/>
      <c r="H13970" s="24"/>
      <c r="I13970" s="24"/>
      <c r="J13970" s="24"/>
      <c r="K13970" s="24"/>
    </row>
    <row r="13971" customFormat="false" ht="15" hidden="false" customHeight="false" outlineLevel="0" collapsed="false">
      <c r="A13971" s="3" t="s">
        <v>299</v>
      </c>
      <c r="G13971" s="30" t="n">
        <f aca="false">Assumptions!$G$52</f>
        <v>0.039</v>
      </c>
      <c r="H13971" s="30" t="n">
        <f aca="false">Assumptions!$H$52</f>
        <v>0.0375</v>
      </c>
      <c r="I13971" s="30" t="n">
        <f aca="false">Assumptions!$I$52</f>
        <v>0.035</v>
      </c>
      <c r="J13971" s="30" t="n">
        <f aca="false">Assumptions!$J$52</f>
        <v>0.035</v>
      </c>
      <c r="K13971" s="30" t="n">
        <f aca="false">Assumptions!$K$52</f>
        <v>0.035</v>
      </c>
    </row>
    <row r="13972" customFormat="false" ht="15" hidden="false" customHeight="false" outlineLevel="0" collapsed="false">
      <c r="A13972" s="3" t="s">
        <v>300</v>
      </c>
      <c r="C13972" s="31" t="n">
        <f aca="false">CHOOSE($C$13938,Assumptions!$C$78,Assumptions!$C$97,Assumptions!$C$116)+$C$13941</f>
        <v>0.02</v>
      </c>
    </row>
    <row r="13973" customFormat="false" ht="15" hidden="false" customHeight="false" outlineLevel="0" collapsed="false">
      <c r="A13973" s="3" t="s">
        <v>301</v>
      </c>
      <c r="C13973" s="31" t="n">
        <f aca="false">CHOOSE($C$13938,Assumptions!$C$79,Assumptions!$C$98,Assumptions!$C$117)</f>
        <v>0.15</v>
      </c>
    </row>
    <row r="13974" customFormat="false" ht="15" hidden="false" customHeight="false" outlineLevel="0" collapsed="false">
      <c r="A13974" s="3" t="s">
        <v>302</v>
      </c>
      <c r="C13974" s="32" t="n">
        <f aca="false">CHOOSE($C$13938,Assumptions!$C$80,Assumptions!$C$99,Assumptions!$C$118)</f>
        <v>5</v>
      </c>
    </row>
    <row r="13975" customFormat="false" ht="15" hidden="false" customHeight="false" outlineLevel="0" collapsed="false">
      <c r="A13975" s="3" t="s">
        <v>303</v>
      </c>
      <c r="C13975" s="32" t="n">
        <f aca="false">CHOOSE($C$13938,Assumptions!$C$81,Assumptions!$C$100,Assumptions!$C$119)</f>
        <v>1.75</v>
      </c>
    </row>
    <row r="13976" customFormat="false" ht="15" hidden="false" customHeight="false" outlineLevel="0" collapsed="false">
      <c r="A13976" s="3" t="s">
        <v>304</v>
      </c>
      <c r="G13976" s="25" t="n">
        <f aca="false">G13981+G13994+G14007</f>
        <v>1735.554</v>
      </c>
      <c r="H13976" s="25" t="n">
        <f aca="false">H13981+H13994+H14007</f>
        <v>1735.554</v>
      </c>
      <c r="I13976" s="25" t="n">
        <f aca="false">I13981+I13994+I14007</f>
        <v>1735.554</v>
      </c>
      <c r="J13976" s="25" t="n">
        <f aca="false">J13981+J13994+J14007</f>
        <v>1465.18203256832</v>
      </c>
      <c r="K13976" s="25" t="n">
        <f aca="false">K13981+K13994+K14007</f>
        <v>1465.18203256832</v>
      </c>
    </row>
    <row r="13977" customFormat="false" ht="15" hidden="false" customHeight="false" outlineLevel="0" collapsed="false">
      <c r="A13977" s="3" t="s">
        <v>305</v>
      </c>
      <c r="G13977" s="25" t="n">
        <f aca="false">F14050</f>
        <v>463.996</v>
      </c>
      <c r="H13977" s="25" t="n">
        <f aca="false">G14050</f>
        <v>431.67030664</v>
      </c>
      <c r="I13977" s="25" t="n">
        <f aca="false">H14050</f>
        <v>359.0106596512</v>
      </c>
      <c r="J13977" s="25" t="n">
        <f aca="false">I14050</f>
        <v>0</v>
      </c>
      <c r="K13977" s="25" t="n">
        <f aca="false">J14050</f>
        <v>-82.533161826112</v>
      </c>
    </row>
    <row r="13978" customFormat="false" ht="15" hidden="false" customHeight="false" outlineLevel="0" collapsed="false">
      <c r="A13978" s="3" t="s">
        <v>306</v>
      </c>
      <c r="G13978" s="25" t="n">
        <f aca="false">G13981*IF(G13982=1,$C$13973,IF(Assumptions!$I$56=1,MAX(G13971,Assumptions!$G$56)+Assumptions!$F$56+$C$13972,Assumptions!$E$56))+G13994*IF(G13995=1,$C$13973,IF(Assumptions!$I$57=1,MAX(G13971,Assumptions!$G$57)+Assumptions!$F$57+$C$13972,Assumptions!$E$57))+G14007*IF(G14008=1,$C$13973,IF(Assumptions!$I$58=1,MAX(G13971,Assumptions!$G$58)+Assumptions!$F$58+$C$13972,Assumptions!$E$58))</f>
        <v>155.95467</v>
      </c>
      <c r="H13978" s="25" t="n">
        <f aca="false">H13981*IF(OR(H13982=1,G14128=1),$C$13973,IF(Assumptions!$I$56=1,MAX(H13971,Assumptions!$G$56)+Assumptions!$F$56+$C$13972,Assumptions!$E$56))+H13994*IF(OR(H13995=1,G14129=1),$C$13973,IF(Assumptions!$I$57=1,MAX(H13971,Assumptions!$G$57)+Assumptions!$F$57+$C$13972,Assumptions!$E$57))+H14007*IF(OR(H14008=1,G14130=1),$C$13973,IF(Assumptions!$I$58=1,MAX(H13971,Assumptions!$G$58)+Assumptions!$F$58+$C$13972,Assumptions!$E$58))</f>
        <v>155.95467</v>
      </c>
      <c r="I13978" s="25" t="n">
        <f aca="false">I13981*IF(OR(I13982=1,H14128=1),$C$13973,IF(Assumptions!$I$56=1,MAX(I13971,Assumptions!$G$56)+Assumptions!$F$56+$C$13972,Assumptions!$E$56))+I13994*IF(OR(I13995=1,H14129=1),$C$13973,IF(Assumptions!$I$57=1,MAX(I13971,Assumptions!$G$57)+Assumptions!$F$57+$C$13972,Assumptions!$E$57))+I14007*IF(OR(I14008=1,H14130=1),$C$13973,IF(Assumptions!$I$58=1,MAX(I13971,Assumptions!$G$58)+Assumptions!$F$58+$C$13972,Assumptions!$E$58))</f>
        <v>201.15369</v>
      </c>
      <c r="J13978" s="25" t="n">
        <f aca="false">J13981*IF(OR(J13982=1,I14128=1),$C$13973,IF(Assumptions!$I$56=1,MAX(J13971,Assumptions!$G$56)+Assumptions!$F$56+$C$13972,Assumptions!$E$56))+J13994*IF(OR(J13995=1,I14129=1),$C$13973,IF(Assumptions!$I$57=1,MAX(J13971,Assumptions!$G$57)+Assumptions!$F$57+$C$13972,Assumptions!$E$57))+J14007*IF(OR(J14008=1,I14130=1),$C$13973,IF(Assumptions!$I$58=1,MAX(J13971,Assumptions!$G$58)+Assumptions!$F$58+$C$13972,Assumptions!$E$58))</f>
        <v>144.463861384154</v>
      </c>
      <c r="K13978" s="25" t="n">
        <f aca="false">K13981*IF(OR(K13982=1,J14128=1),$C$13973,IF(Assumptions!$I$56=1,MAX(K13971,Assumptions!$G$56)+Assumptions!$F$56+$C$13972,Assumptions!$E$56))+K13994*IF(OR(K13995=1,J14129=1),$C$13973,IF(Assumptions!$I$57=1,MAX(K13971,Assumptions!$G$57)+Assumptions!$F$57+$C$13972,Assumptions!$E$57))+K14007*IF(OR(K14008=1,J14130=1),$C$13973,IF(Assumptions!$I$58=1,MAX(K13971,Assumptions!$G$58)+Assumptions!$F$58+$C$13972,Assumptions!$E$58))</f>
        <v>144.463861384154</v>
      </c>
    </row>
    <row r="13979" customFormat="false" ht="15" hidden="false" customHeight="false" outlineLevel="0" collapsed="false">
      <c r="A13979" s="3" t="s">
        <v>307</v>
      </c>
      <c r="G13979" s="20" t="n">
        <f aca="false">IF(G13955&lt;=0,0,IF(AND((G13976-G13977)/G13955&lt;=$C$13974,G13955/G13978&gt;=$C$13975),1,0))</f>
        <v>0</v>
      </c>
      <c r="H13979" s="20" t="n">
        <f aca="false">IF(H13955&lt;=0,0,IF(AND((H13976-H13977)/H13955&lt;=$C$13974,H13955/H13978&gt;=$C$13975),1,0))</f>
        <v>0</v>
      </c>
      <c r="I13979" s="20" t="n">
        <f aca="false">IF(I13955&lt;=0,0,IF(AND((I13976-I13977)/I13955&lt;=$C$13974,I13955/I13978&gt;=$C$13975),1,0))</f>
        <v>0</v>
      </c>
      <c r="J13979" s="20" t="n">
        <f aca="false">IF(J13955&lt;=0,0,IF(AND((J13976-J13977)/J13955&lt;=$C$13974,J13955/J13978&gt;=$C$13975),1,0))</f>
        <v>0</v>
      </c>
      <c r="K13979" s="20" t="n">
        <f aca="false">IF(K13955&lt;=0,0,IF(AND((K13976-K13977)/K13955&lt;=$C$13974,K13955/K13978&gt;=$C$13975),1,0))</f>
        <v>0</v>
      </c>
    </row>
    <row r="13980" customFormat="false" ht="15" hidden="false" customHeight="false" outlineLevel="0" collapsed="false">
      <c r="A13980" s="23" t="s">
        <v>308</v>
      </c>
      <c r="B13980" s="24"/>
      <c r="C13980" s="24"/>
      <c r="D13980" s="24"/>
      <c r="E13980" s="24"/>
      <c r="F13980" s="24"/>
      <c r="G13980" s="24"/>
      <c r="H13980" s="24"/>
      <c r="I13980" s="24"/>
      <c r="J13980" s="24"/>
      <c r="K13980" s="24"/>
    </row>
    <row r="13981" customFormat="false" ht="15" hidden="false" customHeight="false" outlineLevel="0" collapsed="false">
      <c r="A13981" s="3" t="s">
        <v>309</v>
      </c>
      <c r="G13981" s="25" t="n">
        <f aca="false">F13992</f>
        <v>1315.098</v>
      </c>
      <c r="H13981" s="25" t="n">
        <f aca="false">G13992</f>
        <v>1315.098</v>
      </c>
      <c r="I13981" s="25" t="n">
        <f aca="false">H13992</f>
        <v>1315.098</v>
      </c>
      <c r="J13981" s="25" t="n">
        <f aca="false">I13992</f>
        <v>1315.098</v>
      </c>
      <c r="K13981" s="25" t="n">
        <f aca="false">J13992</f>
        <v>1315.098</v>
      </c>
    </row>
    <row r="13982" customFormat="false" ht="15" hidden="false" customHeight="false" outlineLevel="0" collapsed="false">
      <c r="A13982" s="3" t="s">
        <v>310</v>
      </c>
      <c r="G13982" s="20" t="n">
        <f aca="false">IF(G13945=Assumptions!$K$56,1,0)</f>
        <v>0</v>
      </c>
      <c r="H13982" s="20" t="n">
        <f aca="false">IF(H13945=Assumptions!$K$56,1,0)</f>
        <v>0</v>
      </c>
      <c r="I13982" s="20" t="n">
        <f aca="false">IF(I13945=Assumptions!$K$56,1,0)</f>
        <v>0</v>
      </c>
      <c r="J13982" s="20" t="n">
        <f aca="false">IF(J13945=Assumptions!$K$56,1,0)</f>
        <v>0</v>
      </c>
      <c r="K13982" s="20" t="n">
        <f aca="false">IF(K13945=Assumptions!$K$56,1,0)</f>
        <v>0</v>
      </c>
    </row>
    <row r="13984" customFormat="false" ht="15" hidden="false" customHeight="false" outlineLevel="0" collapsed="false">
      <c r="A13984" s="3" t="s">
        <v>311</v>
      </c>
      <c r="G13984" s="31" t="n">
        <f aca="false">IF(Assumptions!$I$56=1,MAX(G13971,Assumptions!$G$56)+Assumptions!$F$56+$C$13972,Assumptions!$E$56)</f>
        <v>0.105</v>
      </c>
      <c r="H13984" s="31" t="n">
        <f aca="false">IF(G14128=1,$C$13973,IF(Assumptions!$I$56=1,MAX(H13971,Assumptions!$G$56)+Assumptions!$F$56+$C$13972,Assumptions!$E$56))</f>
        <v>0.105</v>
      </c>
      <c r="I13984" s="31" t="n">
        <f aca="false">IF(H14128=1,$C$13973,IF(Assumptions!$I$56=1,MAX(I13971,Assumptions!$G$56)+Assumptions!$F$56+$C$13972,Assumptions!$E$56))</f>
        <v>0.105</v>
      </c>
      <c r="J13984" s="31" t="n">
        <f aca="false">IF(I14128=1,$C$13973,IF(Assumptions!$I$56=1,MAX(J13971,Assumptions!$G$56)+Assumptions!$F$56+$C$13972,Assumptions!$E$56))</f>
        <v>0.105</v>
      </c>
      <c r="K13984" s="31" t="n">
        <f aca="false">IF(J14128=1,$C$13973,IF(Assumptions!$I$56=1,MAX(K13971,Assumptions!$G$56)+Assumptions!$F$56+$C$13972,Assumptions!$E$56))</f>
        <v>0.105</v>
      </c>
    </row>
    <row r="13985" customFormat="false" ht="15" hidden="false" customHeight="false" outlineLevel="0" collapsed="false">
      <c r="A13985" s="3" t="s">
        <v>312</v>
      </c>
      <c r="G13985" s="25" t="n">
        <f aca="false">G13981*G13984</f>
        <v>138.08529</v>
      </c>
      <c r="H13985" s="25" t="n">
        <f aca="false">H13981*H13984</f>
        <v>138.08529</v>
      </c>
      <c r="I13985" s="25" t="n">
        <f aca="false">I13981*I13984</f>
        <v>138.08529</v>
      </c>
      <c r="J13985" s="25" t="n">
        <f aca="false">J13981*J13984</f>
        <v>138.08529</v>
      </c>
      <c r="K13985" s="25" t="n">
        <f aca="false">K13981*K13984</f>
        <v>138.08529</v>
      </c>
    </row>
    <row r="13986" customFormat="false" ht="15" hidden="false" customHeight="false" outlineLevel="0" collapsed="false">
      <c r="A13986" s="3" t="s">
        <v>313</v>
      </c>
      <c r="G13986" s="25" t="n">
        <f aca="false">G13981*Assumptions!$H$56</f>
        <v>0</v>
      </c>
      <c r="H13986" s="25" t="n">
        <f aca="false">H13981*Assumptions!$H$56</f>
        <v>0</v>
      </c>
      <c r="I13986" s="25" t="n">
        <f aca="false">I13981*Assumptions!$H$56</f>
        <v>0</v>
      </c>
      <c r="J13986" s="25" t="n">
        <f aca="false">J13981*Assumptions!$H$56</f>
        <v>0</v>
      </c>
      <c r="K13986" s="25" t="n">
        <f aca="false">K13981*Assumptions!$H$56</f>
        <v>0</v>
      </c>
    </row>
    <row r="13987" customFormat="false" ht="15" hidden="false" customHeight="false" outlineLevel="0" collapsed="false">
      <c r="A13987" s="3" t="s">
        <v>314</v>
      </c>
      <c r="G13987" s="25" t="n">
        <f aca="false">MIN(G13981,Assumptions!$L$56*Assumptions!$C$56)</f>
        <v>0</v>
      </c>
      <c r="H13987" s="25" t="n">
        <f aca="false">MIN(H13981,Assumptions!$L$56*Assumptions!$C$56)</f>
        <v>0</v>
      </c>
      <c r="I13987" s="25" t="n">
        <f aca="false">MIN(I13981,Assumptions!$L$56*Assumptions!$C$56)</f>
        <v>0</v>
      </c>
      <c r="J13987" s="25" t="n">
        <f aca="false">MIN(J13981,Assumptions!$L$56*Assumptions!$C$56)</f>
        <v>0</v>
      </c>
      <c r="K13987" s="25" t="n">
        <f aca="false">MIN(K13981,Assumptions!$L$56*Assumptions!$C$56)</f>
        <v>0</v>
      </c>
    </row>
    <row r="13988" customFormat="false" ht="15" hidden="false" customHeight="false" outlineLevel="0" collapsed="false">
      <c r="A13988" s="3" t="s">
        <v>315</v>
      </c>
      <c r="G13988" s="25" t="n">
        <f aca="false">IF(AND(Assumptions!$P$56=1,G13945&lt;Assumptions!$K$56),MIN(MAX(0,-G14042),MAX(0,Assumptions!$D$56-G13981)),0)</f>
        <v>0</v>
      </c>
      <c r="H13988" s="25" t="n">
        <f aca="false">IF(AND(Assumptions!$P$56=1,OR(H13945&lt;Assumptions!$K$56,G14128=1)),MIN(MAX(0,-H14042),MAX(0,Assumptions!$D$56-H13981)),0)</f>
        <v>0</v>
      </c>
      <c r="I13988" s="25" t="n">
        <f aca="false">IF(AND(Assumptions!$P$56=1,OR(I13945&lt;Assumptions!$K$56,H14128=1)),MIN(MAX(0,-I14042),MAX(0,Assumptions!$D$56-I13981)),0)</f>
        <v>0</v>
      </c>
      <c r="J13988" s="25" t="n">
        <f aca="false">IF(AND(Assumptions!$P$56=1,OR(J13945&lt;Assumptions!$K$56,I14128=1)),MIN(MAX(0,-J14042),MAX(0,Assumptions!$D$56-J13981)),0)</f>
        <v>0</v>
      </c>
      <c r="K13988" s="25" t="n">
        <f aca="false">IF(AND(Assumptions!$P$56=1,OR(K13945&lt;Assumptions!$K$56,J14128=1)),MIN(MAX(0,-K14042),MAX(0,Assumptions!$D$56-K13981)),0)</f>
        <v>0</v>
      </c>
    </row>
    <row r="13989" customFormat="false" ht="15" hidden="false" customHeight="false" outlineLevel="0" collapsed="false">
      <c r="A13989" s="3" t="s">
        <v>316</v>
      </c>
      <c r="G13989" s="25" t="n">
        <f aca="false">G13982*MIN(G13981-G13987+G13986,MAX(0,G14044-Assumptions!$C$12*G13979))</f>
        <v>0</v>
      </c>
      <c r="H13989" s="25" t="n">
        <f aca="false">H13982*MIN(H13981-H13987+H13986,MAX(0,H14044-Assumptions!$C$12*H13979))</f>
        <v>0</v>
      </c>
      <c r="I13989" s="25" t="n">
        <f aca="false">I13982*MIN(I13981-I13987+I13986,MAX(0,I14044-Assumptions!$C$12*I13979))</f>
        <v>0</v>
      </c>
      <c r="J13989" s="25" t="n">
        <f aca="false">J13982*MIN(J13981-J13987+J13986,MAX(0,J14044-Assumptions!$C$12*J13979))</f>
        <v>0</v>
      </c>
      <c r="K13989" s="25" t="n">
        <f aca="false">K13982*MIN(K13981-K13987+K13986,MAX(0,K14044-Assumptions!$C$12*K13979))</f>
        <v>0</v>
      </c>
    </row>
    <row r="13990" customFormat="false" ht="15" hidden="false" customHeight="false" outlineLevel="0" collapsed="false">
      <c r="A13990" s="3" t="s">
        <v>317</v>
      </c>
      <c r="G13990" s="25" t="n">
        <f aca="false">Assumptions!$N$56*MIN(G13981+G13988+G13986-G13987-G13989,MAX(0,G14048))</f>
        <v>0</v>
      </c>
      <c r="H13990" s="25" t="n">
        <f aca="false">Assumptions!$N$56*MIN(H13981+H13988+H13986-H13987-H13989,MAX(0,H14048))</f>
        <v>0</v>
      </c>
      <c r="I13990" s="25" t="n">
        <f aca="false">Assumptions!$N$56*MIN(I13981+I13988+I13986-I13987-I13989,MAX(0,I14048))</f>
        <v>0</v>
      </c>
      <c r="J13990" s="25" t="n">
        <f aca="false">Assumptions!$N$56*MIN(J13981+J13988+J13986-J13987-J13989,MAX(0,J14048))</f>
        <v>0</v>
      </c>
      <c r="K13990" s="25" t="n">
        <f aca="false">Assumptions!$N$56*MIN(K13981+K13988+K13986-K13987-K13989,MAX(0,K14048))</f>
        <v>0</v>
      </c>
    </row>
    <row r="13991" customFormat="false" ht="15" hidden="false" customHeight="false" outlineLevel="0" collapsed="false">
      <c r="A13991" s="3" t="s">
        <v>318</v>
      </c>
      <c r="G13991" s="25" t="n">
        <f aca="false">G13982*(1-G13979)*(G13981-G13987+G13986-G13989)</f>
        <v>0</v>
      </c>
      <c r="H13991" s="25" t="n">
        <f aca="false">H13982*(1-H13979)*(H13981-H13987+H13986-H13989)</f>
        <v>0</v>
      </c>
      <c r="I13991" s="25" t="n">
        <f aca="false">I13982*(1-I13979)*(I13981-I13987+I13986-I13989)</f>
        <v>0</v>
      </c>
      <c r="J13991" s="25" t="n">
        <f aca="false">J13982*(1-J13979)*(J13981-J13987+J13986-J13989)</f>
        <v>0</v>
      </c>
      <c r="K13991" s="25" t="n">
        <f aca="false">K13982*(1-K13979)*(K13981-K13987+K13986-K13989)</f>
        <v>0</v>
      </c>
    </row>
    <row r="13992" customFormat="false" ht="15" hidden="false" customHeight="false" outlineLevel="0" collapsed="false">
      <c r="A13992" s="2" t="s">
        <v>319</v>
      </c>
      <c r="F13992" s="28" t="n">
        <f aca="false">Assumptions!$C$56</f>
        <v>1315.098</v>
      </c>
      <c r="G13992" s="16" t="n">
        <f aca="false">G13981+G13988+G13986-G13987-G13989-G13990</f>
        <v>1315.098</v>
      </c>
      <c r="H13992" s="16" t="n">
        <f aca="false">H13981+H13988+H13986-H13987-H13989-H13990</f>
        <v>1315.098</v>
      </c>
      <c r="I13992" s="16" t="n">
        <f aca="false">I13981+I13988+I13986-I13987-I13989-I13990</f>
        <v>1315.098</v>
      </c>
      <c r="J13992" s="16" t="n">
        <f aca="false">J13981+J13988+J13986-J13987-J13989-J13990</f>
        <v>1315.098</v>
      </c>
      <c r="K13992" s="16" t="n">
        <f aca="false">K13981+K13988+K13986-K13987-K13989-K13990</f>
        <v>1315.098</v>
      </c>
    </row>
    <row r="13993" customFormat="false" ht="15" hidden="false" customHeight="false" outlineLevel="0" collapsed="false">
      <c r="A13993" s="23" t="s">
        <v>320</v>
      </c>
      <c r="B13993" s="24"/>
      <c r="C13993" s="24"/>
      <c r="D13993" s="24"/>
      <c r="E13993" s="24"/>
      <c r="F13993" s="24"/>
      <c r="G13993" s="24"/>
      <c r="H13993" s="24"/>
      <c r="I13993" s="24"/>
      <c r="J13993" s="24"/>
      <c r="K13993" s="24"/>
    </row>
    <row r="13994" customFormat="false" ht="15" hidden="false" customHeight="false" outlineLevel="0" collapsed="false">
      <c r="A13994" s="3" t="s">
        <v>309</v>
      </c>
      <c r="G13994" s="25" t="n">
        <f aca="false">F14005</f>
        <v>276.706</v>
      </c>
      <c r="H13994" s="25" t="n">
        <f aca="false">G14005</f>
        <v>276.706</v>
      </c>
      <c r="I13994" s="25" t="n">
        <f aca="false">H14005</f>
        <v>276.706</v>
      </c>
      <c r="J13994" s="25" t="n">
        <f aca="false">I14005</f>
        <v>6.33403256832008</v>
      </c>
      <c r="K13994" s="25" t="n">
        <f aca="false">J14005</f>
        <v>6.33403256832008</v>
      </c>
    </row>
    <row r="13995" customFormat="false" ht="15" hidden="false" customHeight="false" outlineLevel="0" collapsed="false">
      <c r="A13995" s="3" t="s">
        <v>310</v>
      </c>
      <c r="G13995" s="20" t="n">
        <f aca="false">IF(G13945=Assumptions!$K$57,1,0)</f>
        <v>0</v>
      </c>
      <c r="H13995" s="20" t="n">
        <f aca="false">IF(H13945=Assumptions!$K$57,1,0)</f>
        <v>0</v>
      </c>
      <c r="I13995" s="20" t="n">
        <f aca="false">IF(I13945=Assumptions!$K$57,1,0)</f>
        <v>1</v>
      </c>
      <c r="J13995" s="20" t="n">
        <f aca="false">IF(J13945=Assumptions!$K$57,1,0)</f>
        <v>0</v>
      </c>
      <c r="K13995" s="20" t="n">
        <f aca="false">IF(K13945=Assumptions!$K$57,1,0)</f>
        <v>0</v>
      </c>
    </row>
    <row r="13997" customFormat="false" ht="15" hidden="false" customHeight="false" outlineLevel="0" collapsed="false">
      <c r="A13997" s="3" t="s">
        <v>311</v>
      </c>
      <c r="G13997" s="31" t="n">
        <f aca="false">IF(Assumptions!$I$57=1,MAX(G13971,Assumptions!$G$57)+Assumptions!$F$57+$C$13972,Assumptions!$E$57)</f>
        <v>0.0425</v>
      </c>
      <c r="H13997" s="31" t="n">
        <f aca="false">IF(G14129=1,$C$13973,IF(Assumptions!$I$57=1,MAX(H13971,Assumptions!$G$57)+Assumptions!$F$57+$C$13972,Assumptions!$E$57))</f>
        <v>0.0425</v>
      </c>
      <c r="I13997" s="31" t="n">
        <f aca="false">IF(H14129=1,$C$13973,IF(Assumptions!$I$57=1,MAX(I13971,Assumptions!$G$57)+Assumptions!$F$57+$C$13972,Assumptions!$E$57))</f>
        <v>0.0425</v>
      </c>
      <c r="J13997" s="31" t="n">
        <f aca="false">IF(I14129=1,$C$13973,IF(Assumptions!$I$57=1,MAX(J13971,Assumptions!$G$57)+Assumptions!$F$57+$C$13972,Assumptions!$E$57))</f>
        <v>0.0425</v>
      </c>
      <c r="K13997" s="31" t="n">
        <f aca="false">IF(J14129=1,$C$13973,IF(Assumptions!$I$57=1,MAX(K13971,Assumptions!$G$57)+Assumptions!$F$57+$C$13972,Assumptions!$E$57))</f>
        <v>0.0425</v>
      </c>
    </row>
    <row r="13998" customFormat="false" ht="15" hidden="false" customHeight="false" outlineLevel="0" collapsed="false">
      <c r="A13998" s="3" t="s">
        <v>312</v>
      </c>
      <c r="G13998" s="25" t="n">
        <f aca="false">G13994*G13997</f>
        <v>11.760005</v>
      </c>
      <c r="H13998" s="25" t="n">
        <f aca="false">H13994*H13997</f>
        <v>11.760005</v>
      </c>
      <c r="I13998" s="25" t="n">
        <f aca="false">I13994*I13997</f>
        <v>11.760005</v>
      </c>
      <c r="J13998" s="25" t="n">
        <f aca="false">J13994*J13997</f>
        <v>0.269196384153604</v>
      </c>
      <c r="K13998" s="25" t="n">
        <f aca="false">K13994*K13997</f>
        <v>0.269196384153604</v>
      </c>
    </row>
    <row r="13999" customFormat="false" ht="15" hidden="false" customHeight="false" outlineLevel="0" collapsed="false">
      <c r="A13999" s="3" t="s">
        <v>313</v>
      </c>
      <c r="G13999" s="25" t="n">
        <f aca="false">G13994*Assumptions!$H$57</f>
        <v>0</v>
      </c>
      <c r="H13999" s="25" t="n">
        <f aca="false">H13994*Assumptions!$H$57</f>
        <v>0</v>
      </c>
      <c r="I13999" s="25" t="n">
        <f aca="false">I13994*Assumptions!$H$57</f>
        <v>0</v>
      </c>
      <c r="J13999" s="25" t="n">
        <f aca="false">J13994*Assumptions!$H$57</f>
        <v>0</v>
      </c>
      <c r="K13999" s="25" t="n">
        <f aca="false">K13994*Assumptions!$H$57</f>
        <v>0</v>
      </c>
    </row>
    <row r="14000" customFormat="false" ht="15" hidden="false" customHeight="false" outlineLevel="0" collapsed="false">
      <c r="A14000" s="3" t="s">
        <v>314</v>
      </c>
      <c r="G14000" s="25" t="n">
        <f aca="false">MIN(G13994,Assumptions!$L$57*Assumptions!$C$57)</f>
        <v>0</v>
      </c>
      <c r="H14000" s="25" t="n">
        <f aca="false">MIN(H13994,Assumptions!$L$57*Assumptions!$C$57)</f>
        <v>0</v>
      </c>
      <c r="I14000" s="25" t="n">
        <f aca="false">MIN(I13994,Assumptions!$L$57*Assumptions!$C$57)</f>
        <v>0</v>
      </c>
      <c r="J14000" s="25" t="n">
        <f aca="false">MIN(J13994,Assumptions!$L$57*Assumptions!$C$57)</f>
        <v>0</v>
      </c>
      <c r="K14000" s="25" t="n">
        <f aca="false">MIN(K13994,Assumptions!$L$57*Assumptions!$C$57)</f>
        <v>0</v>
      </c>
    </row>
    <row r="14001" customFormat="false" ht="15" hidden="false" customHeight="false" outlineLevel="0" collapsed="false">
      <c r="A14001" s="3" t="s">
        <v>315</v>
      </c>
      <c r="G14001" s="25" t="n">
        <f aca="false">IF(AND(Assumptions!$P$57=1,G13945&lt;Assumptions!$K$57),MIN(MAX(0,-G14042),MAX(0,Assumptions!$D$57-G13994)),0)</f>
        <v>0</v>
      </c>
      <c r="H14001" s="25" t="n">
        <f aca="false">IF(AND(Assumptions!$P$57=1,OR(H13945&lt;Assumptions!$K$57,G14129=1)),MIN(MAX(0,-H14042),MAX(0,Assumptions!$D$57-H13994)),0)</f>
        <v>0</v>
      </c>
      <c r="I14001" s="25" t="n">
        <f aca="false">IF(AND(Assumptions!$P$57=1,OR(I13945&lt;Assumptions!$K$57,H14129=1)),MIN(MAX(0,-I14042),MAX(0,Assumptions!$D$57-I13994)),0)</f>
        <v>0</v>
      </c>
      <c r="J14001" s="25" t="n">
        <f aca="false">IF(AND(Assumptions!$P$57=1,OR(J13945&lt;Assumptions!$K$57,I14129=1)),MIN(MAX(0,-J14042),MAX(0,Assumptions!$D$57-J13994)),0)</f>
        <v>0</v>
      </c>
      <c r="K14001" s="25" t="n">
        <f aca="false">IF(AND(Assumptions!$P$57=1,OR(K13945&lt;Assumptions!$K$57,J14129=1)),MIN(MAX(0,-K14042),MAX(0,Assumptions!$D$57-K13994)),0)</f>
        <v>0</v>
      </c>
    </row>
    <row r="14002" customFormat="false" ht="15" hidden="false" customHeight="false" outlineLevel="0" collapsed="false">
      <c r="A14002" s="3" t="s">
        <v>316</v>
      </c>
      <c r="G14002" s="25" t="n">
        <f aca="false">G13995*MIN(G13994-G14000+G13999,MAX(0,G14044-Assumptions!$C$12*G13979-G13989))</f>
        <v>0</v>
      </c>
      <c r="H14002" s="25" t="n">
        <f aca="false">H13995*MIN(H13994-H14000+H13999,MAX(0,H14044-Assumptions!$C$12*H13979-H13989))</f>
        <v>0</v>
      </c>
      <c r="I14002" s="25" t="n">
        <f aca="false">I13995*MIN(I13994-I14000+I13999,MAX(0,I14044-Assumptions!$C$12*I13979-I13989))</f>
        <v>270.37196743168</v>
      </c>
      <c r="J14002" s="25" t="n">
        <f aca="false">J13995*MIN(J13994-J14000+J13999,MAX(0,J14044-Assumptions!$C$12*J13979-J13989))</f>
        <v>0</v>
      </c>
      <c r="K14002" s="25" t="n">
        <f aca="false">K13995*MIN(K13994-K14000+K13999,MAX(0,K14044-Assumptions!$C$12*K13979-K13989))</f>
        <v>0</v>
      </c>
    </row>
    <row r="14003" customFormat="false" ht="15" hidden="false" customHeight="false" outlineLevel="0" collapsed="false">
      <c r="A14003" s="3" t="s">
        <v>317</v>
      </c>
      <c r="G14003" s="25" t="n">
        <f aca="false">Assumptions!$N$57*MIN(G13994+G14001+G13999-G14000-G14002,MAX(0,G14048-G13990))</f>
        <v>0</v>
      </c>
      <c r="H14003" s="25" t="n">
        <f aca="false">Assumptions!$N$57*MIN(H13994+H14001+H13999-H14000-H14002,MAX(0,H14048-H13990))</f>
        <v>0</v>
      </c>
      <c r="I14003" s="25" t="n">
        <f aca="false">Assumptions!$N$57*MIN(I13994+I14001+I13999-I14000-I14002,MAX(0,I14048-I13990))</f>
        <v>0</v>
      </c>
      <c r="J14003" s="25" t="n">
        <f aca="false">Assumptions!$N$57*MIN(J13994+J14001+J13999-J14000-J14002,MAX(0,J14048-J13990))</f>
        <v>0</v>
      </c>
      <c r="K14003" s="25" t="n">
        <f aca="false">Assumptions!$N$57*MIN(K13994+K14001+K13999-K14000-K14002,MAX(0,K14048-K13990))</f>
        <v>0</v>
      </c>
    </row>
    <row r="14004" customFormat="false" ht="15" hidden="false" customHeight="false" outlineLevel="0" collapsed="false">
      <c r="A14004" s="3" t="s">
        <v>318</v>
      </c>
      <c r="G14004" s="25" t="n">
        <f aca="false">G13995*(1-G13979)*(G13994-G14000+G13999-G14002)</f>
        <v>0</v>
      </c>
      <c r="H14004" s="25" t="n">
        <f aca="false">H13995*(1-H13979)*(H13994-H14000+H13999-H14002)</f>
        <v>0</v>
      </c>
      <c r="I14004" s="25" t="n">
        <f aca="false">I13995*(1-I13979)*(I13994-I14000+I13999-I14002)</f>
        <v>6.33403256832008</v>
      </c>
      <c r="J14004" s="25" t="n">
        <f aca="false">J13995*(1-J13979)*(J13994-J14000+J13999-J14002)</f>
        <v>0</v>
      </c>
      <c r="K14004" s="25" t="n">
        <f aca="false">K13995*(1-K13979)*(K13994-K14000+K13999-K14002)</f>
        <v>0</v>
      </c>
    </row>
    <row r="14005" customFormat="false" ht="15" hidden="false" customHeight="false" outlineLevel="0" collapsed="false">
      <c r="A14005" s="2" t="s">
        <v>319</v>
      </c>
      <c r="F14005" s="28" t="n">
        <f aca="false">Assumptions!$C$57</f>
        <v>276.706</v>
      </c>
      <c r="G14005" s="16" t="n">
        <f aca="false">G13994+G14001+G13999-G14000-G14002-G14003</f>
        <v>276.706</v>
      </c>
      <c r="H14005" s="16" t="n">
        <f aca="false">H13994+H14001+H13999-H14000-H14002-H14003</f>
        <v>276.706</v>
      </c>
      <c r="I14005" s="16" t="n">
        <f aca="false">I13994+I14001+I13999-I14000-I14002-I14003</f>
        <v>6.33403256832008</v>
      </c>
      <c r="J14005" s="16" t="n">
        <f aca="false">J13994+J14001+J13999-J14000-J14002-J14003</f>
        <v>6.33403256832008</v>
      </c>
      <c r="K14005" s="16" t="n">
        <f aca="false">K13994+K14001+K13999-K14000-K14002-K14003</f>
        <v>6.33403256832008</v>
      </c>
    </row>
    <row r="14006" customFormat="false" ht="15" hidden="false" customHeight="false" outlineLevel="0" collapsed="false">
      <c r="A14006" s="23" t="s">
        <v>321</v>
      </c>
      <c r="B14006" s="24"/>
      <c r="C14006" s="24"/>
      <c r="D14006" s="24"/>
      <c r="E14006" s="24"/>
      <c r="F14006" s="24"/>
      <c r="G14006" s="24"/>
      <c r="H14006" s="24"/>
      <c r="I14006" s="24"/>
      <c r="J14006" s="24"/>
      <c r="K14006" s="24"/>
    </row>
    <row r="14007" customFormat="false" ht="15" hidden="false" customHeight="false" outlineLevel="0" collapsed="false">
      <c r="A14007" s="3" t="s">
        <v>309</v>
      </c>
      <c r="G14007" s="25" t="n">
        <f aca="false">F14018</f>
        <v>143.75</v>
      </c>
      <c r="H14007" s="25" t="n">
        <f aca="false">G14018</f>
        <v>143.75</v>
      </c>
      <c r="I14007" s="25" t="n">
        <f aca="false">H14018</f>
        <v>143.75</v>
      </c>
      <c r="J14007" s="25" t="n">
        <f aca="false">I14018</f>
        <v>143.75</v>
      </c>
      <c r="K14007" s="25" t="n">
        <f aca="false">J14018</f>
        <v>143.75</v>
      </c>
    </row>
    <row r="14008" customFormat="false" ht="15" hidden="false" customHeight="false" outlineLevel="0" collapsed="false">
      <c r="A14008" s="3" t="s">
        <v>310</v>
      </c>
      <c r="G14008" s="20" t="n">
        <f aca="false">IF(G13945=Assumptions!$K$58,1,0)</f>
        <v>0</v>
      </c>
      <c r="H14008" s="20" t="n">
        <f aca="false">IF(H13945=Assumptions!$K$58,1,0)</f>
        <v>0</v>
      </c>
      <c r="I14008" s="20" t="n">
        <f aca="false">IF(I13945=Assumptions!$K$58,1,0)</f>
        <v>1</v>
      </c>
      <c r="J14008" s="20" t="n">
        <f aca="false">IF(J13945=Assumptions!$K$58,1,0)</f>
        <v>0</v>
      </c>
      <c r="K14008" s="20" t="n">
        <f aca="false">IF(K13945=Assumptions!$K$58,1,0)</f>
        <v>0</v>
      </c>
    </row>
    <row r="14010" customFormat="false" ht="15" hidden="false" customHeight="false" outlineLevel="0" collapsed="false">
      <c r="A14010" s="3" t="s">
        <v>311</v>
      </c>
      <c r="G14010" s="31" t="n">
        <f aca="false">IF(Assumptions!$I$58=1,MAX(G13971,Assumptions!$G$58)+Assumptions!$F$58+$C$13972,Assumptions!$E$58)</f>
        <v>0.0425</v>
      </c>
      <c r="H14010" s="31" t="n">
        <f aca="false">IF(G14130=1,$C$13973,IF(Assumptions!$I$58=1,MAX(H13971,Assumptions!$G$58)+Assumptions!$F$58+$C$13972,Assumptions!$E$58))</f>
        <v>0.0425</v>
      </c>
      <c r="I14010" s="31" t="n">
        <f aca="false">IF(H14130=1,$C$13973,IF(Assumptions!$I$58=1,MAX(I13971,Assumptions!$G$58)+Assumptions!$F$58+$C$13972,Assumptions!$E$58))</f>
        <v>0.0425</v>
      </c>
      <c r="J14010" s="31" t="n">
        <f aca="false">IF(I14130=1,$C$13973,IF(Assumptions!$I$58=1,MAX(J13971,Assumptions!$G$58)+Assumptions!$F$58+$C$13972,Assumptions!$E$58))</f>
        <v>0.0425</v>
      </c>
      <c r="K14010" s="31" t="n">
        <f aca="false">IF(J14130=1,$C$13973,IF(Assumptions!$I$58=1,MAX(K13971,Assumptions!$G$58)+Assumptions!$F$58+$C$13972,Assumptions!$E$58))</f>
        <v>0.0425</v>
      </c>
    </row>
    <row r="14011" customFormat="false" ht="15" hidden="false" customHeight="false" outlineLevel="0" collapsed="false">
      <c r="A14011" s="3" t="s">
        <v>312</v>
      </c>
      <c r="G14011" s="25" t="n">
        <f aca="false">G14007*G14010</f>
        <v>6.109375</v>
      </c>
      <c r="H14011" s="25" t="n">
        <f aca="false">H14007*H14010</f>
        <v>6.109375</v>
      </c>
      <c r="I14011" s="25" t="n">
        <f aca="false">I14007*I14010</f>
        <v>6.109375</v>
      </c>
      <c r="J14011" s="25" t="n">
        <f aca="false">J14007*J14010</f>
        <v>6.109375</v>
      </c>
      <c r="K14011" s="25" t="n">
        <f aca="false">K14007*K14010</f>
        <v>6.109375</v>
      </c>
    </row>
    <row r="14012" customFormat="false" ht="15" hidden="false" customHeight="false" outlineLevel="0" collapsed="false">
      <c r="A14012" s="3" t="s">
        <v>313</v>
      </c>
      <c r="G14012" s="25" t="n">
        <f aca="false">G14007*Assumptions!$H$58</f>
        <v>0</v>
      </c>
      <c r="H14012" s="25" t="n">
        <f aca="false">H14007*Assumptions!$H$58</f>
        <v>0</v>
      </c>
      <c r="I14012" s="25" t="n">
        <f aca="false">I14007*Assumptions!$H$58</f>
        <v>0</v>
      </c>
      <c r="J14012" s="25" t="n">
        <f aca="false">J14007*Assumptions!$H$58</f>
        <v>0</v>
      </c>
      <c r="K14012" s="25" t="n">
        <f aca="false">K14007*Assumptions!$H$58</f>
        <v>0</v>
      </c>
    </row>
    <row r="14013" customFormat="false" ht="15" hidden="false" customHeight="false" outlineLevel="0" collapsed="false">
      <c r="A14013" s="3" t="s">
        <v>314</v>
      </c>
      <c r="G14013" s="25" t="n">
        <f aca="false">MIN(G14007,Assumptions!$L$58*Assumptions!$C$58)</f>
        <v>0</v>
      </c>
      <c r="H14013" s="25" t="n">
        <f aca="false">MIN(H14007,Assumptions!$L$58*Assumptions!$C$58)</f>
        <v>0</v>
      </c>
      <c r="I14013" s="25" t="n">
        <f aca="false">MIN(I14007,Assumptions!$L$58*Assumptions!$C$58)</f>
        <v>0</v>
      </c>
      <c r="J14013" s="25" t="n">
        <f aca="false">MIN(J14007,Assumptions!$L$58*Assumptions!$C$58)</f>
        <v>0</v>
      </c>
      <c r="K14013" s="25" t="n">
        <f aca="false">MIN(K14007,Assumptions!$L$58*Assumptions!$C$58)</f>
        <v>0</v>
      </c>
    </row>
    <row r="14014" customFormat="false" ht="15" hidden="false" customHeight="false" outlineLevel="0" collapsed="false">
      <c r="A14014" s="3" t="s">
        <v>315</v>
      </c>
      <c r="G14014" s="25" t="n">
        <f aca="false">IF(AND(Assumptions!$P$58=1,G13945&lt;Assumptions!$K$58),MIN(MAX(0,-G14042),MAX(0,Assumptions!$D$58-G14007)),0)</f>
        <v>0</v>
      </c>
      <c r="H14014" s="25" t="n">
        <f aca="false">IF(AND(Assumptions!$P$58=1,OR(H13945&lt;Assumptions!$K$58,G14130=1)),MIN(MAX(0,-H14042),MAX(0,Assumptions!$D$58-H14007)),0)</f>
        <v>0</v>
      </c>
      <c r="I14014" s="25" t="n">
        <f aca="false">IF(AND(Assumptions!$P$58=1,OR(I13945&lt;Assumptions!$K$58,H14130=1)),MIN(MAX(0,-I14042),MAX(0,Assumptions!$D$58-I14007)),0)</f>
        <v>0</v>
      </c>
      <c r="J14014" s="25" t="n">
        <f aca="false">IF(AND(Assumptions!$P$58=1,OR(J13945&lt;Assumptions!$K$58,I14130=1)),MIN(MAX(0,-J14042),MAX(0,Assumptions!$D$58-J14007)),0)</f>
        <v>0</v>
      </c>
      <c r="K14014" s="25" t="n">
        <f aca="false">IF(AND(Assumptions!$P$58=1,OR(K13945&lt;Assumptions!$K$58,J14130=1)),MIN(MAX(0,-K14042),MAX(0,Assumptions!$D$58-K14007)),0)</f>
        <v>0</v>
      </c>
    </row>
    <row r="14015" customFormat="false" ht="15" hidden="false" customHeight="false" outlineLevel="0" collapsed="false">
      <c r="A14015" s="3" t="s">
        <v>316</v>
      </c>
      <c r="G14015" s="25" t="n">
        <f aca="false">G14008*MIN(G14007-G14013+G14012,MAX(0,G14044-Assumptions!$C$12*G13979-G13989-G14002))</f>
        <v>0</v>
      </c>
      <c r="H14015" s="25" t="n">
        <f aca="false">H14008*MIN(H14007-H14013+H14012,MAX(0,H14044-Assumptions!$C$12*H13979-H13989-H14002))</f>
        <v>0</v>
      </c>
      <c r="I14015" s="25" t="n">
        <f aca="false">I14008*MIN(I14007-I14013+I14012,MAX(0,I14044-Assumptions!$C$12*I13979-I13989-I14002))</f>
        <v>0</v>
      </c>
      <c r="J14015" s="25" t="n">
        <f aca="false">J14008*MIN(J14007-J14013+J14012,MAX(0,J14044-Assumptions!$C$12*J13979-J13989-J14002))</f>
        <v>0</v>
      </c>
      <c r="K14015" s="25" t="n">
        <f aca="false">K14008*MIN(K14007-K14013+K14012,MAX(0,K14044-Assumptions!$C$12*K13979-K13989-K14002))</f>
        <v>0</v>
      </c>
    </row>
    <row r="14016" customFormat="false" ht="15" hidden="false" customHeight="false" outlineLevel="0" collapsed="false">
      <c r="A14016" s="3" t="s">
        <v>317</v>
      </c>
      <c r="G14016" s="25" t="n">
        <f aca="false">Assumptions!$N$58*MIN(G14007+G14014+G14012-G14013-G14015,MAX(0,G14048-G13990-G14003))</f>
        <v>0</v>
      </c>
      <c r="H14016" s="25" t="n">
        <f aca="false">Assumptions!$N$58*MIN(H14007+H14014+H14012-H14013-H14015,MAX(0,H14048-H13990-H14003))</f>
        <v>0</v>
      </c>
      <c r="I14016" s="25" t="n">
        <f aca="false">Assumptions!$N$58*MIN(I14007+I14014+I14012-I14013-I14015,MAX(0,I14048-I13990-I14003))</f>
        <v>0</v>
      </c>
      <c r="J14016" s="25" t="n">
        <f aca="false">Assumptions!$N$58*MIN(J14007+J14014+J14012-J14013-J14015,MAX(0,J14048-J13990-J14003))</f>
        <v>0</v>
      </c>
      <c r="K14016" s="25" t="n">
        <f aca="false">Assumptions!$N$58*MIN(K14007+K14014+K14012-K14013-K14015,MAX(0,K14048-K13990-K14003))</f>
        <v>0</v>
      </c>
    </row>
    <row r="14017" customFormat="false" ht="15" hidden="false" customHeight="false" outlineLevel="0" collapsed="false">
      <c r="A14017" s="3" t="s">
        <v>318</v>
      </c>
      <c r="G14017" s="25" t="n">
        <f aca="false">G14008*(1-G13979)*(G14007-G14013+G14012-G14015)</f>
        <v>0</v>
      </c>
      <c r="H14017" s="25" t="n">
        <f aca="false">H14008*(1-H13979)*(H14007-H14013+H14012-H14015)</f>
        <v>0</v>
      </c>
      <c r="I14017" s="25" t="n">
        <f aca="false">I14008*(1-I13979)*(I14007-I14013+I14012-I14015)</f>
        <v>143.75</v>
      </c>
      <c r="J14017" s="25" t="n">
        <f aca="false">J14008*(1-J13979)*(J14007-J14013+J14012-J14015)</f>
        <v>0</v>
      </c>
      <c r="K14017" s="25" t="n">
        <f aca="false">K14008*(1-K13979)*(K14007-K14013+K14012-K14015)</f>
        <v>0</v>
      </c>
    </row>
    <row r="14018" customFormat="false" ht="15" hidden="false" customHeight="false" outlineLevel="0" collapsed="false">
      <c r="A14018" s="2" t="s">
        <v>319</v>
      </c>
      <c r="F14018" s="28" t="n">
        <f aca="false">Assumptions!$C$58</f>
        <v>143.75</v>
      </c>
      <c r="G14018" s="16" t="n">
        <f aca="false">G14007+G14014+G14012-G14013-G14015-G14016</f>
        <v>143.75</v>
      </c>
      <c r="H14018" s="16" t="n">
        <f aca="false">H14007+H14014+H14012-H14013-H14015-H14016</f>
        <v>143.75</v>
      </c>
      <c r="I14018" s="16" t="n">
        <f aca="false">I14007+I14014+I14012-I14013-I14015-I14016</f>
        <v>143.75</v>
      </c>
      <c r="J14018" s="16" t="n">
        <f aca="false">J14007+J14014+J14012-J14013-J14015-J14016</f>
        <v>143.75</v>
      </c>
      <c r="K14018" s="16" t="n">
        <f aca="false">K14007+K14014+K14012-K14013-K14015-K14016</f>
        <v>143.75</v>
      </c>
    </row>
    <row r="14019" customFormat="false" ht="15" hidden="false" customHeight="false" outlineLevel="0" collapsed="false">
      <c r="A14019" s="23" t="s">
        <v>322</v>
      </c>
      <c r="B14019" s="24"/>
      <c r="C14019" s="24"/>
      <c r="D14019" s="24"/>
      <c r="E14019" s="24"/>
      <c r="F14019" s="24"/>
      <c r="G14019" s="24"/>
      <c r="H14019" s="24"/>
      <c r="I14019" s="24"/>
      <c r="J14019" s="24"/>
      <c r="K14019" s="24"/>
    </row>
    <row r="14020" customFormat="false" ht="15" hidden="false" customHeight="false" outlineLevel="0" collapsed="false">
      <c r="A14020" s="2" t="s">
        <v>323</v>
      </c>
      <c r="F14020" s="16" t="n">
        <f aca="false">F13992+F14005+F14018</f>
        <v>1735.554</v>
      </c>
      <c r="G14020" s="16" t="n">
        <f aca="false">G13992+G14005+G14018</f>
        <v>1735.554</v>
      </c>
      <c r="H14020" s="16" t="n">
        <f aca="false">H13992+H14005+H14018</f>
        <v>1735.554</v>
      </c>
      <c r="I14020" s="16" t="n">
        <f aca="false">I13992+I14005+I14018</f>
        <v>1465.18203256832</v>
      </c>
      <c r="J14020" s="16" t="n">
        <f aca="false">J13992+J14005+J14018</f>
        <v>1465.18203256832</v>
      </c>
      <c r="K14020" s="16" t="n">
        <f aca="false">K13992+K14005+K14018</f>
        <v>1465.18203256832</v>
      </c>
    </row>
    <row r="14021" customFormat="false" ht="15" hidden="false" customHeight="false" outlineLevel="0" collapsed="false">
      <c r="A14021" s="3" t="s">
        <v>324</v>
      </c>
      <c r="G14021" s="25" t="n">
        <f aca="false">G13982*Assumptions!$C$56+G13995*Assumptions!$C$57+G14008*Assumptions!$C$58</f>
        <v>0</v>
      </c>
      <c r="H14021" s="25" t="n">
        <f aca="false">H13982*Assumptions!$C$56+H13995*Assumptions!$C$57+H14008*Assumptions!$C$58</f>
        <v>0</v>
      </c>
      <c r="I14021" s="25" t="n">
        <f aca="false">I13982*Assumptions!$C$56+I13995*Assumptions!$C$57+I14008*Assumptions!$C$58</f>
        <v>420.456</v>
      </c>
      <c r="J14021" s="25" t="n">
        <f aca="false">J13982*Assumptions!$C$56+J13995*Assumptions!$C$57+J14008*Assumptions!$C$58</f>
        <v>0</v>
      </c>
      <c r="K14021" s="25" t="n">
        <f aca="false">K13982*Assumptions!$C$56+K13995*Assumptions!$C$57+K14008*Assumptions!$C$58</f>
        <v>0</v>
      </c>
    </row>
    <row r="14022" customFormat="false" ht="15" hidden="false" customHeight="false" outlineLevel="0" collapsed="false">
      <c r="A14022" s="23" t="s">
        <v>325</v>
      </c>
      <c r="B14022" s="24"/>
      <c r="C14022" s="24"/>
      <c r="D14022" s="24"/>
      <c r="E14022" s="24"/>
      <c r="F14022" s="24"/>
      <c r="G14022" s="24"/>
      <c r="H14022" s="24"/>
      <c r="I14022" s="24"/>
      <c r="J14022" s="24"/>
      <c r="K14022" s="24"/>
    </row>
    <row r="14023" customFormat="false" ht="15" hidden="false" customHeight="false" outlineLevel="0" collapsed="false">
      <c r="A14023" s="3" t="s">
        <v>326</v>
      </c>
      <c r="C14023" s="25" t="n">
        <f aca="false">SUMPRODUCT($G$13982:$K$13982,$G$13981:$K$13981-$G$13987:$K$13987+$G$13986:$K$13986)</f>
        <v>0</v>
      </c>
    </row>
    <row r="14024" customFormat="false" ht="15" hidden="false" customHeight="false" outlineLevel="0" collapsed="false">
      <c r="A14024" s="3" t="s">
        <v>327</v>
      </c>
      <c r="C14024" s="25" t="n">
        <f aca="false">SUMPRODUCT($G$13982:$K$13982,$G$13989:$K$13989)</f>
        <v>0</v>
      </c>
    </row>
    <row r="14025" customFormat="false" ht="15" hidden="false" customHeight="false" outlineLevel="0" collapsed="false">
      <c r="A14025" s="3" t="s">
        <v>328</v>
      </c>
      <c r="C14025" s="3" t="str">
        <f aca="false">IF(SUM($G$13982:$K$13982)=0,"n/a (beyond horizon)",IF(SUMPRODUCT($G$13982:$K$13982,$G$13979:$K$13979)&gt;0,"REFINANCING PASS","REFINANCING FAILURE"))</f>
        <v>n/a (beyond horizon)</v>
      </c>
    </row>
    <row r="14026" customFormat="false" ht="15" hidden="false" customHeight="false" outlineLevel="0" collapsed="false">
      <c r="A14026" s="3" t="s">
        <v>329</v>
      </c>
      <c r="C14026" s="3" t="str">
        <f aca="false">IF(SUM($G$13982:$K$13982)=0,"n/a",IF(C14024&gt;=C14023-0.001,"Repaid from cash",IF(SUMPRODUCT($G$13982:$K$13982,$G$13979:$K$13979)&gt;0,IF(C14024&gt;0,"Partly repaid; remainder refinanced","Refinanced"),IF(SUM($G$13991:$K$13991)&gt;0.001,IF(C14024&gt;0,"Partial repayment; PAYMENT DEFAULT","PAYMENT DEFAULT"),"Repaid from cash"))))</f>
        <v>n/a</v>
      </c>
    </row>
    <row r="14027" customFormat="false" ht="15" hidden="false" customHeight="false" outlineLevel="0" collapsed="false">
      <c r="A14027" s="3" t="s">
        <v>330</v>
      </c>
      <c r="C14027" s="25" t="n">
        <f aca="false">SUMPRODUCT($G$13995:$K$13995,$G$13994:$K$13994-$G$14000:$K$14000+$G$13999:$K$13999)</f>
        <v>276.706</v>
      </c>
    </row>
    <row r="14028" customFormat="false" ht="15" hidden="false" customHeight="false" outlineLevel="0" collapsed="false">
      <c r="A14028" s="3" t="s">
        <v>331</v>
      </c>
      <c r="C14028" s="25" t="n">
        <f aca="false">SUMPRODUCT($G$13995:$K$13995,$G$14002:$K$14002)</f>
        <v>270.37196743168</v>
      </c>
    </row>
    <row r="14029" customFormat="false" ht="15" hidden="false" customHeight="false" outlineLevel="0" collapsed="false">
      <c r="A14029" s="3" t="s">
        <v>332</v>
      </c>
      <c r="C14029" s="3" t="str">
        <f aca="false">IF(SUM($G$13995:$K$13995)=0,"n/a (beyond horizon)",IF(SUMPRODUCT($G$13995:$K$13995,$G$13979:$K$13979)&gt;0,"REFINANCING PASS","REFINANCING FAILURE"))</f>
        <v>REFINANCING FAILURE</v>
      </c>
    </row>
    <row r="14030" customFormat="false" ht="15" hidden="false" customHeight="false" outlineLevel="0" collapsed="false">
      <c r="A14030" s="3" t="s">
        <v>333</v>
      </c>
      <c r="C14030" s="3" t="str">
        <f aca="false">IF(SUM($G$13995:$K$13995)=0,"n/a",IF(C14028&gt;=C14027-0.001,"Repaid from cash",IF(SUMPRODUCT($G$13995:$K$13995,$G$13979:$K$13979)&gt;0,IF(C14028&gt;0,"Partly repaid; remainder refinanced","Refinanced"),IF(SUM($G$14004:$K$14004)&gt;0.001,IF(C14028&gt;0,"Partial repayment; PAYMENT DEFAULT","PAYMENT DEFAULT"),"Repaid from cash"))))</f>
        <v>Partial repayment; PAYMENT DEFAULT</v>
      </c>
    </row>
    <row r="14031" customFormat="false" ht="15" hidden="false" customHeight="false" outlineLevel="0" collapsed="false">
      <c r="A14031" s="3" t="s">
        <v>334</v>
      </c>
      <c r="C14031" s="25" t="n">
        <f aca="false">SUMPRODUCT($G$14008:$K$14008,$G$14007:$K$14007-$G$14013:$K$14013+$G$14012:$K$14012)</f>
        <v>143.75</v>
      </c>
    </row>
    <row r="14032" customFormat="false" ht="15" hidden="false" customHeight="false" outlineLevel="0" collapsed="false">
      <c r="A14032" s="3" t="s">
        <v>335</v>
      </c>
      <c r="C14032" s="25" t="n">
        <f aca="false">SUMPRODUCT($G$14008:$K$14008,$G$14015:$K$14015)</f>
        <v>0</v>
      </c>
    </row>
    <row r="14033" customFormat="false" ht="15" hidden="false" customHeight="false" outlineLevel="0" collapsed="false">
      <c r="A14033" s="3" t="s">
        <v>336</v>
      </c>
      <c r="C14033" s="3" t="str">
        <f aca="false">IF(SUM($G$14008:$K$14008)=0,"n/a (beyond horizon)",IF(SUMPRODUCT($G$14008:$K$14008,$G$13979:$K$13979)&gt;0,"REFINANCING PASS","REFINANCING FAILURE"))</f>
        <v>REFINANCING FAILURE</v>
      </c>
    </row>
    <row r="14034" customFormat="false" ht="15" hidden="false" customHeight="false" outlineLevel="0" collapsed="false">
      <c r="A14034" s="3" t="s">
        <v>337</v>
      </c>
      <c r="C14034" s="3" t="str">
        <f aca="false">IF(SUM($G$14008:$K$14008)=0,"n/a",IF(C14032&gt;=C14031-0.001,"Repaid from cash",IF(SUMPRODUCT($G$14008:$K$14008,$G$13979:$K$13979)&gt;0,IF(C14032&gt;0,"Partly repaid; remainder refinanced","Refinanced"),IF(SUM($G$14017:$K$14017)&gt;0.001,IF(C14032&gt;0,"Partial repayment; PAYMENT DEFAULT","PAYMENT DEFAULT"),"Repaid from cash"))))</f>
        <v>PAYMENT DEFAULT</v>
      </c>
    </row>
    <row r="14035" customFormat="false" ht="15" hidden="false" customHeight="false" outlineLevel="0" collapsed="false">
      <c r="A14035" s="3" t="s">
        <v>338</v>
      </c>
      <c r="C14035" s="20" t="n">
        <f aca="false">IF(C14025="REFINANCING FAILURE",1,0)+IF(C14029="REFINANCING FAILURE",1,0)+IF(C14033="REFINANCING FAILURE",1,0)</f>
        <v>2</v>
      </c>
    </row>
    <row r="14037" customFormat="false" ht="15" hidden="false" customHeight="false" outlineLevel="0" collapsed="false">
      <c r="A14037" s="23" t="s">
        <v>340</v>
      </c>
      <c r="B14037" s="24"/>
      <c r="C14037" s="24"/>
      <c r="D14037" s="24"/>
      <c r="E14037" s="24"/>
      <c r="F14037" s="24"/>
      <c r="G14037" s="24"/>
      <c r="H14037" s="24"/>
      <c r="I14037" s="24"/>
      <c r="J14037" s="24"/>
      <c r="K14037" s="24"/>
    </row>
    <row r="14038" customFormat="false" ht="15" hidden="false" customHeight="false" outlineLevel="0" collapsed="false">
      <c r="A14038" s="3" t="s">
        <v>305</v>
      </c>
      <c r="G14038" s="25" t="n">
        <f aca="false">F14050</f>
        <v>463.996</v>
      </c>
      <c r="H14038" s="25" t="n">
        <f aca="false">G14050</f>
        <v>431.67030664</v>
      </c>
      <c r="I14038" s="25" t="n">
        <f aca="false">H14050</f>
        <v>359.0106596512</v>
      </c>
      <c r="J14038" s="25" t="n">
        <f aca="false">I14050</f>
        <v>0</v>
      </c>
      <c r="K14038" s="25" t="n">
        <f aca="false">J14050</f>
        <v>-82.533161826112</v>
      </c>
    </row>
    <row r="14039" customFormat="false" ht="15" hidden="false" customHeight="false" outlineLevel="0" collapsed="false">
      <c r="A14039" s="3" t="s">
        <v>341</v>
      </c>
      <c r="G14039" s="25" t="n">
        <f aca="false">G13968</f>
        <v>-32.32569336</v>
      </c>
      <c r="H14039" s="25" t="n">
        <f aca="false">H13968</f>
        <v>-72.6596469888</v>
      </c>
      <c r="I14039" s="25" t="n">
        <f aca="false">I13968</f>
        <v>-88.63869221952</v>
      </c>
      <c r="J14039" s="25" t="n">
        <f aca="false">J13968</f>
        <v>-82.533161826112</v>
      </c>
      <c r="K14039" s="25" t="n">
        <f aca="false">K13968</f>
        <v>-86.2490037995945</v>
      </c>
    </row>
    <row r="14040" customFormat="false" ht="15" hidden="false" customHeight="false" outlineLevel="0" collapsed="false">
      <c r="A14040" s="3" t="s">
        <v>342</v>
      </c>
      <c r="G14040" s="25" t="n">
        <f aca="false">CHOOSE($C$13938,Assumptions!$G$74,Assumptions!$G$93,Assumptions!$G$112)</f>
        <v>0</v>
      </c>
      <c r="H14040" s="25" t="n">
        <f aca="false">CHOOSE($C$13938,Assumptions!$H$74,Assumptions!$H$93,Assumptions!$H$112)</f>
        <v>0</v>
      </c>
      <c r="I14040" s="25" t="n">
        <f aca="false">CHOOSE($C$13938,Assumptions!$I$74,Assumptions!$I$93,Assumptions!$I$112)</f>
        <v>0</v>
      </c>
      <c r="J14040" s="25" t="n">
        <f aca="false">CHOOSE($C$13938,Assumptions!$J$74,Assumptions!$J$93,Assumptions!$J$112)</f>
        <v>0</v>
      </c>
      <c r="K14040" s="25" t="n">
        <f aca="false">CHOOSE($C$13938,Assumptions!$K$74,Assumptions!$K$93,Assumptions!$K$112)</f>
        <v>0</v>
      </c>
    </row>
    <row r="14041" customFormat="false" ht="15" hidden="false" customHeight="false" outlineLevel="0" collapsed="false">
      <c r="A14041" s="3" t="s">
        <v>343</v>
      </c>
      <c r="G14041" s="25" t="n">
        <f aca="false">G13987+G14000+G14013</f>
        <v>0</v>
      </c>
      <c r="H14041" s="25" t="n">
        <f aca="false">H13987+H14000+H14013</f>
        <v>0</v>
      </c>
      <c r="I14041" s="25" t="n">
        <f aca="false">I13987+I14000+I14013</f>
        <v>0</v>
      </c>
      <c r="J14041" s="25" t="n">
        <f aca="false">J13987+J14000+J14013</f>
        <v>0</v>
      </c>
      <c r="K14041" s="25" t="n">
        <f aca="false">K13987+K14000+K14013</f>
        <v>0</v>
      </c>
    </row>
    <row r="14042" customFormat="false" ht="15" hidden="false" customHeight="false" outlineLevel="0" collapsed="false">
      <c r="A14042" s="2" t="s">
        <v>344</v>
      </c>
      <c r="G14042" s="16" t="n">
        <f aca="false">G14038+G14039+G14040-G14041</f>
        <v>431.67030664</v>
      </c>
      <c r="H14042" s="16" t="n">
        <f aca="false">H14038+H14039+H14040-H14041</f>
        <v>359.0106596512</v>
      </c>
      <c r="I14042" s="16" t="n">
        <f aca="false">I14038+I14039+I14040-I14041</f>
        <v>270.37196743168</v>
      </c>
      <c r="J14042" s="16" t="n">
        <f aca="false">J14038+J14039+J14040-J14041</f>
        <v>-82.533161826112</v>
      </c>
      <c r="K14042" s="16" t="n">
        <f aca="false">K14038+K14039+K14040-K14041</f>
        <v>-168.782165625707</v>
      </c>
    </row>
    <row r="14043" customFormat="false" ht="15" hidden="false" customHeight="false" outlineLevel="0" collapsed="false">
      <c r="A14043" s="3" t="s">
        <v>345</v>
      </c>
      <c r="G14043" s="25" t="n">
        <f aca="false">G13988+G14001+G14014</f>
        <v>0</v>
      </c>
      <c r="H14043" s="25" t="n">
        <f aca="false">H13988+H14001+H14014</f>
        <v>0</v>
      </c>
      <c r="I14043" s="25" t="n">
        <f aca="false">I13988+I14001+I14014</f>
        <v>0</v>
      </c>
      <c r="J14043" s="25" t="n">
        <f aca="false">J13988+J14001+J14014</f>
        <v>0</v>
      </c>
      <c r="K14043" s="25" t="n">
        <f aca="false">K13988+K14001+K14014</f>
        <v>0</v>
      </c>
    </row>
    <row r="14044" customFormat="false" ht="15" hidden="false" customHeight="false" outlineLevel="0" collapsed="false">
      <c r="A14044" s="2" t="s">
        <v>346</v>
      </c>
      <c r="G14044" s="16" t="n">
        <f aca="false">G14042+G14043</f>
        <v>431.67030664</v>
      </c>
      <c r="H14044" s="16" t="n">
        <f aca="false">H14042+H14043</f>
        <v>359.0106596512</v>
      </c>
      <c r="I14044" s="16" t="n">
        <f aca="false">I14042+I14043</f>
        <v>270.37196743168</v>
      </c>
      <c r="J14044" s="16" t="n">
        <f aca="false">J14042+J14043</f>
        <v>-82.533161826112</v>
      </c>
      <c r="K14044" s="16" t="n">
        <f aca="false">K14042+K14043</f>
        <v>-168.782165625707</v>
      </c>
    </row>
    <row r="14045" customFormat="false" ht="15" hidden="false" customHeight="false" outlineLevel="0" collapsed="false">
      <c r="A14045" s="3" t="s">
        <v>347</v>
      </c>
      <c r="G14045" s="25" t="n">
        <f aca="false">G13989+G14002+G14015</f>
        <v>0</v>
      </c>
      <c r="H14045" s="25" t="n">
        <f aca="false">H13989+H14002+H14015</f>
        <v>0</v>
      </c>
      <c r="I14045" s="25" t="n">
        <f aca="false">I13989+I14002+I14015</f>
        <v>270.37196743168</v>
      </c>
      <c r="J14045" s="25" t="n">
        <f aca="false">J13989+J14002+J14015</f>
        <v>0</v>
      </c>
      <c r="K14045" s="25" t="n">
        <f aca="false">K13989+K14002+K14015</f>
        <v>0</v>
      </c>
    </row>
    <row r="14046" customFormat="false" ht="15" hidden="false" customHeight="false" outlineLevel="0" collapsed="false">
      <c r="A14046" s="2" t="s">
        <v>348</v>
      </c>
      <c r="G14046" s="16" t="n">
        <f aca="false">G14044-G14045</f>
        <v>431.67030664</v>
      </c>
      <c r="H14046" s="16" t="n">
        <f aca="false">H14044-H14045</f>
        <v>359.0106596512</v>
      </c>
      <c r="I14046" s="16" t="n">
        <f aca="false">I14044-I14045</f>
        <v>0</v>
      </c>
      <c r="J14046" s="16" t="n">
        <f aca="false">J14044-J14045</f>
        <v>-82.533161826112</v>
      </c>
      <c r="K14046" s="16" t="n">
        <f aca="false">K14044-K14045</f>
        <v>-168.782165625707</v>
      </c>
    </row>
    <row r="14047" customFormat="false" ht="15" hidden="false" customHeight="false" outlineLevel="0" collapsed="false">
      <c r="A14047" s="3" t="s">
        <v>349</v>
      </c>
      <c r="G14047" s="25" t="n">
        <f aca="false">MAX(0,-G14046)</f>
        <v>0</v>
      </c>
      <c r="H14047" s="25" t="n">
        <f aca="false">MAX(0,-H14046)</f>
        <v>0</v>
      </c>
      <c r="I14047" s="25" t="n">
        <f aca="false">MAX(0,-I14046)</f>
        <v>-0</v>
      </c>
      <c r="J14047" s="25" t="n">
        <f aca="false">MAX(0,-J14046)</f>
        <v>82.533161826112</v>
      </c>
      <c r="K14047" s="25" t="n">
        <f aca="false">MAX(0,-K14046)</f>
        <v>168.782165625707</v>
      </c>
    </row>
    <row r="14048" customFormat="false" ht="15" hidden="false" customHeight="false" outlineLevel="0" collapsed="false">
      <c r="A14048" s="3" t="s">
        <v>350</v>
      </c>
      <c r="G14048" s="25" t="n">
        <f aca="false">MAX(0,G14046-Assumptions!$C$12)*Assumptions!$C$13</f>
        <v>0</v>
      </c>
      <c r="H14048" s="25" t="n">
        <f aca="false">MAX(0,H14046-Assumptions!$C$12)*Assumptions!$C$13</f>
        <v>0</v>
      </c>
      <c r="I14048" s="25" t="n">
        <f aca="false">MAX(0,I14046-Assumptions!$C$12)*Assumptions!$C$13</f>
        <v>0</v>
      </c>
      <c r="J14048" s="25" t="n">
        <f aca="false">MAX(0,J14046-Assumptions!$C$12)*Assumptions!$C$13</f>
        <v>0</v>
      </c>
      <c r="K14048" s="25" t="n">
        <f aca="false">MAX(0,K14046-Assumptions!$C$12)*Assumptions!$C$13</f>
        <v>0</v>
      </c>
    </row>
    <row r="14049" customFormat="false" ht="15" hidden="false" customHeight="false" outlineLevel="0" collapsed="false">
      <c r="A14049" s="3" t="s">
        <v>351</v>
      </c>
      <c r="G14049" s="25" t="n">
        <f aca="false">G13990+G14003+G14016</f>
        <v>0</v>
      </c>
      <c r="H14049" s="25" t="n">
        <f aca="false">H13990+H14003+H14016</f>
        <v>0</v>
      </c>
      <c r="I14049" s="25" t="n">
        <f aca="false">I13990+I14003+I14016</f>
        <v>0</v>
      </c>
      <c r="J14049" s="25" t="n">
        <f aca="false">J13990+J14003+J14016</f>
        <v>0</v>
      </c>
      <c r="K14049" s="25" t="n">
        <f aca="false">K13990+K14003+K14016</f>
        <v>0</v>
      </c>
    </row>
    <row r="14050" customFormat="false" ht="15" hidden="false" customHeight="false" outlineLevel="0" collapsed="false">
      <c r="A14050" s="2" t="s">
        <v>352</v>
      </c>
      <c r="F14050" s="28" t="n">
        <f aca="false">Assumptions!$C$11</f>
        <v>463.996</v>
      </c>
      <c r="G14050" s="16" t="n">
        <f aca="false">G14046-G14049</f>
        <v>431.67030664</v>
      </c>
      <c r="H14050" s="16" t="n">
        <f aca="false">H14046-H14049</f>
        <v>359.0106596512</v>
      </c>
      <c r="I14050" s="16" t="n">
        <f aca="false">I14046-I14049</f>
        <v>0</v>
      </c>
      <c r="J14050" s="16" t="n">
        <f aca="false">J14046-J14049</f>
        <v>-82.533161826112</v>
      </c>
      <c r="K14050" s="16" t="n">
        <f aca="false">K14046-K14049</f>
        <v>-168.782165625707</v>
      </c>
    </row>
    <row r="14051" customFormat="false" ht="15" hidden="false" customHeight="false" outlineLevel="0" collapsed="false">
      <c r="A14051" s="3" t="s">
        <v>353</v>
      </c>
      <c r="G14051" s="25" t="n">
        <f aca="false">G13991+G14004+G14017</f>
        <v>0</v>
      </c>
      <c r="H14051" s="25" t="n">
        <f aca="false">H13991+H14004+H14017</f>
        <v>0</v>
      </c>
      <c r="I14051" s="25" t="n">
        <f aca="false">I13991+I14004+I14017</f>
        <v>150.08403256832</v>
      </c>
      <c r="J14051" s="25" t="n">
        <f aca="false">J13991+J14004+J14017</f>
        <v>0</v>
      </c>
      <c r="K14051" s="25" t="n">
        <f aca="false">K13991+K14004+K14017</f>
        <v>0</v>
      </c>
    </row>
    <row r="14052" customFormat="false" ht="15" hidden="false" customHeight="false" outlineLevel="0" collapsed="false">
      <c r="A14052" s="3" t="s">
        <v>354</v>
      </c>
      <c r="G14052" s="20" t="n">
        <f aca="false">IF(OR(G14047&gt;0.001,G14051&gt;0.001),1,0)</f>
        <v>0</v>
      </c>
      <c r="H14052" s="20" t="n">
        <f aca="false">IF(OR(H14047&gt;0.001,H14051&gt;0.001),1,0)</f>
        <v>0</v>
      </c>
      <c r="I14052" s="20" t="n">
        <f aca="false">IF(OR(I14047&gt;0.001,I14051&gt;0.001),1,0)</f>
        <v>1</v>
      </c>
      <c r="J14052" s="20" t="n">
        <f aca="false">IF(OR(J14047&gt;0.001,J14051&gt;0.001),1,0)</f>
        <v>1</v>
      </c>
      <c r="K14052" s="20" t="n">
        <f aca="false">IF(OR(K14047&gt;0.001,K14051&gt;0.001),1,0)</f>
        <v>1</v>
      </c>
    </row>
    <row r="14053" customFormat="false" ht="15" hidden="false" customHeight="false" outlineLevel="0" collapsed="false">
      <c r="A14053" s="3" t="s">
        <v>355</v>
      </c>
      <c r="G14053" s="20" t="n">
        <f aca="false">IF(G14052=1,1,0)</f>
        <v>0</v>
      </c>
      <c r="H14053" s="20" t="n">
        <f aca="false">IF(AND(H14052=1,SUM($G$14052:G14052)=0),1,0)</f>
        <v>0</v>
      </c>
      <c r="I14053" s="20" t="n">
        <f aca="false">IF(AND(I14052=1,SUM($G$14052:H14052)=0),1,0)</f>
        <v>1</v>
      </c>
      <c r="J14053" s="20" t="n">
        <f aca="false">IF(AND(J14052=1,SUM($G$14052:I14052)=0),1,0)</f>
        <v>0</v>
      </c>
      <c r="K14053" s="20" t="n">
        <f aca="false">IF(AND(K14052=1,SUM($G$14052:J14052)=0),1,0)</f>
        <v>0</v>
      </c>
    </row>
    <row r="14054" customFormat="false" ht="15" hidden="false" customHeight="false" outlineLevel="0" collapsed="false">
      <c r="A14054" s="3" t="s">
        <v>356</v>
      </c>
      <c r="G14054" s="25" t="n">
        <f aca="false">(G14020-F14020)-(G14043+G13960-G14041-G14045-G14049)</f>
        <v>0</v>
      </c>
      <c r="H14054" s="25" t="n">
        <f aca="false">(H14020-G14020)-(H14043+H13960-H14041-H14045-H14049)</f>
        <v>0</v>
      </c>
      <c r="I14054" s="25" t="n">
        <f aca="false">(I14020-H14020)-(I14043+I13960-I14041-I14045-I14049)</f>
        <v>0</v>
      </c>
      <c r="J14054" s="25" t="n">
        <f aca="false">(J14020-I14020)-(J14043+J13960-J14041-J14045-J14049)</f>
        <v>0</v>
      </c>
      <c r="K14054" s="25" t="n">
        <f aca="false">(K14020-J14020)-(K14043+K13960-K14041-K14045-K14049)</f>
        <v>0</v>
      </c>
    </row>
    <row r="14056" customFormat="false" ht="15" hidden="false" customHeight="false" outlineLevel="0" collapsed="false">
      <c r="A14056" s="23" t="s">
        <v>358</v>
      </c>
      <c r="B14056" s="24"/>
      <c r="C14056" s="24"/>
      <c r="D14056" s="24"/>
      <c r="E14056" s="24"/>
      <c r="F14056" s="24"/>
      <c r="G14056" s="24"/>
      <c r="H14056" s="24"/>
      <c r="I14056" s="24"/>
      <c r="J14056" s="24"/>
      <c r="K14056" s="24"/>
    </row>
    <row r="14057" customFormat="false" ht="15" hidden="false" customHeight="false" outlineLevel="0" collapsed="false">
      <c r="A14057" s="3" t="s">
        <v>359</v>
      </c>
      <c r="G14057" s="25" t="n">
        <f aca="false">G14020</f>
        <v>1735.554</v>
      </c>
      <c r="H14057" s="25" t="n">
        <f aca="false">H14020</f>
        <v>1735.554</v>
      </c>
      <c r="I14057" s="25" t="n">
        <f aca="false">I14020</f>
        <v>1465.18203256832</v>
      </c>
      <c r="J14057" s="25" t="n">
        <f aca="false">J14020</f>
        <v>1465.18203256832</v>
      </c>
      <c r="K14057" s="25" t="n">
        <f aca="false">K14020</f>
        <v>1465.18203256832</v>
      </c>
    </row>
    <row r="14058" customFormat="false" ht="15" hidden="false" customHeight="false" outlineLevel="0" collapsed="false">
      <c r="A14058" s="3" t="s">
        <v>360</v>
      </c>
      <c r="G14058" s="25" t="n">
        <f aca="false">Assumptions!$O$56*G13992+Assumptions!$O$57*G14005+Assumptions!$O$58*G14018</f>
        <v>1315.098</v>
      </c>
      <c r="H14058" s="25" t="n">
        <f aca="false">Assumptions!$O$56*H13992+Assumptions!$O$57*H14005+Assumptions!$O$58*H14018</f>
        <v>1315.098</v>
      </c>
      <c r="I14058" s="25" t="n">
        <f aca="false">Assumptions!$O$56*I13992+Assumptions!$O$57*I14005+Assumptions!$O$58*I14018</f>
        <v>1315.098</v>
      </c>
      <c r="J14058" s="25" t="n">
        <f aca="false">Assumptions!$O$56*J13992+Assumptions!$O$57*J14005+Assumptions!$O$58*J14018</f>
        <v>1315.098</v>
      </c>
      <c r="K14058" s="25" t="n">
        <f aca="false">Assumptions!$O$56*K13992+Assumptions!$O$57*K14005+Assumptions!$O$58*K14018</f>
        <v>1315.098</v>
      </c>
    </row>
    <row r="14059" customFormat="false" ht="15" hidden="false" customHeight="false" outlineLevel="0" collapsed="false">
      <c r="A14059" s="3" t="s">
        <v>361</v>
      </c>
      <c r="G14059" s="25" t="n">
        <f aca="false">G14057-G14050</f>
        <v>1303.88369336</v>
      </c>
      <c r="H14059" s="25" t="n">
        <f aca="false">H14057-H14050</f>
        <v>1376.5433403488</v>
      </c>
      <c r="I14059" s="25" t="n">
        <f aca="false">I14057-I14050</f>
        <v>1465.18203256832</v>
      </c>
      <c r="J14059" s="25" t="n">
        <f aca="false">J14057-J14050</f>
        <v>1547.71519439443</v>
      </c>
      <c r="K14059" s="25" t="n">
        <f aca="false">K14057-K14050</f>
        <v>1633.96419819403</v>
      </c>
    </row>
    <row r="14060" customFormat="false" ht="15" hidden="false" customHeight="false" outlineLevel="0" collapsed="false">
      <c r="A14060" s="3" t="s">
        <v>362</v>
      </c>
      <c r="G14060" s="32" t="n">
        <f aca="false">IF(G13955&gt;0,G14057/G13955,0)</f>
        <v>9.98286782658702</v>
      </c>
      <c r="H14060" s="32" t="n">
        <f aca="false">IF(H13955&gt;0,H14057/H13955,0)</f>
        <v>13.6130015817096</v>
      </c>
      <c r="I14060" s="32" t="n">
        <f aca="false">IF(I13955&gt;0,I14057/I13955,0)</f>
        <v>13.6813219341771</v>
      </c>
      <c r="J14060" s="32" t="n">
        <f aca="false">IF(J13955&gt;0,J14057/J13955,0)</f>
        <v>14.8710021023664</v>
      </c>
      <c r="K14060" s="32" t="n">
        <f aca="false">IF(K13955&gt;0,K14057/K13955,0)</f>
        <v>15.8202150025174</v>
      </c>
    </row>
    <row r="14061" customFormat="false" ht="15" hidden="false" customHeight="false" outlineLevel="0" collapsed="false">
      <c r="A14061" s="3" t="s">
        <v>363</v>
      </c>
      <c r="G14061" s="32" t="n">
        <f aca="false">IF(G13955&gt;0,G14059/G13955,0)</f>
        <v>7.49990986858087</v>
      </c>
      <c r="H14061" s="32" t="n">
        <f aca="false">IF(H13955&gt;0,H14059/H13955,0)</f>
        <v>10.7970634560838</v>
      </c>
      <c r="I14061" s="32" t="n">
        <f aca="false">IF(I13955&gt;0,I14059/I13955,0)</f>
        <v>13.6813219341771</v>
      </c>
      <c r="J14061" s="32" t="n">
        <f aca="false">IF(J13955&gt;0,J14059/J13955,0)</f>
        <v>15.7086801490181</v>
      </c>
      <c r="K14061" s="32" t="n">
        <f aca="false">IF(K13955&gt;0,K14059/K13955,0)</f>
        <v>17.6426302993449</v>
      </c>
    </row>
    <row r="14062" customFormat="false" ht="15" hidden="false" customHeight="false" outlineLevel="0" collapsed="false">
      <c r="A14062" s="3" t="s">
        <v>364</v>
      </c>
      <c r="G14062" s="32" t="n">
        <f aca="false">IF(G13959&gt;0,G13955/G13959,0)</f>
        <v>1.11476782580477</v>
      </c>
      <c r="H14062" s="32" t="n">
        <f aca="false">IF(H13959&gt;0,H13955/H13959,0)</f>
        <v>0.817496405590163</v>
      </c>
      <c r="I14062" s="32" t="n">
        <f aca="false">IF(I13959&gt;0,I13955/I13959,0)</f>
        <v>0.686696980695737</v>
      </c>
      <c r="J14062" s="32" t="n">
        <f aca="false">IF(J13959&gt;0,J13955/J13959,0)</f>
        <v>0.682012179303795</v>
      </c>
      <c r="K14062" s="32" t="n">
        <f aca="false">IF(K13959&gt;0,K13955/K13959,0)</f>
        <v>0.641091448545568</v>
      </c>
    </row>
    <row r="14063" customFormat="false" ht="15" hidden="false" customHeight="false" outlineLevel="0" collapsed="false">
      <c r="A14063" s="3" t="s">
        <v>365</v>
      </c>
      <c r="G14063" s="32" t="n">
        <f aca="false">IF(G13959&gt;0,G13958/G13959,0)</f>
        <v>0.510100328512125</v>
      </c>
      <c r="H14063" s="32" t="n">
        <f aca="false">IF(H13959&gt;0,H13958/H13959,0)</f>
        <v>0.285389007972637</v>
      </c>
      <c r="I14063" s="32" t="n">
        <f aca="false">IF(I13959&gt;0,I13958/I13959,0)</f>
        <v>0.207800322839964</v>
      </c>
      <c r="J14063" s="32" t="n">
        <f aca="false">IF(J13959&gt;0,J13958/J13959,0)</f>
        <v>0.206382662257416</v>
      </c>
      <c r="K14063" s="32" t="n">
        <f aca="false">IF(K13959&gt;0,K13958/K13959,0)</f>
        <v>0.193999702521971</v>
      </c>
    </row>
    <row r="14064" customFormat="false" ht="15" hidden="false" customHeight="false" outlineLevel="0" collapsed="false">
      <c r="A14064" s="3" t="s">
        <v>198</v>
      </c>
      <c r="G14064" s="21" t="n">
        <f aca="false">IF(G14057&gt;0,G13968/G14057,0)</f>
        <v>-0.0186255762482758</v>
      </c>
      <c r="H14064" s="21" t="n">
        <f aca="false">IF(H14057&gt;0,H13968/H14057,0)</f>
        <v>-0.0418653911020919</v>
      </c>
      <c r="I14064" s="21" t="n">
        <f aca="false">IF(I14057&gt;0,I13968/I14057,0)</f>
        <v>-0.0604967097938985</v>
      </c>
      <c r="J14064" s="21" t="n">
        <f aca="false">IF(J14057&gt;0,J13968/J14057,0)</f>
        <v>-0.0563296300333683</v>
      </c>
      <c r="K14064" s="21" t="n">
        <f aca="false">IF(K14057&gt;0,K13968/K14057,0)</f>
        <v>-0.0588657258159305</v>
      </c>
    </row>
    <row r="14065" customFormat="false" ht="15" hidden="false" customHeight="false" outlineLevel="0" collapsed="false">
      <c r="A14065" s="3" t="s">
        <v>366</v>
      </c>
      <c r="G14065" s="32" t="n">
        <f aca="false">IF(G13959+G14041&gt;0,(G13955-G13966-G13963)/(G13959+G14041),0)</f>
        <v>0.978518424873074</v>
      </c>
      <c r="H14065" s="32" t="n">
        <f aca="false">IF(H13959+H14041&gt;0,(H13955-H13966-H13963)/(H13959+H14041),0)</f>
        <v>0.697596932770272</v>
      </c>
      <c r="I14065" s="32" t="n">
        <f aca="false">IF(I13959+I14041&gt;0,(I13955-I13966-I13963)/(I13959+I14041),0)</f>
        <v>0.578787455157835</v>
      </c>
      <c r="J14065" s="32" t="n">
        <f aca="false">IF(J13959+J14041&gt;0,(J13955-J13966-J13963)/(J13959+J14041),0)</f>
        <v>0.57483883684177</v>
      </c>
      <c r="K14065" s="32" t="n">
        <f aca="false">IF(K13959+K14041&gt;0,(K13955-K13966-K13963)/(K13959+K14041),0)</f>
        <v>0.540348506631264</v>
      </c>
    </row>
    <row r="14066" customFormat="false" ht="15" hidden="false" customHeight="false" outlineLevel="0" collapsed="false">
      <c r="A14066" s="3" t="s">
        <v>367</v>
      </c>
      <c r="G14066" s="25" t="n">
        <f aca="false">MAX(0,G14050)+Assumptions!$P$56*MAX(0,Assumptions!$D$56-G13992)+Assumptions!$P$57*MAX(0,Assumptions!$D$57-G14005)+Assumptions!$P$58*MAX(0,Assumptions!$D$58-G14018)</f>
        <v>431.67030664</v>
      </c>
      <c r="H14066" s="25" t="n">
        <f aca="false">MAX(0,H14050)+Assumptions!$P$56*MAX(0,Assumptions!$D$56-H13992)+Assumptions!$P$57*MAX(0,Assumptions!$D$57-H14005)+Assumptions!$P$58*MAX(0,Assumptions!$D$58-H14018)</f>
        <v>359.0106596512</v>
      </c>
      <c r="I14066" s="25" t="n">
        <f aca="false">MAX(0,I14050)+Assumptions!$P$56*MAX(0,Assumptions!$D$56-I13992)+Assumptions!$P$57*MAX(0,Assumptions!$D$57-I14005)+Assumptions!$P$58*MAX(0,Assumptions!$D$58-I14018)</f>
        <v>0</v>
      </c>
      <c r="J14066" s="25" t="n">
        <f aca="false">MAX(0,J14050)+Assumptions!$P$56*MAX(0,Assumptions!$D$56-J13992)+Assumptions!$P$57*MAX(0,Assumptions!$D$57-J14005)+Assumptions!$P$58*MAX(0,Assumptions!$D$58-J14018)</f>
        <v>0</v>
      </c>
      <c r="K14066" s="25" t="n">
        <f aca="false">MAX(0,K14050)+Assumptions!$P$56*MAX(0,Assumptions!$D$56-K13992)+Assumptions!$P$57*MAX(0,Assumptions!$D$57-K14005)+Assumptions!$P$58*MAX(0,Assumptions!$D$58-K14018)</f>
        <v>0</v>
      </c>
    </row>
    <row r="14067" customFormat="false" ht="15" hidden="false" customHeight="false" outlineLevel="0" collapsed="false">
      <c r="A14067" s="3" t="s">
        <v>368</v>
      </c>
      <c r="G14067" s="21" t="n">
        <f aca="false">IF(G14057&gt;0,G14057/(G14057+MAX(0,G13955*CHOOSE($C$13938,Assumptions!$C$82,Assumptions!$C$101,Assumptions!$C$120)-G14059)),0)</f>
        <v>1</v>
      </c>
      <c r="H14067" s="21" t="n">
        <f aca="false">IF(H14057&gt;0,H14057/(H14057+MAX(0,H13955*CHOOSE($C$13938,Assumptions!$C$82,Assumptions!$C$101,Assumptions!$C$120)-H14059)),0)</f>
        <v>1</v>
      </c>
      <c r="I14067" s="21" t="n">
        <f aca="false">IF(I14057&gt;0,I14057/(I14057+MAX(0,I13955*CHOOSE($C$13938,Assumptions!$C$82,Assumptions!$C$101,Assumptions!$C$120)-I14059)),0)</f>
        <v>1</v>
      </c>
      <c r="J14067" s="21" t="n">
        <f aca="false">IF(J14057&gt;0,J14057/(J14057+MAX(0,J13955*CHOOSE($C$13938,Assumptions!$C$82,Assumptions!$C$101,Assumptions!$C$120)-J14059)),0)</f>
        <v>1</v>
      </c>
      <c r="K14067" s="21" t="n">
        <f aca="false">IF(K14057&gt;0,K14057/(K14057+MAX(0,K13955*CHOOSE($C$13938,Assumptions!$C$82,Assumptions!$C$101,Assumptions!$C$120)-K14059)),0)</f>
        <v>1</v>
      </c>
    </row>
    <row r="14068" customFormat="false" ht="15" hidden="false" customHeight="false" outlineLevel="0" collapsed="false">
      <c r="A14068" s="3" t="s">
        <v>369</v>
      </c>
      <c r="G14068" s="21" t="n">
        <f aca="false">IF(G14057&gt;0,MAX(0,G14050)/G14057,0)</f>
        <v>0.248721910490829</v>
      </c>
      <c r="H14068" s="21" t="n">
        <f aca="false">IF(H14057&gt;0,MAX(0,H14050)/H14057,0)</f>
        <v>0.206856519388737</v>
      </c>
      <c r="I14068" s="21" t="n">
        <f aca="false">IF(I14057&gt;0,MAX(0,I14050)/I14057,0)</f>
        <v>0</v>
      </c>
      <c r="J14068" s="21" t="n">
        <f aca="false">IF(J14057&gt;0,MAX(0,J14050)/J14057,0)</f>
        <v>0</v>
      </c>
      <c r="K14068" s="21" t="n">
        <f aca="false">IF(K14057&gt;0,MAX(0,K14050)/K14057,0)</f>
        <v>0</v>
      </c>
    </row>
    <row r="14069" customFormat="false" ht="15" hidden="false" customHeight="false" outlineLevel="0" collapsed="false">
      <c r="A14069" s="3" t="s">
        <v>370</v>
      </c>
      <c r="G14069" s="25" t="n">
        <f aca="false">Assumptions!$C$30*(1-CHOOSE($C$13938,Assumptions!$C$85,Assumptions!$C$104,Assumptions!$C$123))</f>
        <v>1595.73115</v>
      </c>
      <c r="H14069" s="25" t="n">
        <f aca="false">Assumptions!$C$30*(1-CHOOSE($C$13938,Assumptions!$C$85,Assumptions!$C$104,Assumptions!$C$123))</f>
        <v>1595.73115</v>
      </c>
      <c r="I14069" s="25" t="n">
        <f aca="false">Assumptions!$C$30*(1-CHOOSE($C$13938,Assumptions!$C$85,Assumptions!$C$104,Assumptions!$C$123))</f>
        <v>1595.73115</v>
      </c>
      <c r="J14069" s="25" t="n">
        <f aca="false">Assumptions!$C$30*(1-CHOOSE($C$13938,Assumptions!$C$85,Assumptions!$C$104,Assumptions!$C$123))</f>
        <v>1595.73115</v>
      </c>
      <c r="K14069" s="25" t="n">
        <f aca="false">Assumptions!$C$30*(1-CHOOSE($C$13938,Assumptions!$C$85,Assumptions!$C$104,Assumptions!$C$123))</f>
        <v>1595.73115</v>
      </c>
    </row>
    <row r="14070" customFormat="false" ht="15" hidden="false" customHeight="false" outlineLevel="0" collapsed="false">
      <c r="A14070" s="23" t="s">
        <v>371</v>
      </c>
      <c r="B14070" s="24"/>
      <c r="C14070" s="24"/>
      <c r="D14070" s="24"/>
      <c r="E14070" s="24"/>
      <c r="F14070" s="24"/>
      <c r="G14070" s="24"/>
      <c r="H14070" s="24"/>
      <c r="I14070" s="24"/>
      <c r="J14070" s="24"/>
      <c r="K14070" s="24"/>
    </row>
    <row r="14071" customFormat="false" ht="15" hidden="false" customHeight="false" outlineLevel="0" collapsed="false">
      <c r="A14071" s="23" t="s">
        <v>372</v>
      </c>
      <c r="B14071" s="24"/>
      <c r="C14071" s="24"/>
      <c r="D14071" s="24"/>
      <c r="E14071" s="24"/>
      <c r="F14071" s="24"/>
      <c r="G14071" s="24"/>
      <c r="H14071" s="24"/>
      <c r="I14071" s="24"/>
      <c r="J14071" s="24"/>
      <c r="K14071" s="24"/>
    </row>
    <row r="14072" customFormat="false" ht="15" hidden="false" customHeight="false" outlineLevel="0" collapsed="false">
      <c r="A14072" s="3" t="s">
        <v>373</v>
      </c>
      <c r="G14072" s="32" t="n">
        <f aca="false">IF(G13955&gt;0,G14059/G13955,99)</f>
        <v>7.49990986858087</v>
      </c>
      <c r="H14072" s="32" t="n">
        <f aca="false">IF(H13955&gt;0,H14059/H13955,99)</f>
        <v>10.7970634560838</v>
      </c>
      <c r="I14072" s="32" t="n">
        <f aca="false">IF(I13955&gt;0,I14059/I13955,99)</f>
        <v>13.6813219341771</v>
      </c>
      <c r="J14072" s="32" t="n">
        <f aca="false">IF(J13955&gt;0,J14059/J13955,99)</f>
        <v>15.7086801490181</v>
      </c>
      <c r="K14072" s="32" t="n">
        <f aca="false">IF(K13955&gt;0,K14059/K13955,99)</f>
        <v>17.6426302993449</v>
      </c>
    </row>
    <row r="14073" customFormat="false" ht="15" hidden="false" customHeight="false" outlineLevel="0" collapsed="false">
      <c r="A14073" s="3" t="s">
        <v>374</v>
      </c>
      <c r="G14073" s="33" t="n">
        <f aca="false">Assumptions!$G$65</f>
        <v>5.25</v>
      </c>
      <c r="H14073" s="33" t="n">
        <f aca="false">Assumptions!$H$65</f>
        <v>5.25</v>
      </c>
      <c r="I14073" s="33" t="n">
        <f aca="false">Assumptions!$I$65</f>
        <v>5</v>
      </c>
      <c r="J14073" s="33" t="n">
        <f aca="false">Assumptions!$J$65</f>
        <v>5</v>
      </c>
      <c r="K14073" s="33" t="n">
        <f aca="false">Assumptions!$K$65</f>
        <v>5</v>
      </c>
    </row>
    <row r="14074" customFormat="false" ht="15" hidden="false" customHeight="false" outlineLevel="0" collapsed="false">
      <c r="A14074" s="3" t="s">
        <v>375</v>
      </c>
      <c r="G14074" s="32" t="n">
        <f aca="false">G14073-G14072</f>
        <v>-2.24990986858086</v>
      </c>
      <c r="H14074" s="32" t="n">
        <f aca="false">H14073-H14072</f>
        <v>-5.54706345608375</v>
      </c>
      <c r="I14074" s="32" t="n">
        <f aca="false">I14073-I14072</f>
        <v>-8.68132193417709</v>
      </c>
      <c r="J14074" s="32" t="n">
        <f aca="false">J14073-J14072</f>
        <v>-10.7086801490181</v>
      </c>
      <c r="K14074" s="32" t="n">
        <f aca="false">K14073-K14072</f>
        <v>-12.6426302993449</v>
      </c>
    </row>
    <row r="14075" customFormat="false" ht="15" hidden="false" customHeight="false" outlineLevel="0" collapsed="false">
      <c r="A14075" s="3" t="s">
        <v>376</v>
      </c>
      <c r="G14075" s="21" t="n">
        <f aca="false">IF(G14073=0,0,G14074/ABS(G14073))</f>
        <v>-0.42855426068207</v>
      </c>
      <c r="H14075" s="21" t="n">
        <f aca="false">IF(H14073=0,0,H14074/ABS(H14073))</f>
        <v>-1.05658351544452</v>
      </c>
      <c r="I14075" s="21" t="n">
        <f aca="false">IF(I14073=0,0,I14074/ABS(I14073))</f>
        <v>-1.73626438683542</v>
      </c>
      <c r="J14075" s="21" t="n">
        <f aca="false">IF(J14073=0,0,J14074/ABS(J14073))</f>
        <v>-2.14173602980363</v>
      </c>
      <c r="K14075" s="21" t="n">
        <f aca="false">IF(K14073=0,0,K14074/ABS(K14073))</f>
        <v>-2.52852605986897</v>
      </c>
    </row>
    <row r="14076" customFormat="false" ht="15" hidden="false" customHeight="false" outlineLevel="0" collapsed="false">
      <c r="A14076" s="3" t="s">
        <v>377</v>
      </c>
      <c r="G14076" s="20" t="n">
        <f aca="false">IF(G14074&lt;0,1,0)</f>
        <v>1</v>
      </c>
      <c r="H14076" s="20" t="n">
        <f aca="false">IF(H14074&lt;0,1,0)</f>
        <v>1</v>
      </c>
      <c r="I14076" s="20" t="n">
        <f aca="false">IF(I14074&lt;0,1,0)</f>
        <v>1</v>
      </c>
      <c r="J14076" s="20" t="n">
        <f aca="false">IF(J14074&lt;0,1,0)</f>
        <v>1</v>
      </c>
      <c r="K14076" s="20" t="n">
        <f aca="false">IF(K14074&lt;0,1,0)</f>
        <v>1</v>
      </c>
    </row>
    <row r="14077" customFormat="false" ht="15" hidden="false" customHeight="false" outlineLevel="0" collapsed="false">
      <c r="A14077" s="3" t="s">
        <v>378</v>
      </c>
      <c r="C14077" s="20" t="n">
        <f aca="false">IFERROR(INDEX($G$13945:$K$13945,MATCH(1,$G$14076:$K$14076,0)),0)</f>
        <v>2027</v>
      </c>
    </row>
    <row r="14078" customFormat="false" ht="15" hidden="false" customHeight="false" outlineLevel="0" collapsed="false">
      <c r="A14078" s="3" t="s">
        <v>379</v>
      </c>
      <c r="C14078" s="21" t="n">
        <f aca="false">MIN($G$14075:$K$14075)</f>
        <v>-2.52852605986897</v>
      </c>
    </row>
    <row r="14079" customFormat="false" ht="15" hidden="false" customHeight="false" outlineLevel="0" collapsed="false">
      <c r="A14079" s="23" t="s">
        <v>380</v>
      </c>
      <c r="B14079" s="24"/>
      <c r="C14079" s="24"/>
      <c r="D14079" s="24"/>
      <c r="E14079" s="24"/>
      <c r="F14079" s="24"/>
      <c r="G14079" s="24"/>
      <c r="H14079" s="24"/>
      <c r="I14079" s="24"/>
      <c r="J14079" s="24"/>
      <c r="K14079" s="24"/>
    </row>
    <row r="14080" customFormat="false" ht="15" hidden="false" customHeight="false" outlineLevel="0" collapsed="false">
      <c r="A14080" s="3" t="s">
        <v>373</v>
      </c>
      <c r="G14080" s="32" t="n">
        <f aca="false">IF(G13959&gt;0,G13955/G13959,99)</f>
        <v>1.11476782580477</v>
      </c>
      <c r="H14080" s="32" t="n">
        <f aca="false">IF(H13959&gt;0,H13955/H13959,99)</f>
        <v>0.817496405590163</v>
      </c>
      <c r="I14080" s="32" t="n">
        <f aca="false">IF(I13959&gt;0,I13955/I13959,99)</f>
        <v>0.686696980695737</v>
      </c>
      <c r="J14080" s="32" t="n">
        <f aca="false">IF(J13959&gt;0,J13955/J13959,99)</f>
        <v>0.682012179303795</v>
      </c>
      <c r="K14080" s="32" t="n">
        <f aca="false">IF(K13959&gt;0,K13955/K13959,99)</f>
        <v>0.641091448545568</v>
      </c>
    </row>
    <row r="14081" customFormat="false" ht="15" hidden="false" customHeight="false" outlineLevel="0" collapsed="false">
      <c r="A14081" s="3" t="s">
        <v>374</v>
      </c>
      <c r="G14081" s="33" t="n">
        <f aca="false">Assumptions!$G$66</f>
        <v>1.4</v>
      </c>
      <c r="H14081" s="33" t="n">
        <f aca="false">Assumptions!$H$66</f>
        <v>1.4</v>
      </c>
      <c r="I14081" s="33" t="n">
        <f aca="false">Assumptions!$I$66</f>
        <v>1.4</v>
      </c>
      <c r="J14081" s="33" t="n">
        <f aca="false">Assumptions!$J$66</f>
        <v>1.5</v>
      </c>
      <c r="K14081" s="33" t="n">
        <f aca="false">Assumptions!$K$66</f>
        <v>1.5</v>
      </c>
    </row>
    <row r="14082" customFormat="false" ht="15" hidden="false" customHeight="false" outlineLevel="0" collapsed="false">
      <c r="A14082" s="3" t="s">
        <v>375</v>
      </c>
      <c r="G14082" s="32" t="n">
        <f aca="false">G14080-G14081</f>
        <v>-0.285232174195233</v>
      </c>
      <c r="H14082" s="32" t="n">
        <f aca="false">H14080-H14081</f>
        <v>-0.582503594409837</v>
      </c>
      <c r="I14082" s="32" t="n">
        <f aca="false">I14080-I14081</f>
        <v>-0.713303019304263</v>
      </c>
      <c r="J14082" s="32" t="n">
        <f aca="false">J14080-J14081</f>
        <v>-0.817987820696205</v>
      </c>
      <c r="K14082" s="32" t="n">
        <f aca="false">K14080-K14081</f>
        <v>-0.858908551454433</v>
      </c>
    </row>
    <row r="14083" customFormat="false" ht="15" hidden="false" customHeight="false" outlineLevel="0" collapsed="false">
      <c r="A14083" s="3" t="s">
        <v>376</v>
      </c>
      <c r="G14083" s="21" t="n">
        <f aca="false">IF(G14081=0,0,G14082/ABS(G14081))</f>
        <v>-0.203737267282309</v>
      </c>
      <c r="H14083" s="21" t="n">
        <f aca="false">IF(H14081=0,0,H14082/ABS(H14081))</f>
        <v>-0.416073996007027</v>
      </c>
      <c r="I14083" s="21" t="n">
        <f aca="false">IF(I14081=0,0,I14082/ABS(I14081))</f>
        <v>-0.509502156645902</v>
      </c>
      <c r="J14083" s="21" t="n">
        <f aca="false">IF(J14081=0,0,J14082/ABS(J14081))</f>
        <v>-0.54532521379747</v>
      </c>
      <c r="K14083" s="21" t="n">
        <f aca="false">IF(K14081=0,0,K14082/ABS(K14081))</f>
        <v>-0.572605700969622</v>
      </c>
    </row>
    <row r="14084" customFormat="false" ht="15" hidden="false" customHeight="false" outlineLevel="0" collapsed="false">
      <c r="A14084" s="3" t="s">
        <v>377</v>
      </c>
      <c r="G14084" s="20" t="n">
        <f aca="false">IF(G14082&lt;0,1,0)</f>
        <v>1</v>
      </c>
      <c r="H14084" s="20" t="n">
        <f aca="false">IF(H14082&lt;0,1,0)</f>
        <v>1</v>
      </c>
      <c r="I14084" s="20" t="n">
        <f aca="false">IF(I14082&lt;0,1,0)</f>
        <v>1</v>
      </c>
      <c r="J14084" s="20" t="n">
        <f aca="false">IF(J14082&lt;0,1,0)</f>
        <v>1</v>
      </c>
      <c r="K14084" s="20" t="n">
        <f aca="false">IF(K14082&lt;0,1,0)</f>
        <v>1</v>
      </c>
    </row>
    <row r="14085" customFormat="false" ht="15" hidden="false" customHeight="false" outlineLevel="0" collapsed="false">
      <c r="A14085" s="3" t="s">
        <v>378</v>
      </c>
      <c r="C14085" s="20" t="n">
        <f aca="false">IFERROR(INDEX($G$13945:$K$13945,MATCH(1,$G$14084:$K$14084,0)),0)</f>
        <v>2027</v>
      </c>
    </row>
    <row r="14086" customFormat="false" ht="15" hidden="false" customHeight="false" outlineLevel="0" collapsed="false">
      <c r="A14086" s="3" t="s">
        <v>379</v>
      </c>
      <c r="C14086" s="21" t="n">
        <f aca="false">MIN($G$14083:$K$14083)</f>
        <v>-0.572605700969622</v>
      </c>
    </row>
    <row r="14087" customFormat="false" ht="15" hidden="false" customHeight="false" outlineLevel="0" collapsed="false">
      <c r="A14087" s="23" t="s">
        <v>381</v>
      </c>
      <c r="B14087" s="24"/>
      <c r="C14087" s="24"/>
      <c r="D14087" s="24"/>
      <c r="E14087" s="24"/>
      <c r="F14087" s="24"/>
      <c r="G14087" s="24"/>
      <c r="H14087" s="24"/>
      <c r="I14087" s="24"/>
      <c r="J14087" s="24"/>
      <c r="K14087" s="24"/>
    </row>
    <row r="14088" customFormat="false" ht="15" hidden="false" customHeight="false" outlineLevel="0" collapsed="false">
      <c r="A14088" s="3" t="s">
        <v>373</v>
      </c>
      <c r="G14088" s="25" t="n">
        <f aca="false">G14066</f>
        <v>431.67030664</v>
      </c>
      <c r="H14088" s="25" t="n">
        <f aca="false">H14066</f>
        <v>359.0106596512</v>
      </c>
      <c r="I14088" s="25" t="n">
        <f aca="false">I14066</f>
        <v>0</v>
      </c>
      <c r="J14088" s="25" t="n">
        <f aca="false">J14066</f>
        <v>0</v>
      </c>
      <c r="K14088" s="25" t="n">
        <f aca="false">K14066</f>
        <v>0</v>
      </c>
    </row>
    <row r="14089" customFormat="false" ht="15" hidden="false" customHeight="false" outlineLevel="0" collapsed="false">
      <c r="A14089" s="3" t="s">
        <v>374</v>
      </c>
      <c r="G14089" s="29" t="n">
        <f aca="false">Assumptions!$G$67</f>
        <v>200</v>
      </c>
      <c r="H14089" s="29" t="n">
        <f aca="false">Assumptions!$H$67</f>
        <v>200</v>
      </c>
      <c r="I14089" s="29" t="n">
        <f aca="false">Assumptions!$I$67</f>
        <v>200</v>
      </c>
      <c r="J14089" s="29" t="n">
        <f aca="false">Assumptions!$J$67</f>
        <v>200</v>
      </c>
      <c r="K14089" s="29" t="n">
        <f aca="false">Assumptions!$K$67</f>
        <v>200</v>
      </c>
    </row>
    <row r="14090" customFormat="false" ht="15" hidden="false" customHeight="false" outlineLevel="0" collapsed="false">
      <c r="A14090" s="3" t="s">
        <v>375</v>
      </c>
      <c r="G14090" s="25" t="n">
        <f aca="false">G14088-G14089</f>
        <v>231.67030664</v>
      </c>
      <c r="H14090" s="25" t="n">
        <f aca="false">H14088-H14089</f>
        <v>159.0106596512</v>
      </c>
      <c r="I14090" s="25" t="n">
        <f aca="false">I14088-I14089</f>
        <v>-200</v>
      </c>
      <c r="J14090" s="25" t="n">
        <f aca="false">J14088-J14089</f>
        <v>-200</v>
      </c>
      <c r="K14090" s="25" t="n">
        <f aca="false">K14088-K14089</f>
        <v>-200</v>
      </c>
    </row>
    <row r="14091" customFormat="false" ht="15" hidden="false" customHeight="false" outlineLevel="0" collapsed="false">
      <c r="A14091" s="3" t="s">
        <v>376</v>
      </c>
      <c r="G14091" s="21" t="n">
        <f aca="false">IF(G14089=0,0,G14090/ABS(G14089))</f>
        <v>1.1583515332</v>
      </c>
      <c r="H14091" s="21" t="n">
        <f aca="false">IF(H14089=0,0,H14090/ABS(H14089))</f>
        <v>0.795053298256</v>
      </c>
      <c r="I14091" s="21" t="n">
        <f aca="false">IF(I14089=0,0,I14090/ABS(I14089))</f>
        <v>-1</v>
      </c>
      <c r="J14091" s="21" t="n">
        <f aca="false">IF(J14089=0,0,J14090/ABS(J14089))</f>
        <v>-1</v>
      </c>
      <c r="K14091" s="21" t="n">
        <f aca="false">IF(K14089=0,0,K14090/ABS(K14089))</f>
        <v>-1</v>
      </c>
    </row>
    <row r="14092" customFormat="false" ht="15" hidden="false" customHeight="false" outlineLevel="0" collapsed="false">
      <c r="A14092" s="3" t="s">
        <v>377</v>
      </c>
      <c r="G14092" s="20" t="n">
        <f aca="false">IF(G14090&lt;0,1,0)</f>
        <v>0</v>
      </c>
      <c r="H14092" s="20" t="n">
        <f aca="false">IF(H14090&lt;0,1,0)</f>
        <v>0</v>
      </c>
      <c r="I14092" s="20" t="n">
        <f aca="false">IF(I14090&lt;0,1,0)</f>
        <v>1</v>
      </c>
      <c r="J14092" s="20" t="n">
        <f aca="false">IF(J14090&lt;0,1,0)</f>
        <v>1</v>
      </c>
      <c r="K14092" s="20" t="n">
        <f aca="false">IF(K14090&lt;0,1,0)</f>
        <v>1</v>
      </c>
    </row>
    <row r="14093" customFormat="false" ht="15" hidden="false" customHeight="false" outlineLevel="0" collapsed="false">
      <c r="A14093" s="3" t="s">
        <v>378</v>
      </c>
      <c r="C14093" s="20" t="n">
        <f aca="false">IFERROR(INDEX($G$13945:$K$13945,MATCH(1,$G$14092:$K$14092,0)),0)</f>
        <v>2029</v>
      </c>
    </row>
    <row r="14094" customFormat="false" ht="15" hidden="false" customHeight="false" outlineLevel="0" collapsed="false">
      <c r="A14094" s="3" t="s">
        <v>379</v>
      </c>
      <c r="C14094" s="21" t="n">
        <f aca="false">MIN($G$14091:$K$14091)</f>
        <v>-1</v>
      </c>
    </row>
    <row r="14095" customFormat="false" ht="15" hidden="false" customHeight="false" outlineLevel="0" collapsed="false">
      <c r="A14095" s="3" t="s">
        <v>382</v>
      </c>
      <c r="G14095" s="20" t="n">
        <f aca="false">G14076+G14084+G14092</f>
        <v>2</v>
      </c>
      <c r="H14095" s="20" t="n">
        <f aca="false">H14076+H14084+H14092</f>
        <v>2</v>
      </c>
      <c r="I14095" s="20" t="n">
        <f aca="false">I14076+I14084+I14092</f>
        <v>3</v>
      </c>
      <c r="J14095" s="20" t="n">
        <f aca="false">J14076+J14084+J14092</f>
        <v>3</v>
      </c>
      <c r="K14095" s="20" t="n">
        <f aca="false">K14076+K14084+K14092</f>
        <v>3</v>
      </c>
    </row>
    <row r="14096" customFormat="false" ht="15" hidden="false" customHeight="false" outlineLevel="0" collapsed="false">
      <c r="A14096" s="3" t="s">
        <v>383</v>
      </c>
      <c r="C14096" s="20" t="n">
        <f aca="false">SUM($G$14095:$K$14095)</f>
        <v>13</v>
      </c>
    </row>
    <row r="14097" customFormat="false" ht="15" hidden="false" customHeight="false" outlineLevel="0" collapsed="false">
      <c r="A14097" s="3" t="s">
        <v>384</v>
      </c>
      <c r="C14097" s="21" t="n">
        <f aca="false">MIN(C14078,C14086,C14094)</f>
        <v>-2.52852605986897</v>
      </c>
    </row>
    <row r="14099" customFormat="false" ht="15" hidden="false" customHeight="false" outlineLevel="0" collapsed="false">
      <c r="A14099" s="23" t="s">
        <v>486</v>
      </c>
      <c r="B14099" s="24"/>
      <c r="C14099" s="24"/>
      <c r="D14099" s="24"/>
      <c r="E14099" s="24"/>
      <c r="F14099" s="24"/>
      <c r="G14099" s="24"/>
      <c r="H14099" s="24"/>
      <c r="I14099" s="24"/>
      <c r="J14099" s="24"/>
      <c r="K14099" s="24"/>
    </row>
    <row r="14100" customFormat="false" ht="15" hidden="false" customHeight="false" outlineLevel="0" collapsed="false">
      <c r="A14100" s="3" t="s">
        <v>487</v>
      </c>
      <c r="G14100" s="20" t="n">
        <f aca="false">IF($C$14101=1,G14053,IF(G13955=MIN($G$13955:$K$13955),1,0))</f>
        <v>0</v>
      </c>
      <c r="H14100" s="20" t="n">
        <f aca="false">IF($C$14101=1,H14053,IF(AND(H13955=MIN($G$13955:$K$13955),SUM($G$14100:G14100)=0),1,0))</f>
        <v>0</v>
      </c>
      <c r="I14100" s="20" t="n">
        <f aca="false">IF($C$14101=1,I14053,IF(AND(I13955=MIN($G$13955:$K$13955),SUM($G$14100:H14100)=0),1,0))</f>
        <v>1</v>
      </c>
      <c r="J14100" s="20" t="n">
        <f aca="false">IF($C$14101=1,J14053,IF(AND(J13955=MIN($G$13955:$K$13955),SUM($G$14100:I14100)=0),1,0))</f>
        <v>0</v>
      </c>
      <c r="K14100" s="20" t="n">
        <f aca="false">IF($C$14101=1,K14053,IF(AND(K13955=MIN($G$13955:$K$13955),SUM($G$14100:J14100)=0),1,0))</f>
        <v>0</v>
      </c>
    </row>
    <row r="14101" customFormat="false" ht="15" hidden="false" customHeight="false" outlineLevel="0" collapsed="false">
      <c r="A14101" s="3" t="s">
        <v>488</v>
      </c>
      <c r="C14101" s="20" t="n">
        <f aca="false">IF(SUM($G$14053:$K$14053)&gt;0,1,0)</f>
        <v>1</v>
      </c>
    </row>
    <row r="14102" customFormat="false" ht="15" hidden="false" customHeight="false" outlineLevel="0" collapsed="false">
      <c r="A14102" s="3" t="s">
        <v>489</v>
      </c>
      <c r="C14102" s="20" t="n">
        <f aca="false">SUMPRODUCT($G$14100:$K$14100,$G$13945:$K$13945)</f>
        <v>2029</v>
      </c>
    </row>
    <row r="14103" customFormat="false" ht="15" hidden="false" customHeight="false" outlineLevel="0" collapsed="false">
      <c r="A14103" s="3" t="s">
        <v>490</v>
      </c>
      <c r="C14103" s="25" t="n">
        <f aca="false">SUMPRODUCT($G$14100:$K$14100,$G$13955:$K$13955)</f>
        <v>107.0936010144</v>
      </c>
    </row>
    <row r="14104" customFormat="false" ht="15" hidden="false" customHeight="false" outlineLevel="0" collapsed="false">
      <c r="A14104" s="3" t="s">
        <v>491</v>
      </c>
      <c r="C14104" s="25" t="n">
        <f aca="false">MAX(0,SUMPRODUCT($G$14100:$K$14100,$G$14050:$K$14050))</f>
        <v>0</v>
      </c>
    </row>
    <row r="14105" customFormat="false" ht="15" hidden="false" customHeight="false" outlineLevel="0" collapsed="false">
      <c r="A14105" s="3" t="s">
        <v>492</v>
      </c>
      <c r="C14105" s="25" t="n">
        <f aca="false">(CHOOSE($C$13938,Assumptions!$C$84,Assumptions!$C$103,Assumptions!$C$122)+$C$13942)*C14103</f>
        <v>428.3744040576</v>
      </c>
    </row>
    <row r="14106" customFormat="false" ht="15" hidden="false" customHeight="false" outlineLevel="0" collapsed="false">
      <c r="A14106" s="3" t="s">
        <v>493</v>
      </c>
      <c r="C14106" s="25" t="n">
        <f aca="false">Assumptions!$C$30*(1-CHOOSE($C$13938,Assumptions!$C$85,Assumptions!$C$104,Assumptions!$C$123))*CHOOSE($C$13938,Assumptions!$C$86,Assumptions!$C$105,Assumptions!$C$124)</f>
        <v>478.719345</v>
      </c>
    </row>
    <row r="14107" customFormat="false" ht="15" hidden="false" customHeight="false" outlineLevel="0" collapsed="false">
      <c r="A14107" s="3" t="s">
        <v>494</v>
      </c>
      <c r="C14107" s="25" t="n">
        <f aca="false">MAX(C14105,C14106)+C14104</f>
        <v>478.719345</v>
      </c>
    </row>
    <row r="14108" customFormat="false" ht="15" hidden="false" customHeight="false" outlineLevel="0" collapsed="false">
      <c r="A14108" s="2" t="s">
        <v>495</v>
      </c>
      <c r="C14108" s="16" t="n">
        <f aca="false">IF(ISNUMBER(Assumptions!$C$14),Assumptions!$C$14,C14107)</f>
        <v>478.719345</v>
      </c>
    </row>
    <row r="14109" customFormat="false" ht="15" hidden="false" customHeight="false" outlineLevel="0" collapsed="false">
      <c r="A14109" s="3" t="s">
        <v>496</v>
      </c>
      <c r="C14109" s="25" t="n">
        <f aca="false">C14108*Assumptions!$C$15</f>
        <v>19.1487738</v>
      </c>
    </row>
    <row r="14110" customFormat="false" ht="15" hidden="false" customHeight="false" outlineLevel="0" collapsed="false">
      <c r="A14110" s="2" t="s">
        <v>497</v>
      </c>
      <c r="C14110" s="16" t="n">
        <f aca="false">C14108-C14109</f>
        <v>459.5705712</v>
      </c>
    </row>
    <row r="14111" customFormat="false" ht="15" hidden="false" customHeight="false" outlineLevel="0" collapsed="false">
      <c r="A14111" s="23" t="s">
        <v>498</v>
      </c>
      <c r="B14111" s="24"/>
      <c r="C14111" s="24"/>
      <c r="D14111" s="24"/>
      <c r="E14111" s="24"/>
      <c r="F14111" s="24"/>
      <c r="G14111" s="24"/>
      <c r="H14111" s="24"/>
      <c r="I14111" s="24"/>
      <c r="J14111" s="24"/>
      <c r="K14111" s="24"/>
    </row>
    <row r="14112" customFormat="false" ht="15" hidden="false" customHeight="false" outlineLevel="0" collapsed="false">
      <c r="A14112" s="3" t="s">
        <v>499</v>
      </c>
      <c r="C14112" s="25" t="n">
        <f aca="false">SUMPRODUCT($G$14100:$K$14100,$G$13992:$K$13992)*(1+SUMPRODUCT($G$14100:$K$14100,$G$13984:$K$13984)*Assumptions!$C$16/12)</f>
        <v>1349.6193225</v>
      </c>
    </row>
    <row r="14113" customFormat="false" ht="15" hidden="false" customHeight="false" outlineLevel="0" collapsed="false">
      <c r="A14113" s="3" t="s">
        <v>500</v>
      </c>
      <c r="C14113" s="25" t="n">
        <f aca="false">SUMPRODUCT($G$14100:$K$14100,$G$14005:$K$14005)*(1+SUMPRODUCT($G$14100:$K$14100,$G$13997:$K$13997)*Assumptions!$C$16/12)</f>
        <v>6.40133166435848</v>
      </c>
    </row>
    <row r="14114" customFormat="false" ht="15" hidden="false" customHeight="false" outlineLevel="0" collapsed="false">
      <c r="A14114" s="3" t="s">
        <v>501</v>
      </c>
      <c r="C14114" s="25" t="n">
        <f aca="false">SUMPRODUCT($G$14100:$K$14100,$G$14018:$K$14018)*(1+SUMPRODUCT($G$14100:$K$14100,$G$14010:$K$14010)*Assumptions!$C$16/12)</f>
        <v>145.27734375</v>
      </c>
    </row>
    <row r="14115" customFormat="false" ht="15" hidden="false" customHeight="false" outlineLevel="0" collapsed="false">
      <c r="A14115" s="23" t="s">
        <v>502</v>
      </c>
      <c r="B14115" s="24"/>
      <c r="C14115" s="24"/>
      <c r="D14115" s="24"/>
      <c r="E14115" s="24"/>
      <c r="F14115" s="24"/>
      <c r="G14115" s="24"/>
      <c r="H14115" s="24"/>
      <c r="I14115" s="24"/>
      <c r="J14115" s="24"/>
      <c r="K14115" s="24"/>
    </row>
    <row r="14116" customFormat="false" ht="15" hidden="false" customHeight="false" outlineLevel="0" collapsed="false">
      <c r="A14116" s="3" t="s">
        <v>499</v>
      </c>
      <c r="C14116" s="27" t="n">
        <f aca="false">Assumptions!$M$56</f>
        <v>1</v>
      </c>
    </row>
    <row r="14117" customFormat="false" ht="15" hidden="false" customHeight="false" outlineLevel="0" collapsed="false">
      <c r="A14117" s="3" t="s">
        <v>500</v>
      </c>
      <c r="C14117" s="27" t="n">
        <f aca="false">Assumptions!$M$57</f>
        <v>2</v>
      </c>
    </row>
    <row r="14118" customFormat="false" ht="15" hidden="false" customHeight="false" outlineLevel="0" collapsed="false">
      <c r="A14118" s="3" t="s">
        <v>501</v>
      </c>
      <c r="C14118" s="27" t="n">
        <f aca="false">Assumptions!$M$58</f>
        <v>2</v>
      </c>
    </row>
    <row r="14119" customFormat="false" ht="15" hidden="false" customHeight="false" outlineLevel="0" collapsed="false">
      <c r="A14119" s="23" t="s">
        <v>503</v>
      </c>
      <c r="B14119" s="24"/>
      <c r="C14119" s="24"/>
      <c r="D14119" s="24"/>
      <c r="E14119" s="24"/>
      <c r="F14119" s="24"/>
      <c r="G14119" s="24"/>
      <c r="H14119" s="24"/>
      <c r="I14119" s="24"/>
      <c r="J14119" s="24"/>
      <c r="K14119" s="24"/>
    </row>
    <row r="14120" customFormat="false" ht="15" hidden="false" customHeight="false" outlineLevel="0" collapsed="false">
      <c r="A14120" s="3" t="s">
        <v>499</v>
      </c>
      <c r="C14120" s="35" t="n">
        <f aca="false">Assumptions!$Q$56</f>
        <v>0</v>
      </c>
    </row>
    <row r="14121" customFormat="false" ht="15" hidden="false" customHeight="false" outlineLevel="0" collapsed="false">
      <c r="A14121" s="3" t="s">
        <v>500</v>
      </c>
      <c r="C14121" s="35" t="n">
        <f aca="false">Assumptions!$Q$57</f>
        <v>0</v>
      </c>
    </row>
    <row r="14122" customFormat="false" ht="15" hidden="false" customHeight="false" outlineLevel="0" collapsed="false">
      <c r="A14122" s="3" t="s">
        <v>501</v>
      </c>
      <c r="C14122" s="35" t="n">
        <f aca="false">Assumptions!$Q$58</f>
        <v>0</v>
      </c>
    </row>
    <row r="14123" customFormat="false" ht="15" hidden="false" customHeight="false" outlineLevel="0" collapsed="false">
      <c r="A14123" s="23" t="s">
        <v>504</v>
      </c>
      <c r="B14123" s="24"/>
      <c r="C14123" s="24"/>
      <c r="D14123" s="24"/>
      <c r="E14123" s="24"/>
      <c r="F14123" s="24"/>
      <c r="G14123" s="24"/>
      <c r="H14123" s="24"/>
      <c r="I14123" s="24"/>
      <c r="J14123" s="24"/>
      <c r="K14123" s="24"/>
    </row>
    <row r="14124" customFormat="false" ht="15" hidden="false" customHeight="false" outlineLevel="0" collapsed="false">
      <c r="A14124" s="3" t="s">
        <v>499</v>
      </c>
      <c r="C14124" s="25" t="n">
        <f aca="false">IF(C14120&gt;0,MIN(C14112,C14120*$C$14110),0)</f>
        <v>0</v>
      </c>
    </row>
    <row r="14125" customFormat="false" ht="15" hidden="false" customHeight="false" outlineLevel="0" collapsed="false">
      <c r="A14125" s="3" t="s">
        <v>500</v>
      </c>
      <c r="C14125" s="25" t="n">
        <f aca="false">IF(C14121&gt;0,MIN(C14113,C14121*$C$14110),0)</f>
        <v>0</v>
      </c>
    </row>
    <row r="14126" customFormat="false" ht="15" hidden="false" customHeight="false" outlineLevel="0" collapsed="false">
      <c r="A14126" s="3" t="s">
        <v>501</v>
      </c>
      <c r="C14126" s="25" t="n">
        <f aca="false">IF(C14122&gt;0,MIN(C14114,C14122*$C$14110),0)</f>
        <v>0</v>
      </c>
    </row>
    <row r="14127" customFormat="false" ht="15" hidden="false" customHeight="false" outlineLevel="0" collapsed="false">
      <c r="A14127" s="23" t="s">
        <v>505</v>
      </c>
      <c r="B14127" s="24"/>
      <c r="C14127" s="24"/>
      <c r="D14127" s="24"/>
      <c r="E14127" s="24"/>
      <c r="F14127" s="24"/>
      <c r="G14127" s="24"/>
      <c r="H14127" s="24"/>
      <c r="I14127" s="24"/>
      <c r="J14127" s="24"/>
      <c r="K14127" s="24"/>
    </row>
    <row r="14128" customFormat="false" ht="15" hidden="false" customHeight="false" outlineLevel="0" collapsed="false">
      <c r="A14128" s="3" t="s">
        <v>499</v>
      </c>
      <c r="C14128" s="25" t="n">
        <f aca="false">IF(C14120&gt;0,C14112-C14124,0)</f>
        <v>0</v>
      </c>
      <c r="G14128" s="20" t="n">
        <f aca="false">IF(AND(G13982=1,G13979=1),1,0)</f>
        <v>0</v>
      </c>
      <c r="H14128" s="20" t="n">
        <f aca="false">IF(G14128=1,1,IF(AND(H13982=1,H13979=1),1,0))</f>
        <v>0</v>
      </c>
      <c r="I14128" s="20" t="n">
        <f aca="false">IF(H14128=1,1,IF(AND(I13982=1,I13979=1),1,0))</f>
        <v>0</v>
      </c>
      <c r="J14128" s="20" t="n">
        <f aca="false">IF(I14128=1,1,IF(AND(J13982=1,J13979=1),1,0))</f>
        <v>0</v>
      </c>
      <c r="K14128" s="20" t="n">
        <f aca="false">IF(J14128=1,1,IF(AND(K13982=1,K13979=1),1,0))</f>
        <v>0</v>
      </c>
    </row>
    <row r="14129" customFormat="false" ht="15" hidden="false" customHeight="false" outlineLevel="0" collapsed="false">
      <c r="A14129" s="3" t="s">
        <v>500</v>
      </c>
      <c r="C14129" s="25" t="n">
        <f aca="false">IF(C14121&gt;0,C14113-C14125,0)</f>
        <v>0</v>
      </c>
      <c r="G14129" s="20" t="n">
        <f aca="false">IF(AND(G13995=1,G13979=1),1,0)</f>
        <v>0</v>
      </c>
      <c r="H14129" s="20" t="n">
        <f aca="false">IF(G14129=1,1,IF(AND(H13995=1,H13979=1),1,0))</f>
        <v>0</v>
      </c>
      <c r="I14129" s="20" t="n">
        <f aca="false">IF(H14129=1,1,IF(AND(I13995=1,I13979=1),1,0))</f>
        <v>0</v>
      </c>
      <c r="J14129" s="20" t="n">
        <f aca="false">IF(I14129=1,1,IF(AND(J13995=1,J13979=1),1,0))</f>
        <v>0</v>
      </c>
      <c r="K14129" s="20" t="n">
        <f aca="false">IF(J14129=1,1,IF(AND(K13995=1,K13979=1),1,0))</f>
        <v>0</v>
      </c>
    </row>
    <row r="14130" customFormat="false" ht="15" hidden="false" customHeight="false" outlineLevel="0" collapsed="false">
      <c r="A14130" s="3" t="s">
        <v>501</v>
      </c>
      <c r="C14130" s="25" t="n">
        <f aca="false">IF(C14122&gt;0,C14114-C14126,0)</f>
        <v>0</v>
      </c>
      <c r="G14130" s="20" t="n">
        <f aca="false">IF(AND(G14008=1,G13979=1),1,0)</f>
        <v>0</v>
      </c>
      <c r="H14130" s="20" t="n">
        <f aca="false">IF(G14130=1,1,IF(AND(H14008=1,H13979=1),1,0))</f>
        <v>0</v>
      </c>
      <c r="I14130" s="20" t="n">
        <f aca="false">IF(H14130=1,1,IF(AND(I14008=1,I13979=1),1,0))</f>
        <v>0</v>
      </c>
      <c r="J14130" s="20" t="n">
        <f aca="false">IF(I14130=1,1,IF(AND(J14008=1,J13979=1),1,0))</f>
        <v>0</v>
      </c>
      <c r="K14130" s="20" t="n">
        <f aca="false">IF(J14130=1,1,IF(AND(K14008=1,K13979=1),1,0))</f>
        <v>0</v>
      </c>
    </row>
    <row r="14131" customFormat="false" ht="15" hidden="false" customHeight="false" outlineLevel="0" collapsed="false">
      <c r="A14131" s="23" t="s">
        <v>506</v>
      </c>
      <c r="B14131" s="24"/>
      <c r="C14131" s="24"/>
      <c r="D14131" s="24"/>
      <c r="E14131" s="24"/>
      <c r="F14131" s="24"/>
      <c r="G14131" s="24"/>
      <c r="H14131" s="24"/>
      <c r="I14131" s="24"/>
      <c r="J14131" s="24"/>
      <c r="K14131" s="24"/>
    </row>
    <row r="14132" customFormat="false" ht="15" hidden="false" customHeight="false" outlineLevel="0" collapsed="false">
      <c r="A14132" s="3" t="s">
        <v>499</v>
      </c>
      <c r="C14132" s="25" t="n">
        <f aca="false">IF(C14120&gt;0,C14128,C14112)</f>
        <v>1349.6193225</v>
      </c>
    </row>
    <row r="14133" customFormat="false" ht="15" hidden="false" customHeight="false" outlineLevel="0" collapsed="false">
      <c r="A14133" s="3" t="s">
        <v>500</v>
      </c>
      <c r="C14133" s="25" t="n">
        <f aca="false">IF(C14121&gt;0,C14129,C14113)</f>
        <v>6.40133166435848</v>
      </c>
    </row>
    <row r="14134" customFormat="false" ht="15" hidden="false" customHeight="false" outlineLevel="0" collapsed="false">
      <c r="A14134" s="3" t="s">
        <v>501</v>
      </c>
      <c r="C14134" s="25" t="n">
        <f aca="false">IF(C14122&gt;0,C14130,C14114)</f>
        <v>145.27734375</v>
      </c>
    </row>
    <row r="14135" customFormat="false" ht="15" hidden="false" customHeight="false" outlineLevel="0" collapsed="false">
      <c r="A14135" s="23" t="s">
        <v>507</v>
      </c>
      <c r="B14135" s="24"/>
      <c r="C14135" s="24"/>
      <c r="D14135" s="24"/>
      <c r="E14135" s="24"/>
      <c r="F14135" s="24"/>
      <c r="G14135" s="24"/>
      <c r="H14135" s="24"/>
      <c r="I14135" s="24"/>
      <c r="J14135" s="24"/>
      <c r="K14135" s="24"/>
    </row>
    <row r="14136" customFormat="false" ht="15" hidden="false" customHeight="false" outlineLevel="0" collapsed="false">
      <c r="A14136" s="3" t="s">
        <v>499</v>
      </c>
      <c r="C14136" s="20" t="n">
        <f aca="false">IF(C14120&gt;0,Assumptions!$C$17,C14116)</f>
        <v>1</v>
      </c>
    </row>
    <row r="14137" customFormat="false" ht="15" hidden="false" customHeight="false" outlineLevel="0" collapsed="false">
      <c r="A14137" s="3" t="s">
        <v>500</v>
      </c>
      <c r="C14137" s="20" t="n">
        <f aca="false">IF(C14121&gt;0,Assumptions!$C$17,C14117)</f>
        <v>2</v>
      </c>
    </row>
    <row r="14138" customFormat="false" ht="15" hidden="false" customHeight="false" outlineLevel="0" collapsed="false">
      <c r="A14138" s="3" t="s">
        <v>501</v>
      </c>
      <c r="C14138" s="20" t="n">
        <f aca="false">IF(C14122&gt;0,Assumptions!$C$17,C14118)</f>
        <v>2</v>
      </c>
    </row>
    <row r="14139" customFormat="false" ht="15" hidden="false" customHeight="false" outlineLevel="0" collapsed="false">
      <c r="A14139" s="23" t="s">
        <v>508</v>
      </c>
      <c r="B14139" s="24"/>
      <c r="C14139" s="24"/>
      <c r="D14139" s="24"/>
      <c r="E14139" s="24"/>
      <c r="F14139" s="24"/>
      <c r="G14139" s="24"/>
      <c r="H14139" s="24"/>
      <c r="I14139" s="24"/>
      <c r="J14139" s="24"/>
      <c r="K14139" s="24"/>
    </row>
    <row r="14140" customFormat="false" ht="15" hidden="false" customHeight="false" outlineLevel="0" collapsed="false">
      <c r="A14140" s="3" t="s">
        <v>499</v>
      </c>
      <c r="C14140" s="25" t="n">
        <f aca="false">SUMPRODUCT(($C$14136:$C$14138&lt;C14136)*$C$14132:$C$14134)</f>
        <v>0</v>
      </c>
    </row>
    <row r="14141" customFormat="false" ht="15" hidden="false" customHeight="false" outlineLevel="0" collapsed="false">
      <c r="A14141" s="3" t="s">
        <v>500</v>
      </c>
      <c r="C14141" s="25" t="n">
        <f aca="false">SUMPRODUCT(($C$14136:$C$14138&lt;C14137)*$C$14132:$C$14134)</f>
        <v>1349.6193225</v>
      </c>
    </row>
    <row r="14142" customFormat="false" ht="15" hidden="false" customHeight="false" outlineLevel="0" collapsed="false">
      <c r="A14142" s="3" t="s">
        <v>501</v>
      </c>
      <c r="C14142" s="25" t="n">
        <f aca="false">SUMPRODUCT(($C$14136:$C$14138&lt;C14138)*$C$14132:$C$14134)</f>
        <v>1349.6193225</v>
      </c>
    </row>
    <row r="14143" customFormat="false" ht="15" hidden="false" customHeight="false" outlineLevel="0" collapsed="false">
      <c r="A14143" s="23" t="s">
        <v>509</v>
      </c>
      <c r="B14143" s="24"/>
      <c r="C14143" s="24"/>
      <c r="D14143" s="24"/>
      <c r="E14143" s="24"/>
      <c r="F14143" s="24"/>
      <c r="G14143" s="24"/>
      <c r="H14143" s="24"/>
      <c r="I14143" s="24"/>
      <c r="J14143" s="24"/>
      <c r="K14143" s="24"/>
    </row>
    <row r="14144" customFormat="false" ht="15" hidden="false" customHeight="false" outlineLevel="0" collapsed="false">
      <c r="A14144" s="3" t="s">
        <v>499</v>
      </c>
      <c r="C14144" s="25" t="n">
        <f aca="false">SUMPRODUCT(($C$14136:$C$14138=C14136)*$C$14132:$C$14134)</f>
        <v>1349.6193225</v>
      </c>
    </row>
    <row r="14145" customFormat="false" ht="15" hidden="false" customHeight="false" outlineLevel="0" collapsed="false">
      <c r="A14145" s="3" t="s">
        <v>500</v>
      </c>
      <c r="C14145" s="25" t="n">
        <f aca="false">SUMPRODUCT(($C$14136:$C$14138=C14137)*$C$14132:$C$14134)</f>
        <v>151.678675414359</v>
      </c>
    </row>
    <row r="14146" customFormat="false" ht="15" hidden="false" customHeight="false" outlineLevel="0" collapsed="false">
      <c r="A14146" s="3" t="s">
        <v>501</v>
      </c>
      <c r="C14146" s="25" t="n">
        <f aca="false">SUMPRODUCT(($C$14136:$C$14138=C14138)*$C$14132:$C$14134)</f>
        <v>151.678675414359</v>
      </c>
    </row>
    <row r="14147" customFormat="false" ht="15" hidden="false" customHeight="false" outlineLevel="0" collapsed="false">
      <c r="A14147" s="23" t="s">
        <v>510</v>
      </c>
      <c r="B14147" s="24"/>
      <c r="C14147" s="24"/>
      <c r="D14147" s="24"/>
      <c r="E14147" s="24"/>
      <c r="F14147" s="24"/>
      <c r="G14147" s="24"/>
      <c r="H14147" s="24"/>
      <c r="I14147" s="24"/>
      <c r="J14147" s="24"/>
      <c r="K14147" s="24"/>
    </row>
    <row r="14148" customFormat="false" ht="15" hidden="false" customHeight="false" outlineLevel="0" collapsed="false">
      <c r="A14148" s="3" t="s">
        <v>499</v>
      </c>
      <c r="C14148" s="25" t="n">
        <f aca="false">IF(C14144=0,0,C14132/C14144*MAX(0,MIN(C14144,$C$14110-SUM($C$14124:$C$14126)-C14140)))</f>
        <v>459.5705712</v>
      </c>
    </row>
    <row r="14149" customFormat="false" ht="15" hidden="false" customHeight="false" outlineLevel="0" collapsed="false">
      <c r="A14149" s="3" t="s">
        <v>500</v>
      </c>
      <c r="C14149" s="25" t="n">
        <f aca="false">IF(C14145=0,0,C14133/C14145*MAX(0,MIN(C14145,$C$14110-SUM($C$14124:$C$14126)-C14141)))</f>
        <v>0</v>
      </c>
    </row>
    <row r="14150" customFormat="false" ht="15" hidden="false" customHeight="false" outlineLevel="0" collapsed="false">
      <c r="A14150" s="3" t="s">
        <v>501</v>
      </c>
      <c r="C14150" s="25" t="n">
        <f aca="false">IF(C14146=0,0,C14134/C14146*MAX(0,MIN(C14146,$C$14110-SUM($C$14124:$C$14126)-C14142)))</f>
        <v>0</v>
      </c>
    </row>
    <row r="14151" customFormat="false" ht="15" hidden="false" customHeight="false" outlineLevel="0" collapsed="false">
      <c r="A14151" s="23" t="s">
        <v>511</v>
      </c>
      <c r="B14151" s="24"/>
      <c r="C14151" s="24"/>
      <c r="D14151" s="24"/>
      <c r="E14151" s="24"/>
      <c r="F14151" s="24"/>
      <c r="G14151" s="24"/>
      <c r="H14151" s="24"/>
      <c r="I14151" s="24"/>
      <c r="J14151" s="24"/>
      <c r="K14151" s="24"/>
    </row>
    <row r="14152" customFormat="false" ht="15" hidden="false" customHeight="false" outlineLevel="0" collapsed="false">
      <c r="A14152" s="2" t="s">
        <v>499</v>
      </c>
      <c r="C14152" s="16" t="n">
        <f aca="false">C14124+C14148</f>
        <v>459.5705712</v>
      </c>
    </row>
    <row r="14153" customFormat="false" ht="15" hidden="false" customHeight="false" outlineLevel="0" collapsed="false">
      <c r="A14153" s="2" t="s">
        <v>500</v>
      </c>
      <c r="C14153" s="16" t="n">
        <f aca="false">C14125+C14149</f>
        <v>0</v>
      </c>
    </row>
    <row r="14154" customFormat="false" ht="15" hidden="false" customHeight="false" outlineLevel="0" collapsed="false">
      <c r="A14154" s="2" t="s">
        <v>501</v>
      </c>
      <c r="C14154" s="16" t="n">
        <f aca="false">C14126+C14150</f>
        <v>0</v>
      </c>
    </row>
    <row r="14155" customFormat="false" ht="15" hidden="false" customHeight="false" outlineLevel="0" collapsed="false">
      <c r="A14155" s="23" t="s">
        <v>512</v>
      </c>
      <c r="B14155" s="24"/>
      <c r="C14155" s="24"/>
      <c r="D14155" s="24"/>
      <c r="E14155" s="24"/>
      <c r="F14155" s="24"/>
      <c r="G14155" s="24"/>
      <c r="H14155" s="24"/>
      <c r="I14155" s="24"/>
      <c r="J14155" s="24"/>
      <c r="K14155" s="24"/>
    </row>
    <row r="14156" customFormat="false" ht="15" hidden="false" customHeight="false" outlineLevel="0" collapsed="false">
      <c r="A14156" s="3" t="s">
        <v>499</v>
      </c>
      <c r="C14156" s="21" t="n">
        <f aca="false">IF(C14112=0,1,C14152/C14112)</f>
        <v>0.340518665921812</v>
      </c>
    </row>
    <row r="14157" customFormat="false" ht="15" hidden="false" customHeight="false" outlineLevel="0" collapsed="false">
      <c r="A14157" s="3" t="s">
        <v>500</v>
      </c>
      <c r="C14157" s="21" t="n">
        <f aca="false">IF(C14113=0,1,C14153/C14113)</f>
        <v>0</v>
      </c>
    </row>
    <row r="14158" customFormat="false" ht="15" hidden="false" customHeight="false" outlineLevel="0" collapsed="false">
      <c r="A14158" s="3" t="s">
        <v>501</v>
      </c>
      <c r="C14158" s="21" t="n">
        <f aca="false">IF(C14114=0,1,C14154/C14114)</f>
        <v>0</v>
      </c>
    </row>
    <row r="14159" customFormat="false" ht="15" hidden="false" customHeight="false" outlineLevel="0" collapsed="false">
      <c r="A14159" s="23" t="s">
        <v>513</v>
      </c>
      <c r="B14159" s="24"/>
      <c r="C14159" s="24"/>
      <c r="D14159" s="24"/>
      <c r="E14159" s="24"/>
      <c r="F14159" s="24"/>
      <c r="G14159" s="24"/>
      <c r="H14159" s="24"/>
      <c r="I14159" s="24"/>
      <c r="J14159" s="24"/>
      <c r="K14159" s="24"/>
    </row>
    <row r="14160" customFormat="false" ht="15" hidden="false" customHeight="false" outlineLevel="0" collapsed="false">
      <c r="A14160" s="3" t="s">
        <v>499</v>
      </c>
      <c r="C14160" s="25" t="n">
        <f aca="false">C14112-C14152</f>
        <v>890.0487513</v>
      </c>
    </row>
    <row r="14161" customFormat="false" ht="15" hidden="false" customHeight="false" outlineLevel="0" collapsed="false">
      <c r="A14161" s="3" t="s">
        <v>500</v>
      </c>
      <c r="C14161" s="25" t="n">
        <f aca="false">C14113-C14153</f>
        <v>6.40133166435848</v>
      </c>
    </row>
    <row r="14162" customFormat="false" ht="15" hidden="false" customHeight="false" outlineLevel="0" collapsed="false">
      <c r="A14162" s="3" t="s">
        <v>501</v>
      </c>
      <c r="C14162" s="25" t="n">
        <f aca="false">C14114-C14154</f>
        <v>145.27734375</v>
      </c>
    </row>
    <row r="14163" customFormat="false" ht="15" hidden="false" customHeight="false" outlineLevel="0" collapsed="false">
      <c r="A14163" s="23" t="s">
        <v>514</v>
      </c>
      <c r="B14163" s="24"/>
      <c r="C14163" s="24"/>
      <c r="D14163" s="24"/>
      <c r="E14163" s="24"/>
      <c r="F14163" s="24"/>
      <c r="G14163" s="24"/>
      <c r="H14163" s="24"/>
      <c r="I14163" s="24"/>
      <c r="J14163" s="24"/>
      <c r="K14163" s="24"/>
    </row>
    <row r="14164" customFormat="false" ht="15" hidden="false" customHeight="false" outlineLevel="0" collapsed="false">
      <c r="A14164" s="3" t="s">
        <v>499</v>
      </c>
      <c r="C14164" s="21" t="n">
        <f aca="false">IF(C14112=0,0,C14160/C14112)</f>
        <v>0.659481334078188</v>
      </c>
    </row>
    <row r="14165" customFormat="false" ht="15" hidden="false" customHeight="false" outlineLevel="0" collapsed="false">
      <c r="A14165" s="3" t="s">
        <v>500</v>
      </c>
      <c r="C14165" s="21" t="n">
        <f aca="false">IF(C14113=0,0,C14161/C14113)</f>
        <v>1</v>
      </c>
    </row>
    <row r="14166" customFormat="false" ht="15" hidden="false" customHeight="false" outlineLevel="0" collapsed="false">
      <c r="A14166" s="3" t="s">
        <v>501</v>
      </c>
      <c r="C14166" s="21" t="n">
        <f aca="false">IF(C14114=0,0,C14162/C14114)</f>
        <v>1</v>
      </c>
    </row>
    <row r="14167" customFormat="false" ht="15" hidden="false" customHeight="false" outlineLevel="0" collapsed="false">
      <c r="A14167" s="2" t="s">
        <v>515</v>
      </c>
      <c r="C14167" s="16" t="n">
        <f aca="false">MAX(0,$C$14110-SUM($C$14124:$C$14126)-SUM($C$14132:$C$14134))</f>
        <v>0</v>
      </c>
    </row>
    <row r="14168" customFormat="false" ht="15" hidden="false" customHeight="false" outlineLevel="0" collapsed="false">
      <c r="A14168" s="3" t="s">
        <v>516</v>
      </c>
      <c r="C14168" s="25" t="n">
        <f aca="false">SUM($C$14152:$C$14154)+C14167+C14109-C14108</f>
        <v>0</v>
      </c>
    </row>
    <row r="14170" customFormat="false" ht="15" hidden="false" customHeight="false" outlineLevel="0" collapsed="false">
      <c r="A14170" s="23" t="s">
        <v>519</v>
      </c>
      <c r="B14170" s="24"/>
      <c r="C14170" s="24"/>
      <c r="D14170" s="24"/>
      <c r="E14170" s="24"/>
      <c r="F14170" s="24"/>
      <c r="G14170" s="24"/>
      <c r="H14170" s="24"/>
      <c r="I14170" s="24"/>
      <c r="J14170" s="24"/>
      <c r="K14170" s="24"/>
    </row>
    <row r="14171" customFormat="false" ht="15" hidden="false" customHeight="false" outlineLevel="0" collapsed="false">
      <c r="A14171" s="3" t="s">
        <v>520</v>
      </c>
      <c r="C14171" s="27" t="n">
        <f aca="false">Assumptions!$C$33</f>
        <v>1</v>
      </c>
    </row>
    <row r="14172" customFormat="false" ht="15" hidden="false" customHeight="false" outlineLevel="0" collapsed="false">
      <c r="A14172" s="3" t="s">
        <v>521</v>
      </c>
      <c r="C14172" s="29" t="n">
        <f aca="false">Assumptions!$C$34</f>
        <v>100</v>
      </c>
    </row>
    <row r="14173" customFormat="false" ht="15" hidden="false" customHeight="false" outlineLevel="0" collapsed="false">
      <c r="A14173" s="3" t="s">
        <v>522</v>
      </c>
      <c r="C14173" s="40" t="n">
        <f aca="false">Assumptions!$C$35</f>
        <v>95</v>
      </c>
    </row>
    <row r="14174" customFormat="false" ht="15" hidden="false" customHeight="false" outlineLevel="0" collapsed="false">
      <c r="A14174" s="3" t="s">
        <v>523</v>
      </c>
      <c r="C14174" s="25" t="n">
        <f aca="false">C14172*C14173/100*(1+Assumptions!$C$36)</f>
        <v>95</v>
      </c>
    </row>
    <row r="14175" customFormat="false" ht="15" hidden="false" customHeight="false" outlineLevel="0" collapsed="false">
      <c r="A14175" s="3" t="s">
        <v>524</v>
      </c>
      <c r="C14175" s="27" t="n">
        <f aca="false">Assumptions!$C$37</f>
        <v>3</v>
      </c>
    </row>
    <row r="14176" customFormat="false" ht="15" hidden="false" customHeight="false" outlineLevel="0" collapsed="false">
      <c r="A14176" s="3" t="s">
        <v>525</v>
      </c>
      <c r="C14176" s="20" t="n">
        <f aca="false">IF(C14101=1,SUMPRODUCT($G$14053:$K$14053,$G$13946:$K$13946),0)</f>
        <v>3</v>
      </c>
    </row>
    <row r="14177" customFormat="false" ht="15" hidden="false" customHeight="false" outlineLevel="0" collapsed="false">
      <c r="A14177" s="3" t="s">
        <v>526</v>
      </c>
      <c r="C14177" s="21" t="n">
        <f aca="false">IFERROR(C14172/CHOOSE(C14171,SUMPRODUCT($G$14100:$K$14100,$G$13992:$K$13992),SUMPRODUCT($G$14100:$K$14100,$G$14005:$K$14005),SUMPRODUCT($G$14100:$K$14100,$G$14018:$K$14018)),0)</f>
        <v>0.0760399605200525</v>
      </c>
    </row>
    <row r="14178" customFormat="false" ht="15" hidden="false" customHeight="false" outlineLevel="0" collapsed="false">
      <c r="A14178" s="3" t="s">
        <v>527</v>
      </c>
      <c r="C14178" s="25" t="n">
        <f aca="false">CHOOSE(C14171,C14152,C14153,C14154)*C14177</f>
        <v>34.945728090226</v>
      </c>
    </row>
    <row r="14179" customFormat="false" ht="15" hidden="false" customHeight="false" outlineLevel="0" collapsed="false">
      <c r="A14179" s="3" t="s">
        <v>528</v>
      </c>
      <c r="C14179" s="21" t="n">
        <f aca="false">CHOOSE(C14171,C14156,C14157,C14158)</f>
        <v>0.340518665921812</v>
      </c>
    </row>
    <row r="14180" customFormat="false" ht="15" hidden="false" customHeight="false" outlineLevel="0" collapsed="false">
      <c r="A14180" s="3" t="s">
        <v>529</v>
      </c>
      <c r="C14180" s="20" t="n">
        <f aca="false">IF(C14101=1,C14176,C14175)</f>
        <v>3</v>
      </c>
    </row>
    <row r="14181" customFormat="false" ht="15" hidden="false" customHeight="false" outlineLevel="0" collapsed="false">
      <c r="A14181" s="3" t="s">
        <v>530</v>
      </c>
      <c r="C14181" s="34" t="n">
        <f aca="false">CHOOSE($C$13938,Assumptions!$C$83,Assumptions!$C$102,Assumptions!$C$121)</f>
        <v>80</v>
      </c>
    </row>
    <row r="14182" customFormat="false" ht="15" hidden="false" customHeight="false" outlineLevel="0" collapsed="false">
      <c r="A14182" s="3" t="s">
        <v>531</v>
      </c>
      <c r="C14182" s="25" t="n">
        <f aca="false">INDEX($G$13955:$K$13955,C14175)*CHOOSE($C$13938,Assumptions!$C$82,Assumptions!$C$101,Assumptions!$C$120)+MAX(0,INDEX($G$14050:$K$14050,C14175))</f>
        <v>428.3744040576</v>
      </c>
    </row>
    <row r="14183" customFormat="false" ht="15" hidden="false" customHeight="false" outlineLevel="0" collapsed="false">
      <c r="A14183" s="23" t="s">
        <v>532</v>
      </c>
      <c r="B14183" s="24"/>
      <c r="C14183" s="24"/>
      <c r="D14183" s="24"/>
      <c r="E14183" s="24"/>
      <c r="F14183" s="24"/>
      <c r="G14183" s="24"/>
      <c r="H14183" s="24"/>
      <c r="I14183" s="24"/>
      <c r="J14183" s="24"/>
      <c r="K14183" s="24"/>
    </row>
    <row r="14184" customFormat="false" ht="15" hidden="false" customHeight="false" outlineLevel="0" collapsed="false">
      <c r="A14184" s="3" t="s">
        <v>499</v>
      </c>
      <c r="C14184" s="25" t="n">
        <f aca="false">INDEX($G$13992:$K$13992,C14175)</f>
        <v>1315.098</v>
      </c>
    </row>
    <row r="14185" customFormat="false" ht="15" hidden="false" customHeight="false" outlineLevel="0" collapsed="false">
      <c r="A14185" s="3" t="s">
        <v>500</v>
      </c>
      <c r="C14185" s="25" t="n">
        <f aca="false">INDEX($G$14005:$K$14005,C14175)</f>
        <v>6.33403256832008</v>
      </c>
    </row>
    <row r="14186" customFormat="false" ht="15" hidden="false" customHeight="false" outlineLevel="0" collapsed="false">
      <c r="A14186" s="3" t="s">
        <v>501</v>
      </c>
      <c r="C14186" s="25" t="n">
        <f aca="false">INDEX($G$14018:$K$14018,C14175)</f>
        <v>143.75</v>
      </c>
    </row>
    <row r="14187" customFormat="false" ht="15" hidden="false" customHeight="false" outlineLevel="0" collapsed="false">
      <c r="A14187" s="23" t="s">
        <v>502</v>
      </c>
      <c r="B14187" s="24"/>
      <c r="C14187" s="24"/>
      <c r="D14187" s="24"/>
      <c r="E14187" s="24"/>
      <c r="F14187" s="24"/>
      <c r="G14187" s="24"/>
      <c r="H14187" s="24"/>
      <c r="I14187" s="24"/>
      <c r="J14187" s="24"/>
      <c r="K14187" s="24"/>
    </row>
    <row r="14188" customFormat="false" ht="15" hidden="false" customHeight="false" outlineLevel="0" collapsed="false">
      <c r="A14188" s="3" t="s">
        <v>499</v>
      </c>
      <c r="C14188" s="27" t="n">
        <f aca="false">Assumptions!$M$56</f>
        <v>1</v>
      </c>
    </row>
    <row r="14189" customFormat="false" ht="15" hidden="false" customHeight="false" outlineLevel="0" collapsed="false">
      <c r="A14189" s="3" t="s">
        <v>500</v>
      </c>
      <c r="C14189" s="27" t="n">
        <f aca="false">Assumptions!$M$57</f>
        <v>2</v>
      </c>
    </row>
    <row r="14190" customFormat="false" ht="15" hidden="false" customHeight="false" outlineLevel="0" collapsed="false">
      <c r="A14190" s="3" t="s">
        <v>501</v>
      </c>
      <c r="C14190" s="27" t="n">
        <f aca="false">Assumptions!$M$58</f>
        <v>2</v>
      </c>
    </row>
    <row r="14191" customFormat="false" ht="15" hidden="false" customHeight="false" outlineLevel="0" collapsed="false">
      <c r="A14191" s="23" t="s">
        <v>503</v>
      </c>
      <c r="B14191" s="24"/>
      <c r="C14191" s="24"/>
      <c r="D14191" s="24"/>
      <c r="E14191" s="24"/>
      <c r="F14191" s="24"/>
      <c r="G14191" s="24"/>
      <c r="H14191" s="24"/>
      <c r="I14191" s="24"/>
      <c r="J14191" s="24"/>
      <c r="K14191" s="24"/>
    </row>
    <row r="14192" customFormat="false" ht="15" hidden="false" customHeight="false" outlineLevel="0" collapsed="false">
      <c r="A14192" s="3" t="s">
        <v>499</v>
      </c>
      <c r="C14192" s="35" t="n">
        <f aca="false">Assumptions!$Q$56</f>
        <v>0</v>
      </c>
    </row>
    <row r="14193" customFormat="false" ht="15" hidden="false" customHeight="false" outlineLevel="0" collapsed="false">
      <c r="A14193" s="3" t="s">
        <v>500</v>
      </c>
      <c r="C14193" s="35" t="n">
        <f aca="false">Assumptions!$Q$57</f>
        <v>0</v>
      </c>
    </row>
    <row r="14194" customFormat="false" ht="15" hidden="false" customHeight="false" outlineLevel="0" collapsed="false">
      <c r="A14194" s="3" t="s">
        <v>501</v>
      </c>
      <c r="C14194" s="35" t="n">
        <f aca="false">Assumptions!$Q$58</f>
        <v>0</v>
      </c>
    </row>
    <row r="14195" customFormat="false" ht="15" hidden="false" customHeight="false" outlineLevel="0" collapsed="false">
      <c r="A14195" s="23" t="s">
        <v>504</v>
      </c>
      <c r="B14195" s="24"/>
      <c r="C14195" s="24"/>
      <c r="D14195" s="24"/>
      <c r="E14195" s="24"/>
      <c r="F14195" s="24"/>
      <c r="G14195" s="24"/>
      <c r="H14195" s="24"/>
      <c r="I14195" s="24"/>
      <c r="J14195" s="24"/>
      <c r="K14195" s="24"/>
    </row>
    <row r="14196" customFormat="false" ht="15" hidden="false" customHeight="false" outlineLevel="0" collapsed="false">
      <c r="A14196" s="3" t="s">
        <v>499</v>
      </c>
      <c r="C14196" s="25" t="n">
        <f aca="false">IF(C14192&gt;0,MIN(C14184,C14192*$C$14182),0)</f>
        <v>0</v>
      </c>
    </row>
    <row r="14197" customFormat="false" ht="15" hidden="false" customHeight="false" outlineLevel="0" collapsed="false">
      <c r="A14197" s="3" t="s">
        <v>500</v>
      </c>
      <c r="C14197" s="25" t="n">
        <f aca="false">IF(C14193&gt;0,MIN(C14185,C14193*$C$14182),0)</f>
        <v>0</v>
      </c>
    </row>
    <row r="14198" customFormat="false" ht="15" hidden="false" customHeight="false" outlineLevel="0" collapsed="false">
      <c r="A14198" s="3" t="s">
        <v>501</v>
      </c>
      <c r="C14198" s="25" t="n">
        <f aca="false">IF(C14194&gt;0,MIN(C14186,C14194*$C$14182),0)</f>
        <v>0</v>
      </c>
    </row>
    <row r="14199" customFormat="false" ht="15" hidden="false" customHeight="false" outlineLevel="0" collapsed="false">
      <c r="A14199" s="23" t="s">
        <v>505</v>
      </c>
      <c r="B14199" s="24"/>
      <c r="C14199" s="24"/>
      <c r="D14199" s="24"/>
      <c r="E14199" s="24"/>
      <c r="F14199" s="24"/>
      <c r="G14199" s="24"/>
      <c r="H14199" s="24"/>
      <c r="I14199" s="24"/>
      <c r="J14199" s="24"/>
      <c r="K14199" s="24"/>
    </row>
    <row r="14200" customFormat="false" ht="15" hidden="false" customHeight="false" outlineLevel="0" collapsed="false">
      <c r="A14200" s="3" t="s">
        <v>499</v>
      </c>
      <c r="C14200" s="25" t="n">
        <f aca="false">IF(C14192&gt;0,C14184-C14196,0)</f>
        <v>0</v>
      </c>
    </row>
    <row r="14201" customFormat="false" ht="15" hidden="false" customHeight="false" outlineLevel="0" collapsed="false">
      <c r="A14201" s="3" t="s">
        <v>500</v>
      </c>
      <c r="C14201" s="25" t="n">
        <f aca="false">IF(C14193&gt;0,C14185-C14197,0)</f>
        <v>0</v>
      </c>
    </row>
    <row r="14202" customFormat="false" ht="15" hidden="false" customHeight="false" outlineLevel="0" collapsed="false">
      <c r="A14202" s="3" t="s">
        <v>501</v>
      </c>
      <c r="C14202" s="25" t="n">
        <f aca="false">IF(C14194&gt;0,C14186-C14198,0)</f>
        <v>0</v>
      </c>
    </row>
    <row r="14203" customFormat="false" ht="15" hidden="false" customHeight="false" outlineLevel="0" collapsed="false">
      <c r="A14203" s="23" t="s">
        <v>506</v>
      </c>
      <c r="B14203" s="24"/>
      <c r="C14203" s="24"/>
      <c r="D14203" s="24"/>
      <c r="E14203" s="24"/>
      <c r="F14203" s="24"/>
      <c r="G14203" s="24"/>
      <c r="H14203" s="24"/>
      <c r="I14203" s="24"/>
      <c r="J14203" s="24"/>
      <c r="K14203" s="24"/>
    </row>
    <row r="14204" customFormat="false" ht="15" hidden="false" customHeight="false" outlineLevel="0" collapsed="false">
      <c r="A14204" s="3" t="s">
        <v>499</v>
      </c>
      <c r="C14204" s="25" t="n">
        <f aca="false">IF(C14192&gt;0,C14200,C14184)</f>
        <v>1315.098</v>
      </c>
    </row>
    <row r="14205" customFormat="false" ht="15" hidden="false" customHeight="false" outlineLevel="0" collapsed="false">
      <c r="A14205" s="3" t="s">
        <v>500</v>
      </c>
      <c r="C14205" s="25" t="n">
        <f aca="false">IF(C14193&gt;0,C14201,C14185)</f>
        <v>6.33403256832008</v>
      </c>
    </row>
    <row r="14206" customFormat="false" ht="15" hidden="false" customHeight="false" outlineLevel="0" collapsed="false">
      <c r="A14206" s="3" t="s">
        <v>501</v>
      </c>
      <c r="C14206" s="25" t="n">
        <f aca="false">IF(C14194&gt;0,C14202,C14186)</f>
        <v>143.75</v>
      </c>
    </row>
    <row r="14207" customFormat="false" ht="15" hidden="false" customHeight="false" outlineLevel="0" collapsed="false">
      <c r="A14207" s="23" t="s">
        <v>507</v>
      </c>
      <c r="B14207" s="24"/>
      <c r="C14207" s="24"/>
      <c r="D14207" s="24"/>
      <c r="E14207" s="24"/>
      <c r="F14207" s="24"/>
      <c r="G14207" s="24"/>
      <c r="H14207" s="24"/>
      <c r="I14207" s="24"/>
      <c r="J14207" s="24"/>
      <c r="K14207" s="24"/>
    </row>
    <row r="14208" customFormat="false" ht="15" hidden="false" customHeight="false" outlineLevel="0" collapsed="false">
      <c r="A14208" s="3" t="s">
        <v>499</v>
      </c>
      <c r="C14208" s="20" t="n">
        <f aca="false">IF(C14192&gt;0,Assumptions!$C$17,C14188)</f>
        <v>1</v>
      </c>
    </row>
    <row r="14209" customFormat="false" ht="15" hidden="false" customHeight="false" outlineLevel="0" collapsed="false">
      <c r="A14209" s="3" t="s">
        <v>500</v>
      </c>
      <c r="C14209" s="20" t="n">
        <f aca="false">IF(C14193&gt;0,Assumptions!$C$17,C14189)</f>
        <v>2</v>
      </c>
    </row>
    <row r="14210" customFormat="false" ht="15" hidden="false" customHeight="false" outlineLevel="0" collapsed="false">
      <c r="A14210" s="3" t="s">
        <v>501</v>
      </c>
      <c r="C14210" s="20" t="n">
        <f aca="false">IF(C14194&gt;0,Assumptions!$C$17,C14190)</f>
        <v>2</v>
      </c>
    </row>
    <row r="14211" customFormat="false" ht="15" hidden="false" customHeight="false" outlineLevel="0" collapsed="false">
      <c r="A14211" s="23" t="s">
        <v>508</v>
      </c>
      <c r="B14211" s="24"/>
      <c r="C14211" s="24"/>
      <c r="D14211" s="24"/>
      <c r="E14211" s="24"/>
      <c r="F14211" s="24"/>
      <c r="G14211" s="24"/>
      <c r="H14211" s="24"/>
      <c r="I14211" s="24"/>
      <c r="J14211" s="24"/>
      <c r="K14211" s="24"/>
    </row>
    <row r="14212" customFormat="false" ht="15" hidden="false" customHeight="false" outlineLevel="0" collapsed="false">
      <c r="A14212" s="3" t="s">
        <v>499</v>
      </c>
      <c r="C14212" s="25" t="n">
        <f aca="false">SUMPRODUCT(($C$14208:$C$14210&lt;C14208)*$C$14204:$C$14206)</f>
        <v>0</v>
      </c>
    </row>
    <row r="14213" customFormat="false" ht="15" hidden="false" customHeight="false" outlineLevel="0" collapsed="false">
      <c r="A14213" s="3" t="s">
        <v>500</v>
      </c>
      <c r="C14213" s="25" t="n">
        <f aca="false">SUMPRODUCT(($C$14208:$C$14210&lt;C14209)*$C$14204:$C$14206)</f>
        <v>1315.098</v>
      </c>
    </row>
    <row r="14214" customFormat="false" ht="15" hidden="false" customHeight="false" outlineLevel="0" collapsed="false">
      <c r="A14214" s="3" t="s">
        <v>501</v>
      </c>
      <c r="C14214" s="25" t="n">
        <f aca="false">SUMPRODUCT(($C$14208:$C$14210&lt;C14210)*$C$14204:$C$14206)</f>
        <v>1315.098</v>
      </c>
    </row>
    <row r="14215" customFormat="false" ht="15" hidden="false" customHeight="false" outlineLevel="0" collapsed="false">
      <c r="A14215" s="23" t="s">
        <v>509</v>
      </c>
      <c r="B14215" s="24"/>
      <c r="C14215" s="24"/>
      <c r="D14215" s="24"/>
      <c r="E14215" s="24"/>
      <c r="F14215" s="24"/>
      <c r="G14215" s="24"/>
      <c r="H14215" s="24"/>
      <c r="I14215" s="24"/>
      <c r="J14215" s="24"/>
      <c r="K14215" s="24"/>
    </row>
    <row r="14216" customFormat="false" ht="15" hidden="false" customHeight="false" outlineLevel="0" collapsed="false">
      <c r="A14216" s="3" t="s">
        <v>499</v>
      </c>
      <c r="C14216" s="25" t="n">
        <f aca="false">SUMPRODUCT(($C$14208:$C$14210=C14208)*$C$14204:$C$14206)</f>
        <v>1315.098</v>
      </c>
    </row>
    <row r="14217" customFormat="false" ht="15" hidden="false" customHeight="false" outlineLevel="0" collapsed="false">
      <c r="A14217" s="3" t="s">
        <v>500</v>
      </c>
      <c r="C14217" s="25" t="n">
        <f aca="false">SUMPRODUCT(($C$14208:$C$14210=C14209)*$C$14204:$C$14206)</f>
        <v>150.08403256832</v>
      </c>
    </row>
    <row r="14218" customFormat="false" ht="15" hidden="false" customHeight="false" outlineLevel="0" collapsed="false">
      <c r="A14218" s="3" t="s">
        <v>501</v>
      </c>
      <c r="C14218" s="25" t="n">
        <f aca="false">SUMPRODUCT(($C$14208:$C$14210=C14210)*$C$14204:$C$14206)</f>
        <v>150.08403256832</v>
      </c>
    </row>
    <row r="14219" customFormat="false" ht="15" hidden="false" customHeight="false" outlineLevel="0" collapsed="false">
      <c r="A14219" s="23" t="s">
        <v>510</v>
      </c>
      <c r="B14219" s="24"/>
      <c r="C14219" s="24"/>
      <c r="D14219" s="24"/>
      <c r="E14219" s="24"/>
      <c r="F14219" s="24"/>
      <c r="G14219" s="24"/>
      <c r="H14219" s="24"/>
      <c r="I14219" s="24"/>
      <c r="J14219" s="24"/>
      <c r="K14219" s="24"/>
    </row>
    <row r="14220" customFormat="false" ht="15" hidden="false" customHeight="false" outlineLevel="0" collapsed="false">
      <c r="A14220" s="3" t="s">
        <v>499</v>
      </c>
      <c r="C14220" s="25" t="n">
        <f aca="false">IF(C14216=0,0,C14204/C14216*MAX(0,MIN(C14216,$C$14182-SUM($C$14196:$C$14198)-C14212)))</f>
        <v>428.3744040576</v>
      </c>
    </row>
    <row r="14221" customFormat="false" ht="15" hidden="false" customHeight="false" outlineLevel="0" collapsed="false">
      <c r="A14221" s="3" t="s">
        <v>500</v>
      </c>
      <c r="C14221" s="25" t="n">
        <f aca="false">IF(C14217=0,0,C14205/C14217*MAX(0,MIN(C14217,$C$14182-SUM($C$14196:$C$14198)-C14213)))</f>
        <v>0</v>
      </c>
    </row>
    <row r="14222" customFormat="false" ht="15" hidden="false" customHeight="false" outlineLevel="0" collapsed="false">
      <c r="A14222" s="3" t="s">
        <v>501</v>
      </c>
      <c r="C14222" s="25" t="n">
        <f aca="false">IF(C14218=0,0,C14206/C14218*MAX(0,MIN(C14218,$C$14182-SUM($C$14196:$C$14198)-C14214)))</f>
        <v>0</v>
      </c>
    </row>
    <row r="14223" customFormat="false" ht="15" hidden="false" customHeight="false" outlineLevel="0" collapsed="false">
      <c r="A14223" s="23" t="s">
        <v>511</v>
      </c>
      <c r="B14223" s="24"/>
      <c r="C14223" s="24"/>
      <c r="D14223" s="24"/>
      <c r="E14223" s="24"/>
      <c r="F14223" s="24"/>
      <c r="G14223" s="24"/>
      <c r="H14223" s="24"/>
      <c r="I14223" s="24"/>
      <c r="J14223" s="24"/>
      <c r="K14223" s="24"/>
    </row>
    <row r="14224" customFormat="false" ht="15" hidden="false" customHeight="false" outlineLevel="0" collapsed="false">
      <c r="A14224" s="2" t="s">
        <v>499</v>
      </c>
      <c r="C14224" s="16" t="n">
        <f aca="false">C14196+C14220</f>
        <v>428.3744040576</v>
      </c>
    </row>
    <row r="14225" customFormat="false" ht="15" hidden="false" customHeight="false" outlineLevel="0" collapsed="false">
      <c r="A14225" s="2" t="s">
        <v>500</v>
      </c>
      <c r="C14225" s="16" t="n">
        <f aca="false">C14197+C14221</f>
        <v>0</v>
      </c>
    </row>
    <row r="14226" customFormat="false" ht="15" hidden="false" customHeight="false" outlineLevel="0" collapsed="false">
      <c r="A14226" s="2" t="s">
        <v>501</v>
      </c>
      <c r="C14226" s="16" t="n">
        <f aca="false">C14198+C14222</f>
        <v>0</v>
      </c>
    </row>
    <row r="14227" customFormat="false" ht="15" hidden="false" customHeight="false" outlineLevel="0" collapsed="false">
      <c r="A14227" s="23" t="s">
        <v>512</v>
      </c>
      <c r="B14227" s="24"/>
      <c r="C14227" s="24"/>
      <c r="D14227" s="24"/>
      <c r="E14227" s="24"/>
      <c r="F14227" s="24"/>
      <c r="G14227" s="24"/>
      <c r="H14227" s="24"/>
      <c r="I14227" s="24"/>
      <c r="J14227" s="24"/>
      <c r="K14227" s="24"/>
    </row>
    <row r="14228" customFormat="false" ht="15" hidden="false" customHeight="false" outlineLevel="0" collapsed="false">
      <c r="A14228" s="3" t="s">
        <v>499</v>
      </c>
      <c r="C14228" s="21" t="n">
        <f aca="false">IF(C14184=0,1,C14224/C14184)</f>
        <v>0.325735727723409</v>
      </c>
    </row>
    <row r="14229" customFormat="false" ht="15" hidden="false" customHeight="false" outlineLevel="0" collapsed="false">
      <c r="A14229" s="3" t="s">
        <v>500</v>
      </c>
      <c r="C14229" s="21" t="n">
        <f aca="false">IF(C14185=0,1,C14225/C14185)</f>
        <v>0</v>
      </c>
    </row>
    <row r="14230" customFormat="false" ht="15" hidden="false" customHeight="false" outlineLevel="0" collapsed="false">
      <c r="A14230" s="3" t="s">
        <v>501</v>
      </c>
      <c r="C14230" s="21" t="n">
        <f aca="false">IF(C14186=0,1,C14226/C14186)</f>
        <v>0</v>
      </c>
    </row>
    <row r="14231" customFormat="false" ht="15" hidden="false" customHeight="false" outlineLevel="0" collapsed="false">
      <c r="A14231" s="23" t="s">
        <v>513</v>
      </c>
      <c r="B14231" s="24"/>
      <c r="C14231" s="24"/>
      <c r="D14231" s="24"/>
      <c r="E14231" s="24"/>
      <c r="F14231" s="24"/>
      <c r="G14231" s="24"/>
      <c r="H14231" s="24"/>
      <c r="I14231" s="24"/>
      <c r="J14231" s="24"/>
      <c r="K14231" s="24"/>
    </row>
    <row r="14232" customFormat="false" ht="15" hidden="false" customHeight="false" outlineLevel="0" collapsed="false">
      <c r="A14232" s="3" t="s">
        <v>499</v>
      </c>
      <c r="C14232" s="25" t="n">
        <f aca="false">C14184-C14224</f>
        <v>886.7235959424</v>
      </c>
    </row>
    <row r="14233" customFormat="false" ht="15" hidden="false" customHeight="false" outlineLevel="0" collapsed="false">
      <c r="A14233" s="3" t="s">
        <v>500</v>
      </c>
      <c r="C14233" s="25" t="n">
        <f aca="false">C14185-C14225</f>
        <v>6.33403256832008</v>
      </c>
    </row>
    <row r="14234" customFormat="false" ht="15" hidden="false" customHeight="false" outlineLevel="0" collapsed="false">
      <c r="A14234" s="3" t="s">
        <v>501</v>
      </c>
      <c r="C14234" s="25" t="n">
        <f aca="false">C14186-C14226</f>
        <v>143.75</v>
      </c>
    </row>
    <row r="14235" customFormat="false" ht="15" hidden="false" customHeight="false" outlineLevel="0" collapsed="false">
      <c r="A14235" s="23" t="s">
        <v>514</v>
      </c>
      <c r="B14235" s="24"/>
      <c r="C14235" s="24"/>
      <c r="D14235" s="24"/>
      <c r="E14235" s="24"/>
      <c r="F14235" s="24"/>
      <c r="G14235" s="24"/>
      <c r="H14235" s="24"/>
      <c r="I14235" s="24"/>
      <c r="J14235" s="24"/>
      <c r="K14235" s="24"/>
    </row>
    <row r="14236" customFormat="false" ht="15" hidden="false" customHeight="false" outlineLevel="0" collapsed="false">
      <c r="A14236" s="3" t="s">
        <v>499</v>
      </c>
      <c r="C14236" s="21" t="n">
        <f aca="false">IF(C14184=0,0,C14232/C14184)</f>
        <v>0.674264272276591</v>
      </c>
    </row>
    <row r="14237" customFormat="false" ht="15" hidden="false" customHeight="false" outlineLevel="0" collapsed="false">
      <c r="A14237" s="3" t="s">
        <v>500</v>
      </c>
      <c r="C14237" s="21" t="n">
        <f aca="false">IF(C14185=0,0,C14233/C14185)</f>
        <v>1</v>
      </c>
    </row>
    <row r="14238" customFormat="false" ht="15" hidden="false" customHeight="false" outlineLevel="0" collapsed="false">
      <c r="A14238" s="3" t="s">
        <v>501</v>
      </c>
      <c r="C14238" s="21" t="n">
        <f aca="false">IF(C14186=0,0,C14234/C14186)</f>
        <v>1</v>
      </c>
    </row>
    <row r="14239" customFormat="false" ht="15" hidden="false" customHeight="false" outlineLevel="0" collapsed="false">
      <c r="A14239" s="2" t="s">
        <v>515</v>
      </c>
      <c r="C14239" s="16" t="n">
        <f aca="false">MAX(0,$C$14182-SUM($C$14196:$C$14198)-SUM($C$14204:$C$14206))</f>
        <v>0</v>
      </c>
    </row>
    <row r="14240" customFormat="false" ht="15" hidden="false" customHeight="false" outlineLevel="0" collapsed="false">
      <c r="A14240" s="3" t="s">
        <v>533</v>
      </c>
      <c r="C14240" s="34" t="n">
        <f aca="false">MIN(C14181,100*CHOOSE(C14171,C14228,C14229,C14230))</f>
        <v>32.5735727723409</v>
      </c>
    </row>
    <row r="14241" customFormat="false" ht="15" hidden="false" customHeight="false" outlineLevel="0" collapsed="false">
      <c r="A14241" s="3" t="s">
        <v>534</v>
      </c>
      <c r="C14241" s="20" t="n">
        <f aca="false">IF(C14101=1,C14176+Assumptions!$C$39,C14175)</f>
        <v>4</v>
      </c>
    </row>
    <row r="14242" customFormat="false" ht="15" hidden="false" customHeight="false" outlineLevel="0" collapsed="false">
      <c r="A14242" s="23" t="s">
        <v>535</v>
      </c>
      <c r="B14242" s="24"/>
      <c r="C14242" s="24"/>
      <c r="D14242" s="24"/>
      <c r="E14242" s="24"/>
      <c r="F14242" s="24"/>
      <c r="G14242" s="24"/>
      <c r="H14242" s="24"/>
      <c r="I14242" s="24"/>
      <c r="J14242" s="24"/>
      <c r="K14242" s="24"/>
    </row>
    <row r="14243" customFormat="false" ht="15" hidden="false" customHeight="false" outlineLevel="0" collapsed="false">
      <c r="A14243" s="3" t="s">
        <v>536</v>
      </c>
      <c r="C14243" s="20" t="n">
        <f aca="false">COLUMN()-COLUMN($C$1)</f>
        <v>0</v>
      </c>
      <c r="D14243" s="20" t="n">
        <f aca="false">COLUMN()-COLUMN($C$1)</f>
        <v>1</v>
      </c>
      <c r="E14243" s="20" t="n">
        <f aca="false">COLUMN()-COLUMN($C$1)</f>
        <v>2</v>
      </c>
      <c r="F14243" s="20" t="n">
        <f aca="false">COLUMN()-COLUMN($C$1)</f>
        <v>3</v>
      </c>
      <c r="G14243" s="20" t="n">
        <f aca="false">COLUMN()-COLUMN($C$1)</f>
        <v>4</v>
      </c>
      <c r="H14243" s="20" t="n">
        <f aca="false">COLUMN()-COLUMN($C$1)</f>
        <v>5</v>
      </c>
      <c r="I14243" s="20" t="n">
        <f aca="false">COLUMN()-COLUMN($C$1)</f>
        <v>6</v>
      </c>
    </row>
    <row r="14244" customFormat="false" ht="15" hidden="false" customHeight="false" outlineLevel="0" collapsed="false">
      <c r="A14244" s="3" t="s">
        <v>537</v>
      </c>
      <c r="D14244" s="31" t="n">
        <f aca="false">CHOOSE($C$14171,G13984,G13997,G14010)</f>
        <v>0.105</v>
      </c>
      <c r="E14244" s="31" t="n">
        <f aca="false">CHOOSE($C$14171,H13984,H13997,H14010)</f>
        <v>0.105</v>
      </c>
      <c r="F14244" s="31" t="n">
        <f aca="false">CHOOSE($C$14171,I13984,I13997,I14010)</f>
        <v>0.105</v>
      </c>
      <c r="G14244" s="31" t="n">
        <f aca="false">CHOOSE($C$14171,J13984,J13997,J14010)</f>
        <v>0.105</v>
      </c>
      <c r="H14244" s="31" t="n">
        <f aca="false">CHOOSE($C$14171,K13984,K13997,K14010)</f>
        <v>0.105</v>
      </c>
    </row>
    <row r="14245" customFormat="false" ht="15" hidden="false" customHeight="false" outlineLevel="0" collapsed="false">
      <c r="A14245" s="3" t="s">
        <v>538</v>
      </c>
      <c r="D14245" s="25" t="n">
        <f aca="false">IF(D14243&lt;=$C$14180,$C$14172*D14244,0)</f>
        <v>10.5</v>
      </c>
      <c r="E14245" s="25" t="n">
        <f aca="false">IF(E14243&lt;=$C$14180,$C$14172*E14244,0)</f>
        <v>10.5</v>
      </c>
      <c r="F14245" s="25" t="n">
        <f aca="false">IF(F14243&lt;=$C$14180,$C$14172*F14244,0)</f>
        <v>10.5</v>
      </c>
      <c r="G14245" s="25" t="n">
        <f aca="false">IF(G14243&lt;=$C$14180,$C$14172*G14244,0)</f>
        <v>0</v>
      </c>
      <c r="H14245" s="25" t="n">
        <f aca="false">IF(H14243&lt;=$C$14180,$C$14172*H14244,0)</f>
        <v>0</v>
      </c>
    </row>
    <row r="14246" customFormat="false" ht="15" hidden="false" customHeight="false" outlineLevel="0" collapsed="false">
      <c r="A14246" s="3" t="s">
        <v>539</v>
      </c>
      <c r="D14246" s="25" t="n">
        <f aca="false">IF(AND($C$14101=0,D14243=$C$14175),$C$14172*$C$14240/100,0)+IF(AND($C$14101=1,D14243=$C$14241),$C$14178,0)</f>
        <v>0</v>
      </c>
      <c r="E14246" s="25" t="n">
        <f aca="false">IF(AND($C$14101=0,E14243=$C$14175),$C$14172*$C$14240/100,0)+IF(AND($C$14101=1,E14243=$C$14241),$C$14178,0)</f>
        <v>0</v>
      </c>
      <c r="F14246" s="25" t="n">
        <f aca="false">IF(AND($C$14101=0,F14243=$C$14175),$C$14172*$C$14240/100,0)+IF(AND($C$14101=1,F14243=$C$14241),$C$14178,0)</f>
        <v>0</v>
      </c>
      <c r="G14246" s="25" t="n">
        <f aca="false">IF(AND($C$14101=0,G14243=$C$14175),$C$14172*$C$14240/100,0)+IF(AND($C$14101=1,G14243=$C$14241),$C$14178,0)</f>
        <v>34.945728090226</v>
      </c>
      <c r="H14246" s="25" t="n">
        <f aca="false">IF(AND($C$14101=0,H14243=$C$14175),$C$14172*$C$14240/100,0)+IF(AND($C$14101=1,H14243=$C$14241),$C$14178,0)</f>
        <v>0</v>
      </c>
      <c r="I14246" s="25" t="n">
        <f aca="false">IF(AND($C$14101=0,I14243=$C$14175),$C$14172*$C$14240/100,0)+IF(AND($C$14101=1,I14243=$C$14241),$C$14178,0)</f>
        <v>0</v>
      </c>
    </row>
    <row r="14247" customFormat="false" ht="15" hidden="false" customHeight="false" outlineLevel="0" collapsed="false">
      <c r="A14247" s="2" t="s">
        <v>540</v>
      </c>
      <c r="C14247" s="16" t="n">
        <f aca="false">-$C$14174</f>
        <v>-95</v>
      </c>
      <c r="D14247" s="16" t="n">
        <f aca="false">D14245+D14246</f>
        <v>10.5</v>
      </c>
      <c r="E14247" s="16" t="n">
        <f aca="false">E14245+E14246</f>
        <v>10.5</v>
      </c>
      <c r="F14247" s="16" t="n">
        <f aca="false">F14245+F14246</f>
        <v>10.5</v>
      </c>
      <c r="G14247" s="16" t="n">
        <f aca="false">G14245+G14246</f>
        <v>34.945728090226</v>
      </c>
      <c r="H14247" s="16" t="n">
        <f aca="false">H14245+H14246</f>
        <v>0</v>
      </c>
      <c r="I14247" s="16" t="n">
        <f aca="false">I14245+I14246</f>
        <v>0</v>
      </c>
    </row>
    <row r="14248" customFormat="false" ht="15" hidden="false" customHeight="false" outlineLevel="0" collapsed="false">
      <c r="A14248" s="3" t="s">
        <v>541</v>
      </c>
      <c r="C14248" s="25" t="n">
        <f aca="false">SUM($C$14245:$I$14245)</f>
        <v>31.5</v>
      </c>
    </row>
    <row r="14249" customFormat="false" ht="15" hidden="false" customHeight="false" outlineLevel="0" collapsed="false">
      <c r="A14249" s="3" t="s">
        <v>542</v>
      </c>
      <c r="C14249" s="25" t="n">
        <f aca="false">SUM($C$14246:$I$14246)</f>
        <v>34.945728090226</v>
      </c>
    </row>
    <row r="14250" customFormat="false" ht="15" hidden="false" customHeight="false" outlineLevel="0" collapsed="false">
      <c r="A14250" s="3" t="s">
        <v>543</v>
      </c>
      <c r="C14250" s="25" t="n">
        <f aca="false">C14248+C14249</f>
        <v>66.445728090226</v>
      </c>
    </row>
    <row r="14251" customFormat="false" ht="15" hidden="false" customHeight="false" outlineLevel="0" collapsed="false">
      <c r="A14251" s="3" t="s">
        <v>544</v>
      </c>
      <c r="C14251" s="25" t="n">
        <f aca="false">C14249-C14172*C14173/100</f>
        <v>-60.054271909774</v>
      </c>
    </row>
    <row r="14252" customFormat="false" ht="15" hidden="false" customHeight="false" outlineLevel="0" collapsed="false">
      <c r="A14252" s="3" t="s">
        <v>545</v>
      </c>
      <c r="C14252" s="25" t="n">
        <f aca="false">C14250-C14174</f>
        <v>-28.554271909774</v>
      </c>
    </row>
    <row r="14253" customFormat="false" ht="15" hidden="false" customHeight="false" outlineLevel="0" collapsed="false">
      <c r="A14253" s="2" t="s">
        <v>427</v>
      </c>
      <c r="C14253" s="44" t="n">
        <f aca="false">C14250/C14174</f>
        <v>0.699428716739221</v>
      </c>
    </row>
    <row r="14254" customFormat="false" ht="15" hidden="false" customHeight="false" outlineLevel="0" collapsed="false">
      <c r="A14254" s="2" t="s">
        <v>426</v>
      </c>
      <c r="C14254" s="42" t="n">
        <f aca="false">IF(C14250&lt;=0,-1,IFERROR(IRR($C$14247:$I$14247,MAX(-0.9,C14253^(1/C14241)-1)),IRR($C$14247:$I$14247,0.1)))</f>
        <v>-0.10811295237651</v>
      </c>
    </row>
    <row r="14255" customFormat="false" ht="15" hidden="false" customHeight="false" outlineLevel="0" collapsed="false">
      <c r="A14255" s="3" t="s">
        <v>546</v>
      </c>
      <c r="C14255" s="32" t="n">
        <f aca="false">MAX($G$14061:$K$14061)</f>
        <v>17.6426302993449</v>
      </c>
    </row>
    <row r="14256" customFormat="false" ht="15" hidden="false" customHeight="false" outlineLevel="0" collapsed="false">
      <c r="A14256" s="3" t="s">
        <v>547</v>
      </c>
      <c r="C14256" s="32" t="n">
        <f aca="false">MIN($G$14062:$K$14062)</f>
        <v>0.641091448545568</v>
      </c>
    </row>
    <row r="14257" customFormat="false" ht="15" hidden="false" customHeight="false" outlineLevel="0" collapsed="false">
      <c r="A14257" s="3" t="s">
        <v>548</v>
      </c>
      <c r="C14257" s="25" t="n">
        <f aca="false">SUM($G$13968:$K$13968)</f>
        <v>-362.406198194027</v>
      </c>
    </row>
    <row r="14261" customFormat="false" ht="15" hidden="false" customHeight="false" outlineLevel="0" collapsed="false">
      <c r="A14261" s="9" t="s">
        <v>1058</v>
      </c>
      <c r="B14261" s="10"/>
      <c r="C14261" s="10"/>
      <c r="D14261" s="10"/>
      <c r="E14261" s="10"/>
      <c r="F14261" s="10"/>
      <c r="G14261" s="10"/>
      <c r="H14261" s="10"/>
      <c r="I14261" s="10"/>
      <c r="J14261" s="10"/>
      <c r="K14261" s="10"/>
    </row>
    <row r="14262" customFormat="false" ht="15" hidden="false" customHeight="false" outlineLevel="0" collapsed="false">
      <c r="A14262" s="3" t="s">
        <v>1010</v>
      </c>
      <c r="C14262" s="11" t="n">
        <v>3</v>
      </c>
    </row>
    <row r="14263" customFormat="false" ht="15" hidden="false" customHeight="false" outlineLevel="0" collapsed="false">
      <c r="A14263" s="3" t="s">
        <v>1011</v>
      </c>
      <c r="C14263" s="18" t="n">
        <v>0</v>
      </c>
    </row>
    <row r="14264" customFormat="false" ht="15" hidden="false" customHeight="false" outlineLevel="0" collapsed="false">
      <c r="A14264" s="3" t="s">
        <v>1012</v>
      </c>
      <c r="C14264" s="18" t="n">
        <v>0</v>
      </c>
    </row>
    <row r="14265" customFormat="false" ht="15" hidden="false" customHeight="false" outlineLevel="0" collapsed="false">
      <c r="A14265" s="3" t="s">
        <v>1013</v>
      </c>
      <c r="C14265" s="30" t="n">
        <f aca="false">Sensitivities!$A$51</f>
        <v>-0.005</v>
      </c>
    </row>
    <row r="14266" customFormat="false" ht="15" hidden="false" customHeight="false" outlineLevel="0" collapsed="false">
      <c r="A14266" s="3" t="s">
        <v>1014</v>
      </c>
      <c r="C14266" s="15" t="n">
        <v>0</v>
      </c>
    </row>
    <row r="14268" customFormat="false" ht="15" hidden="false" customHeight="false" outlineLevel="0" collapsed="false">
      <c r="A14268" s="23" t="s">
        <v>281</v>
      </c>
      <c r="B14268" s="24"/>
      <c r="C14268" s="24"/>
      <c r="D14268" s="24"/>
      <c r="E14268" s="24"/>
      <c r="F14268" s="24"/>
      <c r="G14268" s="24"/>
      <c r="H14268" s="24"/>
      <c r="I14268" s="24"/>
      <c r="J14268" s="24"/>
      <c r="K14268" s="24"/>
    </row>
    <row r="14269" customFormat="false" ht="15" hidden="false" customHeight="false" outlineLevel="0" collapsed="false">
      <c r="A14269" s="3" t="s">
        <v>282</v>
      </c>
      <c r="F14269" s="27" t="n">
        <f aca="false">Assumptions!$C$6</f>
        <v>2026</v>
      </c>
      <c r="G14269" s="20" t="n">
        <f aca="false">F14269+1</f>
        <v>2027</v>
      </c>
      <c r="H14269" s="20" t="n">
        <f aca="false">G14269+1</f>
        <v>2028</v>
      </c>
      <c r="I14269" s="20" t="n">
        <f aca="false">H14269+1</f>
        <v>2029</v>
      </c>
      <c r="J14269" s="20" t="n">
        <f aca="false">I14269+1</f>
        <v>2030</v>
      </c>
      <c r="K14269" s="20" t="n">
        <f aca="false">J14269+1</f>
        <v>2031</v>
      </c>
    </row>
    <row r="14270" customFormat="false" ht="15" hidden="false" customHeight="false" outlineLevel="0" collapsed="false">
      <c r="A14270" s="3" t="s">
        <v>283</v>
      </c>
      <c r="G14270" s="20" t="n">
        <f aca="false">G14269-Assumptions!$C$6</f>
        <v>1</v>
      </c>
      <c r="H14270" s="20" t="n">
        <f aca="false">H14269-Assumptions!$C$6</f>
        <v>2</v>
      </c>
      <c r="I14270" s="20" t="n">
        <f aca="false">I14269-Assumptions!$C$6</f>
        <v>3</v>
      </c>
      <c r="J14270" s="20" t="n">
        <f aca="false">J14269-Assumptions!$C$6</f>
        <v>4</v>
      </c>
      <c r="K14270" s="20" t="n">
        <f aca="false">K14269-Assumptions!$C$6</f>
        <v>5</v>
      </c>
    </row>
    <row r="14271" customFormat="false" ht="15" hidden="false" customHeight="false" outlineLevel="0" collapsed="false">
      <c r="A14271" s="3" t="s">
        <v>165</v>
      </c>
      <c r="G14271" s="21" t="n">
        <f aca="false">CHOOSE($C$14262,Assumptions!$G$71,Assumptions!$G$90,Assumptions!$G$109)+$C$14263</f>
        <v>-0.14</v>
      </c>
      <c r="H14271" s="21" t="n">
        <f aca="false">CHOOSE($C$14262,Assumptions!$H$71,Assumptions!$H$90,Assumptions!$H$109)+$C$14263</f>
        <v>-0.12</v>
      </c>
      <c r="I14271" s="21" t="n">
        <f aca="false">CHOOSE($C$14262,Assumptions!$I$71,Assumptions!$I$90,Assumptions!$I$109)+$C$14263</f>
        <v>-0.1</v>
      </c>
      <c r="J14271" s="21" t="n">
        <f aca="false">CHOOSE($C$14262,Assumptions!$J$71,Assumptions!$J$90,Assumptions!$J$109)+$C$14263</f>
        <v>-0.08</v>
      </c>
      <c r="K14271" s="21" t="n">
        <f aca="false">CHOOSE($C$14262,Assumptions!$K$71,Assumptions!$K$90,Assumptions!$K$109)+$C$14263</f>
        <v>-0.06</v>
      </c>
    </row>
    <row r="14272" customFormat="false" ht="15" hidden="false" customHeight="false" outlineLevel="0" collapsed="false">
      <c r="A14272" s="3" t="s">
        <v>166</v>
      </c>
      <c r="G14272" s="21" t="n">
        <f aca="false">CHOOSE($C$14262,Assumptions!$G$72,Assumptions!$G$91,Assumptions!$G$110)</f>
        <v>0.433246670103635</v>
      </c>
      <c r="H14272" s="21" t="n">
        <f aca="false">CHOOSE($C$14262,Assumptions!$H$72,Assumptions!$H$91,Assumptions!$H$110)</f>
        <v>0.418246670103635</v>
      </c>
      <c r="I14272" s="21" t="n">
        <f aca="false">CHOOSE($C$14262,Assumptions!$I$72,Assumptions!$I$91,Assumptions!$I$110)</f>
        <v>0.413246670103635</v>
      </c>
      <c r="J14272" s="21" t="n">
        <f aca="false">CHOOSE($C$14262,Assumptions!$J$72,Assumptions!$J$91,Assumptions!$J$110)</f>
        <v>0.413246670103635</v>
      </c>
      <c r="K14272" s="21" t="n">
        <f aca="false">CHOOSE($C$14262,Assumptions!$K$72,Assumptions!$K$91,Assumptions!$K$110)</f>
        <v>0.413246670103635</v>
      </c>
    </row>
    <row r="14273" customFormat="false" ht="15" hidden="false" customHeight="false" outlineLevel="0" collapsed="false">
      <c r="A14273" s="3" t="s">
        <v>167</v>
      </c>
      <c r="G14273" s="21" t="n">
        <f aca="false">CHOOSE($C$14262,Assumptions!$G$73,Assumptions!$G$92,Assumptions!$G$111)+$C$14264</f>
        <v>0.09</v>
      </c>
      <c r="H14273" s="21" t="n">
        <f aca="false">CHOOSE($C$14262,Assumptions!$H$73,Assumptions!$H$92,Assumptions!$H$111)+$C$14264</f>
        <v>0.075</v>
      </c>
      <c r="I14273" s="21" t="n">
        <f aca="false">CHOOSE($C$14262,Assumptions!$I$73,Assumptions!$I$92,Assumptions!$I$111)+$C$14264</f>
        <v>0.07</v>
      </c>
      <c r="J14273" s="21" t="n">
        <f aca="false">CHOOSE($C$14262,Assumptions!$J$73,Assumptions!$J$92,Assumptions!$J$111)+$C$14264</f>
        <v>0.07</v>
      </c>
      <c r="K14273" s="21" t="n">
        <f aca="false">CHOOSE($C$14262,Assumptions!$K$73,Assumptions!$K$92,Assumptions!$K$111)+$C$14264</f>
        <v>0.07</v>
      </c>
    </row>
    <row r="14274" customFormat="false" ht="15" hidden="false" customHeight="false" outlineLevel="0" collapsed="false">
      <c r="A14274" s="23" t="s">
        <v>284</v>
      </c>
      <c r="B14274" s="24"/>
      <c r="C14274" s="24"/>
      <c r="D14274" s="24"/>
      <c r="E14274" s="24"/>
      <c r="F14274" s="24"/>
      <c r="G14274" s="24"/>
      <c r="H14274" s="24"/>
      <c r="I14274" s="24"/>
      <c r="J14274" s="24"/>
      <c r="K14274" s="24"/>
    </row>
    <row r="14275" customFormat="false" ht="15" hidden="false" customHeight="false" outlineLevel="0" collapsed="false">
      <c r="A14275" s="2" t="s">
        <v>256</v>
      </c>
      <c r="F14275" s="28" t="n">
        <f aca="false">'Historical Financials'!G23</f>
        <v>2246.166</v>
      </c>
      <c r="G14275" s="16" t="n">
        <f aca="false">F14275*(1+G14271)</f>
        <v>1931.70276</v>
      </c>
      <c r="H14275" s="16" t="n">
        <f aca="false">G14275*(1+H14271)</f>
        <v>1699.8984288</v>
      </c>
      <c r="I14275" s="16" t="n">
        <f aca="false">H14275*(1+I14271)</f>
        <v>1529.90858592</v>
      </c>
      <c r="J14275" s="16" t="n">
        <f aca="false">I14275*(1+J14271)</f>
        <v>1407.5158990464</v>
      </c>
      <c r="K14275" s="16" t="n">
        <f aca="false">J14275*(1+K14271)</f>
        <v>1323.06494510362</v>
      </c>
    </row>
    <row r="14276" customFormat="false" ht="15" hidden="false" customHeight="false" outlineLevel="0" collapsed="false">
      <c r="A14276" s="3" t="s">
        <v>257</v>
      </c>
      <c r="G14276" s="25" t="n">
        <f aca="false">G14275*(1-G14272)</f>
        <v>1094.7989716</v>
      </c>
      <c r="H14276" s="25" t="n">
        <f aca="false">H14275*(1-H14272)</f>
        <v>988.92157144</v>
      </c>
      <c r="I14276" s="25" t="n">
        <f aca="false">I14275*(1-I14272)</f>
        <v>897.6789572256</v>
      </c>
      <c r="J14276" s="25" t="n">
        <f aca="false">J14275*(1-J14272)</f>
        <v>825.864640647552</v>
      </c>
      <c r="K14276" s="25" t="n">
        <f aca="false">K14275*(1-K14272)</f>
        <v>776.312762208699</v>
      </c>
    </row>
    <row r="14277" customFormat="false" ht="15" hidden="false" customHeight="false" outlineLevel="0" collapsed="false">
      <c r="A14277" s="2" t="s">
        <v>258</v>
      </c>
      <c r="G14277" s="16" t="n">
        <f aca="false">G14275-G14276</f>
        <v>836.9037884</v>
      </c>
      <c r="H14277" s="16" t="n">
        <f aca="false">H14275-H14276</f>
        <v>710.97685736</v>
      </c>
      <c r="I14277" s="16" t="n">
        <f aca="false">I14275-I14276</f>
        <v>632.2296286944</v>
      </c>
      <c r="J14277" s="16" t="n">
        <f aca="false">J14275-J14276</f>
        <v>581.651258398848</v>
      </c>
      <c r="K14277" s="16" t="n">
        <f aca="false">K14275-K14276</f>
        <v>546.752182894917</v>
      </c>
    </row>
    <row r="14278" customFormat="false" ht="15" hidden="false" customHeight="false" outlineLevel="0" collapsed="false">
      <c r="A14278" s="3" t="s">
        <v>285</v>
      </c>
      <c r="G14278" s="25" t="n">
        <f aca="false">G14277-G14279</f>
        <v>663.05054</v>
      </c>
      <c r="H14278" s="25" t="n">
        <f aca="false">H14277-H14279</f>
        <v>583.4844752</v>
      </c>
      <c r="I14278" s="25" t="n">
        <f aca="false">I14277-I14279</f>
        <v>525.13602768</v>
      </c>
      <c r="J14278" s="25" t="n">
        <f aca="false">J14277-J14279</f>
        <v>483.1251454656</v>
      </c>
      <c r="K14278" s="25" t="n">
        <f aca="false">K14277-K14279</f>
        <v>454.137636737664</v>
      </c>
    </row>
    <row r="14279" customFormat="false" ht="15" hidden="false" customHeight="false" outlineLevel="0" collapsed="false">
      <c r="A14279" s="2" t="s">
        <v>286</v>
      </c>
      <c r="G14279" s="16" t="n">
        <f aca="false">G14275*G14273</f>
        <v>173.8532484</v>
      </c>
      <c r="H14279" s="16" t="n">
        <f aca="false">H14275*H14273</f>
        <v>127.49238216</v>
      </c>
      <c r="I14279" s="16" t="n">
        <f aca="false">I14275*I14273</f>
        <v>107.0936010144</v>
      </c>
      <c r="J14279" s="16" t="n">
        <f aca="false">J14275*J14273</f>
        <v>98.526112933248</v>
      </c>
      <c r="K14279" s="16" t="n">
        <f aca="false">K14275*K14273</f>
        <v>92.6145461572531</v>
      </c>
    </row>
    <row r="14280" customFormat="false" ht="15" hidden="false" customHeight="false" outlineLevel="0" collapsed="false">
      <c r="A14280" s="3" t="s">
        <v>287</v>
      </c>
      <c r="G14280" s="25" t="n">
        <f aca="false">G14275*'Historical Financials'!G28/'Historical Financials'!G23</f>
        <v>73.35456</v>
      </c>
      <c r="H14280" s="25" t="n">
        <f aca="false">H14275*'Historical Financials'!G28/'Historical Financials'!G23</f>
        <v>64.5520128</v>
      </c>
      <c r="I14280" s="25" t="n">
        <f aca="false">I14275*'Historical Financials'!G28/'Historical Financials'!G23</f>
        <v>58.09681152</v>
      </c>
      <c r="J14280" s="25" t="n">
        <f aca="false">J14275*'Historical Financials'!G28/'Historical Financials'!G23</f>
        <v>53.4490665984</v>
      </c>
      <c r="K14280" s="25" t="n">
        <f aca="false">K14275*'Historical Financials'!G28/'Historical Financials'!G23</f>
        <v>50.242122602496</v>
      </c>
    </row>
    <row r="14281" customFormat="false" ht="15" hidden="false" customHeight="false" outlineLevel="0" collapsed="false">
      <c r="A14281" s="3" t="s">
        <v>288</v>
      </c>
      <c r="G14281" s="25" t="n">
        <f aca="false">G14275*'Historical Financials'!G29/'Historical Financials'!G23</f>
        <v>20.94616</v>
      </c>
      <c r="H14281" s="25" t="n">
        <f aca="false">H14275*'Historical Financials'!G29/'Historical Financials'!G23</f>
        <v>18.4326208</v>
      </c>
      <c r="I14281" s="25" t="n">
        <f aca="false">I14275*'Historical Financials'!G29/'Historical Financials'!G23</f>
        <v>16.58935872</v>
      </c>
      <c r="J14281" s="25" t="n">
        <f aca="false">J14275*'Historical Financials'!G29/'Historical Financials'!G23</f>
        <v>15.2622100224</v>
      </c>
      <c r="K14281" s="25" t="n">
        <f aca="false">K14275*'Historical Financials'!G29/'Historical Financials'!G23</f>
        <v>14.346477421056</v>
      </c>
    </row>
    <row r="14282" customFormat="false" ht="15" hidden="false" customHeight="false" outlineLevel="0" collapsed="false">
      <c r="A14282" s="2" t="s">
        <v>289</v>
      </c>
      <c r="G14282" s="16" t="n">
        <f aca="false">G14279-G14280-G14281</f>
        <v>79.5525284</v>
      </c>
      <c r="H14282" s="16" t="n">
        <f aca="false">H14279-H14280-H14281</f>
        <v>44.50774856</v>
      </c>
      <c r="I14282" s="16" t="n">
        <f aca="false">I14279-I14280-I14281</f>
        <v>32.4074307744</v>
      </c>
      <c r="J14282" s="16" t="n">
        <f aca="false">J14279-J14280-J14281</f>
        <v>29.814836312448</v>
      </c>
      <c r="K14282" s="16" t="n">
        <f aca="false">K14279-K14280-K14281</f>
        <v>28.0259461337011</v>
      </c>
    </row>
    <row r="14283" customFormat="false" ht="15" hidden="false" customHeight="false" outlineLevel="0" collapsed="false">
      <c r="A14283" s="3" t="s">
        <v>290</v>
      </c>
      <c r="G14283" s="25" t="n">
        <f aca="false">G14309+G14322+G14335</f>
        <v>155.95467</v>
      </c>
      <c r="H14283" s="25" t="n">
        <f aca="false">H14309+H14322+H14335</f>
        <v>155.95467</v>
      </c>
      <c r="I14283" s="25" t="n">
        <f aca="false">I14309+I14322+I14335</f>
        <v>155.95467</v>
      </c>
      <c r="J14283" s="25" t="n">
        <f aca="false">J14309+J14322+J14335</f>
        <v>144.463861384154</v>
      </c>
      <c r="K14283" s="25" t="n">
        <f aca="false">K14309+K14322+K14335</f>
        <v>144.463861384154</v>
      </c>
    </row>
    <row r="14284" customFormat="false" ht="15" hidden="false" customHeight="false" outlineLevel="0" collapsed="false">
      <c r="A14284" s="3" t="s">
        <v>291</v>
      </c>
      <c r="G14284" s="25" t="n">
        <f aca="false">G14310+G14323+G14336</f>
        <v>0</v>
      </c>
      <c r="H14284" s="25" t="n">
        <f aca="false">H14310+H14323+H14336</f>
        <v>0</v>
      </c>
      <c r="I14284" s="25" t="n">
        <f aca="false">I14310+I14323+I14336</f>
        <v>0</v>
      </c>
      <c r="J14284" s="25" t="n">
        <f aca="false">J14310+J14323+J14336</f>
        <v>0</v>
      </c>
      <c r="K14284" s="25" t="n">
        <f aca="false">K14310+K14323+K14336</f>
        <v>0</v>
      </c>
    </row>
    <row r="14285" customFormat="false" ht="15" hidden="false" customHeight="false" outlineLevel="0" collapsed="false">
      <c r="A14285" s="3" t="s">
        <v>239</v>
      </c>
      <c r="G14285" s="25" t="n">
        <f aca="false">G14283+G14284</f>
        <v>155.95467</v>
      </c>
      <c r="H14285" s="25" t="n">
        <f aca="false">H14283+H14284</f>
        <v>155.95467</v>
      </c>
      <c r="I14285" s="25" t="n">
        <f aca="false">I14283+I14284</f>
        <v>155.95467</v>
      </c>
      <c r="J14285" s="25" t="n">
        <f aca="false">J14283+J14284</f>
        <v>144.463861384154</v>
      </c>
      <c r="K14285" s="25" t="n">
        <f aca="false">K14283+K14284</f>
        <v>144.463861384154</v>
      </c>
    </row>
    <row r="14286" customFormat="false" ht="15" hidden="false" customHeight="false" outlineLevel="0" collapsed="false">
      <c r="A14286" s="2" t="s">
        <v>264</v>
      </c>
      <c r="G14286" s="16" t="n">
        <f aca="false">G14282-G14285</f>
        <v>-76.4021416</v>
      </c>
      <c r="H14286" s="16" t="n">
        <f aca="false">H14282-H14285</f>
        <v>-111.44692144</v>
      </c>
      <c r="I14286" s="16" t="n">
        <f aca="false">I14282-I14285</f>
        <v>-123.5472392256</v>
      </c>
      <c r="J14286" s="16" t="n">
        <f aca="false">J14282-J14285</f>
        <v>-114.649025071706</v>
      </c>
      <c r="K14286" s="16" t="n">
        <f aca="false">K14282-K14285</f>
        <v>-116.437915250452</v>
      </c>
    </row>
    <row r="14287" customFormat="false" ht="15" hidden="false" customHeight="false" outlineLevel="0" collapsed="false">
      <c r="A14287" s="3" t="s">
        <v>292</v>
      </c>
      <c r="G14287" s="25" t="n">
        <f aca="false">MAX(0,G14286)*Assumptions!$C$9</f>
        <v>0</v>
      </c>
      <c r="H14287" s="25" t="n">
        <f aca="false">MAX(0,H14286)*Assumptions!$C$9</f>
        <v>0</v>
      </c>
      <c r="I14287" s="25" t="n">
        <f aca="false">MAX(0,I14286)*Assumptions!$C$9</f>
        <v>0</v>
      </c>
      <c r="J14287" s="25" t="n">
        <f aca="false">MAX(0,J14286)*Assumptions!$C$9</f>
        <v>0</v>
      </c>
      <c r="K14287" s="25" t="n">
        <f aca="false">MAX(0,K14286)*Assumptions!$C$9</f>
        <v>0</v>
      </c>
    </row>
    <row r="14288" customFormat="false" ht="15" hidden="false" customHeight="false" outlineLevel="0" collapsed="false">
      <c r="A14288" s="2" t="s">
        <v>293</v>
      </c>
      <c r="G14288" s="16" t="n">
        <f aca="false">G14286-G14287</f>
        <v>-76.4021416</v>
      </c>
      <c r="H14288" s="16" t="n">
        <f aca="false">H14286-H14287</f>
        <v>-111.44692144</v>
      </c>
      <c r="I14288" s="16" t="n">
        <f aca="false">I14286-I14287</f>
        <v>-123.5472392256</v>
      </c>
      <c r="J14288" s="16" t="n">
        <f aca="false">J14286-J14287</f>
        <v>-114.649025071706</v>
      </c>
      <c r="K14288" s="16" t="n">
        <f aca="false">K14286-K14287</f>
        <v>-116.437915250452</v>
      </c>
    </row>
    <row r="14289" customFormat="false" ht="15" hidden="false" customHeight="false" outlineLevel="0" collapsed="false">
      <c r="A14289" s="23" t="s">
        <v>294</v>
      </c>
      <c r="B14289" s="24"/>
      <c r="C14289" s="24"/>
      <c r="D14289" s="24"/>
      <c r="E14289" s="24"/>
      <c r="F14289" s="24"/>
      <c r="G14289" s="24"/>
      <c r="H14289" s="24"/>
      <c r="I14289" s="24"/>
      <c r="J14289" s="24"/>
      <c r="K14289" s="24"/>
    </row>
    <row r="14290" customFormat="false" ht="15" hidden="false" customHeight="false" outlineLevel="0" collapsed="false">
      <c r="A14290" s="3" t="s">
        <v>169</v>
      </c>
      <c r="G14290" s="25" t="n">
        <f aca="false">G14275*CHOOSE($C$14262,Assumptions!$C$75,Assumptions!$C$94,Assumptions!$C$113)</f>
        <v>21.24873036</v>
      </c>
      <c r="H14290" s="25" t="n">
        <f aca="false">H14275*CHOOSE($C$14262,Assumptions!$C$75,Assumptions!$C$94,Assumptions!$C$113)</f>
        <v>18.6988827168</v>
      </c>
      <c r="I14290" s="25" t="n">
        <f aca="false">I14275*CHOOSE($C$14262,Assumptions!$C$75,Assumptions!$C$94,Assumptions!$C$113)</f>
        <v>16.82899444512</v>
      </c>
      <c r="J14290" s="25" t="n">
        <f aca="false">J14275*CHOOSE($C$14262,Assumptions!$C$75,Assumptions!$C$94,Assumptions!$C$113)</f>
        <v>15.4826748895104</v>
      </c>
      <c r="K14290" s="25" t="n">
        <f aca="false">K14275*CHOOSE($C$14262,Assumptions!$C$75,Assumptions!$C$94,Assumptions!$C$113)</f>
        <v>14.5537143961398</v>
      </c>
    </row>
    <row r="14291" customFormat="false" ht="15" hidden="false" customHeight="false" outlineLevel="0" collapsed="false">
      <c r="A14291" s="3" t="s">
        <v>295</v>
      </c>
      <c r="G14291" s="25" t="n">
        <f aca="false">CHOOSE($C$14262,Assumptions!$C$76,Assumptions!$C$95,Assumptions!$C$114)*(G14275-F14275)+CHOOSE($C$14262,Assumptions!$C$77,Assumptions!$C$96,Assumptions!$C$115)*G14275</f>
        <v>28.9755414</v>
      </c>
      <c r="H14291" s="25" t="n">
        <f aca="false">CHOOSE($C$14262,Assumptions!$C$76,Assumptions!$C$95,Assumptions!$C$114)*(H14275-G14275)+CHOOSE($C$14262,Assumptions!$C$77,Assumptions!$C$96,Assumptions!$C$115)*H14275</f>
        <v>25.498476432</v>
      </c>
      <c r="I14291" s="25" t="n">
        <f aca="false">CHOOSE($C$14262,Assumptions!$C$76,Assumptions!$C$95,Assumptions!$C$114)*(I14275-H14275)+CHOOSE($C$14262,Assumptions!$C$77,Assumptions!$C$96,Assumptions!$C$115)*I14275</f>
        <v>22.9486287888</v>
      </c>
      <c r="J14291" s="25" t="n">
        <f aca="false">CHOOSE($C$14262,Assumptions!$C$76,Assumptions!$C$95,Assumptions!$C$114)*(J14275-I14275)+CHOOSE($C$14262,Assumptions!$C$77,Assumptions!$C$96,Assumptions!$C$115)*J14275</f>
        <v>21.112738485696</v>
      </c>
      <c r="K14291" s="25" t="n">
        <f aca="false">CHOOSE($C$14262,Assumptions!$C$76,Assumptions!$C$95,Assumptions!$C$114)*(K14275-J14275)+CHOOSE($C$14262,Assumptions!$C$77,Assumptions!$C$96,Assumptions!$C$115)*K14275</f>
        <v>19.8459741765542</v>
      </c>
    </row>
    <row r="14292" customFormat="false" ht="15" hidden="false" customHeight="false" outlineLevel="0" collapsed="false">
      <c r="A14292" s="2" t="s">
        <v>296</v>
      </c>
      <c r="G14292" s="16" t="n">
        <f aca="false">G14288+G14280+G14281+G14284-G14290-G14291</f>
        <v>-32.32569336</v>
      </c>
      <c r="H14292" s="16" t="n">
        <f aca="false">H14288+H14280+H14281+H14284-H14290-H14291</f>
        <v>-72.6596469888</v>
      </c>
      <c r="I14292" s="16" t="n">
        <f aca="false">I14288+I14280+I14281+I14284-I14290-I14291</f>
        <v>-88.63869221952</v>
      </c>
      <c r="J14292" s="16" t="n">
        <f aca="false">J14288+J14280+J14281+J14284-J14290-J14291</f>
        <v>-82.533161826112</v>
      </c>
      <c r="K14292" s="16" t="n">
        <f aca="false">K14288+K14280+K14281+K14284-K14290-K14291</f>
        <v>-86.2490037995945</v>
      </c>
    </row>
    <row r="14294" customFormat="false" ht="15" hidden="false" customHeight="false" outlineLevel="0" collapsed="false">
      <c r="A14294" s="23" t="s">
        <v>298</v>
      </c>
      <c r="B14294" s="24"/>
      <c r="C14294" s="24"/>
      <c r="D14294" s="24"/>
      <c r="E14294" s="24"/>
      <c r="F14294" s="24"/>
      <c r="G14294" s="24"/>
      <c r="H14294" s="24"/>
      <c r="I14294" s="24"/>
      <c r="J14294" s="24"/>
      <c r="K14294" s="24"/>
    </row>
    <row r="14295" customFormat="false" ht="15" hidden="false" customHeight="false" outlineLevel="0" collapsed="false">
      <c r="A14295" s="3" t="s">
        <v>299</v>
      </c>
      <c r="G14295" s="30" t="n">
        <f aca="false">Assumptions!$G$52</f>
        <v>0.039</v>
      </c>
      <c r="H14295" s="30" t="n">
        <f aca="false">Assumptions!$H$52</f>
        <v>0.0375</v>
      </c>
      <c r="I14295" s="30" t="n">
        <f aca="false">Assumptions!$I$52</f>
        <v>0.035</v>
      </c>
      <c r="J14295" s="30" t="n">
        <f aca="false">Assumptions!$J$52</f>
        <v>0.035</v>
      </c>
      <c r="K14295" s="30" t="n">
        <f aca="false">Assumptions!$K$52</f>
        <v>0.035</v>
      </c>
    </row>
    <row r="14296" customFormat="false" ht="15" hidden="false" customHeight="false" outlineLevel="0" collapsed="false">
      <c r="A14296" s="3" t="s">
        <v>300</v>
      </c>
      <c r="C14296" s="31" t="n">
        <f aca="false">CHOOSE($C$14262,Assumptions!$C$78,Assumptions!$C$97,Assumptions!$C$116)+$C$14265</f>
        <v>0.025</v>
      </c>
    </row>
    <row r="14297" customFormat="false" ht="15" hidden="false" customHeight="false" outlineLevel="0" collapsed="false">
      <c r="A14297" s="3" t="s">
        <v>301</v>
      </c>
      <c r="C14297" s="31" t="n">
        <f aca="false">CHOOSE($C$14262,Assumptions!$C$79,Assumptions!$C$98,Assumptions!$C$117)</f>
        <v>0.15</v>
      </c>
    </row>
    <row r="14298" customFormat="false" ht="15" hidden="false" customHeight="false" outlineLevel="0" collapsed="false">
      <c r="A14298" s="3" t="s">
        <v>302</v>
      </c>
      <c r="C14298" s="32" t="n">
        <f aca="false">CHOOSE($C$14262,Assumptions!$C$80,Assumptions!$C$99,Assumptions!$C$118)</f>
        <v>5</v>
      </c>
    </row>
    <row r="14299" customFormat="false" ht="15" hidden="false" customHeight="false" outlineLevel="0" collapsed="false">
      <c r="A14299" s="3" t="s">
        <v>303</v>
      </c>
      <c r="C14299" s="32" t="n">
        <f aca="false">CHOOSE($C$14262,Assumptions!$C$81,Assumptions!$C$100,Assumptions!$C$119)</f>
        <v>1.75</v>
      </c>
    </row>
    <row r="14300" customFormat="false" ht="15" hidden="false" customHeight="false" outlineLevel="0" collapsed="false">
      <c r="A14300" s="3" t="s">
        <v>304</v>
      </c>
      <c r="G14300" s="25" t="n">
        <f aca="false">G14305+G14318+G14331</f>
        <v>1735.554</v>
      </c>
      <c r="H14300" s="25" t="n">
        <f aca="false">H14305+H14318+H14331</f>
        <v>1735.554</v>
      </c>
      <c r="I14300" s="25" t="n">
        <f aca="false">I14305+I14318+I14331</f>
        <v>1735.554</v>
      </c>
      <c r="J14300" s="25" t="n">
        <f aca="false">J14305+J14318+J14331</f>
        <v>1465.18203256832</v>
      </c>
      <c r="K14300" s="25" t="n">
        <f aca="false">K14305+K14318+K14331</f>
        <v>1465.18203256832</v>
      </c>
    </row>
    <row r="14301" customFormat="false" ht="15" hidden="false" customHeight="false" outlineLevel="0" collapsed="false">
      <c r="A14301" s="3" t="s">
        <v>305</v>
      </c>
      <c r="G14301" s="25" t="n">
        <f aca="false">F14374</f>
        <v>463.996</v>
      </c>
      <c r="H14301" s="25" t="n">
        <f aca="false">G14374</f>
        <v>431.67030664</v>
      </c>
      <c r="I14301" s="25" t="n">
        <f aca="false">H14374</f>
        <v>359.0106596512</v>
      </c>
      <c r="J14301" s="25" t="n">
        <f aca="false">I14374</f>
        <v>0</v>
      </c>
      <c r="K14301" s="25" t="n">
        <f aca="false">J14374</f>
        <v>-82.533161826112</v>
      </c>
    </row>
    <row r="14302" customFormat="false" ht="15" hidden="false" customHeight="false" outlineLevel="0" collapsed="false">
      <c r="A14302" s="3" t="s">
        <v>306</v>
      </c>
      <c r="G14302" s="25" t="n">
        <f aca="false">G14305*IF(G14306=1,$C$14297,IF(Assumptions!$I$56=1,MAX(G14295,Assumptions!$G$56)+Assumptions!$F$56+$C$14296,Assumptions!$E$56))+G14318*IF(G14319=1,$C$14297,IF(Assumptions!$I$57=1,MAX(G14295,Assumptions!$G$57)+Assumptions!$F$57+$C$14296,Assumptions!$E$57))+G14331*IF(G14332=1,$C$14297,IF(Assumptions!$I$58=1,MAX(G14295,Assumptions!$G$58)+Assumptions!$F$58+$C$14296,Assumptions!$E$58))</f>
        <v>155.95467</v>
      </c>
      <c r="H14302" s="25" t="n">
        <f aca="false">H14305*IF(OR(H14306=1,G14452=1),$C$14297,IF(Assumptions!$I$56=1,MAX(H14295,Assumptions!$G$56)+Assumptions!$F$56+$C$14296,Assumptions!$E$56))+H14318*IF(OR(H14319=1,G14453=1),$C$14297,IF(Assumptions!$I$57=1,MAX(H14295,Assumptions!$G$57)+Assumptions!$F$57+$C$14296,Assumptions!$E$57))+H14331*IF(OR(H14332=1,G14454=1),$C$14297,IF(Assumptions!$I$58=1,MAX(H14295,Assumptions!$G$58)+Assumptions!$F$58+$C$14296,Assumptions!$E$58))</f>
        <v>155.95467</v>
      </c>
      <c r="I14302" s="25" t="n">
        <f aca="false">I14305*IF(OR(I14306=1,H14452=1),$C$14297,IF(Assumptions!$I$56=1,MAX(I14295,Assumptions!$G$56)+Assumptions!$F$56+$C$14296,Assumptions!$E$56))+I14318*IF(OR(I14319=1,H14453=1),$C$14297,IF(Assumptions!$I$57=1,MAX(I14295,Assumptions!$G$57)+Assumptions!$F$57+$C$14296,Assumptions!$E$57))+I14331*IF(OR(I14332=1,H14454=1),$C$14297,IF(Assumptions!$I$58=1,MAX(I14295,Assumptions!$G$58)+Assumptions!$F$58+$C$14296,Assumptions!$E$58))</f>
        <v>201.15369</v>
      </c>
      <c r="J14302" s="25" t="n">
        <f aca="false">J14305*IF(OR(J14306=1,I14452=1),$C$14297,IF(Assumptions!$I$56=1,MAX(J14295,Assumptions!$G$56)+Assumptions!$F$56+$C$14296,Assumptions!$E$56))+J14318*IF(OR(J14319=1,I14453=1),$C$14297,IF(Assumptions!$I$57=1,MAX(J14295,Assumptions!$G$57)+Assumptions!$F$57+$C$14296,Assumptions!$E$57))+J14331*IF(OR(J14332=1,I14454=1),$C$14297,IF(Assumptions!$I$58=1,MAX(J14295,Assumptions!$G$58)+Assumptions!$F$58+$C$14296,Assumptions!$E$58))</f>
        <v>144.463861384154</v>
      </c>
      <c r="K14302" s="25" t="n">
        <f aca="false">K14305*IF(OR(K14306=1,J14452=1),$C$14297,IF(Assumptions!$I$56=1,MAX(K14295,Assumptions!$G$56)+Assumptions!$F$56+$C$14296,Assumptions!$E$56))+K14318*IF(OR(K14319=1,J14453=1),$C$14297,IF(Assumptions!$I$57=1,MAX(K14295,Assumptions!$G$57)+Assumptions!$F$57+$C$14296,Assumptions!$E$57))+K14331*IF(OR(K14332=1,J14454=1),$C$14297,IF(Assumptions!$I$58=1,MAX(K14295,Assumptions!$G$58)+Assumptions!$F$58+$C$14296,Assumptions!$E$58))</f>
        <v>144.463861384154</v>
      </c>
    </row>
    <row r="14303" customFormat="false" ht="15" hidden="false" customHeight="false" outlineLevel="0" collapsed="false">
      <c r="A14303" s="3" t="s">
        <v>307</v>
      </c>
      <c r="G14303" s="20" t="n">
        <f aca="false">IF(G14279&lt;=0,0,IF(AND((G14300-G14301)/G14279&lt;=$C$14298,G14279/G14302&gt;=$C$14299),1,0))</f>
        <v>0</v>
      </c>
      <c r="H14303" s="20" t="n">
        <f aca="false">IF(H14279&lt;=0,0,IF(AND((H14300-H14301)/H14279&lt;=$C$14298,H14279/H14302&gt;=$C$14299),1,0))</f>
        <v>0</v>
      </c>
      <c r="I14303" s="20" t="n">
        <f aca="false">IF(I14279&lt;=0,0,IF(AND((I14300-I14301)/I14279&lt;=$C$14298,I14279/I14302&gt;=$C$14299),1,0))</f>
        <v>0</v>
      </c>
      <c r="J14303" s="20" t="n">
        <f aca="false">IF(J14279&lt;=0,0,IF(AND((J14300-J14301)/J14279&lt;=$C$14298,J14279/J14302&gt;=$C$14299),1,0))</f>
        <v>0</v>
      </c>
      <c r="K14303" s="20" t="n">
        <f aca="false">IF(K14279&lt;=0,0,IF(AND((K14300-K14301)/K14279&lt;=$C$14298,K14279/K14302&gt;=$C$14299),1,0))</f>
        <v>0</v>
      </c>
    </row>
    <row r="14304" customFormat="false" ht="15" hidden="false" customHeight="false" outlineLevel="0" collapsed="false">
      <c r="A14304" s="23" t="s">
        <v>308</v>
      </c>
      <c r="B14304" s="24"/>
      <c r="C14304" s="24"/>
      <c r="D14304" s="24"/>
      <c r="E14304" s="24"/>
      <c r="F14304" s="24"/>
      <c r="G14304" s="24"/>
      <c r="H14304" s="24"/>
      <c r="I14304" s="24"/>
      <c r="J14304" s="24"/>
      <c r="K14304" s="24"/>
    </row>
    <row r="14305" customFormat="false" ht="15" hidden="false" customHeight="false" outlineLevel="0" collapsed="false">
      <c r="A14305" s="3" t="s">
        <v>309</v>
      </c>
      <c r="G14305" s="25" t="n">
        <f aca="false">F14316</f>
        <v>1315.098</v>
      </c>
      <c r="H14305" s="25" t="n">
        <f aca="false">G14316</f>
        <v>1315.098</v>
      </c>
      <c r="I14305" s="25" t="n">
        <f aca="false">H14316</f>
        <v>1315.098</v>
      </c>
      <c r="J14305" s="25" t="n">
        <f aca="false">I14316</f>
        <v>1315.098</v>
      </c>
      <c r="K14305" s="25" t="n">
        <f aca="false">J14316</f>
        <v>1315.098</v>
      </c>
    </row>
    <row r="14306" customFormat="false" ht="15" hidden="false" customHeight="false" outlineLevel="0" collapsed="false">
      <c r="A14306" s="3" t="s">
        <v>310</v>
      </c>
      <c r="G14306" s="20" t="n">
        <f aca="false">IF(G14269=Assumptions!$K$56,1,0)</f>
        <v>0</v>
      </c>
      <c r="H14306" s="20" t="n">
        <f aca="false">IF(H14269=Assumptions!$K$56,1,0)</f>
        <v>0</v>
      </c>
      <c r="I14306" s="20" t="n">
        <f aca="false">IF(I14269=Assumptions!$K$56,1,0)</f>
        <v>0</v>
      </c>
      <c r="J14306" s="20" t="n">
        <f aca="false">IF(J14269=Assumptions!$K$56,1,0)</f>
        <v>0</v>
      </c>
      <c r="K14306" s="20" t="n">
        <f aca="false">IF(K14269=Assumptions!$K$56,1,0)</f>
        <v>0</v>
      </c>
    </row>
    <row r="14308" customFormat="false" ht="15" hidden="false" customHeight="false" outlineLevel="0" collapsed="false">
      <c r="A14308" s="3" t="s">
        <v>311</v>
      </c>
      <c r="G14308" s="31" t="n">
        <f aca="false">IF(Assumptions!$I$56=1,MAX(G14295,Assumptions!$G$56)+Assumptions!$F$56+$C$14296,Assumptions!$E$56)</f>
        <v>0.105</v>
      </c>
      <c r="H14308" s="31" t="n">
        <f aca="false">IF(G14452=1,$C$14297,IF(Assumptions!$I$56=1,MAX(H14295,Assumptions!$G$56)+Assumptions!$F$56+$C$14296,Assumptions!$E$56))</f>
        <v>0.105</v>
      </c>
      <c r="I14308" s="31" t="n">
        <f aca="false">IF(H14452=1,$C$14297,IF(Assumptions!$I$56=1,MAX(I14295,Assumptions!$G$56)+Assumptions!$F$56+$C$14296,Assumptions!$E$56))</f>
        <v>0.105</v>
      </c>
      <c r="J14308" s="31" t="n">
        <f aca="false">IF(I14452=1,$C$14297,IF(Assumptions!$I$56=1,MAX(J14295,Assumptions!$G$56)+Assumptions!$F$56+$C$14296,Assumptions!$E$56))</f>
        <v>0.105</v>
      </c>
      <c r="K14308" s="31" t="n">
        <f aca="false">IF(J14452=1,$C$14297,IF(Assumptions!$I$56=1,MAX(K14295,Assumptions!$G$56)+Assumptions!$F$56+$C$14296,Assumptions!$E$56))</f>
        <v>0.105</v>
      </c>
    </row>
    <row r="14309" customFormat="false" ht="15" hidden="false" customHeight="false" outlineLevel="0" collapsed="false">
      <c r="A14309" s="3" t="s">
        <v>312</v>
      </c>
      <c r="G14309" s="25" t="n">
        <f aca="false">G14305*G14308</f>
        <v>138.08529</v>
      </c>
      <c r="H14309" s="25" t="n">
        <f aca="false">H14305*H14308</f>
        <v>138.08529</v>
      </c>
      <c r="I14309" s="25" t="n">
        <f aca="false">I14305*I14308</f>
        <v>138.08529</v>
      </c>
      <c r="J14309" s="25" t="n">
        <f aca="false">J14305*J14308</f>
        <v>138.08529</v>
      </c>
      <c r="K14309" s="25" t="n">
        <f aca="false">K14305*K14308</f>
        <v>138.08529</v>
      </c>
    </row>
    <row r="14310" customFormat="false" ht="15" hidden="false" customHeight="false" outlineLevel="0" collapsed="false">
      <c r="A14310" s="3" t="s">
        <v>313</v>
      </c>
      <c r="G14310" s="25" t="n">
        <f aca="false">G14305*Assumptions!$H$56</f>
        <v>0</v>
      </c>
      <c r="H14310" s="25" t="n">
        <f aca="false">H14305*Assumptions!$H$56</f>
        <v>0</v>
      </c>
      <c r="I14310" s="25" t="n">
        <f aca="false">I14305*Assumptions!$H$56</f>
        <v>0</v>
      </c>
      <c r="J14310" s="25" t="n">
        <f aca="false">J14305*Assumptions!$H$56</f>
        <v>0</v>
      </c>
      <c r="K14310" s="25" t="n">
        <f aca="false">K14305*Assumptions!$H$56</f>
        <v>0</v>
      </c>
    </row>
    <row r="14311" customFormat="false" ht="15" hidden="false" customHeight="false" outlineLevel="0" collapsed="false">
      <c r="A14311" s="3" t="s">
        <v>314</v>
      </c>
      <c r="G14311" s="25" t="n">
        <f aca="false">MIN(G14305,Assumptions!$L$56*Assumptions!$C$56)</f>
        <v>0</v>
      </c>
      <c r="H14311" s="25" t="n">
        <f aca="false">MIN(H14305,Assumptions!$L$56*Assumptions!$C$56)</f>
        <v>0</v>
      </c>
      <c r="I14311" s="25" t="n">
        <f aca="false">MIN(I14305,Assumptions!$L$56*Assumptions!$C$56)</f>
        <v>0</v>
      </c>
      <c r="J14311" s="25" t="n">
        <f aca="false">MIN(J14305,Assumptions!$L$56*Assumptions!$C$56)</f>
        <v>0</v>
      </c>
      <c r="K14311" s="25" t="n">
        <f aca="false">MIN(K14305,Assumptions!$L$56*Assumptions!$C$56)</f>
        <v>0</v>
      </c>
    </row>
    <row r="14312" customFormat="false" ht="15" hidden="false" customHeight="false" outlineLevel="0" collapsed="false">
      <c r="A14312" s="3" t="s">
        <v>315</v>
      </c>
      <c r="G14312" s="25" t="n">
        <f aca="false">IF(AND(Assumptions!$P$56=1,G14269&lt;Assumptions!$K$56),MIN(MAX(0,-G14366),MAX(0,Assumptions!$D$56-G14305)),0)</f>
        <v>0</v>
      </c>
      <c r="H14312" s="25" t="n">
        <f aca="false">IF(AND(Assumptions!$P$56=1,OR(H14269&lt;Assumptions!$K$56,G14452=1)),MIN(MAX(0,-H14366),MAX(0,Assumptions!$D$56-H14305)),0)</f>
        <v>0</v>
      </c>
      <c r="I14312" s="25" t="n">
        <f aca="false">IF(AND(Assumptions!$P$56=1,OR(I14269&lt;Assumptions!$K$56,H14452=1)),MIN(MAX(0,-I14366),MAX(0,Assumptions!$D$56-I14305)),0)</f>
        <v>0</v>
      </c>
      <c r="J14312" s="25" t="n">
        <f aca="false">IF(AND(Assumptions!$P$56=1,OR(J14269&lt;Assumptions!$K$56,I14452=1)),MIN(MAX(0,-J14366),MAX(0,Assumptions!$D$56-J14305)),0)</f>
        <v>0</v>
      </c>
      <c r="K14312" s="25" t="n">
        <f aca="false">IF(AND(Assumptions!$P$56=1,OR(K14269&lt;Assumptions!$K$56,J14452=1)),MIN(MAX(0,-K14366),MAX(0,Assumptions!$D$56-K14305)),0)</f>
        <v>0</v>
      </c>
    </row>
    <row r="14313" customFormat="false" ht="15" hidden="false" customHeight="false" outlineLevel="0" collapsed="false">
      <c r="A14313" s="3" t="s">
        <v>316</v>
      </c>
      <c r="G14313" s="25" t="n">
        <f aca="false">G14306*MIN(G14305-G14311+G14310,MAX(0,G14368-Assumptions!$C$12*G14303))</f>
        <v>0</v>
      </c>
      <c r="H14313" s="25" t="n">
        <f aca="false">H14306*MIN(H14305-H14311+H14310,MAX(0,H14368-Assumptions!$C$12*H14303))</f>
        <v>0</v>
      </c>
      <c r="I14313" s="25" t="n">
        <f aca="false">I14306*MIN(I14305-I14311+I14310,MAX(0,I14368-Assumptions!$C$12*I14303))</f>
        <v>0</v>
      </c>
      <c r="J14313" s="25" t="n">
        <f aca="false">J14306*MIN(J14305-J14311+J14310,MAX(0,J14368-Assumptions!$C$12*J14303))</f>
        <v>0</v>
      </c>
      <c r="K14313" s="25" t="n">
        <f aca="false">K14306*MIN(K14305-K14311+K14310,MAX(0,K14368-Assumptions!$C$12*K14303))</f>
        <v>0</v>
      </c>
    </row>
    <row r="14314" customFormat="false" ht="15" hidden="false" customHeight="false" outlineLevel="0" collapsed="false">
      <c r="A14314" s="3" t="s">
        <v>317</v>
      </c>
      <c r="G14314" s="25" t="n">
        <f aca="false">Assumptions!$N$56*MIN(G14305+G14312+G14310-G14311-G14313,MAX(0,G14372))</f>
        <v>0</v>
      </c>
      <c r="H14314" s="25" t="n">
        <f aca="false">Assumptions!$N$56*MIN(H14305+H14312+H14310-H14311-H14313,MAX(0,H14372))</f>
        <v>0</v>
      </c>
      <c r="I14314" s="25" t="n">
        <f aca="false">Assumptions!$N$56*MIN(I14305+I14312+I14310-I14311-I14313,MAX(0,I14372))</f>
        <v>0</v>
      </c>
      <c r="J14314" s="25" t="n">
        <f aca="false">Assumptions!$N$56*MIN(J14305+J14312+J14310-J14311-J14313,MAX(0,J14372))</f>
        <v>0</v>
      </c>
      <c r="K14314" s="25" t="n">
        <f aca="false">Assumptions!$N$56*MIN(K14305+K14312+K14310-K14311-K14313,MAX(0,K14372))</f>
        <v>0</v>
      </c>
    </row>
    <row r="14315" customFormat="false" ht="15" hidden="false" customHeight="false" outlineLevel="0" collapsed="false">
      <c r="A14315" s="3" t="s">
        <v>318</v>
      </c>
      <c r="G14315" s="25" t="n">
        <f aca="false">G14306*(1-G14303)*(G14305-G14311+G14310-G14313)</f>
        <v>0</v>
      </c>
      <c r="H14315" s="25" t="n">
        <f aca="false">H14306*(1-H14303)*(H14305-H14311+H14310-H14313)</f>
        <v>0</v>
      </c>
      <c r="I14315" s="25" t="n">
        <f aca="false">I14306*(1-I14303)*(I14305-I14311+I14310-I14313)</f>
        <v>0</v>
      </c>
      <c r="J14315" s="25" t="n">
        <f aca="false">J14306*(1-J14303)*(J14305-J14311+J14310-J14313)</f>
        <v>0</v>
      </c>
      <c r="K14315" s="25" t="n">
        <f aca="false">K14306*(1-K14303)*(K14305-K14311+K14310-K14313)</f>
        <v>0</v>
      </c>
    </row>
    <row r="14316" customFormat="false" ht="15" hidden="false" customHeight="false" outlineLevel="0" collapsed="false">
      <c r="A14316" s="2" t="s">
        <v>319</v>
      </c>
      <c r="F14316" s="28" t="n">
        <f aca="false">Assumptions!$C$56</f>
        <v>1315.098</v>
      </c>
      <c r="G14316" s="16" t="n">
        <f aca="false">G14305+G14312+G14310-G14311-G14313-G14314</f>
        <v>1315.098</v>
      </c>
      <c r="H14316" s="16" t="n">
        <f aca="false">H14305+H14312+H14310-H14311-H14313-H14314</f>
        <v>1315.098</v>
      </c>
      <c r="I14316" s="16" t="n">
        <f aca="false">I14305+I14312+I14310-I14311-I14313-I14314</f>
        <v>1315.098</v>
      </c>
      <c r="J14316" s="16" t="n">
        <f aca="false">J14305+J14312+J14310-J14311-J14313-J14314</f>
        <v>1315.098</v>
      </c>
      <c r="K14316" s="16" t="n">
        <f aca="false">K14305+K14312+K14310-K14311-K14313-K14314</f>
        <v>1315.098</v>
      </c>
    </row>
    <row r="14317" customFormat="false" ht="15" hidden="false" customHeight="false" outlineLevel="0" collapsed="false">
      <c r="A14317" s="23" t="s">
        <v>320</v>
      </c>
      <c r="B14317" s="24"/>
      <c r="C14317" s="24"/>
      <c r="D14317" s="24"/>
      <c r="E14317" s="24"/>
      <c r="F14317" s="24"/>
      <c r="G14317" s="24"/>
      <c r="H14317" s="24"/>
      <c r="I14317" s="24"/>
      <c r="J14317" s="24"/>
      <c r="K14317" s="24"/>
    </row>
    <row r="14318" customFormat="false" ht="15" hidden="false" customHeight="false" outlineLevel="0" collapsed="false">
      <c r="A14318" s="3" t="s">
        <v>309</v>
      </c>
      <c r="G14318" s="25" t="n">
        <f aca="false">F14329</f>
        <v>276.706</v>
      </c>
      <c r="H14318" s="25" t="n">
        <f aca="false">G14329</f>
        <v>276.706</v>
      </c>
      <c r="I14318" s="25" t="n">
        <f aca="false">H14329</f>
        <v>276.706</v>
      </c>
      <c r="J14318" s="25" t="n">
        <f aca="false">I14329</f>
        <v>6.33403256832008</v>
      </c>
      <c r="K14318" s="25" t="n">
        <f aca="false">J14329</f>
        <v>6.33403256832008</v>
      </c>
    </row>
    <row r="14319" customFormat="false" ht="15" hidden="false" customHeight="false" outlineLevel="0" collapsed="false">
      <c r="A14319" s="3" t="s">
        <v>310</v>
      </c>
      <c r="G14319" s="20" t="n">
        <f aca="false">IF(G14269=Assumptions!$K$57,1,0)</f>
        <v>0</v>
      </c>
      <c r="H14319" s="20" t="n">
        <f aca="false">IF(H14269=Assumptions!$K$57,1,0)</f>
        <v>0</v>
      </c>
      <c r="I14319" s="20" t="n">
        <f aca="false">IF(I14269=Assumptions!$K$57,1,0)</f>
        <v>1</v>
      </c>
      <c r="J14319" s="20" t="n">
        <f aca="false">IF(J14269=Assumptions!$K$57,1,0)</f>
        <v>0</v>
      </c>
      <c r="K14319" s="20" t="n">
        <f aca="false">IF(K14269=Assumptions!$K$57,1,0)</f>
        <v>0</v>
      </c>
    </row>
    <row r="14321" customFormat="false" ht="15" hidden="false" customHeight="false" outlineLevel="0" collapsed="false">
      <c r="A14321" s="3" t="s">
        <v>311</v>
      </c>
      <c r="G14321" s="31" t="n">
        <f aca="false">IF(Assumptions!$I$57=1,MAX(G14295,Assumptions!$G$57)+Assumptions!$F$57+$C$14296,Assumptions!$E$57)</f>
        <v>0.0425</v>
      </c>
      <c r="H14321" s="31" t="n">
        <f aca="false">IF(G14453=1,$C$14297,IF(Assumptions!$I$57=1,MAX(H14295,Assumptions!$G$57)+Assumptions!$F$57+$C$14296,Assumptions!$E$57))</f>
        <v>0.0425</v>
      </c>
      <c r="I14321" s="31" t="n">
        <f aca="false">IF(H14453=1,$C$14297,IF(Assumptions!$I$57=1,MAX(I14295,Assumptions!$G$57)+Assumptions!$F$57+$C$14296,Assumptions!$E$57))</f>
        <v>0.0425</v>
      </c>
      <c r="J14321" s="31" t="n">
        <f aca="false">IF(I14453=1,$C$14297,IF(Assumptions!$I$57=1,MAX(J14295,Assumptions!$G$57)+Assumptions!$F$57+$C$14296,Assumptions!$E$57))</f>
        <v>0.0425</v>
      </c>
      <c r="K14321" s="31" t="n">
        <f aca="false">IF(J14453=1,$C$14297,IF(Assumptions!$I$57=1,MAX(K14295,Assumptions!$G$57)+Assumptions!$F$57+$C$14296,Assumptions!$E$57))</f>
        <v>0.0425</v>
      </c>
    </row>
    <row r="14322" customFormat="false" ht="15" hidden="false" customHeight="false" outlineLevel="0" collapsed="false">
      <c r="A14322" s="3" t="s">
        <v>312</v>
      </c>
      <c r="G14322" s="25" t="n">
        <f aca="false">G14318*G14321</f>
        <v>11.760005</v>
      </c>
      <c r="H14322" s="25" t="n">
        <f aca="false">H14318*H14321</f>
        <v>11.760005</v>
      </c>
      <c r="I14322" s="25" t="n">
        <f aca="false">I14318*I14321</f>
        <v>11.760005</v>
      </c>
      <c r="J14322" s="25" t="n">
        <f aca="false">J14318*J14321</f>
        <v>0.269196384153604</v>
      </c>
      <c r="K14322" s="25" t="n">
        <f aca="false">K14318*K14321</f>
        <v>0.269196384153604</v>
      </c>
    </row>
    <row r="14323" customFormat="false" ht="15" hidden="false" customHeight="false" outlineLevel="0" collapsed="false">
      <c r="A14323" s="3" t="s">
        <v>313</v>
      </c>
      <c r="G14323" s="25" t="n">
        <f aca="false">G14318*Assumptions!$H$57</f>
        <v>0</v>
      </c>
      <c r="H14323" s="25" t="n">
        <f aca="false">H14318*Assumptions!$H$57</f>
        <v>0</v>
      </c>
      <c r="I14323" s="25" t="n">
        <f aca="false">I14318*Assumptions!$H$57</f>
        <v>0</v>
      </c>
      <c r="J14323" s="25" t="n">
        <f aca="false">J14318*Assumptions!$H$57</f>
        <v>0</v>
      </c>
      <c r="K14323" s="25" t="n">
        <f aca="false">K14318*Assumptions!$H$57</f>
        <v>0</v>
      </c>
    </row>
    <row r="14324" customFormat="false" ht="15" hidden="false" customHeight="false" outlineLevel="0" collapsed="false">
      <c r="A14324" s="3" t="s">
        <v>314</v>
      </c>
      <c r="G14324" s="25" t="n">
        <f aca="false">MIN(G14318,Assumptions!$L$57*Assumptions!$C$57)</f>
        <v>0</v>
      </c>
      <c r="H14324" s="25" t="n">
        <f aca="false">MIN(H14318,Assumptions!$L$57*Assumptions!$C$57)</f>
        <v>0</v>
      </c>
      <c r="I14324" s="25" t="n">
        <f aca="false">MIN(I14318,Assumptions!$L$57*Assumptions!$C$57)</f>
        <v>0</v>
      </c>
      <c r="J14324" s="25" t="n">
        <f aca="false">MIN(J14318,Assumptions!$L$57*Assumptions!$C$57)</f>
        <v>0</v>
      </c>
      <c r="K14324" s="25" t="n">
        <f aca="false">MIN(K14318,Assumptions!$L$57*Assumptions!$C$57)</f>
        <v>0</v>
      </c>
    </row>
    <row r="14325" customFormat="false" ht="15" hidden="false" customHeight="false" outlineLevel="0" collapsed="false">
      <c r="A14325" s="3" t="s">
        <v>315</v>
      </c>
      <c r="G14325" s="25" t="n">
        <f aca="false">IF(AND(Assumptions!$P$57=1,G14269&lt;Assumptions!$K$57),MIN(MAX(0,-G14366),MAX(0,Assumptions!$D$57-G14318)),0)</f>
        <v>0</v>
      </c>
      <c r="H14325" s="25" t="n">
        <f aca="false">IF(AND(Assumptions!$P$57=1,OR(H14269&lt;Assumptions!$K$57,G14453=1)),MIN(MAX(0,-H14366),MAX(0,Assumptions!$D$57-H14318)),0)</f>
        <v>0</v>
      </c>
      <c r="I14325" s="25" t="n">
        <f aca="false">IF(AND(Assumptions!$P$57=1,OR(I14269&lt;Assumptions!$K$57,H14453=1)),MIN(MAX(0,-I14366),MAX(0,Assumptions!$D$57-I14318)),0)</f>
        <v>0</v>
      </c>
      <c r="J14325" s="25" t="n">
        <f aca="false">IF(AND(Assumptions!$P$57=1,OR(J14269&lt;Assumptions!$K$57,I14453=1)),MIN(MAX(0,-J14366),MAX(0,Assumptions!$D$57-J14318)),0)</f>
        <v>0</v>
      </c>
      <c r="K14325" s="25" t="n">
        <f aca="false">IF(AND(Assumptions!$P$57=1,OR(K14269&lt;Assumptions!$K$57,J14453=1)),MIN(MAX(0,-K14366),MAX(0,Assumptions!$D$57-K14318)),0)</f>
        <v>0</v>
      </c>
    </row>
    <row r="14326" customFormat="false" ht="15" hidden="false" customHeight="false" outlineLevel="0" collapsed="false">
      <c r="A14326" s="3" t="s">
        <v>316</v>
      </c>
      <c r="G14326" s="25" t="n">
        <f aca="false">G14319*MIN(G14318-G14324+G14323,MAX(0,G14368-Assumptions!$C$12*G14303-G14313))</f>
        <v>0</v>
      </c>
      <c r="H14326" s="25" t="n">
        <f aca="false">H14319*MIN(H14318-H14324+H14323,MAX(0,H14368-Assumptions!$C$12*H14303-H14313))</f>
        <v>0</v>
      </c>
      <c r="I14326" s="25" t="n">
        <f aca="false">I14319*MIN(I14318-I14324+I14323,MAX(0,I14368-Assumptions!$C$12*I14303-I14313))</f>
        <v>270.37196743168</v>
      </c>
      <c r="J14326" s="25" t="n">
        <f aca="false">J14319*MIN(J14318-J14324+J14323,MAX(0,J14368-Assumptions!$C$12*J14303-J14313))</f>
        <v>0</v>
      </c>
      <c r="K14326" s="25" t="n">
        <f aca="false">K14319*MIN(K14318-K14324+K14323,MAX(0,K14368-Assumptions!$C$12*K14303-K14313))</f>
        <v>0</v>
      </c>
    </row>
    <row r="14327" customFormat="false" ht="15" hidden="false" customHeight="false" outlineLevel="0" collapsed="false">
      <c r="A14327" s="3" t="s">
        <v>317</v>
      </c>
      <c r="G14327" s="25" t="n">
        <f aca="false">Assumptions!$N$57*MIN(G14318+G14325+G14323-G14324-G14326,MAX(0,G14372-G14314))</f>
        <v>0</v>
      </c>
      <c r="H14327" s="25" t="n">
        <f aca="false">Assumptions!$N$57*MIN(H14318+H14325+H14323-H14324-H14326,MAX(0,H14372-H14314))</f>
        <v>0</v>
      </c>
      <c r="I14327" s="25" t="n">
        <f aca="false">Assumptions!$N$57*MIN(I14318+I14325+I14323-I14324-I14326,MAX(0,I14372-I14314))</f>
        <v>0</v>
      </c>
      <c r="J14327" s="25" t="n">
        <f aca="false">Assumptions!$N$57*MIN(J14318+J14325+J14323-J14324-J14326,MAX(0,J14372-J14314))</f>
        <v>0</v>
      </c>
      <c r="K14327" s="25" t="n">
        <f aca="false">Assumptions!$N$57*MIN(K14318+K14325+K14323-K14324-K14326,MAX(0,K14372-K14314))</f>
        <v>0</v>
      </c>
    </row>
    <row r="14328" customFormat="false" ht="15" hidden="false" customHeight="false" outlineLevel="0" collapsed="false">
      <c r="A14328" s="3" t="s">
        <v>318</v>
      </c>
      <c r="G14328" s="25" t="n">
        <f aca="false">G14319*(1-G14303)*(G14318-G14324+G14323-G14326)</f>
        <v>0</v>
      </c>
      <c r="H14328" s="25" t="n">
        <f aca="false">H14319*(1-H14303)*(H14318-H14324+H14323-H14326)</f>
        <v>0</v>
      </c>
      <c r="I14328" s="25" t="n">
        <f aca="false">I14319*(1-I14303)*(I14318-I14324+I14323-I14326)</f>
        <v>6.33403256832008</v>
      </c>
      <c r="J14328" s="25" t="n">
        <f aca="false">J14319*(1-J14303)*(J14318-J14324+J14323-J14326)</f>
        <v>0</v>
      </c>
      <c r="K14328" s="25" t="n">
        <f aca="false">K14319*(1-K14303)*(K14318-K14324+K14323-K14326)</f>
        <v>0</v>
      </c>
    </row>
    <row r="14329" customFormat="false" ht="15" hidden="false" customHeight="false" outlineLevel="0" collapsed="false">
      <c r="A14329" s="2" t="s">
        <v>319</v>
      </c>
      <c r="F14329" s="28" t="n">
        <f aca="false">Assumptions!$C$57</f>
        <v>276.706</v>
      </c>
      <c r="G14329" s="16" t="n">
        <f aca="false">G14318+G14325+G14323-G14324-G14326-G14327</f>
        <v>276.706</v>
      </c>
      <c r="H14329" s="16" t="n">
        <f aca="false">H14318+H14325+H14323-H14324-H14326-H14327</f>
        <v>276.706</v>
      </c>
      <c r="I14329" s="16" t="n">
        <f aca="false">I14318+I14325+I14323-I14324-I14326-I14327</f>
        <v>6.33403256832008</v>
      </c>
      <c r="J14329" s="16" t="n">
        <f aca="false">J14318+J14325+J14323-J14324-J14326-J14327</f>
        <v>6.33403256832008</v>
      </c>
      <c r="K14329" s="16" t="n">
        <f aca="false">K14318+K14325+K14323-K14324-K14326-K14327</f>
        <v>6.33403256832008</v>
      </c>
    </row>
    <row r="14330" customFormat="false" ht="15" hidden="false" customHeight="false" outlineLevel="0" collapsed="false">
      <c r="A14330" s="23" t="s">
        <v>321</v>
      </c>
      <c r="B14330" s="24"/>
      <c r="C14330" s="24"/>
      <c r="D14330" s="24"/>
      <c r="E14330" s="24"/>
      <c r="F14330" s="24"/>
      <c r="G14330" s="24"/>
      <c r="H14330" s="24"/>
      <c r="I14330" s="24"/>
      <c r="J14330" s="24"/>
      <c r="K14330" s="24"/>
    </row>
    <row r="14331" customFormat="false" ht="15" hidden="false" customHeight="false" outlineLevel="0" collapsed="false">
      <c r="A14331" s="3" t="s">
        <v>309</v>
      </c>
      <c r="G14331" s="25" t="n">
        <f aca="false">F14342</f>
        <v>143.75</v>
      </c>
      <c r="H14331" s="25" t="n">
        <f aca="false">G14342</f>
        <v>143.75</v>
      </c>
      <c r="I14331" s="25" t="n">
        <f aca="false">H14342</f>
        <v>143.75</v>
      </c>
      <c r="J14331" s="25" t="n">
        <f aca="false">I14342</f>
        <v>143.75</v>
      </c>
      <c r="K14331" s="25" t="n">
        <f aca="false">J14342</f>
        <v>143.75</v>
      </c>
    </row>
    <row r="14332" customFormat="false" ht="15" hidden="false" customHeight="false" outlineLevel="0" collapsed="false">
      <c r="A14332" s="3" t="s">
        <v>310</v>
      </c>
      <c r="G14332" s="20" t="n">
        <f aca="false">IF(G14269=Assumptions!$K$58,1,0)</f>
        <v>0</v>
      </c>
      <c r="H14332" s="20" t="n">
        <f aca="false">IF(H14269=Assumptions!$K$58,1,0)</f>
        <v>0</v>
      </c>
      <c r="I14332" s="20" t="n">
        <f aca="false">IF(I14269=Assumptions!$K$58,1,0)</f>
        <v>1</v>
      </c>
      <c r="J14332" s="20" t="n">
        <f aca="false">IF(J14269=Assumptions!$K$58,1,0)</f>
        <v>0</v>
      </c>
      <c r="K14332" s="20" t="n">
        <f aca="false">IF(K14269=Assumptions!$K$58,1,0)</f>
        <v>0</v>
      </c>
    </row>
    <row r="14334" customFormat="false" ht="15" hidden="false" customHeight="false" outlineLevel="0" collapsed="false">
      <c r="A14334" s="3" t="s">
        <v>311</v>
      </c>
      <c r="G14334" s="31" t="n">
        <f aca="false">IF(Assumptions!$I$58=1,MAX(G14295,Assumptions!$G$58)+Assumptions!$F$58+$C$14296,Assumptions!$E$58)</f>
        <v>0.0425</v>
      </c>
      <c r="H14334" s="31" t="n">
        <f aca="false">IF(G14454=1,$C$14297,IF(Assumptions!$I$58=1,MAX(H14295,Assumptions!$G$58)+Assumptions!$F$58+$C$14296,Assumptions!$E$58))</f>
        <v>0.0425</v>
      </c>
      <c r="I14334" s="31" t="n">
        <f aca="false">IF(H14454=1,$C$14297,IF(Assumptions!$I$58=1,MAX(I14295,Assumptions!$G$58)+Assumptions!$F$58+$C$14296,Assumptions!$E$58))</f>
        <v>0.0425</v>
      </c>
      <c r="J14334" s="31" t="n">
        <f aca="false">IF(I14454=1,$C$14297,IF(Assumptions!$I$58=1,MAX(J14295,Assumptions!$G$58)+Assumptions!$F$58+$C$14296,Assumptions!$E$58))</f>
        <v>0.0425</v>
      </c>
      <c r="K14334" s="31" t="n">
        <f aca="false">IF(J14454=1,$C$14297,IF(Assumptions!$I$58=1,MAX(K14295,Assumptions!$G$58)+Assumptions!$F$58+$C$14296,Assumptions!$E$58))</f>
        <v>0.0425</v>
      </c>
    </row>
    <row r="14335" customFormat="false" ht="15" hidden="false" customHeight="false" outlineLevel="0" collapsed="false">
      <c r="A14335" s="3" t="s">
        <v>312</v>
      </c>
      <c r="G14335" s="25" t="n">
        <f aca="false">G14331*G14334</f>
        <v>6.109375</v>
      </c>
      <c r="H14335" s="25" t="n">
        <f aca="false">H14331*H14334</f>
        <v>6.109375</v>
      </c>
      <c r="I14335" s="25" t="n">
        <f aca="false">I14331*I14334</f>
        <v>6.109375</v>
      </c>
      <c r="J14335" s="25" t="n">
        <f aca="false">J14331*J14334</f>
        <v>6.109375</v>
      </c>
      <c r="K14335" s="25" t="n">
        <f aca="false">K14331*K14334</f>
        <v>6.109375</v>
      </c>
    </row>
    <row r="14336" customFormat="false" ht="15" hidden="false" customHeight="false" outlineLevel="0" collapsed="false">
      <c r="A14336" s="3" t="s">
        <v>313</v>
      </c>
      <c r="G14336" s="25" t="n">
        <f aca="false">G14331*Assumptions!$H$58</f>
        <v>0</v>
      </c>
      <c r="H14336" s="25" t="n">
        <f aca="false">H14331*Assumptions!$H$58</f>
        <v>0</v>
      </c>
      <c r="I14336" s="25" t="n">
        <f aca="false">I14331*Assumptions!$H$58</f>
        <v>0</v>
      </c>
      <c r="J14336" s="25" t="n">
        <f aca="false">J14331*Assumptions!$H$58</f>
        <v>0</v>
      </c>
      <c r="K14336" s="25" t="n">
        <f aca="false">K14331*Assumptions!$H$58</f>
        <v>0</v>
      </c>
    </row>
    <row r="14337" customFormat="false" ht="15" hidden="false" customHeight="false" outlineLevel="0" collapsed="false">
      <c r="A14337" s="3" t="s">
        <v>314</v>
      </c>
      <c r="G14337" s="25" t="n">
        <f aca="false">MIN(G14331,Assumptions!$L$58*Assumptions!$C$58)</f>
        <v>0</v>
      </c>
      <c r="H14337" s="25" t="n">
        <f aca="false">MIN(H14331,Assumptions!$L$58*Assumptions!$C$58)</f>
        <v>0</v>
      </c>
      <c r="I14337" s="25" t="n">
        <f aca="false">MIN(I14331,Assumptions!$L$58*Assumptions!$C$58)</f>
        <v>0</v>
      </c>
      <c r="J14337" s="25" t="n">
        <f aca="false">MIN(J14331,Assumptions!$L$58*Assumptions!$C$58)</f>
        <v>0</v>
      </c>
      <c r="K14337" s="25" t="n">
        <f aca="false">MIN(K14331,Assumptions!$L$58*Assumptions!$C$58)</f>
        <v>0</v>
      </c>
    </row>
    <row r="14338" customFormat="false" ht="15" hidden="false" customHeight="false" outlineLevel="0" collapsed="false">
      <c r="A14338" s="3" t="s">
        <v>315</v>
      </c>
      <c r="G14338" s="25" t="n">
        <f aca="false">IF(AND(Assumptions!$P$58=1,G14269&lt;Assumptions!$K$58),MIN(MAX(0,-G14366),MAX(0,Assumptions!$D$58-G14331)),0)</f>
        <v>0</v>
      </c>
      <c r="H14338" s="25" t="n">
        <f aca="false">IF(AND(Assumptions!$P$58=1,OR(H14269&lt;Assumptions!$K$58,G14454=1)),MIN(MAX(0,-H14366),MAX(0,Assumptions!$D$58-H14331)),0)</f>
        <v>0</v>
      </c>
      <c r="I14338" s="25" t="n">
        <f aca="false">IF(AND(Assumptions!$P$58=1,OR(I14269&lt;Assumptions!$K$58,H14454=1)),MIN(MAX(0,-I14366),MAX(0,Assumptions!$D$58-I14331)),0)</f>
        <v>0</v>
      </c>
      <c r="J14338" s="25" t="n">
        <f aca="false">IF(AND(Assumptions!$P$58=1,OR(J14269&lt;Assumptions!$K$58,I14454=1)),MIN(MAX(0,-J14366),MAX(0,Assumptions!$D$58-J14331)),0)</f>
        <v>0</v>
      </c>
      <c r="K14338" s="25" t="n">
        <f aca="false">IF(AND(Assumptions!$P$58=1,OR(K14269&lt;Assumptions!$K$58,J14454=1)),MIN(MAX(0,-K14366),MAX(0,Assumptions!$D$58-K14331)),0)</f>
        <v>0</v>
      </c>
    </row>
    <row r="14339" customFormat="false" ht="15" hidden="false" customHeight="false" outlineLevel="0" collapsed="false">
      <c r="A14339" s="3" t="s">
        <v>316</v>
      </c>
      <c r="G14339" s="25" t="n">
        <f aca="false">G14332*MIN(G14331-G14337+G14336,MAX(0,G14368-Assumptions!$C$12*G14303-G14313-G14326))</f>
        <v>0</v>
      </c>
      <c r="H14339" s="25" t="n">
        <f aca="false">H14332*MIN(H14331-H14337+H14336,MAX(0,H14368-Assumptions!$C$12*H14303-H14313-H14326))</f>
        <v>0</v>
      </c>
      <c r="I14339" s="25" t="n">
        <f aca="false">I14332*MIN(I14331-I14337+I14336,MAX(0,I14368-Assumptions!$C$12*I14303-I14313-I14326))</f>
        <v>0</v>
      </c>
      <c r="J14339" s="25" t="n">
        <f aca="false">J14332*MIN(J14331-J14337+J14336,MAX(0,J14368-Assumptions!$C$12*J14303-J14313-J14326))</f>
        <v>0</v>
      </c>
      <c r="K14339" s="25" t="n">
        <f aca="false">K14332*MIN(K14331-K14337+K14336,MAX(0,K14368-Assumptions!$C$12*K14303-K14313-K14326))</f>
        <v>0</v>
      </c>
    </row>
    <row r="14340" customFormat="false" ht="15" hidden="false" customHeight="false" outlineLevel="0" collapsed="false">
      <c r="A14340" s="3" t="s">
        <v>317</v>
      </c>
      <c r="G14340" s="25" t="n">
        <f aca="false">Assumptions!$N$58*MIN(G14331+G14338+G14336-G14337-G14339,MAX(0,G14372-G14314-G14327))</f>
        <v>0</v>
      </c>
      <c r="H14340" s="25" t="n">
        <f aca="false">Assumptions!$N$58*MIN(H14331+H14338+H14336-H14337-H14339,MAX(0,H14372-H14314-H14327))</f>
        <v>0</v>
      </c>
      <c r="I14340" s="25" t="n">
        <f aca="false">Assumptions!$N$58*MIN(I14331+I14338+I14336-I14337-I14339,MAX(0,I14372-I14314-I14327))</f>
        <v>0</v>
      </c>
      <c r="J14340" s="25" t="n">
        <f aca="false">Assumptions!$N$58*MIN(J14331+J14338+J14336-J14337-J14339,MAX(0,J14372-J14314-J14327))</f>
        <v>0</v>
      </c>
      <c r="K14340" s="25" t="n">
        <f aca="false">Assumptions!$N$58*MIN(K14331+K14338+K14336-K14337-K14339,MAX(0,K14372-K14314-K14327))</f>
        <v>0</v>
      </c>
    </row>
    <row r="14341" customFormat="false" ht="15" hidden="false" customHeight="false" outlineLevel="0" collapsed="false">
      <c r="A14341" s="3" t="s">
        <v>318</v>
      </c>
      <c r="G14341" s="25" t="n">
        <f aca="false">G14332*(1-G14303)*(G14331-G14337+G14336-G14339)</f>
        <v>0</v>
      </c>
      <c r="H14341" s="25" t="n">
        <f aca="false">H14332*(1-H14303)*(H14331-H14337+H14336-H14339)</f>
        <v>0</v>
      </c>
      <c r="I14341" s="25" t="n">
        <f aca="false">I14332*(1-I14303)*(I14331-I14337+I14336-I14339)</f>
        <v>143.75</v>
      </c>
      <c r="J14341" s="25" t="n">
        <f aca="false">J14332*(1-J14303)*(J14331-J14337+J14336-J14339)</f>
        <v>0</v>
      </c>
      <c r="K14341" s="25" t="n">
        <f aca="false">K14332*(1-K14303)*(K14331-K14337+K14336-K14339)</f>
        <v>0</v>
      </c>
    </row>
    <row r="14342" customFormat="false" ht="15" hidden="false" customHeight="false" outlineLevel="0" collapsed="false">
      <c r="A14342" s="2" t="s">
        <v>319</v>
      </c>
      <c r="F14342" s="28" t="n">
        <f aca="false">Assumptions!$C$58</f>
        <v>143.75</v>
      </c>
      <c r="G14342" s="16" t="n">
        <f aca="false">G14331+G14338+G14336-G14337-G14339-G14340</f>
        <v>143.75</v>
      </c>
      <c r="H14342" s="16" t="n">
        <f aca="false">H14331+H14338+H14336-H14337-H14339-H14340</f>
        <v>143.75</v>
      </c>
      <c r="I14342" s="16" t="n">
        <f aca="false">I14331+I14338+I14336-I14337-I14339-I14340</f>
        <v>143.75</v>
      </c>
      <c r="J14342" s="16" t="n">
        <f aca="false">J14331+J14338+J14336-J14337-J14339-J14340</f>
        <v>143.75</v>
      </c>
      <c r="K14342" s="16" t="n">
        <f aca="false">K14331+K14338+K14336-K14337-K14339-K14340</f>
        <v>143.75</v>
      </c>
    </row>
    <row r="14343" customFormat="false" ht="15" hidden="false" customHeight="false" outlineLevel="0" collapsed="false">
      <c r="A14343" s="23" t="s">
        <v>322</v>
      </c>
      <c r="B14343" s="24"/>
      <c r="C14343" s="24"/>
      <c r="D14343" s="24"/>
      <c r="E14343" s="24"/>
      <c r="F14343" s="24"/>
      <c r="G14343" s="24"/>
      <c r="H14343" s="24"/>
      <c r="I14343" s="24"/>
      <c r="J14343" s="24"/>
      <c r="K14343" s="24"/>
    </row>
    <row r="14344" customFormat="false" ht="15" hidden="false" customHeight="false" outlineLevel="0" collapsed="false">
      <c r="A14344" s="2" t="s">
        <v>323</v>
      </c>
      <c r="F14344" s="16" t="n">
        <f aca="false">F14316+F14329+F14342</f>
        <v>1735.554</v>
      </c>
      <c r="G14344" s="16" t="n">
        <f aca="false">G14316+G14329+G14342</f>
        <v>1735.554</v>
      </c>
      <c r="H14344" s="16" t="n">
        <f aca="false">H14316+H14329+H14342</f>
        <v>1735.554</v>
      </c>
      <c r="I14344" s="16" t="n">
        <f aca="false">I14316+I14329+I14342</f>
        <v>1465.18203256832</v>
      </c>
      <c r="J14344" s="16" t="n">
        <f aca="false">J14316+J14329+J14342</f>
        <v>1465.18203256832</v>
      </c>
      <c r="K14344" s="16" t="n">
        <f aca="false">K14316+K14329+K14342</f>
        <v>1465.18203256832</v>
      </c>
    </row>
    <row r="14345" customFormat="false" ht="15" hidden="false" customHeight="false" outlineLevel="0" collapsed="false">
      <c r="A14345" s="3" t="s">
        <v>324</v>
      </c>
      <c r="G14345" s="25" t="n">
        <f aca="false">G14306*Assumptions!$C$56+G14319*Assumptions!$C$57+G14332*Assumptions!$C$58</f>
        <v>0</v>
      </c>
      <c r="H14345" s="25" t="n">
        <f aca="false">H14306*Assumptions!$C$56+H14319*Assumptions!$C$57+H14332*Assumptions!$C$58</f>
        <v>0</v>
      </c>
      <c r="I14345" s="25" t="n">
        <f aca="false">I14306*Assumptions!$C$56+I14319*Assumptions!$C$57+I14332*Assumptions!$C$58</f>
        <v>420.456</v>
      </c>
      <c r="J14345" s="25" t="n">
        <f aca="false">J14306*Assumptions!$C$56+J14319*Assumptions!$C$57+J14332*Assumptions!$C$58</f>
        <v>0</v>
      </c>
      <c r="K14345" s="25" t="n">
        <f aca="false">K14306*Assumptions!$C$56+K14319*Assumptions!$C$57+K14332*Assumptions!$C$58</f>
        <v>0</v>
      </c>
    </row>
    <row r="14346" customFormat="false" ht="15" hidden="false" customHeight="false" outlineLevel="0" collapsed="false">
      <c r="A14346" s="23" t="s">
        <v>325</v>
      </c>
      <c r="B14346" s="24"/>
      <c r="C14346" s="24"/>
      <c r="D14346" s="24"/>
      <c r="E14346" s="24"/>
      <c r="F14346" s="24"/>
      <c r="G14346" s="24"/>
      <c r="H14346" s="24"/>
      <c r="I14346" s="24"/>
      <c r="J14346" s="24"/>
      <c r="K14346" s="24"/>
    </row>
    <row r="14347" customFormat="false" ht="15" hidden="false" customHeight="false" outlineLevel="0" collapsed="false">
      <c r="A14347" s="3" t="s">
        <v>326</v>
      </c>
      <c r="C14347" s="25" t="n">
        <f aca="false">SUMPRODUCT($G$14306:$K$14306,$G$14305:$K$14305-$G$14311:$K$14311+$G$14310:$K$14310)</f>
        <v>0</v>
      </c>
    </row>
    <row r="14348" customFormat="false" ht="15" hidden="false" customHeight="false" outlineLevel="0" collapsed="false">
      <c r="A14348" s="3" t="s">
        <v>327</v>
      </c>
      <c r="C14348" s="25" t="n">
        <f aca="false">SUMPRODUCT($G$14306:$K$14306,$G$14313:$K$14313)</f>
        <v>0</v>
      </c>
    </row>
    <row r="14349" customFormat="false" ht="15" hidden="false" customHeight="false" outlineLevel="0" collapsed="false">
      <c r="A14349" s="3" t="s">
        <v>328</v>
      </c>
      <c r="C14349" s="3" t="str">
        <f aca="false">IF(SUM($G$14306:$K$14306)=0,"n/a (beyond horizon)",IF(SUMPRODUCT($G$14306:$K$14306,$G$14303:$K$14303)&gt;0,"REFINANCING PASS","REFINANCING FAILURE"))</f>
        <v>n/a (beyond horizon)</v>
      </c>
    </row>
    <row r="14350" customFormat="false" ht="15" hidden="false" customHeight="false" outlineLevel="0" collapsed="false">
      <c r="A14350" s="3" t="s">
        <v>329</v>
      </c>
      <c r="C14350" s="3" t="str">
        <f aca="false">IF(SUM($G$14306:$K$14306)=0,"n/a",IF(C14348&gt;=C14347-0.001,"Repaid from cash",IF(SUMPRODUCT($G$14306:$K$14306,$G$14303:$K$14303)&gt;0,IF(C14348&gt;0,"Partly repaid; remainder refinanced","Refinanced"),IF(SUM($G$14315:$K$14315)&gt;0.001,IF(C14348&gt;0,"Partial repayment; PAYMENT DEFAULT","PAYMENT DEFAULT"),"Repaid from cash"))))</f>
        <v>n/a</v>
      </c>
    </row>
    <row r="14351" customFormat="false" ht="15" hidden="false" customHeight="false" outlineLevel="0" collapsed="false">
      <c r="A14351" s="3" t="s">
        <v>330</v>
      </c>
      <c r="C14351" s="25" t="n">
        <f aca="false">SUMPRODUCT($G$14319:$K$14319,$G$14318:$K$14318-$G$14324:$K$14324+$G$14323:$K$14323)</f>
        <v>276.706</v>
      </c>
    </row>
    <row r="14352" customFormat="false" ht="15" hidden="false" customHeight="false" outlineLevel="0" collapsed="false">
      <c r="A14352" s="3" t="s">
        <v>331</v>
      </c>
      <c r="C14352" s="25" t="n">
        <f aca="false">SUMPRODUCT($G$14319:$K$14319,$G$14326:$K$14326)</f>
        <v>270.37196743168</v>
      </c>
    </row>
    <row r="14353" customFormat="false" ht="15" hidden="false" customHeight="false" outlineLevel="0" collapsed="false">
      <c r="A14353" s="3" t="s">
        <v>332</v>
      </c>
      <c r="C14353" s="3" t="str">
        <f aca="false">IF(SUM($G$14319:$K$14319)=0,"n/a (beyond horizon)",IF(SUMPRODUCT($G$14319:$K$14319,$G$14303:$K$14303)&gt;0,"REFINANCING PASS","REFINANCING FAILURE"))</f>
        <v>REFINANCING FAILURE</v>
      </c>
    </row>
    <row r="14354" customFormat="false" ht="15" hidden="false" customHeight="false" outlineLevel="0" collapsed="false">
      <c r="A14354" s="3" t="s">
        <v>333</v>
      </c>
      <c r="C14354" s="3" t="str">
        <f aca="false">IF(SUM($G$14319:$K$14319)=0,"n/a",IF(C14352&gt;=C14351-0.001,"Repaid from cash",IF(SUMPRODUCT($G$14319:$K$14319,$G$14303:$K$14303)&gt;0,IF(C14352&gt;0,"Partly repaid; remainder refinanced","Refinanced"),IF(SUM($G$14328:$K$14328)&gt;0.001,IF(C14352&gt;0,"Partial repayment; PAYMENT DEFAULT","PAYMENT DEFAULT"),"Repaid from cash"))))</f>
        <v>Partial repayment; PAYMENT DEFAULT</v>
      </c>
    </row>
    <row r="14355" customFormat="false" ht="15" hidden="false" customHeight="false" outlineLevel="0" collapsed="false">
      <c r="A14355" s="3" t="s">
        <v>334</v>
      </c>
      <c r="C14355" s="25" t="n">
        <f aca="false">SUMPRODUCT($G$14332:$K$14332,$G$14331:$K$14331-$G$14337:$K$14337+$G$14336:$K$14336)</f>
        <v>143.75</v>
      </c>
    </row>
    <row r="14356" customFormat="false" ht="15" hidden="false" customHeight="false" outlineLevel="0" collapsed="false">
      <c r="A14356" s="3" t="s">
        <v>335</v>
      </c>
      <c r="C14356" s="25" t="n">
        <f aca="false">SUMPRODUCT($G$14332:$K$14332,$G$14339:$K$14339)</f>
        <v>0</v>
      </c>
    </row>
    <row r="14357" customFormat="false" ht="15" hidden="false" customHeight="false" outlineLevel="0" collapsed="false">
      <c r="A14357" s="3" t="s">
        <v>336</v>
      </c>
      <c r="C14357" s="3" t="str">
        <f aca="false">IF(SUM($G$14332:$K$14332)=0,"n/a (beyond horizon)",IF(SUMPRODUCT($G$14332:$K$14332,$G$14303:$K$14303)&gt;0,"REFINANCING PASS","REFINANCING FAILURE"))</f>
        <v>REFINANCING FAILURE</v>
      </c>
    </row>
    <row r="14358" customFormat="false" ht="15" hidden="false" customHeight="false" outlineLevel="0" collapsed="false">
      <c r="A14358" s="3" t="s">
        <v>337</v>
      </c>
      <c r="C14358" s="3" t="str">
        <f aca="false">IF(SUM($G$14332:$K$14332)=0,"n/a",IF(C14356&gt;=C14355-0.001,"Repaid from cash",IF(SUMPRODUCT($G$14332:$K$14332,$G$14303:$K$14303)&gt;0,IF(C14356&gt;0,"Partly repaid; remainder refinanced","Refinanced"),IF(SUM($G$14341:$K$14341)&gt;0.001,IF(C14356&gt;0,"Partial repayment; PAYMENT DEFAULT","PAYMENT DEFAULT"),"Repaid from cash"))))</f>
        <v>PAYMENT DEFAULT</v>
      </c>
    </row>
    <row r="14359" customFormat="false" ht="15" hidden="false" customHeight="false" outlineLevel="0" collapsed="false">
      <c r="A14359" s="3" t="s">
        <v>338</v>
      </c>
      <c r="C14359" s="20" t="n">
        <f aca="false">IF(C14349="REFINANCING FAILURE",1,0)+IF(C14353="REFINANCING FAILURE",1,0)+IF(C14357="REFINANCING FAILURE",1,0)</f>
        <v>2</v>
      </c>
    </row>
    <row r="14361" customFormat="false" ht="15" hidden="false" customHeight="false" outlineLevel="0" collapsed="false">
      <c r="A14361" s="23" t="s">
        <v>340</v>
      </c>
      <c r="B14361" s="24"/>
      <c r="C14361" s="24"/>
      <c r="D14361" s="24"/>
      <c r="E14361" s="24"/>
      <c r="F14361" s="24"/>
      <c r="G14361" s="24"/>
      <c r="H14361" s="24"/>
      <c r="I14361" s="24"/>
      <c r="J14361" s="24"/>
      <c r="K14361" s="24"/>
    </row>
    <row r="14362" customFormat="false" ht="15" hidden="false" customHeight="false" outlineLevel="0" collapsed="false">
      <c r="A14362" s="3" t="s">
        <v>305</v>
      </c>
      <c r="G14362" s="25" t="n">
        <f aca="false">F14374</f>
        <v>463.996</v>
      </c>
      <c r="H14362" s="25" t="n">
        <f aca="false">G14374</f>
        <v>431.67030664</v>
      </c>
      <c r="I14362" s="25" t="n">
        <f aca="false">H14374</f>
        <v>359.0106596512</v>
      </c>
      <c r="J14362" s="25" t="n">
        <f aca="false">I14374</f>
        <v>0</v>
      </c>
      <c r="K14362" s="25" t="n">
        <f aca="false">J14374</f>
        <v>-82.533161826112</v>
      </c>
    </row>
    <row r="14363" customFormat="false" ht="15" hidden="false" customHeight="false" outlineLevel="0" collapsed="false">
      <c r="A14363" s="3" t="s">
        <v>341</v>
      </c>
      <c r="G14363" s="25" t="n">
        <f aca="false">G14292</f>
        <v>-32.32569336</v>
      </c>
      <c r="H14363" s="25" t="n">
        <f aca="false">H14292</f>
        <v>-72.6596469888</v>
      </c>
      <c r="I14363" s="25" t="n">
        <f aca="false">I14292</f>
        <v>-88.63869221952</v>
      </c>
      <c r="J14363" s="25" t="n">
        <f aca="false">J14292</f>
        <v>-82.533161826112</v>
      </c>
      <c r="K14363" s="25" t="n">
        <f aca="false">K14292</f>
        <v>-86.2490037995945</v>
      </c>
    </row>
    <row r="14364" customFormat="false" ht="15" hidden="false" customHeight="false" outlineLevel="0" collapsed="false">
      <c r="A14364" s="3" t="s">
        <v>342</v>
      </c>
      <c r="G14364" s="25" t="n">
        <f aca="false">CHOOSE($C$14262,Assumptions!$G$74,Assumptions!$G$93,Assumptions!$G$112)</f>
        <v>0</v>
      </c>
      <c r="H14364" s="25" t="n">
        <f aca="false">CHOOSE($C$14262,Assumptions!$H$74,Assumptions!$H$93,Assumptions!$H$112)</f>
        <v>0</v>
      </c>
      <c r="I14364" s="25" t="n">
        <f aca="false">CHOOSE($C$14262,Assumptions!$I$74,Assumptions!$I$93,Assumptions!$I$112)</f>
        <v>0</v>
      </c>
      <c r="J14364" s="25" t="n">
        <f aca="false">CHOOSE($C$14262,Assumptions!$J$74,Assumptions!$J$93,Assumptions!$J$112)</f>
        <v>0</v>
      </c>
      <c r="K14364" s="25" t="n">
        <f aca="false">CHOOSE($C$14262,Assumptions!$K$74,Assumptions!$K$93,Assumptions!$K$112)</f>
        <v>0</v>
      </c>
    </row>
    <row r="14365" customFormat="false" ht="15" hidden="false" customHeight="false" outlineLevel="0" collapsed="false">
      <c r="A14365" s="3" t="s">
        <v>343</v>
      </c>
      <c r="G14365" s="25" t="n">
        <f aca="false">G14311+G14324+G14337</f>
        <v>0</v>
      </c>
      <c r="H14365" s="25" t="n">
        <f aca="false">H14311+H14324+H14337</f>
        <v>0</v>
      </c>
      <c r="I14365" s="25" t="n">
        <f aca="false">I14311+I14324+I14337</f>
        <v>0</v>
      </c>
      <c r="J14365" s="25" t="n">
        <f aca="false">J14311+J14324+J14337</f>
        <v>0</v>
      </c>
      <c r="K14365" s="25" t="n">
        <f aca="false">K14311+K14324+K14337</f>
        <v>0</v>
      </c>
    </row>
    <row r="14366" customFormat="false" ht="15" hidden="false" customHeight="false" outlineLevel="0" collapsed="false">
      <c r="A14366" s="2" t="s">
        <v>344</v>
      </c>
      <c r="G14366" s="16" t="n">
        <f aca="false">G14362+G14363+G14364-G14365</f>
        <v>431.67030664</v>
      </c>
      <c r="H14366" s="16" t="n">
        <f aca="false">H14362+H14363+H14364-H14365</f>
        <v>359.0106596512</v>
      </c>
      <c r="I14366" s="16" t="n">
        <f aca="false">I14362+I14363+I14364-I14365</f>
        <v>270.37196743168</v>
      </c>
      <c r="J14366" s="16" t="n">
        <f aca="false">J14362+J14363+J14364-J14365</f>
        <v>-82.533161826112</v>
      </c>
      <c r="K14366" s="16" t="n">
        <f aca="false">K14362+K14363+K14364-K14365</f>
        <v>-168.782165625707</v>
      </c>
    </row>
    <row r="14367" customFormat="false" ht="15" hidden="false" customHeight="false" outlineLevel="0" collapsed="false">
      <c r="A14367" s="3" t="s">
        <v>345</v>
      </c>
      <c r="G14367" s="25" t="n">
        <f aca="false">G14312+G14325+G14338</f>
        <v>0</v>
      </c>
      <c r="H14367" s="25" t="n">
        <f aca="false">H14312+H14325+H14338</f>
        <v>0</v>
      </c>
      <c r="I14367" s="25" t="n">
        <f aca="false">I14312+I14325+I14338</f>
        <v>0</v>
      </c>
      <c r="J14367" s="25" t="n">
        <f aca="false">J14312+J14325+J14338</f>
        <v>0</v>
      </c>
      <c r="K14367" s="25" t="n">
        <f aca="false">K14312+K14325+K14338</f>
        <v>0</v>
      </c>
    </row>
    <row r="14368" customFormat="false" ht="15" hidden="false" customHeight="false" outlineLevel="0" collapsed="false">
      <c r="A14368" s="2" t="s">
        <v>346</v>
      </c>
      <c r="G14368" s="16" t="n">
        <f aca="false">G14366+G14367</f>
        <v>431.67030664</v>
      </c>
      <c r="H14368" s="16" t="n">
        <f aca="false">H14366+H14367</f>
        <v>359.0106596512</v>
      </c>
      <c r="I14368" s="16" t="n">
        <f aca="false">I14366+I14367</f>
        <v>270.37196743168</v>
      </c>
      <c r="J14368" s="16" t="n">
        <f aca="false">J14366+J14367</f>
        <v>-82.533161826112</v>
      </c>
      <c r="K14368" s="16" t="n">
        <f aca="false">K14366+K14367</f>
        <v>-168.782165625707</v>
      </c>
    </row>
    <row r="14369" customFormat="false" ht="15" hidden="false" customHeight="false" outlineLevel="0" collapsed="false">
      <c r="A14369" s="3" t="s">
        <v>347</v>
      </c>
      <c r="G14369" s="25" t="n">
        <f aca="false">G14313+G14326+G14339</f>
        <v>0</v>
      </c>
      <c r="H14369" s="25" t="n">
        <f aca="false">H14313+H14326+H14339</f>
        <v>0</v>
      </c>
      <c r="I14369" s="25" t="n">
        <f aca="false">I14313+I14326+I14339</f>
        <v>270.37196743168</v>
      </c>
      <c r="J14369" s="25" t="n">
        <f aca="false">J14313+J14326+J14339</f>
        <v>0</v>
      </c>
      <c r="K14369" s="25" t="n">
        <f aca="false">K14313+K14326+K14339</f>
        <v>0</v>
      </c>
    </row>
    <row r="14370" customFormat="false" ht="15" hidden="false" customHeight="false" outlineLevel="0" collapsed="false">
      <c r="A14370" s="2" t="s">
        <v>348</v>
      </c>
      <c r="G14370" s="16" t="n">
        <f aca="false">G14368-G14369</f>
        <v>431.67030664</v>
      </c>
      <c r="H14370" s="16" t="n">
        <f aca="false">H14368-H14369</f>
        <v>359.0106596512</v>
      </c>
      <c r="I14370" s="16" t="n">
        <f aca="false">I14368-I14369</f>
        <v>0</v>
      </c>
      <c r="J14370" s="16" t="n">
        <f aca="false">J14368-J14369</f>
        <v>-82.533161826112</v>
      </c>
      <c r="K14370" s="16" t="n">
        <f aca="false">K14368-K14369</f>
        <v>-168.782165625707</v>
      </c>
    </row>
    <row r="14371" customFormat="false" ht="15" hidden="false" customHeight="false" outlineLevel="0" collapsed="false">
      <c r="A14371" s="3" t="s">
        <v>349</v>
      </c>
      <c r="G14371" s="25" t="n">
        <f aca="false">MAX(0,-G14370)</f>
        <v>0</v>
      </c>
      <c r="H14371" s="25" t="n">
        <f aca="false">MAX(0,-H14370)</f>
        <v>0</v>
      </c>
      <c r="I14371" s="25" t="n">
        <f aca="false">MAX(0,-I14370)</f>
        <v>-0</v>
      </c>
      <c r="J14371" s="25" t="n">
        <f aca="false">MAX(0,-J14370)</f>
        <v>82.533161826112</v>
      </c>
      <c r="K14371" s="25" t="n">
        <f aca="false">MAX(0,-K14370)</f>
        <v>168.782165625707</v>
      </c>
    </row>
    <row r="14372" customFormat="false" ht="15" hidden="false" customHeight="false" outlineLevel="0" collapsed="false">
      <c r="A14372" s="3" t="s">
        <v>350</v>
      </c>
      <c r="G14372" s="25" t="n">
        <f aca="false">MAX(0,G14370-Assumptions!$C$12)*Assumptions!$C$13</f>
        <v>0</v>
      </c>
      <c r="H14372" s="25" t="n">
        <f aca="false">MAX(0,H14370-Assumptions!$C$12)*Assumptions!$C$13</f>
        <v>0</v>
      </c>
      <c r="I14372" s="25" t="n">
        <f aca="false">MAX(0,I14370-Assumptions!$C$12)*Assumptions!$C$13</f>
        <v>0</v>
      </c>
      <c r="J14372" s="25" t="n">
        <f aca="false">MAX(0,J14370-Assumptions!$C$12)*Assumptions!$C$13</f>
        <v>0</v>
      </c>
      <c r="K14372" s="25" t="n">
        <f aca="false">MAX(0,K14370-Assumptions!$C$12)*Assumptions!$C$13</f>
        <v>0</v>
      </c>
    </row>
    <row r="14373" customFormat="false" ht="15" hidden="false" customHeight="false" outlineLevel="0" collapsed="false">
      <c r="A14373" s="3" t="s">
        <v>351</v>
      </c>
      <c r="G14373" s="25" t="n">
        <f aca="false">G14314+G14327+G14340</f>
        <v>0</v>
      </c>
      <c r="H14373" s="25" t="n">
        <f aca="false">H14314+H14327+H14340</f>
        <v>0</v>
      </c>
      <c r="I14373" s="25" t="n">
        <f aca="false">I14314+I14327+I14340</f>
        <v>0</v>
      </c>
      <c r="J14373" s="25" t="n">
        <f aca="false">J14314+J14327+J14340</f>
        <v>0</v>
      </c>
      <c r="K14373" s="25" t="n">
        <f aca="false">K14314+K14327+K14340</f>
        <v>0</v>
      </c>
    </row>
    <row r="14374" customFormat="false" ht="15" hidden="false" customHeight="false" outlineLevel="0" collapsed="false">
      <c r="A14374" s="2" t="s">
        <v>352</v>
      </c>
      <c r="F14374" s="28" t="n">
        <f aca="false">Assumptions!$C$11</f>
        <v>463.996</v>
      </c>
      <c r="G14374" s="16" t="n">
        <f aca="false">G14370-G14373</f>
        <v>431.67030664</v>
      </c>
      <c r="H14374" s="16" t="n">
        <f aca="false">H14370-H14373</f>
        <v>359.0106596512</v>
      </c>
      <c r="I14374" s="16" t="n">
        <f aca="false">I14370-I14373</f>
        <v>0</v>
      </c>
      <c r="J14374" s="16" t="n">
        <f aca="false">J14370-J14373</f>
        <v>-82.533161826112</v>
      </c>
      <c r="K14374" s="16" t="n">
        <f aca="false">K14370-K14373</f>
        <v>-168.782165625707</v>
      </c>
    </row>
    <row r="14375" customFormat="false" ht="15" hidden="false" customHeight="false" outlineLevel="0" collapsed="false">
      <c r="A14375" s="3" t="s">
        <v>353</v>
      </c>
      <c r="G14375" s="25" t="n">
        <f aca="false">G14315+G14328+G14341</f>
        <v>0</v>
      </c>
      <c r="H14375" s="25" t="n">
        <f aca="false">H14315+H14328+H14341</f>
        <v>0</v>
      </c>
      <c r="I14375" s="25" t="n">
        <f aca="false">I14315+I14328+I14341</f>
        <v>150.08403256832</v>
      </c>
      <c r="J14375" s="25" t="n">
        <f aca="false">J14315+J14328+J14341</f>
        <v>0</v>
      </c>
      <c r="K14375" s="25" t="n">
        <f aca="false">K14315+K14328+K14341</f>
        <v>0</v>
      </c>
    </row>
    <row r="14376" customFormat="false" ht="15" hidden="false" customHeight="false" outlineLevel="0" collapsed="false">
      <c r="A14376" s="3" t="s">
        <v>354</v>
      </c>
      <c r="G14376" s="20" t="n">
        <f aca="false">IF(OR(G14371&gt;0.001,G14375&gt;0.001),1,0)</f>
        <v>0</v>
      </c>
      <c r="H14376" s="20" t="n">
        <f aca="false">IF(OR(H14371&gt;0.001,H14375&gt;0.001),1,0)</f>
        <v>0</v>
      </c>
      <c r="I14376" s="20" t="n">
        <f aca="false">IF(OR(I14371&gt;0.001,I14375&gt;0.001),1,0)</f>
        <v>1</v>
      </c>
      <c r="J14376" s="20" t="n">
        <f aca="false">IF(OR(J14371&gt;0.001,J14375&gt;0.001),1,0)</f>
        <v>1</v>
      </c>
      <c r="K14376" s="20" t="n">
        <f aca="false">IF(OR(K14371&gt;0.001,K14375&gt;0.001),1,0)</f>
        <v>1</v>
      </c>
    </row>
    <row r="14377" customFormat="false" ht="15" hidden="false" customHeight="false" outlineLevel="0" collapsed="false">
      <c r="A14377" s="3" t="s">
        <v>355</v>
      </c>
      <c r="G14377" s="20" t="n">
        <f aca="false">IF(G14376=1,1,0)</f>
        <v>0</v>
      </c>
      <c r="H14377" s="20" t="n">
        <f aca="false">IF(AND(H14376=1,SUM($G$14376:G14376)=0),1,0)</f>
        <v>0</v>
      </c>
      <c r="I14377" s="20" t="n">
        <f aca="false">IF(AND(I14376=1,SUM($G$14376:H14376)=0),1,0)</f>
        <v>1</v>
      </c>
      <c r="J14377" s="20" t="n">
        <f aca="false">IF(AND(J14376=1,SUM($G$14376:I14376)=0),1,0)</f>
        <v>0</v>
      </c>
      <c r="K14377" s="20" t="n">
        <f aca="false">IF(AND(K14376=1,SUM($G$14376:J14376)=0),1,0)</f>
        <v>0</v>
      </c>
    </row>
    <row r="14378" customFormat="false" ht="15" hidden="false" customHeight="false" outlineLevel="0" collapsed="false">
      <c r="A14378" s="3" t="s">
        <v>356</v>
      </c>
      <c r="G14378" s="25" t="n">
        <f aca="false">(G14344-F14344)-(G14367+G14284-G14365-G14369-G14373)</f>
        <v>0</v>
      </c>
      <c r="H14378" s="25" t="n">
        <f aca="false">(H14344-G14344)-(H14367+H14284-H14365-H14369-H14373)</f>
        <v>0</v>
      </c>
      <c r="I14378" s="25" t="n">
        <f aca="false">(I14344-H14344)-(I14367+I14284-I14365-I14369-I14373)</f>
        <v>0</v>
      </c>
      <c r="J14378" s="25" t="n">
        <f aca="false">(J14344-I14344)-(J14367+J14284-J14365-J14369-J14373)</f>
        <v>0</v>
      </c>
      <c r="K14378" s="25" t="n">
        <f aca="false">(K14344-J14344)-(K14367+K14284-K14365-K14369-K14373)</f>
        <v>0</v>
      </c>
    </row>
    <row r="14380" customFormat="false" ht="15" hidden="false" customHeight="false" outlineLevel="0" collapsed="false">
      <c r="A14380" s="23" t="s">
        <v>358</v>
      </c>
      <c r="B14380" s="24"/>
      <c r="C14380" s="24"/>
      <c r="D14380" s="24"/>
      <c r="E14380" s="24"/>
      <c r="F14380" s="24"/>
      <c r="G14380" s="24"/>
      <c r="H14380" s="24"/>
      <c r="I14380" s="24"/>
      <c r="J14380" s="24"/>
      <c r="K14380" s="24"/>
    </row>
    <row r="14381" customFormat="false" ht="15" hidden="false" customHeight="false" outlineLevel="0" collapsed="false">
      <c r="A14381" s="3" t="s">
        <v>359</v>
      </c>
      <c r="G14381" s="25" t="n">
        <f aca="false">G14344</f>
        <v>1735.554</v>
      </c>
      <c r="H14381" s="25" t="n">
        <f aca="false">H14344</f>
        <v>1735.554</v>
      </c>
      <c r="I14381" s="25" t="n">
        <f aca="false">I14344</f>
        <v>1465.18203256832</v>
      </c>
      <c r="J14381" s="25" t="n">
        <f aca="false">J14344</f>
        <v>1465.18203256832</v>
      </c>
      <c r="K14381" s="25" t="n">
        <f aca="false">K14344</f>
        <v>1465.18203256832</v>
      </c>
    </row>
    <row r="14382" customFormat="false" ht="15" hidden="false" customHeight="false" outlineLevel="0" collapsed="false">
      <c r="A14382" s="3" t="s">
        <v>360</v>
      </c>
      <c r="G14382" s="25" t="n">
        <f aca="false">Assumptions!$O$56*G14316+Assumptions!$O$57*G14329+Assumptions!$O$58*G14342</f>
        <v>1315.098</v>
      </c>
      <c r="H14382" s="25" t="n">
        <f aca="false">Assumptions!$O$56*H14316+Assumptions!$O$57*H14329+Assumptions!$O$58*H14342</f>
        <v>1315.098</v>
      </c>
      <c r="I14382" s="25" t="n">
        <f aca="false">Assumptions!$O$56*I14316+Assumptions!$O$57*I14329+Assumptions!$O$58*I14342</f>
        <v>1315.098</v>
      </c>
      <c r="J14382" s="25" t="n">
        <f aca="false">Assumptions!$O$56*J14316+Assumptions!$O$57*J14329+Assumptions!$O$58*J14342</f>
        <v>1315.098</v>
      </c>
      <c r="K14382" s="25" t="n">
        <f aca="false">Assumptions!$O$56*K14316+Assumptions!$O$57*K14329+Assumptions!$O$58*K14342</f>
        <v>1315.098</v>
      </c>
    </row>
    <row r="14383" customFormat="false" ht="15" hidden="false" customHeight="false" outlineLevel="0" collapsed="false">
      <c r="A14383" s="3" t="s">
        <v>361</v>
      </c>
      <c r="G14383" s="25" t="n">
        <f aca="false">G14381-G14374</f>
        <v>1303.88369336</v>
      </c>
      <c r="H14383" s="25" t="n">
        <f aca="false">H14381-H14374</f>
        <v>1376.5433403488</v>
      </c>
      <c r="I14383" s="25" t="n">
        <f aca="false">I14381-I14374</f>
        <v>1465.18203256832</v>
      </c>
      <c r="J14383" s="25" t="n">
        <f aca="false">J14381-J14374</f>
        <v>1547.71519439443</v>
      </c>
      <c r="K14383" s="25" t="n">
        <f aca="false">K14381-K14374</f>
        <v>1633.96419819403</v>
      </c>
    </row>
    <row r="14384" customFormat="false" ht="15" hidden="false" customHeight="false" outlineLevel="0" collapsed="false">
      <c r="A14384" s="3" t="s">
        <v>362</v>
      </c>
      <c r="G14384" s="32" t="n">
        <f aca="false">IF(G14279&gt;0,G14381/G14279,0)</f>
        <v>9.98286782658702</v>
      </c>
      <c r="H14384" s="32" t="n">
        <f aca="false">IF(H14279&gt;0,H14381/H14279,0)</f>
        <v>13.6130015817096</v>
      </c>
      <c r="I14384" s="32" t="n">
        <f aca="false">IF(I14279&gt;0,I14381/I14279,0)</f>
        <v>13.6813219341771</v>
      </c>
      <c r="J14384" s="32" t="n">
        <f aca="false">IF(J14279&gt;0,J14381/J14279,0)</f>
        <v>14.8710021023664</v>
      </c>
      <c r="K14384" s="32" t="n">
        <f aca="false">IF(K14279&gt;0,K14381/K14279,0)</f>
        <v>15.8202150025174</v>
      </c>
    </row>
    <row r="14385" customFormat="false" ht="15" hidden="false" customHeight="false" outlineLevel="0" collapsed="false">
      <c r="A14385" s="3" t="s">
        <v>363</v>
      </c>
      <c r="G14385" s="32" t="n">
        <f aca="false">IF(G14279&gt;0,G14383/G14279,0)</f>
        <v>7.49990986858087</v>
      </c>
      <c r="H14385" s="32" t="n">
        <f aca="false">IF(H14279&gt;0,H14383/H14279,0)</f>
        <v>10.7970634560838</v>
      </c>
      <c r="I14385" s="32" t="n">
        <f aca="false">IF(I14279&gt;0,I14383/I14279,0)</f>
        <v>13.6813219341771</v>
      </c>
      <c r="J14385" s="32" t="n">
        <f aca="false">IF(J14279&gt;0,J14383/J14279,0)</f>
        <v>15.7086801490181</v>
      </c>
      <c r="K14385" s="32" t="n">
        <f aca="false">IF(K14279&gt;0,K14383/K14279,0)</f>
        <v>17.6426302993449</v>
      </c>
    </row>
    <row r="14386" customFormat="false" ht="15" hidden="false" customHeight="false" outlineLevel="0" collapsed="false">
      <c r="A14386" s="3" t="s">
        <v>364</v>
      </c>
      <c r="G14386" s="32" t="n">
        <f aca="false">IF(G14283&gt;0,G14279/G14283,0)</f>
        <v>1.11476782580477</v>
      </c>
      <c r="H14386" s="32" t="n">
        <f aca="false">IF(H14283&gt;0,H14279/H14283,0)</f>
        <v>0.817496405590163</v>
      </c>
      <c r="I14386" s="32" t="n">
        <f aca="false">IF(I14283&gt;0,I14279/I14283,0)</f>
        <v>0.686696980695737</v>
      </c>
      <c r="J14386" s="32" t="n">
        <f aca="false">IF(J14283&gt;0,J14279/J14283,0)</f>
        <v>0.682012179303795</v>
      </c>
      <c r="K14386" s="32" t="n">
        <f aca="false">IF(K14283&gt;0,K14279/K14283,0)</f>
        <v>0.641091448545568</v>
      </c>
    </row>
    <row r="14387" customFormat="false" ht="15" hidden="false" customHeight="false" outlineLevel="0" collapsed="false">
      <c r="A14387" s="3" t="s">
        <v>365</v>
      </c>
      <c r="G14387" s="32" t="n">
        <f aca="false">IF(G14283&gt;0,G14282/G14283,0)</f>
        <v>0.510100328512125</v>
      </c>
      <c r="H14387" s="32" t="n">
        <f aca="false">IF(H14283&gt;0,H14282/H14283,0)</f>
        <v>0.285389007972637</v>
      </c>
      <c r="I14387" s="32" t="n">
        <f aca="false">IF(I14283&gt;0,I14282/I14283,0)</f>
        <v>0.207800322839964</v>
      </c>
      <c r="J14387" s="32" t="n">
        <f aca="false">IF(J14283&gt;0,J14282/J14283,0)</f>
        <v>0.206382662257416</v>
      </c>
      <c r="K14387" s="32" t="n">
        <f aca="false">IF(K14283&gt;0,K14282/K14283,0)</f>
        <v>0.193999702521971</v>
      </c>
    </row>
    <row r="14388" customFormat="false" ht="15" hidden="false" customHeight="false" outlineLevel="0" collapsed="false">
      <c r="A14388" s="3" t="s">
        <v>198</v>
      </c>
      <c r="G14388" s="21" t="n">
        <f aca="false">IF(G14381&gt;0,G14292/G14381,0)</f>
        <v>-0.0186255762482758</v>
      </c>
      <c r="H14388" s="21" t="n">
        <f aca="false">IF(H14381&gt;0,H14292/H14381,0)</f>
        <v>-0.0418653911020919</v>
      </c>
      <c r="I14388" s="21" t="n">
        <f aca="false">IF(I14381&gt;0,I14292/I14381,0)</f>
        <v>-0.0604967097938985</v>
      </c>
      <c r="J14388" s="21" t="n">
        <f aca="false">IF(J14381&gt;0,J14292/J14381,0)</f>
        <v>-0.0563296300333683</v>
      </c>
      <c r="K14388" s="21" t="n">
        <f aca="false">IF(K14381&gt;0,K14292/K14381,0)</f>
        <v>-0.0588657258159305</v>
      </c>
    </row>
    <row r="14389" customFormat="false" ht="15" hidden="false" customHeight="false" outlineLevel="0" collapsed="false">
      <c r="A14389" s="3" t="s">
        <v>366</v>
      </c>
      <c r="G14389" s="32" t="n">
        <f aca="false">IF(G14283+G14365&gt;0,(G14279-G14290-G14287)/(G14283+G14365),0)</f>
        <v>0.978518424873074</v>
      </c>
      <c r="H14389" s="32" t="n">
        <f aca="false">IF(H14283+H14365&gt;0,(H14279-H14290-H14287)/(H14283+H14365),0)</f>
        <v>0.697596932770272</v>
      </c>
      <c r="I14389" s="32" t="n">
        <f aca="false">IF(I14283+I14365&gt;0,(I14279-I14290-I14287)/(I14283+I14365),0)</f>
        <v>0.578787455157835</v>
      </c>
      <c r="J14389" s="32" t="n">
        <f aca="false">IF(J14283+J14365&gt;0,(J14279-J14290-J14287)/(J14283+J14365),0)</f>
        <v>0.57483883684177</v>
      </c>
      <c r="K14389" s="32" t="n">
        <f aca="false">IF(K14283+K14365&gt;0,(K14279-K14290-K14287)/(K14283+K14365),0)</f>
        <v>0.540348506631264</v>
      </c>
    </row>
    <row r="14390" customFormat="false" ht="15" hidden="false" customHeight="false" outlineLevel="0" collapsed="false">
      <c r="A14390" s="3" t="s">
        <v>367</v>
      </c>
      <c r="G14390" s="25" t="n">
        <f aca="false">MAX(0,G14374)+Assumptions!$P$56*MAX(0,Assumptions!$D$56-G14316)+Assumptions!$P$57*MAX(0,Assumptions!$D$57-G14329)+Assumptions!$P$58*MAX(0,Assumptions!$D$58-G14342)</f>
        <v>431.67030664</v>
      </c>
      <c r="H14390" s="25" t="n">
        <f aca="false">MAX(0,H14374)+Assumptions!$P$56*MAX(0,Assumptions!$D$56-H14316)+Assumptions!$P$57*MAX(0,Assumptions!$D$57-H14329)+Assumptions!$P$58*MAX(0,Assumptions!$D$58-H14342)</f>
        <v>359.0106596512</v>
      </c>
      <c r="I14390" s="25" t="n">
        <f aca="false">MAX(0,I14374)+Assumptions!$P$56*MAX(0,Assumptions!$D$56-I14316)+Assumptions!$P$57*MAX(0,Assumptions!$D$57-I14329)+Assumptions!$P$58*MAX(0,Assumptions!$D$58-I14342)</f>
        <v>0</v>
      </c>
      <c r="J14390" s="25" t="n">
        <f aca="false">MAX(0,J14374)+Assumptions!$P$56*MAX(0,Assumptions!$D$56-J14316)+Assumptions!$P$57*MAX(0,Assumptions!$D$57-J14329)+Assumptions!$P$58*MAX(0,Assumptions!$D$58-J14342)</f>
        <v>0</v>
      </c>
      <c r="K14390" s="25" t="n">
        <f aca="false">MAX(0,K14374)+Assumptions!$P$56*MAX(0,Assumptions!$D$56-K14316)+Assumptions!$P$57*MAX(0,Assumptions!$D$57-K14329)+Assumptions!$P$58*MAX(0,Assumptions!$D$58-K14342)</f>
        <v>0</v>
      </c>
    </row>
    <row r="14391" customFormat="false" ht="15" hidden="false" customHeight="false" outlineLevel="0" collapsed="false">
      <c r="A14391" s="3" t="s">
        <v>368</v>
      </c>
      <c r="G14391" s="21" t="n">
        <f aca="false">IF(G14381&gt;0,G14381/(G14381+MAX(0,G14279*CHOOSE($C$14262,Assumptions!$C$82,Assumptions!$C$101,Assumptions!$C$120)-G14383)),0)</f>
        <v>1</v>
      </c>
      <c r="H14391" s="21" t="n">
        <f aca="false">IF(H14381&gt;0,H14381/(H14381+MAX(0,H14279*CHOOSE($C$14262,Assumptions!$C$82,Assumptions!$C$101,Assumptions!$C$120)-H14383)),0)</f>
        <v>1</v>
      </c>
      <c r="I14391" s="21" t="n">
        <f aca="false">IF(I14381&gt;0,I14381/(I14381+MAX(0,I14279*CHOOSE($C$14262,Assumptions!$C$82,Assumptions!$C$101,Assumptions!$C$120)-I14383)),0)</f>
        <v>1</v>
      </c>
      <c r="J14391" s="21" t="n">
        <f aca="false">IF(J14381&gt;0,J14381/(J14381+MAX(0,J14279*CHOOSE($C$14262,Assumptions!$C$82,Assumptions!$C$101,Assumptions!$C$120)-J14383)),0)</f>
        <v>1</v>
      </c>
      <c r="K14391" s="21" t="n">
        <f aca="false">IF(K14381&gt;0,K14381/(K14381+MAX(0,K14279*CHOOSE($C$14262,Assumptions!$C$82,Assumptions!$C$101,Assumptions!$C$120)-K14383)),0)</f>
        <v>1</v>
      </c>
    </row>
    <row r="14392" customFormat="false" ht="15" hidden="false" customHeight="false" outlineLevel="0" collapsed="false">
      <c r="A14392" s="3" t="s">
        <v>369</v>
      </c>
      <c r="G14392" s="21" t="n">
        <f aca="false">IF(G14381&gt;0,MAX(0,G14374)/G14381,0)</f>
        <v>0.248721910490829</v>
      </c>
      <c r="H14392" s="21" t="n">
        <f aca="false">IF(H14381&gt;0,MAX(0,H14374)/H14381,0)</f>
        <v>0.206856519388737</v>
      </c>
      <c r="I14392" s="21" t="n">
        <f aca="false">IF(I14381&gt;0,MAX(0,I14374)/I14381,0)</f>
        <v>0</v>
      </c>
      <c r="J14392" s="21" t="n">
        <f aca="false">IF(J14381&gt;0,MAX(0,J14374)/J14381,0)</f>
        <v>0</v>
      </c>
      <c r="K14392" s="21" t="n">
        <f aca="false">IF(K14381&gt;0,MAX(0,K14374)/K14381,0)</f>
        <v>0</v>
      </c>
    </row>
    <row r="14393" customFormat="false" ht="15" hidden="false" customHeight="false" outlineLevel="0" collapsed="false">
      <c r="A14393" s="3" t="s">
        <v>370</v>
      </c>
      <c r="G14393" s="25" t="n">
        <f aca="false">Assumptions!$C$30*(1-CHOOSE($C$14262,Assumptions!$C$85,Assumptions!$C$104,Assumptions!$C$123))</f>
        <v>1595.73115</v>
      </c>
      <c r="H14393" s="25" t="n">
        <f aca="false">Assumptions!$C$30*(1-CHOOSE($C$14262,Assumptions!$C$85,Assumptions!$C$104,Assumptions!$C$123))</f>
        <v>1595.73115</v>
      </c>
      <c r="I14393" s="25" t="n">
        <f aca="false">Assumptions!$C$30*(1-CHOOSE($C$14262,Assumptions!$C$85,Assumptions!$C$104,Assumptions!$C$123))</f>
        <v>1595.73115</v>
      </c>
      <c r="J14393" s="25" t="n">
        <f aca="false">Assumptions!$C$30*(1-CHOOSE($C$14262,Assumptions!$C$85,Assumptions!$C$104,Assumptions!$C$123))</f>
        <v>1595.73115</v>
      </c>
      <c r="K14393" s="25" t="n">
        <f aca="false">Assumptions!$C$30*(1-CHOOSE($C$14262,Assumptions!$C$85,Assumptions!$C$104,Assumptions!$C$123))</f>
        <v>1595.73115</v>
      </c>
    </row>
    <row r="14394" customFormat="false" ht="15" hidden="false" customHeight="false" outlineLevel="0" collapsed="false">
      <c r="A14394" s="23" t="s">
        <v>371</v>
      </c>
      <c r="B14394" s="24"/>
      <c r="C14394" s="24"/>
      <c r="D14394" s="24"/>
      <c r="E14394" s="24"/>
      <c r="F14394" s="24"/>
      <c r="G14394" s="24"/>
      <c r="H14394" s="24"/>
      <c r="I14394" s="24"/>
      <c r="J14394" s="24"/>
      <c r="K14394" s="24"/>
    </row>
    <row r="14395" customFormat="false" ht="15" hidden="false" customHeight="false" outlineLevel="0" collapsed="false">
      <c r="A14395" s="23" t="s">
        <v>372</v>
      </c>
      <c r="B14395" s="24"/>
      <c r="C14395" s="24"/>
      <c r="D14395" s="24"/>
      <c r="E14395" s="24"/>
      <c r="F14395" s="24"/>
      <c r="G14395" s="24"/>
      <c r="H14395" s="24"/>
      <c r="I14395" s="24"/>
      <c r="J14395" s="24"/>
      <c r="K14395" s="24"/>
    </row>
    <row r="14396" customFormat="false" ht="15" hidden="false" customHeight="false" outlineLevel="0" collapsed="false">
      <c r="A14396" s="3" t="s">
        <v>373</v>
      </c>
      <c r="G14396" s="32" t="n">
        <f aca="false">IF(G14279&gt;0,G14383/G14279,99)</f>
        <v>7.49990986858087</v>
      </c>
      <c r="H14396" s="32" t="n">
        <f aca="false">IF(H14279&gt;0,H14383/H14279,99)</f>
        <v>10.7970634560838</v>
      </c>
      <c r="I14396" s="32" t="n">
        <f aca="false">IF(I14279&gt;0,I14383/I14279,99)</f>
        <v>13.6813219341771</v>
      </c>
      <c r="J14396" s="32" t="n">
        <f aca="false">IF(J14279&gt;0,J14383/J14279,99)</f>
        <v>15.7086801490181</v>
      </c>
      <c r="K14396" s="32" t="n">
        <f aca="false">IF(K14279&gt;0,K14383/K14279,99)</f>
        <v>17.6426302993449</v>
      </c>
    </row>
    <row r="14397" customFormat="false" ht="15" hidden="false" customHeight="false" outlineLevel="0" collapsed="false">
      <c r="A14397" s="3" t="s">
        <v>374</v>
      </c>
      <c r="G14397" s="33" t="n">
        <f aca="false">Assumptions!$G$65</f>
        <v>5.25</v>
      </c>
      <c r="H14397" s="33" t="n">
        <f aca="false">Assumptions!$H$65</f>
        <v>5.25</v>
      </c>
      <c r="I14397" s="33" t="n">
        <f aca="false">Assumptions!$I$65</f>
        <v>5</v>
      </c>
      <c r="J14397" s="33" t="n">
        <f aca="false">Assumptions!$J$65</f>
        <v>5</v>
      </c>
      <c r="K14397" s="33" t="n">
        <f aca="false">Assumptions!$K$65</f>
        <v>5</v>
      </c>
    </row>
    <row r="14398" customFormat="false" ht="15" hidden="false" customHeight="false" outlineLevel="0" collapsed="false">
      <c r="A14398" s="3" t="s">
        <v>375</v>
      </c>
      <c r="G14398" s="32" t="n">
        <f aca="false">G14397-G14396</f>
        <v>-2.24990986858086</v>
      </c>
      <c r="H14398" s="32" t="n">
        <f aca="false">H14397-H14396</f>
        <v>-5.54706345608375</v>
      </c>
      <c r="I14398" s="32" t="n">
        <f aca="false">I14397-I14396</f>
        <v>-8.68132193417709</v>
      </c>
      <c r="J14398" s="32" t="n">
        <f aca="false">J14397-J14396</f>
        <v>-10.7086801490181</v>
      </c>
      <c r="K14398" s="32" t="n">
        <f aca="false">K14397-K14396</f>
        <v>-12.6426302993449</v>
      </c>
    </row>
    <row r="14399" customFormat="false" ht="15" hidden="false" customHeight="false" outlineLevel="0" collapsed="false">
      <c r="A14399" s="3" t="s">
        <v>376</v>
      </c>
      <c r="G14399" s="21" t="n">
        <f aca="false">IF(G14397=0,0,G14398/ABS(G14397))</f>
        <v>-0.42855426068207</v>
      </c>
      <c r="H14399" s="21" t="n">
        <f aca="false">IF(H14397=0,0,H14398/ABS(H14397))</f>
        <v>-1.05658351544452</v>
      </c>
      <c r="I14399" s="21" t="n">
        <f aca="false">IF(I14397=0,0,I14398/ABS(I14397))</f>
        <v>-1.73626438683542</v>
      </c>
      <c r="J14399" s="21" t="n">
        <f aca="false">IF(J14397=0,0,J14398/ABS(J14397))</f>
        <v>-2.14173602980363</v>
      </c>
      <c r="K14399" s="21" t="n">
        <f aca="false">IF(K14397=0,0,K14398/ABS(K14397))</f>
        <v>-2.52852605986897</v>
      </c>
    </row>
    <row r="14400" customFormat="false" ht="15" hidden="false" customHeight="false" outlineLevel="0" collapsed="false">
      <c r="A14400" s="3" t="s">
        <v>377</v>
      </c>
      <c r="G14400" s="20" t="n">
        <f aca="false">IF(G14398&lt;0,1,0)</f>
        <v>1</v>
      </c>
      <c r="H14400" s="20" t="n">
        <f aca="false">IF(H14398&lt;0,1,0)</f>
        <v>1</v>
      </c>
      <c r="I14400" s="20" t="n">
        <f aca="false">IF(I14398&lt;0,1,0)</f>
        <v>1</v>
      </c>
      <c r="J14400" s="20" t="n">
        <f aca="false">IF(J14398&lt;0,1,0)</f>
        <v>1</v>
      </c>
      <c r="K14400" s="20" t="n">
        <f aca="false">IF(K14398&lt;0,1,0)</f>
        <v>1</v>
      </c>
    </row>
    <row r="14401" customFormat="false" ht="15" hidden="false" customHeight="false" outlineLevel="0" collapsed="false">
      <c r="A14401" s="3" t="s">
        <v>378</v>
      </c>
      <c r="C14401" s="20" t="n">
        <f aca="false">IFERROR(INDEX($G$14269:$K$14269,MATCH(1,$G$14400:$K$14400,0)),0)</f>
        <v>2027</v>
      </c>
    </row>
    <row r="14402" customFormat="false" ht="15" hidden="false" customHeight="false" outlineLevel="0" collapsed="false">
      <c r="A14402" s="3" t="s">
        <v>379</v>
      </c>
      <c r="C14402" s="21" t="n">
        <f aca="false">MIN($G$14399:$K$14399)</f>
        <v>-2.52852605986897</v>
      </c>
    </row>
    <row r="14403" customFormat="false" ht="15" hidden="false" customHeight="false" outlineLevel="0" collapsed="false">
      <c r="A14403" s="23" t="s">
        <v>380</v>
      </c>
      <c r="B14403" s="24"/>
      <c r="C14403" s="24"/>
      <c r="D14403" s="24"/>
      <c r="E14403" s="24"/>
      <c r="F14403" s="24"/>
      <c r="G14403" s="24"/>
      <c r="H14403" s="24"/>
      <c r="I14403" s="24"/>
      <c r="J14403" s="24"/>
      <c r="K14403" s="24"/>
    </row>
    <row r="14404" customFormat="false" ht="15" hidden="false" customHeight="false" outlineLevel="0" collapsed="false">
      <c r="A14404" s="3" t="s">
        <v>373</v>
      </c>
      <c r="G14404" s="32" t="n">
        <f aca="false">IF(G14283&gt;0,G14279/G14283,99)</f>
        <v>1.11476782580477</v>
      </c>
      <c r="H14404" s="32" t="n">
        <f aca="false">IF(H14283&gt;0,H14279/H14283,99)</f>
        <v>0.817496405590163</v>
      </c>
      <c r="I14404" s="32" t="n">
        <f aca="false">IF(I14283&gt;0,I14279/I14283,99)</f>
        <v>0.686696980695737</v>
      </c>
      <c r="J14404" s="32" t="n">
        <f aca="false">IF(J14283&gt;0,J14279/J14283,99)</f>
        <v>0.682012179303795</v>
      </c>
      <c r="K14404" s="32" t="n">
        <f aca="false">IF(K14283&gt;0,K14279/K14283,99)</f>
        <v>0.641091448545568</v>
      </c>
    </row>
    <row r="14405" customFormat="false" ht="15" hidden="false" customHeight="false" outlineLevel="0" collapsed="false">
      <c r="A14405" s="3" t="s">
        <v>374</v>
      </c>
      <c r="G14405" s="33" t="n">
        <f aca="false">Assumptions!$G$66</f>
        <v>1.4</v>
      </c>
      <c r="H14405" s="33" t="n">
        <f aca="false">Assumptions!$H$66</f>
        <v>1.4</v>
      </c>
      <c r="I14405" s="33" t="n">
        <f aca="false">Assumptions!$I$66</f>
        <v>1.4</v>
      </c>
      <c r="J14405" s="33" t="n">
        <f aca="false">Assumptions!$J$66</f>
        <v>1.5</v>
      </c>
      <c r="K14405" s="33" t="n">
        <f aca="false">Assumptions!$K$66</f>
        <v>1.5</v>
      </c>
    </row>
    <row r="14406" customFormat="false" ht="15" hidden="false" customHeight="false" outlineLevel="0" collapsed="false">
      <c r="A14406" s="3" t="s">
        <v>375</v>
      </c>
      <c r="G14406" s="32" t="n">
        <f aca="false">G14404-G14405</f>
        <v>-0.285232174195233</v>
      </c>
      <c r="H14406" s="32" t="n">
        <f aca="false">H14404-H14405</f>
        <v>-0.582503594409837</v>
      </c>
      <c r="I14406" s="32" t="n">
        <f aca="false">I14404-I14405</f>
        <v>-0.713303019304263</v>
      </c>
      <c r="J14406" s="32" t="n">
        <f aca="false">J14404-J14405</f>
        <v>-0.817987820696205</v>
      </c>
      <c r="K14406" s="32" t="n">
        <f aca="false">K14404-K14405</f>
        <v>-0.858908551454433</v>
      </c>
    </row>
    <row r="14407" customFormat="false" ht="15" hidden="false" customHeight="false" outlineLevel="0" collapsed="false">
      <c r="A14407" s="3" t="s">
        <v>376</v>
      </c>
      <c r="G14407" s="21" t="n">
        <f aca="false">IF(G14405=0,0,G14406/ABS(G14405))</f>
        <v>-0.203737267282309</v>
      </c>
      <c r="H14407" s="21" t="n">
        <f aca="false">IF(H14405=0,0,H14406/ABS(H14405))</f>
        <v>-0.416073996007027</v>
      </c>
      <c r="I14407" s="21" t="n">
        <f aca="false">IF(I14405=0,0,I14406/ABS(I14405))</f>
        <v>-0.509502156645902</v>
      </c>
      <c r="J14407" s="21" t="n">
        <f aca="false">IF(J14405=0,0,J14406/ABS(J14405))</f>
        <v>-0.54532521379747</v>
      </c>
      <c r="K14407" s="21" t="n">
        <f aca="false">IF(K14405=0,0,K14406/ABS(K14405))</f>
        <v>-0.572605700969622</v>
      </c>
    </row>
    <row r="14408" customFormat="false" ht="15" hidden="false" customHeight="false" outlineLevel="0" collapsed="false">
      <c r="A14408" s="3" t="s">
        <v>377</v>
      </c>
      <c r="G14408" s="20" t="n">
        <f aca="false">IF(G14406&lt;0,1,0)</f>
        <v>1</v>
      </c>
      <c r="H14408" s="20" t="n">
        <f aca="false">IF(H14406&lt;0,1,0)</f>
        <v>1</v>
      </c>
      <c r="I14408" s="20" t="n">
        <f aca="false">IF(I14406&lt;0,1,0)</f>
        <v>1</v>
      </c>
      <c r="J14408" s="20" t="n">
        <f aca="false">IF(J14406&lt;0,1,0)</f>
        <v>1</v>
      </c>
      <c r="K14408" s="20" t="n">
        <f aca="false">IF(K14406&lt;0,1,0)</f>
        <v>1</v>
      </c>
    </row>
    <row r="14409" customFormat="false" ht="15" hidden="false" customHeight="false" outlineLevel="0" collapsed="false">
      <c r="A14409" s="3" t="s">
        <v>378</v>
      </c>
      <c r="C14409" s="20" t="n">
        <f aca="false">IFERROR(INDEX($G$14269:$K$14269,MATCH(1,$G$14408:$K$14408,0)),0)</f>
        <v>2027</v>
      </c>
    </row>
    <row r="14410" customFormat="false" ht="15" hidden="false" customHeight="false" outlineLevel="0" collapsed="false">
      <c r="A14410" s="3" t="s">
        <v>379</v>
      </c>
      <c r="C14410" s="21" t="n">
        <f aca="false">MIN($G$14407:$K$14407)</f>
        <v>-0.572605700969622</v>
      </c>
    </row>
    <row r="14411" customFormat="false" ht="15" hidden="false" customHeight="false" outlineLevel="0" collapsed="false">
      <c r="A14411" s="23" t="s">
        <v>381</v>
      </c>
      <c r="B14411" s="24"/>
      <c r="C14411" s="24"/>
      <c r="D14411" s="24"/>
      <c r="E14411" s="24"/>
      <c r="F14411" s="24"/>
      <c r="G14411" s="24"/>
      <c r="H14411" s="24"/>
      <c r="I14411" s="24"/>
      <c r="J14411" s="24"/>
      <c r="K14411" s="24"/>
    </row>
    <row r="14412" customFormat="false" ht="15" hidden="false" customHeight="false" outlineLevel="0" collapsed="false">
      <c r="A14412" s="3" t="s">
        <v>373</v>
      </c>
      <c r="G14412" s="25" t="n">
        <f aca="false">G14390</f>
        <v>431.67030664</v>
      </c>
      <c r="H14412" s="25" t="n">
        <f aca="false">H14390</f>
        <v>359.0106596512</v>
      </c>
      <c r="I14412" s="25" t="n">
        <f aca="false">I14390</f>
        <v>0</v>
      </c>
      <c r="J14412" s="25" t="n">
        <f aca="false">J14390</f>
        <v>0</v>
      </c>
      <c r="K14412" s="25" t="n">
        <f aca="false">K14390</f>
        <v>0</v>
      </c>
    </row>
    <row r="14413" customFormat="false" ht="15" hidden="false" customHeight="false" outlineLevel="0" collapsed="false">
      <c r="A14413" s="3" t="s">
        <v>374</v>
      </c>
      <c r="G14413" s="29" t="n">
        <f aca="false">Assumptions!$G$67</f>
        <v>200</v>
      </c>
      <c r="H14413" s="29" t="n">
        <f aca="false">Assumptions!$H$67</f>
        <v>200</v>
      </c>
      <c r="I14413" s="29" t="n">
        <f aca="false">Assumptions!$I$67</f>
        <v>200</v>
      </c>
      <c r="J14413" s="29" t="n">
        <f aca="false">Assumptions!$J$67</f>
        <v>200</v>
      </c>
      <c r="K14413" s="29" t="n">
        <f aca="false">Assumptions!$K$67</f>
        <v>200</v>
      </c>
    </row>
    <row r="14414" customFormat="false" ht="15" hidden="false" customHeight="false" outlineLevel="0" collapsed="false">
      <c r="A14414" s="3" t="s">
        <v>375</v>
      </c>
      <c r="G14414" s="25" t="n">
        <f aca="false">G14412-G14413</f>
        <v>231.67030664</v>
      </c>
      <c r="H14414" s="25" t="n">
        <f aca="false">H14412-H14413</f>
        <v>159.0106596512</v>
      </c>
      <c r="I14414" s="25" t="n">
        <f aca="false">I14412-I14413</f>
        <v>-200</v>
      </c>
      <c r="J14414" s="25" t="n">
        <f aca="false">J14412-J14413</f>
        <v>-200</v>
      </c>
      <c r="K14414" s="25" t="n">
        <f aca="false">K14412-K14413</f>
        <v>-200</v>
      </c>
    </row>
    <row r="14415" customFormat="false" ht="15" hidden="false" customHeight="false" outlineLevel="0" collapsed="false">
      <c r="A14415" s="3" t="s">
        <v>376</v>
      </c>
      <c r="G14415" s="21" t="n">
        <f aca="false">IF(G14413=0,0,G14414/ABS(G14413))</f>
        <v>1.1583515332</v>
      </c>
      <c r="H14415" s="21" t="n">
        <f aca="false">IF(H14413=0,0,H14414/ABS(H14413))</f>
        <v>0.795053298256</v>
      </c>
      <c r="I14415" s="21" t="n">
        <f aca="false">IF(I14413=0,0,I14414/ABS(I14413))</f>
        <v>-1</v>
      </c>
      <c r="J14415" s="21" t="n">
        <f aca="false">IF(J14413=0,0,J14414/ABS(J14413))</f>
        <v>-1</v>
      </c>
      <c r="K14415" s="21" t="n">
        <f aca="false">IF(K14413=0,0,K14414/ABS(K14413))</f>
        <v>-1</v>
      </c>
    </row>
    <row r="14416" customFormat="false" ht="15" hidden="false" customHeight="false" outlineLevel="0" collapsed="false">
      <c r="A14416" s="3" t="s">
        <v>377</v>
      </c>
      <c r="G14416" s="20" t="n">
        <f aca="false">IF(G14414&lt;0,1,0)</f>
        <v>0</v>
      </c>
      <c r="H14416" s="20" t="n">
        <f aca="false">IF(H14414&lt;0,1,0)</f>
        <v>0</v>
      </c>
      <c r="I14416" s="20" t="n">
        <f aca="false">IF(I14414&lt;0,1,0)</f>
        <v>1</v>
      </c>
      <c r="J14416" s="20" t="n">
        <f aca="false">IF(J14414&lt;0,1,0)</f>
        <v>1</v>
      </c>
      <c r="K14416" s="20" t="n">
        <f aca="false">IF(K14414&lt;0,1,0)</f>
        <v>1</v>
      </c>
    </row>
    <row r="14417" customFormat="false" ht="15" hidden="false" customHeight="false" outlineLevel="0" collapsed="false">
      <c r="A14417" s="3" t="s">
        <v>378</v>
      </c>
      <c r="C14417" s="20" t="n">
        <f aca="false">IFERROR(INDEX($G$14269:$K$14269,MATCH(1,$G$14416:$K$14416,0)),0)</f>
        <v>2029</v>
      </c>
    </row>
    <row r="14418" customFormat="false" ht="15" hidden="false" customHeight="false" outlineLevel="0" collapsed="false">
      <c r="A14418" s="3" t="s">
        <v>379</v>
      </c>
      <c r="C14418" s="21" t="n">
        <f aca="false">MIN($G$14415:$K$14415)</f>
        <v>-1</v>
      </c>
    </row>
    <row r="14419" customFormat="false" ht="15" hidden="false" customHeight="false" outlineLevel="0" collapsed="false">
      <c r="A14419" s="3" t="s">
        <v>382</v>
      </c>
      <c r="G14419" s="20" t="n">
        <f aca="false">G14400+G14408+G14416</f>
        <v>2</v>
      </c>
      <c r="H14419" s="20" t="n">
        <f aca="false">H14400+H14408+H14416</f>
        <v>2</v>
      </c>
      <c r="I14419" s="20" t="n">
        <f aca="false">I14400+I14408+I14416</f>
        <v>3</v>
      </c>
      <c r="J14419" s="20" t="n">
        <f aca="false">J14400+J14408+J14416</f>
        <v>3</v>
      </c>
      <c r="K14419" s="20" t="n">
        <f aca="false">K14400+K14408+K14416</f>
        <v>3</v>
      </c>
    </row>
    <row r="14420" customFormat="false" ht="15" hidden="false" customHeight="false" outlineLevel="0" collapsed="false">
      <c r="A14420" s="3" t="s">
        <v>383</v>
      </c>
      <c r="C14420" s="20" t="n">
        <f aca="false">SUM($G$14419:$K$14419)</f>
        <v>13</v>
      </c>
    </row>
    <row r="14421" customFormat="false" ht="15" hidden="false" customHeight="false" outlineLevel="0" collapsed="false">
      <c r="A14421" s="3" t="s">
        <v>384</v>
      </c>
      <c r="C14421" s="21" t="n">
        <f aca="false">MIN(C14402,C14410,C14418)</f>
        <v>-2.52852605986897</v>
      </c>
    </row>
    <row r="14423" customFormat="false" ht="15" hidden="false" customHeight="false" outlineLevel="0" collapsed="false">
      <c r="A14423" s="23" t="s">
        <v>486</v>
      </c>
      <c r="B14423" s="24"/>
      <c r="C14423" s="24"/>
      <c r="D14423" s="24"/>
      <c r="E14423" s="24"/>
      <c r="F14423" s="24"/>
      <c r="G14423" s="24"/>
      <c r="H14423" s="24"/>
      <c r="I14423" s="24"/>
      <c r="J14423" s="24"/>
      <c r="K14423" s="24"/>
    </row>
    <row r="14424" customFormat="false" ht="15" hidden="false" customHeight="false" outlineLevel="0" collapsed="false">
      <c r="A14424" s="3" t="s">
        <v>487</v>
      </c>
      <c r="G14424" s="20" t="n">
        <f aca="false">IF($C$14425=1,G14377,IF(G14279=MIN($G$14279:$K$14279),1,0))</f>
        <v>0</v>
      </c>
      <c r="H14424" s="20" t="n">
        <f aca="false">IF($C$14425=1,H14377,IF(AND(H14279=MIN($G$14279:$K$14279),SUM($G$14424:G14424)=0),1,0))</f>
        <v>0</v>
      </c>
      <c r="I14424" s="20" t="n">
        <f aca="false">IF($C$14425=1,I14377,IF(AND(I14279=MIN($G$14279:$K$14279),SUM($G$14424:H14424)=0),1,0))</f>
        <v>1</v>
      </c>
      <c r="J14424" s="20" t="n">
        <f aca="false">IF($C$14425=1,J14377,IF(AND(J14279=MIN($G$14279:$K$14279),SUM($G$14424:I14424)=0),1,0))</f>
        <v>0</v>
      </c>
      <c r="K14424" s="20" t="n">
        <f aca="false">IF($C$14425=1,K14377,IF(AND(K14279=MIN($G$14279:$K$14279),SUM($G$14424:J14424)=0),1,0))</f>
        <v>0</v>
      </c>
    </row>
    <row r="14425" customFormat="false" ht="15" hidden="false" customHeight="false" outlineLevel="0" collapsed="false">
      <c r="A14425" s="3" t="s">
        <v>488</v>
      </c>
      <c r="C14425" s="20" t="n">
        <f aca="false">IF(SUM($G$14377:$K$14377)&gt;0,1,0)</f>
        <v>1</v>
      </c>
    </row>
    <row r="14426" customFormat="false" ht="15" hidden="false" customHeight="false" outlineLevel="0" collapsed="false">
      <c r="A14426" s="3" t="s">
        <v>489</v>
      </c>
      <c r="C14426" s="20" t="n">
        <f aca="false">SUMPRODUCT($G$14424:$K$14424,$G$14269:$K$14269)</f>
        <v>2029</v>
      </c>
    </row>
    <row r="14427" customFormat="false" ht="15" hidden="false" customHeight="false" outlineLevel="0" collapsed="false">
      <c r="A14427" s="3" t="s">
        <v>490</v>
      </c>
      <c r="C14427" s="25" t="n">
        <f aca="false">SUMPRODUCT($G$14424:$K$14424,$G$14279:$K$14279)</f>
        <v>107.0936010144</v>
      </c>
    </row>
    <row r="14428" customFormat="false" ht="15" hidden="false" customHeight="false" outlineLevel="0" collapsed="false">
      <c r="A14428" s="3" t="s">
        <v>491</v>
      </c>
      <c r="C14428" s="25" t="n">
        <f aca="false">MAX(0,SUMPRODUCT($G$14424:$K$14424,$G$14374:$K$14374))</f>
        <v>0</v>
      </c>
    </row>
    <row r="14429" customFormat="false" ht="15" hidden="false" customHeight="false" outlineLevel="0" collapsed="false">
      <c r="A14429" s="3" t="s">
        <v>492</v>
      </c>
      <c r="C14429" s="25" t="n">
        <f aca="false">(CHOOSE($C$14262,Assumptions!$C$84,Assumptions!$C$103,Assumptions!$C$122)+$C$14266)*C14427</f>
        <v>428.3744040576</v>
      </c>
    </row>
    <row r="14430" customFormat="false" ht="15" hidden="false" customHeight="false" outlineLevel="0" collapsed="false">
      <c r="A14430" s="3" t="s">
        <v>493</v>
      </c>
      <c r="C14430" s="25" t="n">
        <f aca="false">Assumptions!$C$30*(1-CHOOSE($C$14262,Assumptions!$C$85,Assumptions!$C$104,Assumptions!$C$123))*CHOOSE($C$14262,Assumptions!$C$86,Assumptions!$C$105,Assumptions!$C$124)</f>
        <v>478.719345</v>
      </c>
    </row>
    <row r="14431" customFormat="false" ht="15" hidden="false" customHeight="false" outlineLevel="0" collapsed="false">
      <c r="A14431" s="3" t="s">
        <v>494</v>
      </c>
      <c r="C14431" s="25" t="n">
        <f aca="false">MAX(C14429,C14430)+C14428</f>
        <v>478.719345</v>
      </c>
    </row>
    <row r="14432" customFormat="false" ht="15" hidden="false" customHeight="false" outlineLevel="0" collapsed="false">
      <c r="A14432" s="2" t="s">
        <v>495</v>
      </c>
      <c r="C14432" s="16" t="n">
        <f aca="false">IF(ISNUMBER(Assumptions!$C$14),Assumptions!$C$14,C14431)</f>
        <v>478.719345</v>
      </c>
    </row>
    <row r="14433" customFormat="false" ht="15" hidden="false" customHeight="false" outlineLevel="0" collapsed="false">
      <c r="A14433" s="3" t="s">
        <v>496</v>
      </c>
      <c r="C14433" s="25" t="n">
        <f aca="false">C14432*Assumptions!$C$15</f>
        <v>19.1487738</v>
      </c>
    </row>
    <row r="14434" customFormat="false" ht="15" hidden="false" customHeight="false" outlineLevel="0" collapsed="false">
      <c r="A14434" s="2" t="s">
        <v>497</v>
      </c>
      <c r="C14434" s="16" t="n">
        <f aca="false">C14432-C14433</f>
        <v>459.5705712</v>
      </c>
    </row>
    <row r="14435" customFormat="false" ht="15" hidden="false" customHeight="false" outlineLevel="0" collapsed="false">
      <c r="A14435" s="23" t="s">
        <v>498</v>
      </c>
      <c r="B14435" s="24"/>
      <c r="C14435" s="24"/>
      <c r="D14435" s="24"/>
      <c r="E14435" s="24"/>
      <c r="F14435" s="24"/>
      <c r="G14435" s="24"/>
      <c r="H14435" s="24"/>
      <c r="I14435" s="24"/>
      <c r="J14435" s="24"/>
      <c r="K14435" s="24"/>
    </row>
    <row r="14436" customFormat="false" ht="15" hidden="false" customHeight="false" outlineLevel="0" collapsed="false">
      <c r="A14436" s="3" t="s">
        <v>499</v>
      </c>
      <c r="C14436" s="25" t="n">
        <f aca="false">SUMPRODUCT($G$14424:$K$14424,$G$14316:$K$14316)*(1+SUMPRODUCT($G$14424:$K$14424,$G$14308:$K$14308)*Assumptions!$C$16/12)</f>
        <v>1349.6193225</v>
      </c>
    </row>
    <row r="14437" customFormat="false" ht="15" hidden="false" customHeight="false" outlineLevel="0" collapsed="false">
      <c r="A14437" s="3" t="s">
        <v>500</v>
      </c>
      <c r="C14437" s="25" t="n">
        <f aca="false">SUMPRODUCT($G$14424:$K$14424,$G$14329:$K$14329)*(1+SUMPRODUCT($G$14424:$K$14424,$G$14321:$K$14321)*Assumptions!$C$16/12)</f>
        <v>6.40133166435848</v>
      </c>
    </row>
    <row r="14438" customFormat="false" ht="15" hidden="false" customHeight="false" outlineLevel="0" collapsed="false">
      <c r="A14438" s="3" t="s">
        <v>501</v>
      </c>
      <c r="C14438" s="25" t="n">
        <f aca="false">SUMPRODUCT($G$14424:$K$14424,$G$14342:$K$14342)*(1+SUMPRODUCT($G$14424:$K$14424,$G$14334:$K$14334)*Assumptions!$C$16/12)</f>
        <v>145.27734375</v>
      </c>
    </row>
    <row r="14439" customFormat="false" ht="15" hidden="false" customHeight="false" outlineLevel="0" collapsed="false">
      <c r="A14439" s="23" t="s">
        <v>502</v>
      </c>
      <c r="B14439" s="24"/>
      <c r="C14439" s="24"/>
      <c r="D14439" s="24"/>
      <c r="E14439" s="24"/>
      <c r="F14439" s="24"/>
      <c r="G14439" s="24"/>
      <c r="H14439" s="24"/>
      <c r="I14439" s="24"/>
      <c r="J14439" s="24"/>
      <c r="K14439" s="24"/>
    </row>
    <row r="14440" customFormat="false" ht="15" hidden="false" customHeight="false" outlineLevel="0" collapsed="false">
      <c r="A14440" s="3" t="s">
        <v>499</v>
      </c>
      <c r="C14440" s="27" t="n">
        <f aca="false">Assumptions!$M$56</f>
        <v>1</v>
      </c>
    </row>
    <row r="14441" customFormat="false" ht="15" hidden="false" customHeight="false" outlineLevel="0" collapsed="false">
      <c r="A14441" s="3" t="s">
        <v>500</v>
      </c>
      <c r="C14441" s="27" t="n">
        <f aca="false">Assumptions!$M$57</f>
        <v>2</v>
      </c>
    </row>
    <row r="14442" customFormat="false" ht="15" hidden="false" customHeight="false" outlineLevel="0" collapsed="false">
      <c r="A14442" s="3" t="s">
        <v>501</v>
      </c>
      <c r="C14442" s="27" t="n">
        <f aca="false">Assumptions!$M$58</f>
        <v>2</v>
      </c>
    </row>
    <row r="14443" customFormat="false" ht="15" hidden="false" customHeight="false" outlineLevel="0" collapsed="false">
      <c r="A14443" s="23" t="s">
        <v>503</v>
      </c>
      <c r="B14443" s="24"/>
      <c r="C14443" s="24"/>
      <c r="D14443" s="24"/>
      <c r="E14443" s="24"/>
      <c r="F14443" s="24"/>
      <c r="G14443" s="24"/>
      <c r="H14443" s="24"/>
      <c r="I14443" s="24"/>
      <c r="J14443" s="24"/>
      <c r="K14443" s="24"/>
    </row>
    <row r="14444" customFormat="false" ht="15" hidden="false" customHeight="false" outlineLevel="0" collapsed="false">
      <c r="A14444" s="3" t="s">
        <v>499</v>
      </c>
      <c r="C14444" s="35" t="n">
        <f aca="false">Assumptions!$Q$56</f>
        <v>0</v>
      </c>
    </row>
    <row r="14445" customFormat="false" ht="15" hidden="false" customHeight="false" outlineLevel="0" collapsed="false">
      <c r="A14445" s="3" t="s">
        <v>500</v>
      </c>
      <c r="C14445" s="35" t="n">
        <f aca="false">Assumptions!$Q$57</f>
        <v>0</v>
      </c>
    </row>
    <row r="14446" customFormat="false" ht="15" hidden="false" customHeight="false" outlineLevel="0" collapsed="false">
      <c r="A14446" s="3" t="s">
        <v>501</v>
      </c>
      <c r="C14446" s="35" t="n">
        <f aca="false">Assumptions!$Q$58</f>
        <v>0</v>
      </c>
    </row>
    <row r="14447" customFormat="false" ht="15" hidden="false" customHeight="false" outlineLevel="0" collapsed="false">
      <c r="A14447" s="23" t="s">
        <v>504</v>
      </c>
      <c r="B14447" s="24"/>
      <c r="C14447" s="24"/>
      <c r="D14447" s="24"/>
      <c r="E14447" s="24"/>
      <c r="F14447" s="24"/>
      <c r="G14447" s="24"/>
      <c r="H14447" s="24"/>
      <c r="I14447" s="24"/>
      <c r="J14447" s="24"/>
      <c r="K14447" s="24"/>
    </row>
    <row r="14448" customFormat="false" ht="15" hidden="false" customHeight="false" outlineLevel="0" collapsed="false">
      <c r="A14448" s="3" t="s">
        <v>499</v>
      </c>
      <c r="C14448" s="25" t="n">
        <f aca="false">IF(C14444&gt;0,MIN(C14436,C14444*$C$14434),0)</f>
        <v>0</v>
      </c>
    </row>
    <row r="14449" customFormat="false" ht="15" hidden="false" customHeight="false" outlineLevel="0" collapsed="false">
      <c r="A14449" s="3" t="s">
        <v>500</v>
      </c>
      <c r="C14449" s="25" t="n">
        <f aca="false">IF(C14445&gt;0,MIN(C14437,C14445*$C$14434),0)</f>
        <v>0</v>
      </c>
    </row>
    <row r="14450" customFormat="false" ht="15" hidden="false" customHeight="false" outlineLevel="0" collapsed="false">
      <c r="A14450" s="3" t="s">
        <v>501</v>
      </c>
      <c r="C14450" s="25" t="n">
        <f aca="false">IF(C14446&gt;0,MIN(C14438,C14446*$C$14434),0)</f>
        <v>0</v>
      </c>
    </row>
    <row r="14451" customFormat="false" ht="15" hidden="false" customHeight="false" outlineLevel="0" collapsed="false">
      <c r="A14451" s="23" t="s">
        <v>505</v>
      </c>
      <c r="B14451" s="24"/>
      <c r="C14451" s="24"/>
      <c r="D14451" s="24"/>
      <c r="E14451" s="24"/>
      <c r="F14451" s="24"/>
      <c r="G14451" s="24"/>
      <c r="H14451" s="24"/>
      <c r="I14451" s="24"/>
      <c r="J14451" s="24"/>
      <c r="K14451" s="24"/>
    </row>
    <row r="14452" customFormat="false" ht="15" hidden="false" customHeight="false" outlineLevel="0" collapsed="false">
      <c r="A14452" s="3" t="s">
        <v>499</v>
      </c>
      <c r="C14452" s="25" t="n">
        <f aca="false">IF(C14444&gt;0,C14436-C14448,0)</f>
        <v>0</v>
      </c>
      <c r="G14452" s="20" t="n">
        <f aca="false">IF(AND(G14306=1,G14303=1),1,0)</f>
        <v>0</v>
      </c>
      <c r="H14452" s="20" t="n">
        <f aca="false">IF(G14452=1,1,IF(AND(H14306=1,H14303=1),1,0))</f>
        <v>0</v>
      </c>
      <c r="I14452" s="20" t="n">
        <f aca="false">IF(H14452=1,1,IF(AND(I14306=1,I14303=1),1,0))</f>
        <v>0</v>
      </c>
      <c r="J14452" s="20" t="n">
        <f aca="false">IF(I14452=1,1,IF(AND(J14306=1,J14303=1),1,0))</f>
        <v>0</v>
      </c>
      <c r="K14452" s="20" t="n">
        <f aca="false">IF(J14452=1,1,IF(AND(K14306=1,K14303=1),1,0))</f>
        <v>0</v>
      </c>
    </row>
    <row r="14453" customFormat="false" ht="15" hidden="false" customHeight="false" outlineLevel="0" collapsed="false">
      <c r="A14453" s="3" t="s">
        <v>500</v>
      </c>
      <c r="C14453" s="25" t="n">
        <f aca="false">IF(C14445&gt;0,C14437-C14449,0)</f>
        <v>0</v>
      </c>
      <c r="G14453" s="20" t="n">
        <f aca="false">IF(AND(G14319=1,G14303=1),1,0)</f>
        <v>0</v>
      </c>
      <c r="H14453" s="20" t="n">
        <f aca="false">IF(G14453=1,1,IF(AND(H14319=1,H14303=1),1,0))</f>
        <v>0</v>
      </c>
      <c r="I14453" s="20" t="n">
        <f aca="false">IF(H14453=1,1,IF(AND(I14319=1,I14303=1),1,0))</f>
        <v>0</v>
      </c>
      <c r="J14453" s="20" t="n">
        <f aca="false">IF(I14453=1,1,IF(AND(J14319=1,J14303=1),1,0))</f>
        <v>0</v>
      </c>
      <c r="K14453" s="20" t="n">
        <f aca="false">IF(J14453=1,1,IF(AND(K14319=1,K14303=1),1,0))</f>
        <v>0</v>
      </c>
    </row>
    <row r="14454" customFormat="false" ht="15" hidden="false" customHeight="false" outlineLevel="0" collapsed="false">
      <c r="A14454" s="3" t="s">
        <v>501</v>
      </c>
      <c r="C14454" s="25" t="n">
        <f aca="false">IF(C14446&gt;0,C14438-C14450,0)</f>
        <v>0</v>
      </c>
      <c r="G14454" s="20" t="n">
        <f aca="false">IF(AND(G14332=1,G14303=1),1,0)</f>
        <v>0</v>
      </c>
      <c r="H14454" s="20" t="n">
        <f aca="false">IF(G14454=1,1,IF(AND(H14332=1,H14303=1),1,0))</f>
        <v>0</v>
      </c>
      <c r="I14454" s="20" t="n">
        <f aca="false">IF(H14454=1,1,IF(AND(I14332=1,I14303=1),1,0))</f>
        <v>0</v>
      </c>
      <c r="J14454" s="20" t="n">
        <f aca="false">IF(I14454=1,1,IF(AND(J14332=1,J14303=1),1,0))</f>
        <v>0</v>
      </c>
      <c r="K14454" s="20" t="n">
        <f aca="false">IF(J14454=1,1,IF(AND(K14332=1,K14303=1),1,0))</f>
        <v>0</v>
      </c>
    </row>
    <row r="14455" customFormat="false" ht="15" hidden="false" customHeight="false" outlineLevel="0" collapsed="false">
      <c r="A14455" s="23" t="s">
        <v>506</v>
      </c>
      <c r="B14455" s="24"/>
      <c r="C14455" s="24"/>
      <c r="D14455" s="24"/>
      <c r="E14455" s="24"/>
      <c r="F14455" s="24"/>
      <c r="G14455" s="24"/>
      <c r="H14455" s="24"/>
      <c r="I14455" s="24"/>
      <c r="J14455" s="24"/>
      <c r="K14455" s="24"/>
    </row>
    <row r="14456" customFormat="false" ht="15" hidden="false" customHeight="false" outlineLevel="0" collapsed="false">
      <c r="A14456" s="3" t="s">
        <v>499</v>
      </c>
      <c r="C14456" s="25" t="n">
        <f aca="false">IF(C14444&gt;0,C14452,C14436)</f>
        <v>1349.6193225</v>
      </c>
    </row>
    <row r="14457" customFormat="false" ht="15" hidden="false" customHeight="false" outlineLevel="0" collapsed="false">
      <c r="A14457" s="3" t="s">
        <v>500</v>
      </c>
      <c r="C14457" s="25" t="n">
        <f aca="false">IF(C14445&gt;0,C14453,C14437)</f>
        <v>6.40133166435848</v>
      </c>
    </row>
    <row r="14458" customFormat="false" ht="15" hidden="false" customHeight="false" outlineLevel="0" collapsed="false">
      <c r="A14458" s="3" t="s">
        <v>501</v>
      </c>
      <c r="C14458" s="25" t="n">
        <f aca="false">IF(C14446&gt;0,C14454,C14438)</f>
        <v>145.27734375</v>
      </c>
    </row>
    <row r="14459" customFormat="false" ht="15" hidden="false" customHeight="false" outlineLevel="0" collapsed="false">
      <c r="A14459" s="23" t="s">
        <v>507</v>
      </c>
      <c r="B14459" s="24"/>
      <c r="C14459" s="24"/>
      <c r="D14459" s="24"/>
      <c r="E14459" s="24"/>
      <c r="F14459" s="24"/>
      <c r="G14459" s="24"/>
      <c r="H14459" s="24"/>
      <c r="I14459" s="24"/>
      <c r="J14459" s="24"/>
      <c r="K14459" s="24"/>
    </row>
    <row r="14460" customFormat="false" ht="15" hidden="false" customHeight="false" outlineLevel="0" collapsed="false">
      <c r="A14460" s="3" t="s">
        <v>499</v>
      </c>
      <c r="C14460" s="20" t="n">
        <f aca="false">IF(C14444&gt;0,Assumptions!$C$17,C14440)</f>
        <v>1</v>
      </c>
    </row>
    <row r="14461" customFormat="false" ht="15" hidden="false" customHeight="false" outlineLevel="0" collapsed="false">
      <c r="A14461" s="3" t="s">
        <v>500</v>
      </c>
      <c r="C14461" s="20" t="n">
        <f aca="false">IF(C14445&gt;0,Assumptions!$C$17,C14441)</f>
        <v>2</v>
      </c>
    </row>
    <row r="14462" customFormat="false" ht="15" hidden="false" customHeight="false" outlineLevel="0" collapsed="false">
      <c r="A14462" s="3" t="s">
        <v>501</v>
      </c>
      <c r="C14462" s="20" t="n">
        <f aca="false">IF(C14446&gt;0,Assumptions!$C$17,C14442)</f>
        <v>2</v>
      </c>
    </row>
    <row r="14463" customFormat="false" ht="15" hidden="false" customHeight="false" outlineLevel="0" collapsed="false">
      <c r="A14463" s="23" t="s">
        <v>508</v>
      </c>
      <c r="B14463" s="24"/>
      <c r="C14463" s="24"/>
      <c r="D14463" s="24"/>
      <c r="E14463" s="24"/>
      <c r="F14463" s="24"/>
      <c r="G14463" s="24"/>
      <c r="H14463" s="24"/>
      <c r="I14463" s="24"/>
      <c r="J14463" s="24"/>
      <c r="K14463" s="24"/>
    </row>
    <row r="14464" customFormat="false" ht="15" hidden="false" customHeight="false" outlineLevel="0" collapsed="false">
      <c r="A14464" s="3" t="s">
        <v>499</v>
      </c>
      <c r="C14464" s="25" t="n">
        <f aca="false">SUMPRODUCT(($C$14460:$C$14462&lt;C14460)*$C$14456:$C$14458)</f>
        <v>0</v>
      </c>
    </row>
    <row r="14465" customFormat="false" ht="15" hidden="false" customHeight="false" outlineLevel="0" collapsed="false">
      <c r="A14465" s="3" t="s">
        <v>500</v>
      </c>
      <c r="C14465" s="25" t="n">
        <f aca="false">SUMPRODUCT(($C$14460:$C$14462&lt;C14461)*$C$14456:$C$14458)</f>
        <v>1349.6193225</v>
      </c>
    </row>
    <row r="14466" customFormat="false" ht="15" hidden="false" customHeight="false" outlineLevel="0" collapsed="false">
      <c r="A14466" s="3" t="s">
        <v>501</v>
      </c>
      <c r="C14466" s="25" t="n">
        <f aca="false">SUMPRODUCT(($C$14460:$C$14462&lt;C14462)*$C$14456:$C$14458)</f>
        <v>1349.6193225</v>
      </c>
    </row>
    <row r="14467" customFormat="false" ht="15" hidden="false" customHeight="false" outlineLevel="0" collapsed="false">
      <c r="A14467" s="23" t="s">
        <v>509</v>
      </c>
      <c r="B14467" s="24"/>
      <c r="C14467" s="24"/>
      <c r="D14467" s="24"/>
      <c r="E14467" s="24"/>
      <c r="F14467" s="24"/>
      <c r="G14467" s="24"/>
      <c r="H14467" s="24"/>
      <c r="I14467" s="24"/>
      <c r="J14467" s="24"/>
      <c r="K14467" s="24"/>
    </row>
    <row r="14468" customFormat="false" ht="15" hidden="false" customHeight="false" outlineLevel="0" collapsed="false">
      <c r="A14468" s="3" t="s">
        <v>499</v>
      </c>
      <c r="C14468" s="25" t="n">
        <f aca="false">SUMPRODUCT(($C$14460:$C$14462=C14460)*$C$14456:$C$14458)</f>
        <v>1349.6193225</v>
      </c>
    </row>
    <row r="14469" customFormat="false" ht="15" hidden="false" customHeight="false" outlineLevel="0" collapsed="false">
      <c r="A14469" s="3" t="s">
        <v>500</v>
      </c>
      <c r="C14469" s="25" t="n">
        <f aca="false">SUMPRODUCT(($C$14460:$C$14462=C14461)*$C$14456:$C$14458)</f>
        <v>151.678675414359</v>
      </c>
    </row>
    <row r="14470" customFormat="false" ht="15" hidden="false" customHeight="false" outlineLevel="0" collapsed="false">
      <c r="A14470" s="3" t="s">
        <v>501</v>
      </c>
      <c r="C14470" s="25" t="n">
        <f aca="false">SUMPRODUCT(($C$14460:$C$14462=C14462)*$C$14456:$C$14458)</f>
        <v>151.678675414359</v>
      </c>
    </row>
    <row r="14471" customFormat="false" ht="15" hidden="false" customHeight="false" outlineLevel="0" collapsed="false">
      <c r="A14471" s="23" t="s">
        <v>510</v>
      </c>
      <c r="B14471" s="24"/>
      <c r="C14471" s="24"/>
      <c r="D14471" s="24"/>
      <c r="E14471" s="24"/>
      <c r="F14471" s="24"/>
      <c r="G14471" s="24"/>
      <c r="H14471" s="24"/>
      <c r="I14471" s="24"/>
      <c r="J14471" s="24"/>
      <c r="K14471" s="24"/>
    </row>
    <row r="14472" customFormat="false" ht="15" hidden="false" customHeight="false" outlineLevel="0" collapsed="false">
      <c r="A14472" s="3" t="s">
        <v>499</v>
      </c>
      <c r="C14472" s="25" t="n">
        <f aca="false">IF(C14468=0,0,C14456/C14468*MAX(0,MIN(C14468,$C$14434-SUM($C$14448:$C$14450)-C14464)))</f>
        <v>459.5705712</v>
      </c>
    </row>
    <row r="14473" customFormat="false" ht="15" hidden="false" customHeight="false" outlineLevel="0" collapsed="false">
      <c r="A14473" s="3" t="s">
        <v>500</v>
      </c>
      <c r="C14473" s="25" t="n">
        <f aca="false">IF(C14469=0,0,C14457/C14469*MAX(0,MIN(C14469,$C$14434-SUM($C$14448:$C$14450)-C14465)))</f>
        <v>0</v>
      </c>
    </row>
    <row r="14474" customFormat="false" ht="15" hidden="false" customHeight="false" outlineLevel="0" collapsed="false">
      <c r="A14474" s="3" t="s">
        <v>501</v>
      </c>
      <c r="C14474" s="25" t="n">
        <f aca="false">IF(C14470=0,0,C14458/C14470*MAX(0,MIN(C14470,$C$14434-SUM($C$14448:$C$14450)-C14466)))</f>
        <v>0</v>
      </c>
    </row>
    <row r="14475" customFormat="false" ht="15" hidden="false" customHeight="false" outlineLevel="0" collapsed="false">
      <c r="A14475" s="23" t="s">
        <v>511</v>
      </c>
      <c r="B14475" s="24"/>
      <c r="C14475" s="24"/>
      <c r="D14475" s="24"/>
      <c r="E14475" s="24"/>
      <c r="F14475" s="24"/>
      <c r="G14475" s="24"/>
      <c r="H14475" s="24"/>
      <c r="I14475" s="24"/>
      <c r="J14475" s="24"/>
      <c r="K14475" s="24"/>
    </row>
    <row r="14476" customFormat="false" ht="15" hidden="false" customHeight="false" outlineLevel="0" collapsed="false">
      <c r="A14476" s="2" t="s">
        <v>499</v>
      </c>
      <c r="C14476" s="16" t="n">
        <f aca="false">C14448+C14472</f>
        <v>459.5705712</v>
      </c>
    </row>
    <row r="14477" customFormat="false" ht="15" hidden="false" customHeight="false" outlineLevel="0" collapsed="false">
      <c r="A14477" s="2" t="s">
        <v>500</v>
      </c>
      <c r="C14477" s="16" t="n">
        <f aca="false">C14449+C14473</f>
        <v>0</v>
      </c>
    </row>
    <row r="14478" customFormat="false" ht="15" hidden="false" customHeight="false" outlineLevel="0" collapsed="false">
      <c r="A14478" s="2" t="s">
        <v>501</v>
      </c>
      <c r="C14478" s="16" t="n">
        <f aca="false">C14450+C14474</f>
        <v>0</v>
      </c>
    </row>
    <row r="14479" customFormat="false" ht="15" hidden="false" customHeight="false" outlineLevel="0" collapsed="false">
      <c r="A14479" s="23" t="s">
        <v>512</v>
      </c>
      <c r="B14479" s="24"/>
      <c r="C14479" s="24"/>
      <c r="D14479" s="24"/>
      <c r="E14479" s="24"/>
      <c r="F14479" s="24"/>
      <c r="G14479" s="24"/>
      <c r="H14479" s="24"/>
      <c r="I14479" s="24"/>
      <c r="J14479" s="24"/>
      <c r="K14479" s="24"/>
    </row>
    <row r="14480" customFormat="false" ht="15" hidden="false" customHeight="false" outlineLevel="0" collapsed="false">
      <c r="A14480" s="3" t="s">
        <v>499</v>
      </c>
      <c r="C14480" s="21" t="n">
        <f aca="false">IF(C14436=0,1,C14476/C14436)</f>
        <v>0.340518665921812</v>
      </c>
    </row>
    <row r="14481" customFormat="false" ht="15" hidden="false" customHeight="false" outlineLevel="0" collapsed="false">
      <c r="A14481" s="3" t="s">
        <v>500</v>
      </c>
      <c r="C14481" s="21" t="n">
        <f aca="false">IF(C14437=0,1,C14477/C14437)</f>
        <v>0</v>
      </c>
    </row>
    <row r="14482" customFormat="false" ht="15" hidden="false" customHeight="false" outlineLevel="0" collapsed="false">
      <c r="A14482" s="3" t="s">
        <v>501</v>
      </c>
      <c r="C14482" s="21" t="n">
        <f aca="false">IF(C14438=0,1,C14478/C14438)</f>
        <v>0</v>
      </c>
    </row>
    <row r="14483" customFormat="false" ht="15" hidden="false" customHeight="false" outlineLevel="0" collapsed="false">
      <c r="A14483" s="23" t="s">
        <v>513</v>
      </c>
      <c r="B14483" s="24"/>
      <c r="C14483" s="24"/>
      <c r="D14483" s="24"/>
      <c r="E14483" s="24"/>
      <c r="F14483" s="24"/>
      <c r="G14483" s="24"/>
      <c r="H14483" s="24"/>
      <c r="I14483" s="24"/>
      <c r="J14483" s="24"/>
      <c r="K14483" s="24"/>
    </row>
    <row r="14484" customFormat="false" ht="15" hidden="false" customHeight="false" outlineLevel="0" collapsed="false">
      <c r="A14484" s="3" t="s">
        <v>499</v>
      </c>
      <c r="C14484" s="25" t="n">
        <f aca="false">C14436-C14476</f>
        <v>890.0487513</v>
      </c>
    </row>
    <row r="14485" customFormat="false" ht="15" hidden="false" customHeight="false" outlineLevel="0" collapsed="false">
      <c r="A14485" s="3" t="s">
        <v>500</v>
      </c>
      <c r="C14485" s="25" t="n">
        <f aca="false">C14437-C14477</f>
        <v>6.40133166435848</v>
      </c>
    </row>
    <row r="14486" customFormat="false" ht="15" hidden="false" customHeight="false" outlineLevel="0" collapsed="false">
      <c r="A14486" s="3" t="s">
        <v>501</v>
      </c>
      <c r="C14486" s="25" t="n">
        <f aca="false">C14438-C14478</f>
        <v>145.27734375</v>
      </c>
    </row>
    <row r="14487" customFormat="false" ht="15" hidden="false" customHeight="false" outlineLevel="0" collapsed="false">
      <c r="A14487" s="23" t="s">
        <v>514</v>
      </c>
      <c r="B14487" s="24"/>
      <c r="C14487" s="24"/>
      <c r="D14487" s="24"/>
      <c r="E14487" s="24"/>
      <c r="F14487" s="24"/>
      <c r="G14487" s="24"/>
      <c r="H14487" s="24"/>
      <c r="I14487" s="24"/>
      <c r="J14487" s="24"/>
      <c r="K14487" s="24"/>
    </row>
    <row r="14488" customFormat="false" ht="15" hidden="false" customHeight="false" outlineLevel="0" collapsed="false">
      <c r="A14488" s="3" t="s">
        <v>499</v>
      </c>
      <c r="C14488" s="21" t="n">
        <f aca="false">IF(C14436=0,0,C14484/C14436)</f>
        <v>0.659481334078188</v>
      </c>
    </row>
    <row r="14489" customFormat="false" ht="15" hidden="false" customHeight="false" outlineLevel="0" collapsed="false">
      <c r="A14489" s="3" t="s">
        <v>500</v>
      </c>
      <c r="C14489" s="21" t="n">
        <f aca="false">IF(C14437=0,0,C14485/C14437)</f>
        <v>1</v>
      </c>
    </row>
    <row r="14490" customFormat="false" ht="15" hidden="false" customHeight="false" outlineLevel="0" collapsed="false">
      <c r="A14490" s="3" t="s">
        <v>501</v>
      </c>
      <c r="C14490" s="21" t="n">
        <f aca="false">IF(C14438=0,0,C14486/C14438)</f>
        <v>1</v>
      </c>
    </row>
    <row r="14491" customFormat="false" ht="15" hidden="false" customHeight="false" outlineLevel="0" collapsed="false">
      <c r="A14491" s="2" t="s">
        <v>515</v>
      </c>
      <c r="C14491" s="16" t="n">
        <f aca="false">MAX(0,$C$14434-SUM($C$14448:$C$14450)-SUM($C$14456:$C$14458))</f>
        <v>0</v>
      </c>
    </row>
    <row r="14492" customFormat="false" ht="15" hidden="false" customHeight="false" outlineLevel="0" collapsed="false">
      <c r="A14492" s="3" t="s">
        <v>516</v>
      </c>
      <c r="C14492" s="25" t="n">
        <f aca="false">SUM($C$14476:$C$14478)+C14491+C14433-C14432</f>
        <v>0</v>
      </c>
    </row>
    <row r="14494" customFormat="false" ht="15" hidden="false" customHeight="false" outlineLevel="0" collapsed="false">
      <c r="A14494" s="23" t="s">
        <v>519</v>
      </c>
      <c r="B14494" s="24"/>
      <c r="C14494" s="24"/>
      <c r="D14494" s="24"/>
      <c r="E14494" s="24"/>
      <c r="F14494" s="24"/>
      <c r="G14494" s="24"/>
      <c r="H14494" s="24"/>
      <c r="I14494" s="24"/>
      <c r="J14494" s="24"/>
      <c r="K14494" s="24"/>
    </row>
    <row r="14495" customFormat="false" ht="15" hidden="false" customHeight="false" outlineLevel="0" collapsed="false">
      <c r="A14495" s="3" t="s">
        <v>520</v>
      </c>
      <c r="C14495" s="27" t="n">
        <f aca="false">Assumptions!$C$33</f>
        <v>1</v>
      </c>
    </row>
    <row r="14496" customFormat="false" ht="15" hidden="false" customHeight="false" outlineLevel="0" collapsed="false">
      <c r="A14496" s="3" t="s">
        <v>521</v>
      </c>
      <c r="C14496" s="29" t="n">
        <f aca="false">Assumptions!$C$34</f>
        <v>100</v>
      </c>
    </row>
    <row r="14497" customFormat="false" ht="15" hidden="false" customHeight="false" outlineLevel="0" collapsed="false">
      <c r="A14497" s="3" t="s">
        <v>522</v>
      </c>
      <c r="C14497" s="40" t="n">
        <f aca="false">Assumptions!$C$35</f>
        <v>95</v>
      </c>
    </row>
    <row r="14498" customFormat="false" ht="15" hidden="false" customHeight="false" outlineLevel="0" collapsed="false">
      <c r="A14498" s="3" t="s">
        <v>523</v>
      </c>
      <c r="C14498" s="25" t="n">
        <f aca="false">C14496*C14497/100*(1+Assumptions!$C$36)</f>
        <v>95</v>
      </c>
    </row>
    <row r="14499" customFormat="false" ht="15" hidden="false" customHeight="false" outlineLevel="0" collapsed="false">
      <c r="A14499" s="3" t="s">
        <v>524</v>
      </c>
      <c r="C14499" s="27" t="n">
        <f aca="false">Assumptions!$C$37</f>
        <v>3</v>
      </c>
    </row>
    <row r="14500" customFormat="false" ht="15" hidden="false" customHeight="false" outlineLevel="0" collapsed="false">
      <c r="A14500" s="3" t="s">
        <v>525</v>
      </c>
      <c r="C14500" s="20" t="n">
        <f aca="false">IF(C14425=1,SUMPRODUCT($G$14377:$K$14377,$G$14270:$K$14270),0)</f>
        <v>3</v>
      </c>
    </row>
    <row r="14501" customFormat="false" ht="15" hidden="false" customHeight="false" outlineLevel="0" collapsed="false">
      <c r="A14501" s="3" t="s">
        <v>526</v>
      </c>
      <c r="C14501" s="21" t="n">
        <f aca="false">IFERROR(C14496/CHOOSE(C14495,SUMPRODUCT($G$14424:$K$14424,$G$14316:$K$14316),SUMPRODUCT($G$14424:$K$14424,$G$14329:$K$14329),SUMPRODUCT($G$14424:$K$14424,$G$14342:$K$14342)),0)</f>
        <v>0.0760399605200525</v>
      </c>
    </row>
    <row r="14502" customFormat="false" ht="15" hidden="false" customHeight="false" outlineLevel="0" collapsed="false">
      <c r="A14502" s="3" t="s">
        <v>527</v>
      </c>
      <c r="C14502" s="25" t="n">
        <f aca="false">CHOOSE(C14495,C14476,C14477,C14478)*C14501</f>
        <v>34.945728090226</v>
      </c>
    </row>
    <row r="14503" customFormat="false" ht="15" hidden="false" customHeight="false" outlineLevel="0" collapsed="false">
      <c r="A14503" s="3" t="s">
        <v>528</v>
      </c>
      <c r="C14503" s="21" t="n">
        <f aca="false">CHOOSE(C14495,C14480,C14481,C14482)</f>
        <v>0.340518665921812</v>
      </c>
    </row>
    <row r="14504" customFormat="false" ht="15" hidden="false" customHeight="false" outlineLevel="0" collapsed="false">
      <c r="A14504" s="3" t="s">
        <v>529</v>
      </c>
      <c r="C14504" s="20" t="n">
        <f aca="false">IF(C14425=1,C14500,C14499)</f>
        <v>3</v>
      </c>
    </row>
    <row r="14505" customFormat="false" ht="15" hidden="false" customHeight="false" outlineLevel="0" collapsed="false">
      <c r="A14505" s="3" t="s">
        <v>530</v>
      </c>
      <c r="C14505" s="34" t="n">
        <f aca="false">CHOOSE($C$14262,Assumptions!$C$83,Assumptions!$C$102,Assumptions!$C$121)</f>
        <v>80</v>
      </c>
    </row>
    <row r="14506" customFormat="false" ht="15" hidden="false" customHeight="false" outlineLevel="0" collapsed="false">
      <c r="A14506" s="3" t="s">
        <v>531</v>
      </c>
      <c r="C14506" s="25" t="n">
        <f aca="false">INDEX($G$14279:$K$14279,C14499)*CHOOSE($C$14262,Assumptions!$C$82,Assumptions!$C$101,Assumptions!$C$120)+MAX(0,INDEX($G$14374:$K$14374,C14499))</f>
        <v>428.3744040576</v>
      </c>
    </row>
    <row r="14507" customFormat="false" ht="15" hidden="false" customHeight="false" outlineLevel="0" collapsed="false">
      <c r="A14507" s="23" t="s">
        <v>532</v>
      </c>
      <c r="B14507" s="24"/>
      <c r="C14507" s="24"/>
      <c r="D14507" s="24"/>
      <c r="E14507" s="24"/>
      <c r="F14507" s="24"/>
      <c r="G14507" s="24"/>
      <c r="H14507" s="24"/>
      <c r="I14507" s="24"/>
      <c r="J14507" s="24"/>
      <c r="K14507" s="24"/>
    </row>
    <row r="14508" customFormat="false" ht="15" hidden="false" customHeight="false" outlineLevel="0" collapsed="false">
      <c r="A14508" s="3" t="s">
        <v>499</v>
      </c>
      <c r="C14508" s="25" t="n">
        <f aca="false">INDEX($G$14316:$K$14316,C14499)</f>
        <v>1315.098</v>
      </c>
    </row>
    <row r="14509" customFormat="false" ht="15" hidden="false" customHeight="false" outlineLevel="0" collapsed="false">
      <c r="A14509" s="3" t="s">
        <v>500</v>
      </c>
      <c r="C14509" s="25" t="n">
        <f aca="false">INDEX($G$14329:$K$14329,C14499)</f>
        <v>6.33403256832008</v>
      </c>
    </row>
    <row r="14510" customFormat="false" ht="15" hidden="false" customHeight="false" outlineLevel="0" collapsed="false">
      <c r="A14510" s="3" t="s">
        <v>501</v>
      </c>
      <c r="C14510" s="25" t="n">
        <f aca="false">INDEX($G$14342:$K$14342,C14499)</f>
        <v>143.75</v>
      </c>
    </row>
    <row r="14511" customFormat="false" ht="15" hidden="false" customHeight="false" outlineLevel="0" collapsed="false">
      <c r="A14511" s="23" t="s">
        <v>502</v>
      </c>
      <c r="B14511" s="24"/>
      <c r="C14511" s="24"/>
      <c r="D14511" s="24"/>
      <c r="E14511" s="24"/>
      <c r="F14511" s="24"/>
      <c r="G14511" s="24"/>
      <c r="H14511" s="24"/>
      <c r="I14511" s="24"/>
      <c r="J14511" s="24"/>
      <c r="K14511" s="24"/>
    </row>
    <row r="14512" customFormat="false" ht="15" hidden="false" customHeight="false" outlineLevel="0" collapsed="false">
      <c r="A14512" s="3" t="s">
        <v>499</v>
      </c>
      <c r="C14512" s="27" t="n">
        <f aca="false">Assumptions!$M$56</f>
        <v>1</v>
      </c>
    </row>
    <row r="14513" customFormat="false" ht="15" hidden="false" customHeight="false" outlineLevel="0" collapsed="false">
      <c r="A14513" s="3" t="s">
        <v>500</v>
      </c>
      <c r="C14513" s="27" t="n">
        <f aca="false">Assumptions!$M$57</f>
        <v>2</v>
      </c>
    </row>
    <row r="14514" customFormat="false" ht="15" hidden="false" customHeight="false" outlineLevel="0" collapsed="false">
      <c r="A14514" s="3" t="s">
        <v>501</v>
      </c>
      <c r="C14514" s="27" t="n">
        <f aca="false">Assumptions!$M$58</f>
        <v>2</v>
      </c>
    </row>
    <row r="14515" customFormat="false" ht="15" hidden="false" customHeight="false" outlineLevel="0" collapsed="false">
      <c r="A14515" s="23" t="s">
        <v>503</v>
      </c>
      <c r="B14515" s="24"/>
      <c r="C14515" s="24"/>
      <c r="D14515" s="24"/>
      <c r="E14515" s="24"/>
      <c r="F14515" s="24"/>
      <c r="G14515" s="24"/>
      <c r="H14515" s="24"/>
      <c r="I14515" s="24"/>
      <c r="J14515" s="24"/>
      <c r="K14515" s="24"/>
    </row>
    <row r="14516" customFormat="false" ht="15" hidden="false" customHeight="false" outlineLevel="0" collapsed="false">
      <c r="A14516" s="3" t="s">
        <v>499</v>
      </c>
      <c r="C14516" s="35" t="n">
        <f aca="false">Assumptions!$Q$56</f>
        <v>0</v>
      </c>
    </row>
    <row r="14517" customFormat="false" ht="15" hidden="false" customHeight="false" outlineLevel="0" collapsed="false">
      <c r="A14517" s="3" t="s">
        <v>500</v>
      </c>
      <c r="C14517" s="35" t="n">
        <f aca="false">Assumptions!$Q$57</f>
        <v>0</v>
      </c>
    </row>
    <row r="14518" customFormat="false" ht="15" hidden="false" customHeight="false" outlineLevel="0" collapsed="false">
      <c r="A14518" s="3" t="s">
        <v>501</v>
      </c>
      <c r="C14518" s="35" t="n">
        <f aca="false">Assumptions!$Q$58</f>
        <v>0</v>
      </c>
    </row>
    <row r="14519" customFormat="false" ht="15" hidden="false" customHeight="false" outlineLevel="0" collapsed="false">
      <c r="A14519" s="23" t="s">
        <v>504</v>
      </c>
      <c r="B14519" s="24"/>
      <c r="C14519" s="24"/>
      <c r="D14519" s="24"/>
      <c r="E14519" s="24"/>
      <c r="F14519" s="24"/>
      <c r="G14519" s="24"/>
      <c r="H14519" s="24"/>
      <c r="I14519" s="24"/>
      <c r="J14519" s="24"/>
      <c r="K14519" s="24"/>
    </row>
    <row r="14520" customFormat="false" ht="15" hidden="false" customHeight="false" outlineLevel="0" collapsed="false">
      <c r="A14520" s="3" t="s">
        <v>499</v>
      </c>
      <c r="C14520" s="25" t="n">
        <f aca="false">IF(C14516&gt;0,MIN(C14508,C14516*$C$14506),0)</f>
        <v>0</v>
      </c>
    </row>
    <row r="14521" customFormat="false" ht="15" hidden="false" customHeight="false" outlineLevel="0" collapsed="false">
      <c r="A14521" s="3" t="s">
        <v>500</v>
      </c>
      <c r="C14521" s="25" t="n">
        <f aca="false">IF(C14517&gt;0,MIN(C14509,C14517*$C$14506),0)</f>
        <v>0</v>
      </c>
    </row>
    <row r="14522" customFormat="false" ht="15" hidden="false" customHeight="false" outlineLevel="0" collapsed="false">
      <c r="A14522" s="3" t="s">
        <v>501</v>
      </c>
      <c r="C14522" s="25" t="n">
        <f aca="false">IF(C14518&gt;0,MIN(C14510,C14518*$C$14506),0)</f>
        <v>0</v>
      </c>
    </row>
    <row r="14523" customFormat="false" ht="15" hidden="false" customHeight="false" outlineLevel="0" collapsed="false">
      <c r="A14523" s="23" t="s">
        <v>505</v>
      </c>
      <c r="B14523" s="24"/>
      <c r="C14523" s="24"/>
      <c r="D14523" s="24"/>
      <c r="E14523" s="24"/>
      <c r="F14523" s="24"/>
      <c r="G14523" s="24"/>
      <c r="H14523" s="24"/>
      <c r="I14523" s="24"/>
      <c r="J14523" s="24"/>
      <c r="K14523" s="24"/>
    </row>
    <row r="14524" customFormat="false" ht="15" hidden="false" customHeight="false" outlineLevel="0" collapsed="false">
      <c r="A14524" s="3" t="s">
        <v>499</v>
      </c>
      <c r="C14524" s="25" t="n">
        <f aca="false">IF(C14516&gt;0,C14508-C14520,0)</f>
        <v>0</v>
      </c>
    </row>
    <row r="14525" customFormat="false" ht="15" hidden="false" customHeight="false" outlineLevel="0" collapsed="false">
      <c r="A14525" s="3" t="s">
        <v>500</v>
      </c>
      <c r="C14525" s="25" t="n">
        <f aca="false">IF(C14517&gt;0,C14509-C14521,0)</f>
        <v>0</v>
      </c>
    </row>
    <row r="14526" customFormat="false" ht="15" hidden="false" customHeight="false" outlineLevel="0" collapsed="false">
      <c r="A14526" s="3" t="s">
        <v>501</v>
      </c>
      <c r="C14526" s="25" t="n">
        <f aca="false">IF(C14518&gt;0,C14510-C14522,0)</f>
        <v>0</v>
      </c>
    </row>
    <row r="14527" customFormat="false" ht="15" hidden="false" customHeight="false" outlineLevel="0" collapsed="false">
      <c r="A14527" s="23" t="s">
        <v>506</v>
      </c>
      <c r="B14527" s="24"/>
      <c r="C14527" s="24"/>
      <c r="D14527" s="24"/>
      <c r="E14527" s="24"/>
      <c r="F14527" s="24"/>
      <c r="G14527" s="24"/>
      <c r="H14527" s="24"/>
      <c r="I14527" s="24"/>
      <c r="J14527" s="24"/>
      <c r="K14527" s="24"/>
    </row>
    <row r="14528" customFormat="false" ht="15" hidden="false" customHeight="false" outlineLevel="0" collapsed="false">
      <c r="A14528" s="3" t="s">
        <v>499</v>
      </c>
      <c r="C14528" s="25" t="n">
        <f aca="false">IF(C14516&gt;0,C14524,C14508)</f>
        <v>1315.098</v>
      </c>
    </row>
    <row r="14529" customFormat="false" ht="15" hidden="false" customHeight="false" outlineLevel="0" collapsed="false">
      <c r="A14529" s="3" t="s">
        <v>500</v>
      </c>
      <c r="C14529" s="25" t="n">
        <f aca="false">IF(C14517&gt;0,C14525,C14509)</f>
        <v>6.33403256832008</v>
      </c>
    </row>
    <row r="14530" customFormat="false" ht="15" hidden="false" customHeight="false" outlineLevel="0" collapsed="false">
      <c r="A14530" s="3" t="s">
        <v>501</v>
      </c>
      <c r="C14530" s="25" t="n">
        <f aca="false">IF(C14518&gt;0,C14526,C14510)</f>
        <v>143.75</v>
      </c>
    </row>
    <row r="14531" customFormat="false" ht="15" hidden="false" customHeight="false" outlineLevel="0" collapsed="false">
      <c r="A14531" s="23" t="s">
        <v>507</v>
      </c>
      <c r="B14531" s="24"/>
      <c r="C14531" s="24"/>
      <c r="D14531" s="24"/>
      <c r="E14531" s="24"/>
      <c r="F14531" s="24"/>
      <c r="G14531" s="24"/>
      <c r="H14531" s="24"/>
      <c r="I14531" s="24"/>
      <c r="J14531" s="24"/>
      <c r="K14531" s="24"/>
    </row>
    <row r="14532" customFormat="false" ht="15" hidden="false" customHeight="false" outlineLevel="0" collapsed="false">
      <c r="A14532" s="3" t="s">
        <v>499</v>
      </c>
      <c r="C14532" s="20" t="n">
        <f aca="false">IF(C14516&gt;0,Assumptions!$C$17,C14512)</f>
        <v>1</v>
      </c>
    </row>
    <row r="14533" customFormat="false" ht="15" hidden="false" customHeight="false" outlineLevel="0" collapsed="false">
      <c r="A14533" s="3" t="s">
        <v>500</v>
      </c>
      <c r="C14533" s="20" t="n">
        <f aca="false">IF(C14517&gt;0,Assumptions!$C$17,C14513)</f>
        <v>2</v>
      </c>
    </row>
    <row r="14534" customFormat="false" ht="15" hidden="false" customHeight="false" outlineLevel="0" collapsed="false">
      <c r="A14534" s="3" t="s">
        <v>501</v>
      </c>
      <c r="C14534" s="20" t="n">
        <f aca="false">IF(C14518&gt;0,Assumptions!$C$17,C14514)</f>
        <v>2</v>
      </c>
    </row>
    <row r="14535" customFormat="false" ht="15" hidden="false" customHeight="false" outlineLevel="0" collapsed="false">
      <c r="A14535" s="23" t="s">
        <v>508</v>
      </c>
      <c r="B14535" s="24"/>
      <c r="C14535" s="24"/>
      <c r="D14535" s="24"/>
      <c r="E14535" s="24"/>
      <c r="F14535" s="24"/>
      <c r="G14535" s="24"/>
      <c r="H14535" s="24"/>
      <c r="I14535" s="24"/>
      <c r="J14535" s="24"/>
      <c r="K14535" s="24"/>
    </row>
    <row r="14536" customFormat="false" ht="15" hidden="false" customHeight="false" outlineLevel="0" collapsed="false">
      <c r="A14536" s="3" t="s">
        <v>499</v>
      </c>
      <c r="C14536" s="25" t="n">
        <f aca="false">SUMPRODUCT(($C$14532:$C$14534&lt;C14532)*$C$14528:$C$14530)</f>
        <v>0</v>
      </c>
    </row>
    <row r="14537" customFormat="false" ht="15" hidden="false" customHeight="false" outlineLevel="0" collapsed="false">
      <c r="A14537" s="3" t="s">
        <v>500</v>
      </c>
      <c r="C14537" s="25" t="n">
        <f aca="false">SUMPRODUCT(($C$14532:$C$14534&lt;C14533)*$C$14528:$C$14530)</f>
        <v>1315.098</v>
      </c>
    </row>
    <row r="14538" customFormat="false" ht="15" hidden="false" customHeight="false" outlineLevel="0" collapsed="false">
      <c r="A14538" s="3" t="s">
        <v>501</v>
      </c>
      <c r="C14538" s="25" t="n">
        <f aca="false">SUMPRODUCT(($C$14532:$C$14534&lt;C14534)*$C$14528:$C$14530)</f>
        <v>1315.098</v>
      </c>
    </row>
    <row r="14539" customFormat="false" ht="15" hidden="false" customHeight="false" outlineLevel="0" collapsed="false">
      <c r="A14539" s="23" t="s">
        <v>509</v>
      </c>
      <c r="B14539" s="24"/>
      <c r="C14539" s="24"/>
      <c r="D14539" s="24"/>
      <c r="E14539" s="24"/>
      <c r="F14539" s="24"/>
      <c r="G14539" s="24"/>
      <c r="H14539" s="24"/>
      <c r="I14539" s="24"/>
      <c r="J14539" s="24"/>
      <c r="K14539" s="24"/>
    </row>
    <row r="14540" customFormat="false" ht="15" hidden="false" customHeight="false" outlineLevel="0" collapsed="false">
      <c r="A14540" s="3" t="s">
        <v>499</v>
      </c>
      <c r="C14540" s="25" t="n">
        <f aca="false">SUMPRODUCT(($C$14532:$C$14534=C14532)*$C$14528:$C$14530)</f>
        <v>1315.098</v>
      </c>
    </row>
    <row r="14541" customFormat="false" ht="15" hidden="false" customHeight="false" outlineLevel="0" collapsed="false">
      <c r="A14541" s="3" t="s">
        <v>500</v>
      </c>
      <c r="C14541" s="25" t="n">
        <f aca="false">SUMPRODUCT(($C$14532:$C$14534=C14533)*$C$14528:$C$14530)</f>
        <v>150.08403256832</v>
      </c>
    </row>
    <row r="14542" customFormat="false" ht="15" hidden="false" customHeight="false" outlineLevel="0" collapsed="false">
      <c r="A14542" s="3" t="s">
        <v>501</v>
      </c>
      <c r="C14542" s="25" t="n">
        <f aca="false">SUMPRODUCT(($C$14532:$C$14534=C14534)*$C$14528:$C$14530)</f>
        <v>150.08403256832</v>
      </c>
    </row>
    <row r="14543" customFormat="false" ht="15" hidden="false" customHeight="false" outlineLevel="0" collapsed="false">
      <c r="A14543" s="23" t="s">
        <v>510</v>
      </c>
      <c r="B14543" s="24"/>
      <c r="C14543" s="24"/>
      <c r="D14543" s="24"/>
      <c r="E14543" s="24"/>
      <c r="F14543" s="24"/>
      <c r="G14543" s="24"/>
      <c r="H14543" s="24"/>
      <c r="I14543" s="24"/>
      <c r="J14543" s="24"/>
      <c r="K14543" s="24"/>
    </row>
    <row r="14544" customFormat="false" ht="15" hidden="false" customHeight="false" outlineLevel="0" collapsed="false">
      <c r="A14544" s="3" t="s">
        <v>499</v>
      </c>
      <c r="C14544" s="25" t="n">
        <f aca="false">IF(C14540=0,0,C14528/C14540*MAX(0,MIN(C14540,$C$14506-SUM($C$14520:$C$14522)-C14536)))</f>
        <v>428.3744040576</v>
      </c>
    </row>
    <row r="14545" customFormat="false" ht="15" hidden="false" customHeight="false" outlineLevel="0" collapsed="false">
      <c r="A14545" s="3" t="s">
        <v>500</v>
      </c>
      <c r="C14545" s="25" t="n">
        <f aca="false">IF(C14541=0,0,C14529/C14541*MAX(0,MIN(C14541,$C$14506-SUM($C$14520:$C$14522)-C14537)))</f>
        <v>0</v>
      </c>
    </row>
    <row r="14546" customFormat="false" ht="15" hidden="false" customHeight="false" outlineLevel="0" collapsed="false">
      <c r="A14546" s="3" t="s">
        <v>501</v>
      </c>
      <c r="C14546" s="25" t="n">
        <f aca="false">IF(C14542=0,0,C14530/C14542*MAX(0,MIN(C14542,$C$14506-SUM($C$14520:$C$14522)-C14538)))</f>
        <v>0</v>
      </c>
    </row>
    <row r="14547" customFormat="false" ht="15" hidden="false" customHeight="false" outlineLevel="0" collapsed="false">
      <c r="A14547" s="23" t="s">
        <v>511</v>
      </c>
      <c r="B14547" s="24"/>
      <c r="C14547" s="24"/>
      <c r="D14547" s="24"/>
      <c r="E14547" s="24"/>
      <c r="F14547" s="24"/>
      <c r="G14547" s="24"/>
      <c r="H14547" s="24"/>
      <c r="I14547" s="24"/>
      <c r="J14547" s="24"/>
      <c r="K14547" s="24"/>
    </row>
    <row r="14548" customFormat="false" ht="15" hidden="false" customHeight="false" outlineLevel="0" collapsed="false">
      <c r="A14548" s="2" t="s">
        <v>499</v>
      </c>
      <c r="C14548" s="16" t="n">
        <f aca="false">C14520+C14544</f>
        <v>428.3744040576</v>
      </c>
    </row>
    <row r="14549" customFormat="false" ht="15" hidden="false" customHeight="false" outlineLevel="0" collapsed="false">
      <c r="A14549" s="2" t="s">
        <v>500</v>
      </c>
      <c r="C14549" s="16" t="n">
        <f aca="false">C14521+C14545</f>
        <v>0</v>
      </c>
    </row>
    <row r="14550" customFormat="false" ht="15" hidden="false" customHeight="false" outlineLevel="0" collapsed="false">
      <c r="A14550" s="2" t="s">
        <v>501</v>
      </c>
      <c r="C14550" s="16" t="n">
        <f aca="false">C14522+C14546</f>
        <v>0</v>
      </c>
    </row>
    <row r="14551" customFormat="false" ht="15" hidden="false" customHeight="false" outlineLevel="0" collapsed="false">
      <c r="A14551" s="23" t="s">
        <v>512</v>
      </c>
      <c r="B14551" s="24"/>
      <c r="C14551" s="24"/>
      <c r="D14551" s="24"/>
      <c r="E14551" s="24"/>
      <c r="F14551" s="24"/>
      <c r="G14551" s="24"/>
      <c r="H14551" s="24"/>
      <c r="I14551" s="24"/>
      <c r="J14551" s="24"/>
      <c r="K14551" s="24"/>
    </row>
    <row r="14552" customFormat="false" ht="15" hidden="false" customHeight="false" outlineLevel="0" collapsed="false">
      <c r="A14552" s="3" t="s">
        <v>499</v>
      </c>
      <c r="C14552" s="21" t="n">
        <f aca="false">IF(C14508=0,1,C14548/C14508)</f>
        <v>0.325735727723409</v>
      </c>
    </row>
    <row r="14553" customFormat="false" ht="15" hidden="false" customHeight="false" outlineLevel="0" collapsed="false">
      <c r="A14553" s="3" t="s">
        <v>500</v>
      </c>
      <c r="C14553" s="21" t="n">
        <f aca="false">IF(C14509=0,1,C14549/C14509)</f>
        <v>0</v>
      </c>
    </row>
    <row r="14554" customFormat="false" ht="15" hidden="false" customHeight="false" outlineLevel="0" collapsed="false">
      <c r="A14554" s="3" t="s">
        <v>501</v>
      </c>
      <c r="C14554" s="21" t="n">
        <f aca="false">IF(C14510=0,1,C14550/C14510)</f>
        <v>0</v>
      </c>
    </row>
    <row r="14555" customFormat="false" ht="15" hidden="false" customHeight="false" outlineLevel="0" collapsed="false">
      <c r="A14555" s="23" t="s">
        <v>513</v>
      </c>
      <c r="B14555" s="24"/>
      <c r="C14555" s="24"/>
      <c r="D14555" s="24"/>
      <c r="E14555" s="24"/>
      <c r="F14555" s="24"/>
      <c r="G14555" s="24"/>
      <c r="H14555" s="24"/>
      <c r="I14555" s="24"/>
      <c r="J14555" s="24"/>
      <c r="K14555" s="24"/>
    </row>
    <row r="14556" customFormat="false" ht="15" hidden="false" customHeight="false" outlineLevel="0" collapsed="false">
      <c r="A14556" s="3" t="s">
        <v>499</v>
      </c>
      <c r="C14556" s="25" t="n">
        <f aca="false">C14508-C14548</f>
        <v>886.7235959424</v>
      </c>
    </row>
    <row r="14557" customFormat="false" ht="15" hidden="false" customHeight="false" outlineLevel="0" collapsed="false">
      <c r="A14557" s="3" t="s">
        <v>500</v>
      </c>
      <c r="C14557" s="25" t="n">
        <f aca="false">C14509-C14549</f>
        <v>6.33403256832008</v>
      </c>
    </row>
    <row r="14558" customFormat="false" ht="15" hidden="false" customHeight="false" outlineLevel="0" collapsed="false">
      <c r="A14558" s="3" t="s">
        <v>501</v>
      </c>
      <c r="C14558" s="25" t="n">
        <f aca="false">C14510-C14550</f>
        <v>143.75</v>
      </c>
    </row>
    <row r="14559" customFormat="false" ht="15" hidden="false" customHeight="false" outlineLevel="0" collapsed="false">
      <c r="A14559" s="23" t="s">
        <v>514</v>
      </c>
      <c r="B14559" s="24"/>
      <c r="C14559" s="24"/>
      <c r="D14559" s="24"/>
      <c r="E14559" s="24"/>
      <c r="F14559" s="24"/>
      <c r="G14559" s="24"/>
      <c r="H14559" s="24"/>
      <c r="I14559" s="24"/>
      <c r="J14559" s="24"/>
      <c r="K14559" s="24"/>
    </row>
    <row r="14560" customFormat="false" ht="15" hidden="false" customHeight="false" outlineLevel="0" collapsed="false">
      <c r="A14560" s="3" t="s">
        <v>499</v>
      </c>
      <c r="C14560" s="21" t="n">
        <f aca="false">IF(C14508=0,0,C14556/C14508)</f>
        <v>0.674264272276591</v>
      </c>
    </row>
    <row r="14561" customFormat="false" ht="15" hidden="false" customHeight="false" outlineLevel="0" collapsed="false">
      <c r="A14561" s="3" t="s">
        <v>500</v>
      </c>
      <c r="C14561" s="21" t="n">
        <f aca="false">IF(C14509=0,0,C14557/C14509)</f>
        <v>1</v>
      </c>
    </row>
    <row r="14562" customFormat="false" ht="15" hidden="false" customHeight="false" outlineLevel="0" collapsed="false">
      <c r="A14562" s="3" t="s">
        <v>501</v>
      </c>
      <c r="C14562" s="21" t="n">
        <f aca="false">IF(C14510=0,0,C14558/C14510)</f>
        <v>1</v>
      </c>
    </row>
    <row r="14563" customFormat="false" ht="15" hidden="false" customHeight="false" outlineLevel="0" collapsed="false">
      <c r="A14563" s="2" t="s">
        <v>515</v>
      </c>
      <c r="C14563" s="16" t="n">
        <f aca="false">MAX(0,$C$14506-SUM($C$14520:$C$14522)-SUM($C$14528:$C$14530))</f>
        <v>0</v>
      </c>
    </row>
    <row r="14564" customFormat="false" ht="15" hidden="false" customHeight="false" outlineLevel="0" collapsed="false">
      <c r="A14564" s="3" t="s">
        <v>533</v>
      </c>
      <c r="C14564" s="34" t="n">
        <f aca="false">MIN(C14505,100*CHOOSE(C14495,C14552,C14553,C14554))</f>
        <v>32.5735727723409</v>
      </c>
    </row>
    <row r="14565" customFormat="false" ht="15" hidden="false" customHeight="false" outlineLevel="0" collapsed="false">
      <c r="A14565" s="3" t="s">
        <v>534</v>
      </c>
      <c r="C14565" s="20" t="n">
        <f aca="false">IF(C14425=1,C14500+Assumptions!$C$39,C14499)</f>
        <v>4</v>
      </c>
    </row>
    <row r="14566" customFormat="false" ht="15" hidden="false" customHeight="false" outlineLevel="0" collapsed="false">
      <c r="A14566" s="23" t="s">
        <v>535</v>
      </c>
      <c r="B14566" s="24"/>
      <c r="C14566" s="24"/>
      <c r="D14566" s="24"/>
      <c r="E14566" s="24"/>
      <c r="F14566" s="24"/>
      <c r="G14566" s="24"/>
      <c r="H14566" s="24"/>
      <c r="I14566" s="24"/>
      <c r="J14566" s="24"/>
      <c r="K14566" s="24"/>
    </row>
    <row r="14567" customFormat="false" ht="15" hidden="false" customHeight="false" outlineLevel="0" collapsed="false">
      <c r="A14567" s="3" t="s">
        <v>536</v>
      </c>
      <c r="C14567" s="20" t="n">
        <f aca="false">COLUMN()-COLUMN($C$1)</f>
        <v>0</v>
      </c>
      <c r="D14567" s="20" t="n">
        <f aca="false">COLUMN()-COLUMN($C$1)</f>
        <v>1</v>
      </c>
      <c r="E14567" s="20" t="n">
        <f aca="false">COLUMN()-COLUMN($C$1)</f>
        <v>2</v>
      </c>
      <c r="F14567" s="20" t="n">
        <f aca="false">COLUMN()-COLUMN($C$1)</f>
        <v>3</v>
      </c>
      <c r="G14567" s="20" t="n">
        <f aca="false">COLUMN()-COLUMN($C$1)</f>
        <v>4</v>
      </c>
      <c r="H14567" s="20" t="n">
        <f aca="false">COLUMN()-COLUMN($C$1)</f>
        <v>5</v>
      </c>
      <c r="I14567" s="20" t="n">
        <f aca="false">COLUMN()-COLUMN($C$1)</f>
        <v>6</v>
      </c>
    </row>
    <row r="14568" customFormat="false" ht="15" hidden="false" customHeight="false" outlineLevel="0" collapsed="false">
      <c r="A14568" s="3" t="s">
        <v>537</v>
      </c>
      <c r="D14568" s="31" t="n">
        <f aca="false">CHOOSE($C$14495,G14308,G14321,G14334)</f>
        <v>0.105</v>
      </c>
      <c r="E14568" s="31" t="n">
        <f aca="false">CHOOSE($C$14495,H14308,H14321,H14334)</f>
        <v>0.105</v>
      </c>
      <c r="F14568" s="31" t="n">
        <f aca="false">CHOOSE($C$14495,I14308,I14321,I14334)</f>
        <v>0.105</v>
      </c>
      <c r="G14568" s="31" t="n">
        <f aca="false">CHOOSE($C$14495,J14308,J14321,J14334)</f>
        <v>0.105</v>
      </c>
      <c r="H14568" s="31" t="n">
        <f aca="false">CHOOSE($C$14495,K14308,K14321,K14334)</f>
        <v>0.105</v>
      </c>
    </row>
    <row r="14569" customFormat="false" ht="15" hidden="false" customHeight="false" outlineLevel="0" collapsed="false">
      <c r="A14569" s="3" t="s">
        <v>538</v>
      </c>
      <c r="D14569" s="25" t="n">
        <f aca="false">IF(D14567&lt;=$C$14504,$C$14496*D14568,0)</f>
        <v>10.5</v>
      </c>
      <c r="E14569" s="25" t="n">
        <f aca="false">IF(E14567&lt;=$C$14504,$C$14496*E14568,0)</f>
        <v>10.5</v>
      </c>
      <c r="F14569" s="25" t="n">
        <f aca="false">IF(F14567&lt;=$C$14504,$C$14496*F14568,0)</f>
        <v>10.5</v>
      </c>
      <c r="G14569" s="25" t="n">
        <f aca="false">IF(G14567&lt;=$C$14504,$C$14496*G14568,0)</f>
        <v>0</v>
      </c>
      <c r="H14569" s="25" t="n">
        <f aca="false">IF(H14567&lt;=$C$14504,$C$14496*H14568,0)</f>
        <v>0</v>
      </c>
    </row>
    <row r="14570" customFormat="false" ht="15" hidden="false" customHeight="false" outlineLevel="0" collapsed="false">
      <c r="A14570" s="3" t="s">
        <v>539</v>
      </c>
      <c r="D14570" s="25" t="n">
        <f aca="false">IF(AND($C$14425=0,D14567=$C$14499),$C$14496*$C$14564/100,0)+IF(AND($C$14425=1,D14567=$C$14565),$C$14502,0)</f>
        <v>0</v>
      </c>
      <c r="E14570" s="25" t="n">
        <f aca="false">IF(AND($C$14425=0,E14567=$C$14499),$C$14496*$C$14564/100,0)+IF(AND($C$14425=1,E14567=$C$14565),$C$14502,0)</f>
        <v>0</v>
      </c>
      <c r="F14570" s="25" t="n">
        <f aca="false">IF(AND($C$14425=0,F14567=$C$14499),$C$14496*$C$14564/100,0)+IF(AND($C$14425=1,F14567=$C$14565),$C$14502,0)</f>
        <v>0</v>
      </c>
      <c r="G14570" s="25" t="n">
        <f aca="false">IF(AND($C$14425=0,G14567=$C$14499),$C$14496*$C$14564/100,0)+IF(AND($C$14425=1,G14567=$C$14565),$C$14502,0)</f>
        <v>34.945728090226</v>
      </c>
      <c r="H14570" s="25" t="n">
        <f aca="false">IF(AND($C$14425=0,H14567=$C$14499),$C$14496*$C$14564/100,0)+IF(AND($C$14425=1,H14567=$C$14565),$C$14502,0)</f>
        <v>0</v>
      </c>
      <c r="I14570" s="25" t="n">
        <f aca="false">IF(AND($C$14425=0,I14567=$C$14499),$C$14496*$C$14564/100,0)+IF(AND($C$14425=1,I14567=$C$14565),$C$14502,0)</f>
        <v>0</v>
      </c>
    </row>
    <row r="14571" customFormat="false" ht="15" hidden="false" customHeight="false" outlineLevel="0" collapsed="false">
      <c r="A14571" s="2" t="s">
        <v>540</v>
      </c>
      <c r="C14571" s="16" t="n">
        <f aca="false">-$C$14498</f>
        <v>-95</v>
      </c>
      <c r="D14571" s="16" t="n">
        <f aca="false">D14569+D14570</f>
        <v>10.5</v>
      </c>
      <c r="E14571" s="16" t="n">
        <f aca="false">E14569+E14570</f>
        <v>10.5</v>
      </c>
      <c r="F14571" s="16" t="n">
        <f aca="false">F14569+F14570</f>
        <v>10.5</v>
      </c>
      <c r="G14571" s="16" t="n">
        <f aca="false">G14569+G14570</f>
        <v>34.945728090226</v>
      </c>
      <c r="H14571" s="16" t="n">
        <f aca="false">H14569+H14570</f>
        <v>0</v>
      </c>
      <c r="I14571" s="16" t="n">
        <f aca="false">I14569+I14570</f>
        <v>0</v>
      </c>
    </row>
    <row r="14572" customFormat="false" ht="15" hidden="false" customHeight="false" outlineLevel="0" collapsed="false">
      <c r="A14572" s="3" t="s">
        <v>541</v>
      </c>
      <c r="C14572" s="25" t="n">
        <f aca="false">SUM($C$14569:$I$14569)</f>
        <v>31.5</v>
      </c>
    </row>
    <row r="14573" customFormat="false" ht="15" hidden="false" customHeight="false" outlineLevel="0" collapsed="false">
      <c r="A14573" s="3" t="s">
        <v>542</v>
      </c>
      <c r="C14573" s="25" t="n">
        <f aca="false">SUM($C$14570:$I$14570)</f>
        <v>34.945728090226</v>
      </c>
    </row>
    <row r="14574" customFormat="false" ht="15" hidden="false" customHeight="false" outlineLevel="0" collapsed="false">
      <c r="A14574" s="3" t="s">
        <v>543</v>
      </c>
      <c r="C14574" s="25" t="n">
        <f aca="false">C14572+C14573</f>
        <v>66.445728090226</v>
      </c>
    </row>
    <row r="14575" customFormat="false" ht="15" hidden="false" customHeight="false" outlineLevel="0" collapsed="false">
      <c r="A14575" s="3" t="s">
        <v>544</v>
      </c>
      <c r="C14575" s="25" t="n">
        <f aca="false">C14573-C14496*C14497/100</f>
        <v>-60.054271909774</v>
      </c>
    </row>
    <row r="14576" customFormat="false" ht="15" hidden="false" customHeight="false" outlineLevel="0" collapsed="false">
      <c r="A14576" s="3" t="s">
        <v>545</v>
      </c>
      <c r="C14576" s="25" t="n">
        <f aca="false">C14574-C14498</f>
        <v>-28.554271909774</v>
      </c>
    </row>
    <row r="14577" customFormat="false" ht="15" hidden="false" customHeight="false" outlineLevel="0" collapsed="false">
      <c r="A14577" s="2" t="s">
        <v>427</v>
      </c>
      <c r="C14577" s="44" t="n">
        <f aca="false">C14574/C14498</f>
        <v>0.699428716739221</v>
      </c>
    </row>
    <row r="14578" customFormat="false" ht="15" hidden="false" customHeight="false" outlineLevel="0" collapsed="false">
      <c r="A14578" s="2" t="s">
        <v>426</v>
      </c>
      <c r="C14578" s="42" t="n">
        <f aca="false">IF(C14574&lt;=0,-1,IFERROR(IRR($C$14571:$I$14571,MAX(-0.9,C14577^(1/C14565)-1)),IRR($C$14571:$I$14571,0.1)))</f>
        <v>-0.10811295237651</v>
      </c>
    </row>
    <row r="14579" customFormat="false" ht="15" hidden="false" customHeight="false" outlineLevel="0" collapsed="false">
      <c r="A14579" s="3" t="s">
        <v>546</v>
      </c>
      <c r="C14579" s="32" t="n">
        <f aca="false">MAX($G$14385:$K$14385)</f>
        <v>17.6426302993449</v>
      </c>
    </row>
    <row r="14580" customFormat="false" ht="15" hidden="false" customHeight="false" outlineLevel="0" collapsed="false">
      <c r="A14580" s="3" t="s">
        <v>547</v>
      </c>
      <c r="C14580" s="32" t="n">
        <f aca="false">MIN($G$14386:$K$14386)</f>
        <v>0.641091448545568</v>
      </c>
    </row>
    <row r="14581" customFormat="false" ht="15" hidden="false" customHeight="false" outlineLevel="0" collapsed="false">
      <c r="A14581" s="3" t="s">
        <v>548</v>
      </c>
      <c r="C14581" s="25" t="n">
        <f aca="false">SUM($G$14292:$K$14292)</f>
        <v>-362.406198194027</v>
      </c>
    </row>
    <row r="14585" customFormat="false" ht="15" hidden="false" customHeight="false" outlineLevel="0" collapsed="false">
      <c r="A14585" s="9" t="s">
        <v>1059</v>
      </c>
      <c r="B14585" s="10"/>
      <c r="C14585" s="10"/>
      <c r="D14585" s="10"/>
      <c r="E14585" s="10"/>
      <c r="F14585" s="10"/>
      <c r="G14585" s="10"/>
      <c r="H14585" s="10"/>
      <c r="I14585" s="10"/>
      <c r="J14585" s="10"/>
      <c r="K14585" s="10"/>
    </row>
    <row r="14586" customFormat="false" ht="15" hidden="false" customHeight="false" outlineLevel="0" collapsed="false">
      <c r="A14586" s="3" t="s">
        <v>1010</v>
      </c>
      <c r="C14586" s="11" t="n">
        <v>3</v>
      </c>
    </row>
    <row r="14587" customFormat="false" ht="15" hidden="false" customHeight="false" outlineLevel="0" collapsed="false">
      <c r="A14587" s="3" t="s">
        <v>1011</v>
      </c>
      <c r="C14587" s="18" t="n">
        <v>0</v>
      </c>
    </row>
    <row r="14588" customFormat="false" ht="15" hidden="false" customHeight="false" outlineLevel="0" collapsed="false">
      <c r="A14588" s="3" t="s">
        <v>1012</v>
      </c>
      <c r="C14588" s="18" t="n">
        <v>0</v>
      </c>
    </row>
    <row r="14589" customFormat="false" ht="15" hidden="false" customHeight="false" outlineLevel="0" collapsed="false">
      <c r="A14589" s="3" t="s">
        <v>1013</v>
      </c>
      <c r="C14589" s="30" t="n">
        <f aca="false">Sensitivities!$A$52</f>
        <v>0</v>
      </c>
    </row>
    <row r="14590" customFormat="false" ht="15" hidden="false" customHeight="false" outlineLevel="0" collapsed="false">
      <c r="A14590" s="3" t="s">
        <v>1014</v>
      </c>
      <c r="C14590" s="15" t="n">
        <v>0</v>
      </c>
    </row>
    <row r="14592" customFormat="false" ht="15" hidden="false" customHeight="false" outlineLevel="0" collapsed="false">
      <c r="A14592" s="23" t="s">
        <v>281</v>
      </c>
      <c r="B14592" s="24"/>
      <c r="C14592" s="24"/>
      <c r="D14592" s="24"/>
      <c r="E14592" s="24"/>
      <c r="F14592" s="24"/>
      <c r="G14592" s="24"/>
      <c r="H14592" s="24"/>
      <c r="I14592" s="24"/>
      <c r="J14592" s="24"/>
      <c r="K14592" s="24"/>
    </row>
    <row r="14593" customFormat="false" ht="15" hidden="false" customHeight="false" outlineLevel="0" collapsed="false">
      <c r="A14593" s="3" t="s">
        <v>282</v>
      </c>
      <c r="F14593" s="27" t="n">
        <f aca="false">Assumptions!$C$6</f>
        <v>2026</v>
      </c>
      <c r="G14593" s="20" t="n">
        <f aca="false">F14593+1</f>
        <v>2027</v>
      </c>
      <c r="H14593" s="20" t="n">
        <f aca="false">G14593+1</f>
        <v>2028</v>
      </c>
      <c r="I14593" s="20" t="n">
        <f aca="false">H14593+1</f>
        <v>2029</v>
      </c>
      <c r="J14593" s="20" t="n">
        <f aca="false">I14593+1</f>
        <v>2030</v>
      </c>
      <c r="K14593" s="20" t="n">
        <f aca="false">J14593+1</f>
        <v>2031</v>
      </c>
    </row>
    <row r="14594" customFormat="false" ht="15" hidden="false" customHeight="false" outlineLevel="0" collapsed="false">
      <c r="A14594" s="3" t="s">
        <v>283</v>
      </c>
      <c r="G14594" s="20" t="n">
        <f aca="false">G14593-Assumptions!$C$6</f>
        <v>1</v>
      </c>
      <c r="H14594" s="20" t="n">
        <f aca="false">H14593-Assumptions!$C$6</f>
        <v>2</v>
      </c>
      <c r="I14594" s="20" t="n">
        <f aca="false">I14593-Assumptions!$C$6</f>
        <v>3</v>
      </c>
      <c r="J14594" s="20" t="n">
        <f aca="false">J14593-Assumptions!$C$6</f>
        <v>4</v>
      </c>
      <c r="K14594" s="20" t="n">
        <f aca="false">K14593-Assumptions!$C$6</f>
        <v>5</v>
      </c>
    </row>
    <row r="14595" customFormat="false" ht="15" hidden="false" customHeight="false" outlineLevel="0" collapsed="false">
      <c r="A14595" s="3" t="s">
        <v>165</v>
      </c>
      <c r="G14595" s="21" t="n">
        <f aca="false">CHOOSE($C$14586,Assumptions!$G$71,Assumptions!$G$90,Assumptions!$G$109)+$C$14587</f>
        <v>-0.14</v>
      </c>
      <c r="H14595" s="21" t="n">
        <f aca="false">CHOOSE($C$14586,Assumptions!$H$71,Assumptions!$H$90,Assumptions!$H$109)+$C$14587</f>
        <v>-0.12</v>
      </c>
      <c r="I14595" s="21" t="n">
        <f aca="false">CHOOSE($C$14586,Assumptions!$I$71,Assumptions!$I$90,Assumptions!$I$109)+$C$14587</f>
        <v>-0.1</v>
      </c>
      <c r="J14595" s="21" t="n">
        <f aca="false">CHOOSE($C$14586,Assumptions!$J$71,Assumptions!$J$90,Assumptions!$J$109)+$C$14587</f>
        <v>-0.08</v>
      </c>
      <c r="K14595" s="21" t="n">
        <f aca="false">CHOOSE($C$14586,Assumptions!$K$71,Assumptions!$K$90,Assumptions!$K$109)+$C$14587</f>
        <v>-0.06</v>
      </c>
    </row>
    <row r="14596" customFormat="false" ht="15" hidden="false" customHeight="false" outlineLevel="0" collapsed="false">
      <c r="A14596" s="3" t="s">
        <v>166</v>
      </c>
      <c r="G14596" s="21" t="n">
        <f aca="false">CHOOSE($C$14586,Assumptions!$G$72,Assumptions!$G$91,Assumptions!$G$110)</f>
        <v>0.433246670103635</v>
      </c>
      <c r="H14596" s="21" t="n">
        <f aca="false">CHOOSE($C$14586,Assumptions!$H$72,Assumptions!$H$91,Assumptions!$H$110)</f>
        <v>0.418246670103635</v>
      </c>
      <c r="I14596" s="21" t="n">
        <f aca="false">CHOOSE($C$14586,Assumptions!$I$72,Assumptions!$I$91,Assumptions!$I$110)</f>
        <v>0.413246670103635</v>
      </c>
      <c r="J14596" s="21" t="n">
        <f aca="false">CHOOSE($C$14586,Assumptions!$J$72,Assumptions!$J$91,Assumptions!$J$110)</f>
        <v>0.413246670103635</v>
      </c>
      <c r="K14596" s="21" t="n">
        <f aca="false">CHOOSE($C$14586,Assumptions!$K$72,Assumptions!$K$91,Assumptions!$K$110)</f>
        <v>0.413246670103635</v>
      </c>
    </row>
    <row r="14597" customFormat="false" ht="15" hidden="false" customHeight="false" outlineLevel="0" collapsed="false">
      <c r="A14597" s="3" t="s">
        <v>167</v>
      </c>
      <c r="G14597" s="21" t="n">
        <f aca="false">CHOOSE($C$14586,Assumptions!$G$73,Assumptions!$G$92,Assumptions!$G$111)+$C$14588</f>
        <v>0.09</v>
      </c>
      <c r="H14597" s="21" t="n">
        <f aca="false">CHOOSE($C$14586,Assumptions!$H$73,Assumptions!$H$92,Assumptions!$H$111)+$C$14588</f>
        <v>0.075</v>
      </c>
      <c r="I14597" s="21" t="n">
        <f aca="false">CHOOSE($C$14586,Assumptions!$I$73,Assumptions!$I$92,Assumptions!$I$111)+$C$14588</f>
        <v>0.07</v>
      </c>
      <c r="J14597" s="21" t="n">
        <f aca="false">CHOOSE($C$14586,Assumptions!$J$73,Assumptions!$J$92,Assumptions!$J$111)+$C$14588</f>
        <v>0.07</v>
      </c>
      <c r="K14597" s="21" t="n">
        <f aca="false">CHOOSE($C$14586,Assumptions!$K$73,Assumptions!$K$92,Assumptions!$K$111)+$C$14588</f>
        <v>0.07</v>
      </c>
    </row>
    <row r="14598" customFormat="false" ht="15" hidden="false" customHeight="false" outlineLevel="0" collapsed="false">
      <c r="A14598" s="23" t="s">
        <v>284</v>
      </c>
      <c r="B14598" s="24"/>
      <c r="C14598" s="24"/>
      <c r="D14598" s="24"/>
      <c r="E14598" s="24"/>
      <c r="F14598" s="24"/>
      <c r="G14598" s="24"/>
      <c r="H14598" s="24"/>
      <c r="I14598" s="24"/>
      <c r="J14598" s="24"/>
      <c r="K14598" s="24"/>
    </row>
    <row r="14599" customFormat="false" ht="15" hidden="false" customHeight="false" outlineLevel="0" collapsed="false">
      <c r="A14599" s="2" t="s">
        <v>256</v>
      </c>
      <c r="F14599" s="28" t="n">
        <f aca="false">'Historical Financials'!G23</f>
        <v>2246.166</v>
      </c>
      <c r="G14599" s="16" t="n">
        <f aca="false">F14599*(1+G14595)</f>
        <v>1931.70276</v>
      </c>
      <c r="H14599" s="16" t="n">
        <f aca="false">G14599*(1+H14595)</f>
        <v>1699.8984288</v>
      </c>
      <c r="I14599" s="16" t="n">
        <f aca="false">H14599*(1+I14595)</f>
        <v>1529.90858592</v>
      </c>
      <c r="J14599" s="16" t="n">
        <f aca="false">I14599*(1+J14595)</f>
        <v>1407.5158990464</v>
      </c>
      <c r="K14599" s="16" t="n">
        <f aca="false">J14599*(1+K14595)</f>
        <v>1323.06494510362</v>
      </c>
    </row>
    <row r="14600" customFormat="false" ht="15" hidden="false" customHeight="false" outlineLevel="0" collapsed="false">
      <c r="A14600" s="3" t="s">
        <v>257</v>
      </c>
      <c r="G14600" s="25" t="n">
        <f aca="false">G14599*(1-G14596)</f>
        <v>1094.7989716</v>
      </c>
      <c r="H14600" s="25" t="n">
        <f aca="false">H14599*(1-H14596)</f>
        <v>988.92157144</v>
      </c>
      <c r="I14600" s="25" t="n">
        <f aca="false">I14599*(1-I14596)</f>
        <v>897.6789572256</v>
      </c>
      <c r="J14600" s="25" t="n">
        <f aca="false">J14599*(1-J14596)</f>
        <v>825.864640647552</v>
      </c>
      <c r="K14600" s="25" t="n">
        <f aca="false">K14599*(1-K14596)</f>
        <v>776.312762208699</v>
      </c>
    </row>
    <row r="14601" customFormat="false" ht="15" hidden="false" customHeight="false" outlineLevel="0" collapsed="false">
      <c r="A14601" s="2" t="s">
        <v>258</v>
      </c>
      <c r="G14601" s="16" t="n">
        <f aca="false">G14599-G14600</f>
        <v>836.9037884</v>
      </c>
      <c r="H14601" s="16" t="n">
        <f aca="false">H14599-H14600</f>
        <v>710.97685736</v>
      </c>
      <c r="I14601" s="16" t="n">
        <f aca="false">I14599-I14600</f>
        <v>632.2296286944</v>
      </c>
      <c r="J14601" s="16" t="n">
        <f aca="false">J14599-J14600</f>
        <v>581.651258398848</v>
      </c>
      <c r="K14601" s="16" t="n">
        <f aca="false">K14599-K14600</f>
        <v>546.752182894917</v>
      </c>
    </row>
    <row r="14602" customFormat="false" ht="15" hidden="false" customHeight="false" outlineLevel="0" collapsed="false">
      <c r="A14602" s="3" t="s">
        <v>285</v>
      </c>
      <c r="G14602" s="25" t="n">
        <f aca="false">G14601-G14603</f>
        <v>663.05054</v>
      </c>
      <c r="H14602" s="25" t="n">
        <f aca="false">H14601-H14603</f>
        <v>583.4844752</v>
      </c>
      <c r="I14602" s="25" t="n">
        <f aca="false">I14601-I14603</f>
        <v>525.13602768</v>
      </c>
      <c r="J14602" s="25" t="n">
        <f aca="false">J14601-J14603</f>
        <v>483.1251454656</v>
      </c>
      <c r="K14602" s="25" t="n">
        <f aca="false">K14601-K14603</f>
        <v>454.137636737664</v>
      </c>
    </row>
    <row r="14603" customFormat="false" ht="15" hidden="false" customHeight="false" outlineLevel="0" collapsed="false">
      <c r="A14603" s="2" t="s">
        <v>286</v>
      </c>
      <c r="G14603" s="16" t="n">
        <f aca="false">G14599*G14597</f>
        <v>173.8532484</v>
      </c>
      <c r="H14603" s="16" t="n">
        <f aca="false">H14599*H14597</f>
        <v>127.49238216</v>
      </c>
      <c r="I14603" s="16" t="n">
        <f aca="false">I14599*I14597</f>
        <v>107.0936010144</v>
      </c>
      <c r="J14603" s="16" t="n">
        <f aca="false">J14599*J14597</f>
        <v>98.526112933248</v>
      </c>
      <c r="K14603" s="16" t="n">
        <f aca="false">K14599*K14597</f>
        <v>92.6145461572531</v>
      </c>
    </row>
    <row r="14604" customFormat="false" ht="15" hidden="false" customHeight="false" outlineLevel="0" collapsed="false">
      <c r="A14604" s="3" t="s">
        <v>287</v>
      </c>
      <c r="G14604" s="25" t="n">
        <f aca="false">G14599*'Historical Financials'!G28/'Historical Financials'!G23</f>
        <v>73.35456</v>
      </c>
      <c r="H14604" s="25" t="n">
        <f aca="false">H14599*'Historical Financials'!G28/'Historical Financials'!G23</f>
        <v>64.5520128</v>
      </c>
      <c r="I14604" s="25" t="n">
        <f aca="false">I14599*'Historical Financials'!G28/'Historical Financials'!G23</f>
        <v>58.09681152</v>
      </c>
      <c r="J14604" s="25" t="n">
        <f aca="false">J14599*'Historical Financials'!G28/'Historical Financials'!G23</f>
        <v>53.4490665984</v>
      </c>
      <c r="K14604" s="25" t="n">
        <f aca="false">K14599*'Historical Financials'!G28/'Historical Financials'!G23</f>
        <v>50.242122602496</v>
      </c>
    </row>
    <row r="14605" customFormat="false" ht="15" hidden="false" customHeight="false" outlineLevel="0" collapsed="false">
      <c r="A14605" s="3" t="s">
        <v>288</v>
      </c>
      <c r="G14605" s="25" t="n">
        <f aca="false">G14599*'Historical Financials'!G29/'Historical Financials'!G23</f>
        <v>20.94616</v>
      </c>
      <c r="H14605" s="25" t="n">
        <f aca="false">H14599*'Historical Financials'!G29/'Historical Financials'!G23</f>
        <v>18.4326208</v>
      </c>
      <c r="I14605" s="25" t="n">
        <f aca="false">I14599*'Historical Financials'!G29/'Historical Financials'!G23</f>
        <v>16.58935872</v>
      </c>
      <c r="J14605" s="25" t="n">
        <f aca="false">J14599*'Historical Financials'!G29/'Historical Financials'!G23</f>
        <v>15.2622100224</v>
      </c>
      <c r="K14605" s="25" t="n">
        <f aca="false">K14599*'Historical Financials'!G29/'Historical Financials'!G23</f>
        <v>14.346477421056</v>
      </c>
    </row>
    <row r="14606" customFormat="false" ht="15" hidden="false" customHeight="false" outlineLevel="0" collapsed="false">
      <c r="A14606" s="2" t="s">
        <v>289</v>
      </c>
      <c r="G14606" s="16" t="n">
        <f aca="false">G14603-G14604-G14605</f>
        <v>79.5525284</v>
      </c>
      <c r="H14606" s="16" t="n">
        <f aca="false">H14603-H14604-H14605</f>
        <v>44.50774856</v>
      </c>
      <c r="I14606" s="16" t="n">
        <f aca="false">I14603-I14604-I14605</f>
        <v>32.4074307744</v>
      </c>
      <c r="J14606" s="16" t="n">
        <f aca="false">J14603-J14604-J14605</f>
        <v>29.814836312448</v>
      </c>
      <c r="K14606" s="16" t="n">
        <f aca="false">K14603-K14604-K14605</f>
        <v>28.0259461337011</v>
      </c>
    </row>
    <row r="14607" customFormat="false" ht="15" hidden="false" customHeight="false" outlineLevel="0" collapsed="false">
      <c r="A14607" s="3" t="s">
        <v>290</v>
      </c>
      <c r="G14607" s="25" t="n">
        <f aca="false">G14633+G14646+G14659</f>
        <v>155.95467</v>
      </c>
      <c r="H14607" s="25" t="n">
        <f aca="false">H14633+H14646+H14659</f>
        <v>155.95467</v>
      </c>
      <c r="I14607" s="25" t="n">
        <f aca="false">I14633+I14646+I14659</f>
        <v>155.95467</v>
      </c>
      <c r="J14607" s="25" t="n">
        <f aca="false">J14633+J14646+J14659</f>
        <v>144.463861384154</v>
      </c>
      <c r="K14607" s="25" t="n">
        <f aca="false">K14633+K14646+K14659</f>
        <v>144.463861384154</v>
      </c>
    </row>
    <row r="14608" customFormat="false" ht="15" hidden="false" customHeight="false" outlineLevel="0" collapsed="false">
      <c r="A14608" s="3" t="s">
        <v>291</v>
      </c>
      <c r="G14608" s="25" t="n">
        <f aca="false">G14634+G14647+G14660</f>
        <v>0</v>
      </c>
      <c r="H14608" s="25" t="n">
        <f aca="false">H14634+H14647+H14660</f>
        <v>0</v>
      </c>
      <c r="I14608" s="25" t="n">
        <f aca="false">I14634+I14647+I14660</f>
        <v>0</v>
      </c>
      <c r="J14608" s="25" t="n">
        <f aca="false">J14634+J14647+J14660</f>
        <v>0</v>
      </c>
      <c r="K14608" s="25" t="n">
        <f aca="false">K14634+K14647+K14660</f>
        <v>0</v>
      </c>
    </row>
    <row r="14609" customFormat="false" ht="15" hidden="false" customHeight="false" outlineLevel="0" collapsed="false">
      <c r="A14609" s="3" t="s">
        <v>239</v>
      </c>
      <c r="G14609" s="25" t="n">
        <f aca="false">G14607+G14608</f>
        <v>155.95467</v>
      </c>
      <c r="H14609" s="25" t="n">
        <f aca="false">H14607+H14608</f>
        <v>155.95467</v>
      </c>
      <c r="I14609" s="25" t="n">
        <f aca="false">I14607+I14608</f>
        <v>155.95467</v>
      </c>
      <c r="J14609" s="25" t="n">
        <f aca="false">J14607+J14608</f>
        <v>144.463861384154</v>
      </c>
      <c r="K14609" s="25" t="n">
        <f aca="false">K14607+K14608</f>
        <v>144.463861384154</v>
      </c>
    </row>
    <row r="14610" customFormat="false" ht="15" hidden="false" customHeight="false" outlineLevel="0" collapsed="false">
      <c r="A14610" s="2" t="s">
        <v>264</v>
      </c>
      <c r="G14610" s="16" t="n">
        <f aca="false">G14606-G14609</f>
        <v>-76.4021416</v>
      </c>
      <c r="H14610" s="16" t="n">
        <f aca="false">H14606-H14609</f>
        <v>-111.44692144</v>
      </c>
      <c r="I14610" s="16" t="n">
        <f aca="false">I14606-I14609</f>
        <v>-123.5472392256</v>
      </c>
      <c r="J14610" s="16" t="n">
        <f aca="false">J14606-J14609</f>
        <v>-114.649025071706</v>
      </c>
      <c r="K14610" s="16" t="n">
        <f aca="false">K14606-K14609</f>
        <v>-116.437915250452</v>
      </c>
    </row>
    <row r="14611" customFormat="false" ht="15" hidden="false" customHeight="false" outlineLevel="0" collapsed="false">
      <c r="A14611" s="3" t="s">
        <v>292</v>
      </c>
      <c r="G14611" s="25" t="n">
        <f aca="false">MAX(0,G14610)*Assumptions!$C$9</f>
        <v>0</v>
      </c>
      <c r="H14611" s="25" t="n">
        <f aca="false">MAX(0,H14610)*Assumptions!$C$9</f>
        <v>0</v>
      </c>
      <c r="I14611" s="25" t="n">
        <f aca="false">MAX(0,I14610)*Assumptions!$C$9</f>
        <v>0</v>
      </c>
      <c r="J14611" s="25" t="n">
        <f aca="false">MAX(0,J14610)*Assumptions!$C$9</f>
        <v>0</v>
      </c>
      <c r="K14611" s="25" t="n">
        <f aca="false">MAX(0,K14610)*Assumptions!$C$9</f>
        <v>0</v>
      </c>
    </row>
    <row r="14612" customFormat="false" ht="15" hidden="false" customHeight="false" outlineLevel="0" collapsed="false">
      <c r="A14612" s="2" t="s">
        <v>293</v>
      </c>
      <c r="G14612" s="16" t="n">
        <f aca="false">G14610-G14611</f>
        <v>-76.4021416</v>
      </c>
      <c r="H14612" s="16" t="n">
        <f aca="false">H14610-H14611</f>
        <v>-111.44692144</v>
      </c>
      <c r="I14612" s="16" t="n">
        <f aca="false">I14610-I14611</f>
        <v>-123.5472392256</v>
      </c>
      <c r="J14612" s="16" t="n">
        <f aca="false">J14610-J14611</f>
        <v>-114.649025071706</v>
      </c>
      <c r="K14612" s="16" t="n">
        <f aca="false">K14610-K14611</f>
        <v>-116.437915250452</v>
      </c>
    </row>
    <row r="14613" customFormat="false" ht="15" hidden="false" customHeight="false" outlineLevel="0" collapsed="false">
      <c r="A14613" s="23" t="s">
        <v>294</v>
      </c>
      <c r="B14613" s="24"/>
      <c r="C14613" s="24"/>
      <c r="D14613" s="24"/>
      <c r="E14613" s="24"/>
      <c r="F14613" s="24"/>
      <c r="G14613" s="24"/>
      <c r="H14613" s="24"/>
      <c r="I14613" s="24"/>
      <c r="J14613" s="24"/>
      <c r="K14613" s="24"/>
    </row>
    <row r="14614" customFormat="false" ht="15" hidden="false" customHeight="false" outlineLevel="0" collapsed="false">
      <c r="A14614" s="3" t="s">
        <v>169</v>
      </c>
      <c r="G14614" s="25" t="n">
        <f aca="false">G14599*CHOOSE($C$14586,Assumptions!$C$75,Assumptions!$C$94,Assumptions!$C$113)</f>
        <v>21.24873036</v>
      </c>
      <c r="H14614" s="25" t="n">
        <f aca="false">H14599*CHOOSE($C$14586,Assumptions!$C$75,Assumptions!$C$94,Assumptions!$C$113)</f>
        <v>18.6988827168</v>
      </c>
      <c r="I14614" s="25" t="n">
        <f aca="false">I14599*CHOOSE($C$14586,Assumptions!$C$75,Assumptions!$C$94,Assumptions!$C$113)</f>
        <v>16.82899444512</v>
      </c>
      <c r="J14614" s="25" t="n">
        <f aca="false">J14599*CHOOSE($C$14586,Assumptions!$C$75,Assumptions!$C$94,Assumptions!$C$113)</f>
        <v>15.4826748895104</v>
      </c>
      <c r="K14614" s="25" t="n">
        <f aca="false">K14599*CHOOSE($C$14586,Assumptions!$C$75,Assumptions!$C$94,Assumptions!$C$113)</f>
        <v>14.5537143961398</v>
      </c>
    </row>
    <row r="14615" customFormat="false" ht="15" hidden="false" customHeight="false" outlineLevel="0" collapsed="false">
      <c r="A14615" s="3" t="s">
        <v>295</v>
      </c>
      <c r="G14615" s="25" t="n">
        <f aca="false">CHOOSE($C$14586,Assumptions!$C$76,Assumptions!$C$95,Assumptions!$C$114)*(G14599-F14599)+CHOOSE($C$14586,Assumptions!$C$77,Assumptions!$C$96,Assumptions!$C$115)*G14599</f>
        <v>28.9755414</v>
      </c>
      <c r="H14615" s="25" t="n">
        <f aca="false">CHOOSE($C$14586,Assumptions!$C$76,Assumptions!$C$95,Assumptions!$C$114)*(H14599-G14599)+CHOOSE($C$14586,Assumptions!$C$77,Assumptions!$C$96,Assumptions!$C$115)*H14599</f>
        <v>25.498476432</v>
      </c>
      <c r="I14615" s="25" t="n">
        <f aca="false">CHOOSE($C$14586,Assumptions!$C$76,Assumptions!$C$95,Assumptions!$C$114)*(I14599-H14599)+CHOOSE($C$14586,Assumptions!$C$77,Assumptions!$C$96,Assumptions!$C$115)*I14599</f>
        <v>22.9486287888</v>
      </c>
      <c r="J14615" s="25" t="n">
        <f aca="false">CHOOSE($C$14586,Assumptions!$C$76,Assumptions!$C$95,Assumptions!$C$114)*(J14599-I14599)+CHOOSE($C$14586,Assumptions!$C$77,Assumptions!$C$96,Assumptions!$C$115)*J14599</f>
        <v>21.112738485696</v>
      </c>
      <c r="K14615" s="25" t="n">
        <f aca="false">CHOOSE($C$14586,Assumptions!$C$76,Assumptions!$C$95,Assumptions!$C$114)*(K14599-J14599)+CHOOSE($C$14586,Assumptions!$C$77,Assumptions!$C$96,Assumptions!$C$115)*K14599</f>
        <v>19.8459741765542</v>
      </c>
    </row>
    <row r="14616" customFormat="false" ht="15" hidden="false" customHeight="false" outlineLevel="0" collapsed="false">
      <c r="A14616" s="2" t="s">
        <v>296</v>
      </c>
      <c r="G14616" s="16" t="n">
        <f aca="false">G14612+G14604+G14605+G14608-G14614-G14615</f>
        <v>-32.32569336</v>
      </c>
      <c r="H14616" s="16" t="n">
        <f aca="false">H14612+H14604+H14605+H14608-H14614-H14615</f>
        <v>-72.6596469888</v>
      </c>
      <c r="I14616" s="16" t="n">
        <f aca="false">I14612+I14604+I14605+I14608-I14614-I14615</f>
        <v>-88.63869221952</v>
      </c>
      <c r="J14616" s="16" t="n">
        <f aca="false">J14612+J14604+J14605+J14608-J14614-J14615</f>
        <v>-82.533161826112</v>
      </c>
      <c r="K14616" s="16" t="n">
        <f aca="false">K14612+K14604+K14605+K14608-K14614-K14615</f>
        <v>-86.2490037995945</v>
      </c>
    </row>
    <row r="14618" customFormat="false" ht="15" hidden="false" customHeight="false" outlineLevel="0" collapsed="false">
      <c r="A14618" s="23" t="s">
        <v>298</v>
      </c>
      <c r="B14618" s="24"/>
      <c r="C14618" s="24"/>
      <c r="D14618" s="24"/>
      <c r="E14618" s="24"/>
      <c r="F14618" s="24"/>
      <c r="G14618" s="24"/>
      <c r="H14618" s="24"/>
      <c r="I14618" s="24"/>
      <c r="J14618" s="24"/>
      <c r="K14618" s="24"/>
    </row>
    <row r="14619" customFormat="false" ht="15" hidden="false" customHeight="false" outlineLevel="0" collapsed="false">
      <c r="A14619" s="3" t="s">
        <v>299</v>
      </c>
      <c r="G14619" s="30" t="n">
        <f aca="false">Assumptions!$G$52</f>
        <v>0.039</v>
      </c>
      <c r="H14619" s="30" t="n">
        <f aca="false">Assumptions!$H$52</f>
        <v>0.0375</v>
      </c>
      <c r="I14619" s="30" t="n">
        <f aca="false">Assumptions!$I$52</f>
        <v>0.035</v>
      </c>
      <c r="J14619" s="30" t="n">
        <f aca="false">Assumptions!$J$52</f>
        <v>0.035</v>
      </c>
      <c r="K14619" s="30" t="n">
        <f aca="false">Assumptions!$K$52</f>
        <v>0.035</v>
      </c>
    </row>
    <row r="14620" customFormat="false" ht="15" hidden="false" customHeight="false" outlineLevel="0" collapsed="false">
      <c r="A14620" s="3" t="s">
        <v>300</v>
      </c>
      <c r="C14620" s="31" t="n">
        <f aca="false">CHOOSE($C$14586,Assumptions!$C$78,Assumptions!$C$97,Assumptions!$C$116)+$C$14589</f>
        <v>0.03</v>
      </c>
    </row>
    <row r="14621" customFormat="false" ht="15" hidden="false" customHeight="false" outlineLevel="0" collapsed="false">
      <c r="A14621" s="3" t="s">
        <v>301</v>
      </c>
      <c r="C14621" s="31" t="n">
        <f aca="false">CHOOSE($C$14586,Assumptions!$C$79,Assumptions!$C$98,Assumptions!$C$117)</f>
        <v>0.15</v>
      </c>
    </row>
    <row r="14622" customFormat="false" ht="15" hidden="false" customHeight="false" outlineLevel="0" collapsed="false">
      <c r="A14622" s="3" t="s">
        <v>302</v>
      </c>
      <c r="C14622" s="32" t="n">
        <f aca="false">CHOOSE($C$14586,Assumptions!$C$80,Assumptions!$C$99,Assumptions!$C$118)</f>
        <v>5</v>
      </c>
    </row>
    <row r="14623" customFormat="false" ht="15" hidden="false" customHeight="false" outlineLevel="0" collapsed="false">
      <c r="A14623" s="3" t="s">
        <v>303</v>
      </c>
      <c r="C14623" s="32" t="n">
        <f aca="false">CHOOSE($C$14586,Assumptions!$C$81,Assumptions!$C$100,Assumptions!$C$119)</f>
        <v>1.75</v>
      </c>
    </row>
    <row r="14624" customFormat="false" ht="15" hidden="false" customHeight="false" outlineLevel="0" collapsed="false">
      <c r="A14624" s="3" t="s">
        <v>304</v>
      </c>
      <c r="G14624" s="25" t="n">
        <f aca="false">G14629+G14642+G14655</f>
        <v>1735.554</v>
      </c>
      <c r="H14624" s="25" t="n">
        <f aca="false">H14629+H14642+H14655</f>
        <v>1735.554</v>
      </c>
      <c r="I14624" s="25" t="n">
        <f aca="false">I14629+I14642+I14655</f>
        <v>1735.554</v>
      </c>
      <c r="J14624" s="25" t="n">
        <f aca="false">J14629+J14642+J14655</f>
        <v>1465.18203256832</v>
      </c>
      <c r="K14624" s="25" t="n">
        <f aca="false">K14629+K14642+K14655</f>
        <v>1465.18203256832</v>
      </c>
    </row>
    <row r="14625" customFormat="false" ht="15" hidden="false" customHeight="false" outlineLevel="0" collapsed="false">
      <c r="A14625" s="3" t="s">
        <v>305</v>
      </c>
      <c r="G14625" s="25" t="n">
        <f aca="false">F14698</f>
        <v>463.996</v>
      </c>
      <c r="H14625" s="25" t="n">
        <f aca="false">G14698</f>
        <v>431.67030664</v>
      </c>
      <c r="I14625" s="25" t="n">
        <f aca="false">H14698</f>
        <v>359.0106596512</v>
      </c>
      <c r="J14625" s="25" t="n">
        <f aca="false">I14698</f>
        <v>0</v>
      </c>
      <c r="K14625" s="25" t="n">
        <f aca="false">J14698</f>
        <v>-82.533161826112</v>
      </c>
    </row>
    <row r="14626" customFormat="false" ht="15" hidden="false" customHeight="false" outlineLevel="0" collapsed="false">
      <c r="A14626" s="3" t="s">
        <v>306</v>
      </c>
      <c r="G14626" s="25" t="n">
        <f aca="false">G14629*IF(G14630=1,$C$14621,IF(Assumptions!$I$56=1,MAX(G14619,Assumptions!$G$56)+Assumptions!$F$56+$C$14620,Assumptions!$E$56))+G14642*IF(G14643=1,$C$14621,IF(Assumptions!$I$57=1,MAX(G14619,Assumptions!$G$57)+Assumptions!$F$57+$C$14620,Assumptions!$E$57))+G14655*IF(G14656=1,$C$14621,IF(Assumptions!$I$58=1,MAX(G14619,Assumptions!$G$58)+Assumptions!$F$58+$C$14620,Assumptions!$E$58))</f>
        <v>155.95467</v>
      </c>
      <c r="H14626" s="25" t="n">
        <f aca="false">H14629*IF(OR(H14630=1,G14776=1),$C$14621,IF(Assumptions!$I$56=1,MAX(H14619,Assumptions!$G$56)+Assumptions!$F$56+$C$14620,Assumptions!$E$56))+H14642*IF(OR(H14643=1,G14777=1),$C$14621,IF(Assumptions!$I$57=1,MAX(H14619,Assumptions!$G$57)+Assumptions!$F$57+$C$14620,Assumptions!$E$57))+H14655*IF(OR(H14656=1,G14778=1),$C$14621,IF(Assumptions!$I$58=1,MAX(H14619,Assumptions!$G$58)+Assumptions!$F$58+$C$14620,Assumptions!$E$58))</f>
        <v>155.95467</v>
      </c>
      <c r="I14626" s="25" t="n">
        <f aca="false">I14629*IF(OR(I14630=1,H14776=1),$C$14621,IF(Assumptions!$I$56=1,MAX(I14619,Assumptions!$G$56)+Assumptions!$F$56+$C$14620,Assumptions!$E$56))+I14642*IF(OR(I14643=1,H14777=1),$C$14621,IF(Assumptions!$I$57=1,MAX(I14619,Assumptions!$G$57)+Assumptions!$F$57+$C$14620,Assumptions!$E$57))+I14655*IF(OR(I14656=1,H14778=1),$C$14621,IF(Assumptions!$I$58=1,MAX(I14619,Assumptions!$G$58)+Assumptions!$F$58+$C$14620,Assumptions!$E$58))</f>
        <v>201.15369</v>
      </c>
      <c r="J14626" s="25" t="n">
        <f aca="false">J14629*IF(OR(J14630=1,I14776=1),$C$14621,IF(Assumptions!$I$56=1,MAX(J14619,Assumptions!$G$56)+Assumptions!$F$56+$C$14620,Assumptions!$E$56))+J14642*IF(OR(J14643=1,I14777=1),$C$14621,IF(Assumptions!$I$57=1,MAX(J14619,Assumptions!$G$57)+Assumptions!$F$57+$C$14620,Assumptions!$E$57))+J14655*IF(OR(J14656=1,I14778=1),$C$14621,IF(Assumptions!$I$58=1,MAX(J14619,Assumptions!$G$58)+Assumptions!$F$58+$C$14620,Assumptions!$E$58))</f>
        <v>144.463861384154</v>
      </c>
      <c r="K14626" s="25" t="n">
        <f aca="false">K14629*IF(OR(K14630=1,J14776=1),$C$14621,IF(Assumptions!$I$56=1,MAX(K14619,Assumptions!$G$56)+Assumptions!$F$56+$C$14620,Assumptions!$E$56))+K14642*IF(OR(K14643=1,J14777=1),$C$14621,IF(Assumptions!$I$57=1,MAX(K14619,Assumptions!$G$57)+Assumptions!$F$57+$C$14620,Assumptions!$E$57))+K14655*IF(OR(K14656=1,J14778=1),$C$14621,IF(Assumptions!$I$58=1,MAX(K14619,Assumptions!$G$58)+Assumptions!$F$58+$C$14620,Assumptions!$E$58))</f>
        <v>144.463861384154</v>
      </c>
    </row>
    <row r="14627" customFormat="false" ht="15" hidden="false" customHeight="false" outlineLevel="0" collapsed="false">
      <c r="A14627" s="3" t="s">
        <v>307</v>
      </c>
      <c r="G14627" s="20" t="n">
        <f aca="false">IF(G14603&lt;=0,0,IF(AND((G14624-G14625)/G14603&lt;=$C$14622,G14603/G14626&gt;=$C$14623),1,0))</f>
        <v>0</v>
      </c>
      <c r="H14627" s="20" t="n">
        <f aca="false">IF(H14603&lt;=0,0,IF(AND((H14624-H14625)/H14603&lt;=$C$14622,H14603/H14626&gt;=$C$14623),1,0))</f>
        <v>0</v>
      </c>
      <c r="I14627" s="20" t="n">
        <f aca="false">IF(I14603&lt;=0,0,IF(AND((I14624-I14625)/I14603&lt;=$C$14622,I14603/I14626&gt;=$C$14623),1,0))</f>
        <v>0</v>
      </c>
      <c r="J14627" s="20" t="n">
        <f aca="false">IF(J14603&lt;=0,0,IF(AND((J14624-J14625)/J14603&lt;=$C$14622,J14603/J14626&gt;=$C$14623),1,0))</f>
        <v>0</v>
      </c>
      <c r="K14627" s="20" t="n">
        <f aca="false">IF(K14603&lt;=0,0,IF(AND((K14624-K14625)/K14603&lt;=$C$14622,K14603/K14626&gt;=$C$14623),1,0))</f>
        <v>0</v>
      </c>
    </row>
    <row r="14628" customFormat="false" ht="15" hidden="false" customHeight="false" outlineLevel="0" collapsed="false">
      <c r="A14628" s="23" t="s">
        <v>308</v>
      </c>
      <c r="B14628" s="24"/>
      <c r="C14628" s="24"/>
      <c r="D14628" s="24"/>
      <c r="E14628" s="24"/>
      <c r="F14628" s="24"/>
      <c r="G14628" s="24"/>
      <c r="H14628" s="24"/>
      <c r="I14628" s="24"/>
      <c r="J14628" s="24"/>
      <c r="K14628" s="24"/>
    </row>
    <row r="14629" customFormat="false" ht="15" hidden="false" customHeight="false" outlineLevel="0" collapsed="false">
      <c r="A14629" s="3" t="s">
        <v>309</v>
      </c>
      <c r="G14629" s="25" t="n">
        <f aca="false">F14640</f>
        <v>1315.098</v>
      </c>
      <c r="H14629" s="25" t="n">
        <f aca="false">G14640</f>
        <v>1315.098</v>
      </c>
      <c r="I14629" s="25" t="n">
        <f aca="false">H14640</f>
        <v>1315.098</v>
      </c>
      <c r="J14629" s="25" t="n">
        <f aca="false">I14640</f>
        <v>1315.098</v>
      </c>
      <c r="K14629" s="25" t="n">
        <f aca="false">J14640</f>
        <v>1315.098</v>
      </c>
    </row>
    <row r="14630" customFormat="false" ht="15" hidden="false" customHeight="false" outlineLevel="0" collapsed="false">
      <c r="A14630" s="3" t="s">
        <v>310</v>
      </c>
      <c r="G14630" s="20" t="n">
        <f aca="false">IF(G14593=Assumptions!$K$56,1,0)</f>
        <v>0</v>
      </c>
      <c r="H14630" s="20" t="n">
        <f aca="false">IF(H14593=Assumptions!$K$56,1,0)</f>
        <v>0</v>
      </c>
      <c r="I14630" s="20" t="n">
        <f aca="false">IF(I14593=Assumptions!$K$56,1,0)</f>
        <v>0</v>
      </c>
      <c r="J14630" s="20" t="n">
        <f aca="false">IF(J14593=Assumptions!$K$56,1,0)</f>
        <v>0</v>
      </c>
      <c r="K14630" s="20" t="n">
        <f aca="false">IF(K14593=Assumptions!$K$56,1,0)</f>
        <v>0</v>
      </c>
    </row>
    <row r="14632" customFormat="false" ht="15" hidden="false" customHeight="false" outlineLevel="0" collapsed="false">
      <c r="A14632" s="3" t="s">
        <v>311</v>
      </c>
      <c r="G14632" s="31" t="n">
        <f aca="false">IF(Assumptions!$I$56=1,MAX(G14619,Assumptions!$G$56)+Assumptions!$F$56+$C$14620,Assumptions!$E$56)</f>
        <v>0.105</v>
      </c>
      <c r="H14632" s="31" t="n">
        <f aca="false">IF(G14776=1,$C$14621,IF(Assumptions!$I$56=1,MAX(H14619,Assumptions!$G$56)+Assumptions!$F$56+$C$14620,Assumptions!$E$56))</f>
        <v>0.105</v>
      </c>
      <c r="I14632" s="31" t="n">
        <f aca="false">IF(H14776=1,$C$14621,IF(Assumptions!$I$56=1,MAX(I14619,Assumptions!$G$56)+Assumptions!$F$56+$C$14620,Assumptions!$E$56))</f>
        <v>0.105</v>
      </c>
      <c r="J14632" s="31" t="n">
        <f aca="false">IF(I14776=1,$C$14621,IF(Assumptions!$I$56=1,MAX(J14619,Assumptions!$G$56)+Assumptions!$F$56+$C$14620,Assumptions!$E$56))</f>
        <v>0.105</v>
      </c>
      <c r="K14632" s="31" t="n">
        <f aca="false">IF(J14776=1,$C$14621,IF(Assumptions!$I$56=1,MAX(K14619,Assumptions!$G$56)+Assumptions!$F$56+$C$14620,Assumptions!$E$56))</f>
        <v>0.105</v>
      </c>
    </row>
    <row r="14633" customFormat="false" ht="15" hidden="false" customHeight="false" outlineLevel="0" collapsed="false">
      <c r="A14633" s="3" t="s">
        <v>312</v>
      </c>
      <c r="G14633" s="25" t="n">
        <f aca="false">G14629*G14632</f>
        <v>138.08529</v>
      </c>
      <c r="H14633" s="25" t="n">
        <f aca="false">H14629*H14632</f>
        <v>138.08529</v>
      </c>
      <c r="I14633" s="25" t="n">
        <f aca="false">I14629*I14632</f>
        <v>138.08529</v>
      </c>
      <c r="J14633" s="25" t="n">
        <f aca="false">J14629*J14632</f>
        <v>138.08529</v>
      </c>
      <c r="K14633" s="25" t="n">
        <f aca="false">K14629*K14632</f>
        <v>138.08529</v>
      </c>
    </row>
    <row r="14634" customFormat="false" ht="15" hidden="false" customHeight="false" outlineLevel="0" collapsed="false">
      <c r="A14634" s="3" t="s">
        <v>313</v>
      </c>
      <c r="G14634" s="25" t="n">
        <f aca="false">G14629*Assumptions!$H$56</f>
        <v>0</v>
      </c>
      <c r="H14634" s="25" t="n">
        <f aca="false">H14629*Assumptions!$H$56</f>
        <v>0</v>
      </c>
      <c r="I14634" s="25" t="n">
        <f aca="false">I14629*Assumptions!$H$56</f>
        <v>0</v>
      </c>
      <c r="J14634" s="25" t="n">
        <f aca="false">J14629*Assumptions!$H$56</f>
        <v>0</v>
      </c>
      <c r="K14634" s="25" t="n">
        <f aca="false">K14629*Assumptions!$H$56</f>
        <v>0</v>
      </c>
    </row>
    <row r="14635" customFormat="false" ht="15" hidden="false" customHeight="false" outlineLevel="0" collapsed="false">
      <c r="A14635" s="3" t="s">
        <v>314</v>
      </c>
      <c r="G14635" s="25" t="n">
        <f aca="false">MIN(G14629,Assumptions!$L$56*Assumptions!$C$56)</f>
        <v>0</v>
      </c>
      <c r="H14635" s="25" t="n">
        <f aca="false">MIN(H14629,Assumptions!$L$56*Assumptions!$C$56)</f>
        <v>0</v>
      </c>
      <c r="I14635" s="25" t="n">
        <f aca="false">MIN(I14629,Assumptions!$L$56*Assumptions!$C$56)</f>
        <v>0</v>
      </c>
      <c r="J14635" s="25" t="n">
        <f aca="false">MIN(J14629,Assumptions!$L$56*Assumptions!$C$56)</f>
        <v>0</v>
      </c>
      <c r="K14635" s="25" t="n">
        <f aca="false">MIN(K14629,Assumptions!$L$56*Assumptions!$C$56)</f>
        <v>0</v>
      </c>
    </row>
    <row r="14636" customFormat="false" ht="15" hidden="false" customHeight="false" outlineLevel="0" collapsed="false">
      <c r="A14636" s="3" t="s">
        <v>315</v>
      </c>
      <c r="G14636" s="25" t="n">
        <f aca="false">IF(AND(Assumptions!$P$56=1,G14593&lt;Assumptions!$K$56),MIN(MAX(0,-G14690),MAX(0,Assumptions!$D$56-G14629)),0)</f>
        <v>0</v>
      </c>
      <c r="H14636" s="25" t="n">
        <f aca="false">IF(AND(Assumptions!$P$56=1,OR(H14593&lt;Assumptions!$K$56,G14776=1)),MIN(MAX(0,-H14690),MAX(0,Assumptions!$D$56-H14629)),0)</f>
        <v>0</v>
      </c>
      <c r="I14636" s="25" t="n">
        <f aca="false">IF(AND(Assumptions!$P$56=1,OR(I14593&lt;Assumptions!$K$56,H14776=1)),MIN(MAX(0,-I14690),MAX(0,Assumptions!$D$56-I14629)),0)</f>
        <v>0</v>
      </c>
      <c r="J14636" s="25" t="n">
        <f aca="false">IF(AND(Assumptions!$P$56=1,OR(J14593&lt;Assumptions!$K$56,I14776=1)),MIN(MAX(0,-J14690),MAX(0,Assumptions!$D$56-J14629)),0)</f>
        <v>0</v>
      </c>
      <c r="K14636" s="25" t="n">
        <f aca="false">IF(AND(Assumptions!$P$56=1,OR(K14593&lt;Assumptions!$K$56,J14776=1)),MIN(MAX(0,-K14690),MAX(0,Assumptions!$D$56-K14629)),0)</f>
        <v>0</v>
      </c>
    </row>
    <row r="14637" customFormat="false" ht="15" hidden="false" customHeight="false" outlineLevel="0" collapsed="false">
      <c r="A14637" s="3" t="s">
        <v>316</v>
      </c>
      <c r="G14637" s="25" t="n">
        <f aca="false">G14630*MIN(G14629-G14635+G14634,MAX(0,G14692-Assumptions!$C$12*G14627))</f>
        <v>0</v>
      </c>
      <c r="H14637" s="25" t="n">
        <f aca="false">H14630*MIN(H14629-H14635+H14634,MAX(0,H14692-Assumptions!$C$12*H14627))</f>
        <v>0</v>
      </c>
      <c r="I14637" s="25" t="n">
        <f aca="false">I14630*MIN(I14629-I14635+I14634,MAX(0,I14692-Assumptions!$C$12*I14627))</f>
        <v>0</v>
      </c>
      <c r="J14637" s="25" t="n">
        <f aca="false">J14630*MIN(J14629-J14635+J14634,MAX(0,J14692-Assumptions!$C$12*J14627))</f>
        <v>0</v>
      </c>
      <c r="K14637" s="25" t="n">
        <f aca="false">K14630*MIN(K14629-K14635+K14634,MAX(0,K14692-Assumptions!$C$12*K14627))</f>
        <v>0</v>
      </c>
    </row>
    <row r="14638" customFormat="false" ht="15" hidden="false" customHeight="false" outlineLevel="0" collapsed="false">
      <c r="A14638" s="3" t="s">
        <v>317</v>
      </c>
      <c r="G14638" s="25" t="n">
        <f aca="false">Assumptions!$N$56*MIN(G14629+G14636+G14634-G14635-G14637,MAX(0,G14696))</f>
        <v>0</v>
      </c>
      <c r="H14638" s="25" t="n">
        <f aca="false">Assumptions!$N$56*MIN(H14629+H14636+H14634-H14635-H14637,MAX(0,H14696))</f>
        <v>0</v>
      </c>
      <c r="I14638" s="25" t="n">
        <f aca="false">Assumptions!$N$56*MIN(I14629+I14636+I14634-I14635-I14637,MAX(0,I14696))</f>
        <v>0</v>
      </c>
      <c r="J14638" s="25" t="n">
        <f aca="false">Assumptions!$N$56*MIN(J14629+J14636+J14634-J14635-J14637,MAX(0,J14696))</f>
        <v>0</v>
      </c>
      <c r="K14638" s="25" t="n">
        <f aca="false">Assumptions!$N$56*MIN(K14629+K14636+K14634-K14635-K14637,MAX(0,K14696))</f>
        <v>0</v>
      </c>
    </row>
    <row r="14639" customFormat="false" ht="15" hidden="false" customHeight="false" outlineLevel="0" collapsed="false">
      <c r="A14639" s="3" t="s">
        <v>318</v>
      </c>
      <c r="G14639" s="25" t="n">
        <f aca="false">G14630*(1-G14627)*(G14629-G14635+G14634-G14637)</f>
        <v>0</v>
      </c>
      <c r="H14639" s="25" t="n">
        <f aca="false">H14630*(1-H14627)*(H14629-H14635+H14634-H14637)</f>
        <v>0</v>
      </c>
      <c r="I14639" s="25" t="n">
        <f aca="false">I14630*(1-I14627)*(I14629-I14635+I14634-I14637)</f>
        <v>0</v>
      </c>
      <c r="J14639" s="25" t="n">
        <f aca="false">J14630*(1-J14627)*(J14629-J14635+J14634-J14637)</f>
        <v>0</v>
      </c>
      <c r="K14639" s="25" t="n">
        <f aca="false">K14630*(1-K14627)*(K14629-K14635+K14634-K14637)</f>
        <v>0</v>
      </c>
    </row>
    <row r="14640" customFormat="false" ht="15" hidden="false" customHeight="false" outlineLevel="0" collapsed="false">
      <c r="A14640" s="2" t="s">
        <v>319</v>
      </c>
      <c r="F14640" s="28" t="n">
        <f aca="false">Assumptions!$C$56</f>
        <v>1315.098</v>
      </c>
      <c r="G14640" s="16" t="n">
        <f aca="false">G14629+G14636+G14634-G14635-G14637-G14638</f>
        <v>1315.098</v>
      </c>
      <c r="H14640" s="16" t="n">
        <f aca="false">H14629+H14636+H14634-H14635-H14637-H14638</f>
        <v>1315.098</v>
      </c>
      <c r="I14640" s="16" t="n">
        <f aca="false">I14629+I14636+I14634-I14635-I14637-I14638</f>
        <v>1315.098</v>
      </c>
      <c r="J14640" s="16" t="n">
        <f aca="false">J14629+J14636+J14634-J14635-J14637-J14638</f>
        <v>1315.098</v>
      </c>
      <c r="K14640" s="16" t="n">
        <f aca="false">K14629+K14636+K14634-K14635-K14637-K14638</f>
        <v>1315.098</v>
      </c>
    </row>
    <row r="14641" customFormat="false" ht="15" hidden="false" customHeight="false" outlineLevel="0" collapsed="false">
      <c r="A14641" s="23" t="s">
        <v>320</v>
      </c>
      <c r="B14641" s="24"/>
      <c r="C14641" s="24"/>
      <c r="D14641" s="24"/>
      <c r="E14641" s="24"/>
      <c r="F14641" s="24"/>
      <c r="G14641" s="24"/>
      <c r="H14641" s="24"/>
      <c r="I14641" s="24"/>
      <c r="J14641" s="24"/>
      <c r="K14641" s="24"/>
    </row>
    <row r="14642" customFormat="false" ht="15" hidden="false" customHeight="false" outlineLevel="0" collapsed="false">
      <c r="A14642" s="3" t="s">
        <v>309</v>
      </c>
      <c r="G14642" s="25" t="n">
        <f aca="false">F14653</f>
        <v>276.706</v>
      </c>
      <c r="H14642" s="25" t="n">
        <f aca="false">G14653</f>
        <v>276.706</v>
      </c>
      <c r="I14642" s="25" t="n">
        <f aca="false">H14653</f>
        <v>276.706</v>
      </c>
      <c r="J14642" s="25" t="n">
        <f aca="false">I14653</f>
        <v>6.33403256832008</v>
      </c>
      <c r="K14642" s="25" t="n">
        <f aca="false">J14653</f>
        <v>6.33403256832008</v>
      </c>
    </row>
    <row r="14643" customFormat="false" ht="15" hidden="false" customHeight="false" outlineLevel="0" collapsed="false">
      <c r="A14643" s="3" t="s">
        <v>310</v>
      </c>
      <c r="G14643" s="20" t="n">
        <f aca="false">IF(G14593=Assumptions!$K$57,1,0)</f>
        <v>0</v>
      </c>
      <c r="H14643" s="20" t="n">
        <f aca="false">IF(H14593=Assumptions!$K$57,1,0)</f>
        <v>0</v>
      </c>
      <c r="I14643" s="20" t="n">
        <f aca="false">IF(I14593=Assumptions!$K$57,1,0)</f>
        <v>1</v>
      </c>
      <c r="J14643" s="20" t="n">
        <f aca="false">IF(J14593=Assumptions!$K$57,1,0)</f>
        <v>0</v>
      </c>
      <c r="K14643" s="20" t="n">
        <f aca="false">IF(K14593=Assumptions!$K$57,1,0)</f>
        <v>0</v>
      </c>
    </row>
    <row r="14645" customFormat="false" ht="15" hidden="false" customHeight="false" outlineLevel="0" collapsed="false">
      <c r="A14645" s="3" t="s">
        <v>311</v>
      </c>
      <c r="G14645" s="31" t="n">
        <f aca="false">IF(Assumptions!$I$57=1,MAX(G14619,Assumptions!$G$57)+Assumptions!$F$57+$C$14620,Assumptions!$E$57)</f>
        <v>0.0425</v>
      </c>
      <c r="H14645" s="31" t="n">
        <f aca="false">IF(G14777=1,$C$14621,IF(Assumptions!$I$57=1,MAX(H14619,Assumptions!$G$57)+Assumptions!$F$57+$C$14620,Assumptions!$E$57))</f>
        <v>0.0425</v>
      </c>
      <c r="I14645" s="31" t="n">
        <f aca="false">IF(H14777=1,$C$14621,IF(Assumptions!$I$57=1,MAX(I14619,Assumptions!$G$57)+Assumptions!$F$57+$C$14620,Assumptions!$E$57))</f>
        <v>0.0425</v>
      </c>
      <c r="J14645" s="31" t="n">
        <f aca="false">IF(I14777=1,$C$14621,IF(Assumptions!$I$57=1,MAX(J14619,Assumptions!$G$57)+Assumptions!$F$57+$C$14620,Assumptions!$E$57))</f>
        <v>0.0425</v>
      </c>
      <c r="K14645" s="31" t="n">
        <f aca="false">IF(J14777=1,$C$14621,IF(Assumptions!$I$57=1,MAX(K14619,Assumptions!$G$57)+Assumptions!$F$57+$C$14620,Assumptions!$E$57))</f>
        <v>0.0425</v>
      </c>
    </row>
    <row r="14646" customFormat="false" ht="15" hidden="false" customHeight="false" outlineLevel="0" collapsed="false">
      <c r="A14646" s="3" t="s">
        <v>312</v>
      </c>
      <c r="G14646" s="25" t="n">
        <f aca="false">G14642*G14645</f>
        <v>11.760005</v>
      </c>
      <c r="H14646" s="25" t="n">
        <f aca="false">H14642*H14645</f>
        <v>11.760005</v>
      </c>
      <c r="I14646" s="25" t="n">
        <f aca="false">I14642*I14645</f>
        <v>11.760005</v>
      </c>
      <c r="J14646" s="25" t="n">
        <f aca="false">J14642*J14645</f>
        <v>0.269196384153604</v>
      </c>
      <c r="K14646" s="25" t="n">
        <f aca="false">K14642*K14645</f>
        <v>0.269196384153604</v>
      </c>
    </row>
    <row r="14647" customFormat="false" ht="15" hidden="false" customHeight="false" outlineLevel="0" collapsed="false">
      <c r="A14647" s="3" t="s">
        <v>313</v>
      </c>
      <c r="G14647" s="25" t="n">
        <f aca="false">G14642*Assumptions!$H$57</f>
        <v>0</v>
      </c>
      <c r="H14647" s="25" t="n">
        <f aca="false">H14642*Assumptions!$H$57</f>
        <v>0</v>
      </c>
      <c r="I14647" s="25" t="n">
        <f aca="false">I14642*Assumptions!$H$57</f>
        <v>0</v>
      </c>
      <c r="J14647" s="25" t="n">
        <f aca="false">J14642*Assumptions!$H$57</f>
        <v>0</v>
      </c>
      <c r="K14647" s="25" t="n">
        <f aca="false">K14642*Assumptions!$H$57</f>
        <v>0</v>
      </c>
    </row>
    <row r="14648" customFormat="false" ht="15" hidden="false" customHeight="false" outlineLevel="0" collapsed="false">
      <c r="A14648" s="3" t="s">
        <v>314</v>
      </c>
      <c r="G14648" s="25" t="n">
        <f aca="false">MIN(G14642,Assumptions!$L$57*Assumptions!$C$57)</f>
        <v>0</v>
      </c>
      <c r="H14648" s="25" t="n">
        <f aca="false">MIN(H14642,Assumptions!$L$57*Assumptions!$C$57)</f>
        <v>0</v>
      </c>
      <c r="I14648" s="25" t="n">
        <f aca="false">MIN(I14642,Assumptions!$L$57*Assumptions!$C$57)</f>
        <v>0</v>
      </c>
      <c r="J14648" s="25" t="n">
        <f aca="false">MIN(J14642,Assumptions!$L$57*Assumptions!$C$57)</f>
        <v>0</v>
      </c>
      <c r="K14648" s="25" t="n">
        <f aca="false">MIN(K14642,Assumptions!$L$57*Assumptions!$C$57)</f>
        <v>0</v>
      </c>
    </row>
    <row r="14649" customFormat="false" ht="15" hidden="false" customHeight="false" outlineLevel="0" collapsed="false">
      <c r="A14649" s="3" t="s">
        <v>315</v>
      </c>
      <c r="G14649" s="25" t="n">
        <f aca="false">IF(AND(Assumptions!$P$57=1,G14593&lt;Assumptions!$K$57),MIN(MAX(0,-G14690),MAX(0,Assumptions!$D$57-G14642)),0)</f>
        <v>0</v>
      </c>
      <c r="H14649" s="25" t="n">
        <f aca="false">IF(AND(Assumptions!$P$57=1,OR(H14593&lt;Assumptions!$K$57,G14777=1)),MIN(MAX(0,-H14690),MAX(0,Assumptions!$D$57-H14642)),0)</f>
        <v>0</v>
      </c>
      <c r="I14649" s="25" t="n">
        <f aca="false">IF(AND(Assumptions!$P$57=1,OR(I14593&lt;Assumptions!$K$57,H14777=1)),MIN(MAX(0,-I14690),MAX(0,Assumptions!$D$57-I14642)),0)</f>
        <v>0</v>
      </c>
      <c r="J14649" s="25" t="n">
        <f aca="false">IF(AND(Assumptions!$P$57=1,OR(J14593&lt;Assumptions!$K$57,I14777=1)),MIN(MAX(0,-J14690),MAX(0,Assumptions!$D$57-J14642)),0)</f>
        <v>0</v>
      </c>
      <c r="K14649" s="25" t="n">
        <f aca="false">IF(AND(Assumptions!$P$57=1,OR(K14593&lt;Assumptions!$K$57,J14777=1)),MIN(MAX(0,-K14690),MAX(0,Assumptions!$D$57-K14642)),0)</f>
        <v>0</v>
      </c>
    </row>
    <row r="14650" customFormat="false" ht="15" hidden="false" customHeight="false" outlineLevel="0" collapsed="false">
      <c r="A14650" s="3" t="s">
        <v>316</v>
      </c>
      <c r="G14650" s="25" t="n">
        <f aca="false">G14643*MIN(G14642-G14648+G14647,MAX(0,G14692-Assumptions!$C$12*G14627-G14637))</f>
        <v>0</v>
      </c>
      <c r="H14650" s="25" t="n">
        <f aca="false">H14643*MIN(H14642-H14648+H14647,MAX(0,H14692-Assumptions!$C$12*H14627-H14637))</f>
        <v>0</v>
      </c>
      <c r="I14650" s="25" t="n">
        <f aca="false">I14643*MIN(I14642-I14648+I14647,MAX(0,I14692-Assumptions!$C$12*I14627-I14637))</f>
        <v>270.37196743168</v>
      </c>
      <c r="J14650" s="25" t="n">
        <f aca="false">J14643*MIN(J14642-J14648+J14647,MAX(0,J14692-Assumptions!$C$12*J14627-J14637))</f>
        <v>0</v>
      </c>
      <c r="K14650" s="25" t="n">
        <f aca="false">K14643*MIN(K14642-K14648+K14647,MAX(0,K14692-Assumptions!$C$12*K14627-K14637))</f>
        <v>0</v>
      </c>
    </row>
    <row r="14651" customFormat="false" ht="15" hidden="false" customHeight="false" outlineLevel="0" collapsed="false">
      <c r="A14651" s="3" t="s">
        <v>317</v>
      </c>
      <c r="G14651" s="25" t="n">
        <f aca="false">Assumptions!$N$57*MIN(G14642+G14649+G14647-G14648-G14650,MAX(0,G14696-G14638))</f>
        <v>0</v>
      </c>
      <c r="H14651" s="25" t="n">
        <f aca="false">Assumptions!$N$57*MIN(H14642+H14649+H14647-H14648-H14650,MAX(0,H14696-H14638))</f>
        <v>0</v>
      </c>
      <c r="I14651" s="25" t="n">
        <f aca="false">Assumptions!$N$57*MIN(I14642+I14649+I14647-I14648-I14650,MAX(0,I14696-I14638))</f>
        <v>0</v>
      </c>
      <c r="J14651" s="25" t="n">
        <f aca="false">Assumptions!$N$57*MIN(J14642+J14649+J14647-J14648-J14650,MAX(0,J14696-J14638))</f>
        <v>0</v>
      </c>
      <c r="K14651" s="25" t="n">
        <f aca="false">Assumptions!$N$57*MIN(K14642+K14649+K14647-K14648-K14650,MAX(0,K14696-K14638))</f>
        <v>0</v>
      </c>
    </row>
    <row r="14652" customFormat="false" ht="15" hidden="false" customHeight="false" outlineLevel="0" collapsed="false">
      <c r="A14652" s="3" t="s">
        <v>318</v>
      </c>
      <c r="G14652" s="25" t="n">
        <f aca="false">G14643*(1-G14627)*(G14642-G14648+G14647-G14650)</f>
        <v>0</v>
      </c>
      <c r="H14652" s="25" t="n">
        <f aca="false">H14643*(1-H14627)*(H14642-H14648+H14647-H14650)</f>
        <v>0</v>
      </c>
      <c r="I14652" s="25" t="n">
        <f aca="false">I14643*(1-I14627)*(I14642-I14648+I14647-I14650)</f>
        <v>6.33403256832008</v>
      </c>
      <c r="J14652" s="25" t="n">
        <f aca="false">J14643*(1-J14627)*(J14642-J14648+J14647-J14650)</f>
        <v>0</v>
      </c>
      <c r="K14652" s="25" t="n">
        <f aca="false">K14643*(1-K14627)*(K14642-K14648+K14647-K14650)</f>
        <v>0</v>
      </c>
    </row>
    <row r="14653" customFormat="false" ht="15" hidden="false" customHeight="false" outlineLevel="0" collapsed="false">
      <c r="A14653" s="2" t="s">
        <v>319</v>
      </c>
      <c r="F14653" s="28" t="n">
        <f aca="false">Assumptions!$C$57</f>
        <v>276.706</v>
      </c>
      <c r="G14653" s="16" t="n">
        <f aca="false">G14642+G14649+G14647-G14648-G14650-G14651</f>
        <v>276.706</v>
      </c>
      <c r="H14653" s="16" t="n">
        <f aca="false">H14642+H14649+H14647-H14648-H14650-H14651</f>
        <v>276.706</v>
      </c>
      <c r="I14653" s="16" t="n">
        <f aca="false">I14642+I14649+I14647-I14648-I14650-I14651</f>
        <v>6.33403256832008</v>
      </c>
      <c r="J14653" s="16" t="n">
        <f aca="false">J14642+J14649+J14647-J14648-J14650-J14651</f>
        <v>6.33403256832008</v>
      </c>
      <c r="K14653" s="16" t="n">
        <f aca="false">K14642+K14649+K14647-K14648-K14650-K14651</f>
        <v>6.33403256832008</v>
      </c>
    </row>
    <row r="14654" customFormat="false" ht="15" hidden="false" customHeight="false" outlineLevel="0" collapsed="false">
      <c r="A14654" s="23" t="s">
        <v>321</v>
      </c>
      <c r="B14654" s="24"/>
      <c r="C14654" s="24"/>
      <c r="D14654" s="24"/>
      <c r="E14654" s="24"/>
      <c r="F14654" s="24"/>
      <c r="G14654" s="24"/>
      <c r="H14654" s="24"/>
      <c r="I14654" s="24"/>
      <c r="J14654" s="24"/>
      <c r="K14654" s="24"/>
    </row>
    <row r="14655" customFormat="false" ht="15" hidden="false" customHeight="false" outlineLevel="0" collapsed="false">
      <c r="A14655" s="3" t="s">
        <v>309</v>
      </c>
      <c r="G14655" s="25" t="n">
        <f aca="false">F14666</f>
        <v>143.75</v>
      </c>
      <c r="H14655" s="25" t="n">
        <f aca="false">G14666</f>
        <v>143.75</v>
      </c>
      <c r="I14655" s="25" t="n">
        <f aca="false">H14666</f>
        <v>143.75</v>
      </c>
      <c r="J14655" s="25" t="n">
        <f aca="false">I14666</f>
        <v>143.75</v>
      </c>
      <c r="K14655" s="25" t="n">
        <f aca="false">J14666</f>
        <v>143.75</v>
      </c>
    </row>
    <row r="14656" customFormat="false" ht="15" hidden="false" customHeight="false" outlineLevel="0" collapsed="false">
      <c r="A14656" s="3" t="s">
        <v>310</v>
      </c>
      <c r="G14656" s="20" t="n">
        <f aca="false">IF(G14593=Assumptions!$K$58,1,0)</f>
        <v>0</v>
      </c>
      <c r="H14656" s="20" t="n">
        <f aca="false">IF(H14593=Assumptions!$K$58,1,0)</f>
        <v>0</v>
      </c>
      <c r="I14656" s="20" t="n">
        <f aca="false">IF(I14593=Assumptions!$K$58,1,0)</f>
        <v>1</v>
      </c>
      <c r="J14656" s="20" t="n">
        <f aca="false">IF(J14593=Assumptions!$K$58,1,0)</f>
        <v>0</v>
      </c>
      <c r="K14656" s="20" t="n">
        <f aca="false">IF(K14593=Assumptions!$K$58,1,0)</f>
        <v>0</v>
      </c>
    </row>
    <row r="14658" customFormat="false" ht="15" hidden="false" customHeight="false" outlineLevel="0" collapsed="false">
      <c r="A14658" s="3" t="s">
        <v>311</v>
      </c>
      <c r="G14658" s="31" t="n">
        <f aca="false">IF(Assumptions!$I$58=1,MAX(G14619,Assumptions!$G$58)+Assumptions!$F$58+$C$14620,Assumptions!$E$58)</f>
        <v>0.0425</v>
      </c>
      <c r="H14658" s="31" t="n">
        <f aca="false">IF(G14778=1,$C$14621,IF(Assumptions!$I$58=1,MAX(H14619,Assumptions!$G$58)+Assumptions!$F$58+$C$14620,Assumptions!$E$58))</f>
        <v>0.0425</v>
      </c>
      <c r="I14658" s="31" t="n">
        <f aca="false">IF(H14778=1,$C$14621,IF(Assumptions!$I$58=1,MAX(I14619,Assumptions!$G$58)+Assumptions!$F$58+$C$14620,Assumptions!$E$58))</f>
        <v>0.0425</v>
      </c>
      <c r="J14658" s="31" t="n">
        <f aca="false">IF(I14778=1,$C$14621,IF(Assumptions!$I$58=1,MAX(J14619,Assumptions!$G$58)+Assumptions!$F$58+$C$14620,Assumptions!$E$58))</f>
        <v>0.0425</v>
      </c>
      <c r="K14658" s="31" t="n">
        <f aca="false">IF(J14778=1,$C$14621,IF(Assumptions!$I$58=1,MAX(K14619,Assumptions!$G$58)+Assumptions!$F$58+$C$14620,Assumptions!$E$58))</f>
        <v>0.0425</v>
      </c>
    </row>
    <row r="14659" customFormat="false" ht="15" hidden="false" customHeight="false" outlineLevel="0" collapsed="false">
      <c r="A14659" s="3" t="s">
        <v>312</v>
      </c>
      <c r="G14659" s="25" t="n">
        <f aca="false">G14655*G14658</f>
        <v>6.109375</v>
      </c>
      <c r="H14659" s="25" t="n">
        <f aca="false">H14655*H14658</f>
        <v>6.109375</v>
      </c>
      <c r="I14659" s="25" t="n">
        <f aca="false">I14655*I14658</f>
        <v>6.109375</v>
      </c>
      <c r="J14659" s="25" t="n">
        <f aca="false">J14655*J14658</f>
        <v>6.109375</v>
      </c>
      <c r="K14659" s="25" t="n">
        <f aca="false">K14655*K14658</f>
        <v>6.109375</v>
      </c>
    </row>
    <row r="14660" customFormat="false" ht="15" hidden="false" customHeight="false" outlineLevel="0" collapsed="false">
      <c r="A14660" s="3" t="s">
        <v>313</v>
      </c>
      <c r="G14660" s="25" t="n">
        <f aca="false">G14655*Assumptions!$H$58</f>
        <v>0</v>
      </c>
      <c r="H14660" s="25" t="n">
        <f aca="false">H14655*Assumptions!$H$58</f>
        <v>0</v>
      </c>
      <c r="I14660" s="25" t="n">
        <f aca="false">I14655*Assumptions!$H$58</f>
        <v>0</v>
      </c>
      <c r="J14660" s="25" t="n">
        <f aca="false">J14655*Assumptions!$H$58</f>
        <v>0</v>
      </c>
      <c r="K14660" s="25" t="n">
        <f aca="false">K14655*Assumptions!$H$58</f>
        <v>0</v>
      </c>
    </row>
    <row r="14661" customFormat="false" ht="15" hidden="false" customHeight="false" outlineLevel="0" collapsed="false">
      <c r="A14661" s="3" t="s">
        <v>314</v>
      </c>
      <c r="G14661" s="25" t="n">
        <f aca="false">MIN(G14655,Assumptions!$L$58*Assumptions!$C$58)</f>
        <v>0</v>
      </c>
      <c r="H14661" s="25" t="n">
        <f aca="false">MIN(H14655,Assumptions!$L$58*Assumptions!$C$58)</f>
        <v>0</v>
      </c>
      <c r="I14661" s="25" t="n">
        <f aca="false">MIN(I14655,Assumptions!$L$58*Assumptions!$C$58)</f>
        <v>0</v>
      </c>
      <c r="J14661" s="25" t="n">
        <f aca="false">MIN(J14655,Assumptions!$L$58*Assumptions!$C$58)</f>
        <v>0</v>
      </c>
      <c r="K14661" s="25" t="n">
        <f aca="false">MIN(K14655,Assumptions!$L$58*Assumptions!$C$58)</f>
        <v>0</v>
      </c>
    </row>
    <row r="14662" customFormat="false" ht="15" hidden="false" customHeight="false" outlineLevel="0" collapsed="false">
      <c r="A14662" s="3" t="s">
        <v>315</v>
      </c>
      <c r="G14662" s="25" t="n">
        <f aca="false">IF(AND(Assumptions!$P$58=1,G14593&lt;Assumptions!$K$58),MIN(MAX(0,-G14690),MAX(0,Assumptions!$D$58-G14655)),0)</f>
        <v>0</v>
      </c>
      <c r="H14662" s="25" t="n">
        <f aca="false">IF(AND(Assumptions!$P$58=1,OR(H14593&lt;Assumptions!$K$58,G14778=1)),MIN(MAX(0,-H14690),MAX(0,Assumptions!$D$58-H14655)),0)</f>
        <v>0</v>
      </c>
      <c r="I14662" s="25" t="n">
        <f aca="false">IF(AND(Assumptions!$P$58=1,OR(I14593&lt;Assumptions!$K$58,H14778=1)),MIN(MAX(0,-I14690),MAX(0,Assumptions!$D$58-I14655)),0)</f>
        <v>0</v>
      </c>
      <c r="J14662" s="25" t="n">
        <f aca="false">IF(AND(Assumptions!$P$58=1,OR(J14593&lt;Assumptions!$K$58,I14778=1)),MIN(MAX(0,-J14690),MAX(0,Assumptions!$D$58-J14655)),0)</f>
        <v>0</v>
      </c>
      <c r="K14662" s="25" t="n">
        <f aca="false">IF(AND(Assumptions!$P$58=1,OR(K14593&lt;Assumptions!$K$58,J14778=1)),MIN(MAX(0,-K14690),MAX(0,Assumptions!$D$58-K14655)),0)</f>
        <v>0</v>
      </c>
    </row>
    <row r="14663" customFormat="false" ht="15" hidden="false" customHeight="false" outlineLevel="0" collapsed="false">
      <c r="A14663" s="3" t="s">
        <v>316</v>
      </c>
      <c r="G14663" s="25" t="n">
        <f aca="false">G14656*MIN(G14655-G14661+G14660,MAX(0,G14692-Assumptions!$C$12*G14627-G14637-G14650))</f>
        <v>0</v>
      </c>
      <c r="H14663" s="25" t="n">
        <f aca="false">H14656*MIN(H14655-H14661+H14660,MAX(0,H14692-Assumptions!$C$12*H14627-H14637-H14650))</f>
        <v>0</v>
      </c>
      <c r="I14663" s="25" t="n">
        <f aca="false">I14656*MIN(I14655-I14661+I14660,MAX(0,I14692-Assumptions!$C$12*I14627-I14637-I14650))</f>
        <v>0</v>
      </c>
      <c r="J14663" s="25" t="n">
        <f aca="false">J14656*MIN(J14655-J14661+J14660,MAX(0,J14692-Assumptions!$C$12*J14627-J14637-J14650))</f>
        <v>0</v>
      </c>
      <c r="K14663" s="25" t="n">
        <f aca="false">K14656*MIN(K14655-K14661+K14660,MAX(0,K14692-Assumptions!$C$12*K14627-K14637-K14650))</f>
        <v>0</v>
      </c>
    </row>
    <row r="14664" customFormat="false" ht="15" hidden="false" customHeight="false" outlineLevel="0" collapsed="false">
      <c r="A14664" s="3" t="s">
        <v>317</v>
      </c>
      <c r="G14664" s="25" t="n">
        <f aca="false">Assumptions!$N$58*MIN(G14655+G14662+G14660-G14661-G14663,MAX(0,G14696-G14638-G14651))</f>
        <v>0</v>
      </c>
      <c r="H14664" s="25" t="n">
        <f aca="false">Assumptions!$N$58*MIN(H14655+H14662+H14660-H14661-H14663,MAX(0,H14696-H14638-H14651))</f>
        <v>0</v>
      </c>
      <c r="I14664" s="25" t="n">
        <f aca="false">Assumptions!$N$58*MIN(I14655+I14662+I14660-I14661-I14663,MAX(0,I14696-I14638-I14651))</f>
        <v>0</v>
      </c>
      <c r="J14664" s="25" t="n">
        <f aca="false">Assumptions!$N$58*MIN(J14655+J14662+J14660-J14661-J14663,MAX(0,J14696-J14638-J14651))</f>
        <v>0</v>
      </c>
      <c r="K14664" s="25" t="n">
        <f aca="false">Assumptions!$N$58*MIN(K14655+K14662+K14660-K14661-K14663,MAX(0,K14696-K14638-K14651))</f>
        <v>0</v>
      </c>
    </row>
    <row r="14665" customFormat="false" ht="15" hidden="false" customHeight="false" outlineLevel="0" collapsed="false">
      <c r="A14665" s="3" t="s">
        <v>318</v>
      </c>
      <c r="G14665" s="25" t="n">
        <f aca="false">G14656*(1-G14627)*(G14655-G14661+G14660-G14663)</f>
        <v>0</v>
      </c>
      <c r="H14665" s="25" t="n">
        <f aca="false">H14656*(1-H14627)*(H14655-H14661+H14660-H14663)</f>
        <v>0</v>
      </c>
      <c r="I14665" s="25" t="n">
        <f aca="false">I14656*(1-I14627)*(I14655-I14661+I14660-I14663)</f>
        <v>143.75</v>
      </c>
      <c r="J14665" s="25" t="n">
        <f aca="false">J14656*(1-J14627)*(J14655-J14661+J14660-J14663)</f>
        <v>0</v>
      </c>
      <c r="K14665" s="25" t="n">
        <f aca="false">K14656*(1-K14627)*(K14655-K14661+K14660-K14663)</f>
        <v>0</v>
      </c>
    </row>
    <row r="14666" customFormat="false" ht="15" hidden="false" customHeight="false" outlineLevel="0" collapsed="false">
      <c r="A14666" s="2" t="s">
        <v>319</v>
      </c>
      <c r="F14666" s="28" t="n">
        <f aca="false">Assumptions!$C$58</f>
        <v>143.75</v>
      </c>
      <c r="G14666" s="16" t="n">
        <f aca="false">G14655+G14662+G14660-G14661-G14663-G14664</f>
        <v>143.75</v>
      </c>
      <c r="H14666" s="16" t="n">
        <f aca="false">H14655+H14662+H14660-H14661-H14663-H14664</f>
        <v>143.75</v>
      </c>
      <c r="I14666" s="16" t="n">
        <f aca="false">I14655+I14662+I14660-I14661-I14663-I14664</f>
        <v>143.75</v>
      </c>
      <c r="J14666" s="16" t="n">
        <f aca="false">J14655+J14662+J14660-J14661-J14663-J14664</f>
        <v>143.75</v>
      </c>
      <c r="K14666" s="16" t="n">
        <f aca="false">K14655+K14662+K14660-K14661-K14663-K14664</f>
        <v>143.75</v>
      </c>
    </row>
    <row r="14667" customFormat="false" ht="15" hidden="false" customHeight="false" outlineLevel="0" collapsed="false">
      <c r="A14667" s="23" t="s">
        <v>322</v>
      </c>
      <c r="B14667" s="24"/>
      <c r="C14667" s="24"/>
      <c r="D14667" s="24"/>
      <c r="E14667" s="24"/>
      <c r="F14667" s="24"/>
      <c r="G14667" s="24"/>
      <c r="H14667" s="24"/>
      <c r="I14667" s="24"/>
      <c r="J14667" s="24"/>
      <c r="K14667" s="24"/>
    </row>
    <row r="14668" customFormat="false" ht="15" hidden="false" customHeight="false" outlineLevel="0" collapsed="false">
      <c r="A14668" s="2" t="s">
        <v>323</v>
      </c>
      <c r="F14668" s="16" t="n">
        <f aca="false">F14640+F14653+F14666</f>
        <v>1735.554</v>
      </c>
      <c r="G14668" s="16" t="n">
        <f aca="false">G14640+G14653+G14666</f>
        <v>1735.554</v>
      </c>
      <c r="H14668" s="16" t="n">
        <f aca="false">H14640+H14653+H14666</f>
        <v>1735.554</v>
      </c>
      <c r="I14668" s="16" t="n">
        <f aca="false">I14640+I14653+I14666</f>
        <v>1465.18203256832</v>
      </c>
      <c r="J14668" s="16" t="n">
        <f aca="false">J14640+J14653+J14666</f>
        <v>1465.18203256832</v>
      </c>
      <c r="K14668" s="16" t="n">
        <f aca="false">K14640+K14653+K14666</f>
        <v>1465.18203256832</v>
      </c>
    </row>
    <row r="14669" customFormat="false" ht="15" hidden="false" customHeight="false" outlineLevel="0" collapsed="false">
      <c r="A14669" s="3" t="s">
        <v>324</v>
      </c>
      <c r="G14669" s="25" t="n">
        <f aca="false">G14630*Assumptions!$C$56+G14643*Assumptions!$C$57+G14656*Assumptions!$C$58</f>
        <v>0</v>
      </c>
      <c r="H14669" s="25" t="n">
        <f aca="false">H14630*Assumptions!$C$56+H14643*Assumptions!$C$57+H14656*Assumptions!$C$58</f>
        <v>0</v>
      </c>
      <c r="I14669" s="25" t="n">
        <f aca="false">I14630*Assumptions!$C$56+I14643*Assumptions!$C$57+I14656*Assumptions!$C$58</f>
        <v>420.456</v>
      </c>
      <c r="J14669" s="25" t="n">
        <f aca="false">J14630*Assumptions!$C$56+J14643*Assumptions!$C$57+J14656*Assumptions!$C$58</f>
        <v>0</v>
      </c>
      <c r="K14669" s="25" t="n">
        <f aca="false">K14630*Assumptions!$C$56+K14643*Assumptions!$C$57+K14656*Assumptions!$C$58</f>
        <v>0</v>
      </c>
    </row>
    <row r="14670" customFormat="false" ht="15" hidden="false" customHeight="false" outlineLevel="0" collapsed="false">
      <c r="A14670" s="23" t="s">
        <v>325</v>
      </c>
      <c r="B14670" s="24"/>
      <c r="C14670" s="24"/>
      <c r="D14670" s="24"/>
      <c r="E14670" s="24"/>
      <c r="F14670" s="24"/>
      <c r="G14670" s="24"/>
      <c r="H14670" s="24"/>
      <c r="I14670" s="24"/>
      <c r="J14670" s="24"/>
      <c r="K14670" s="24"/>
    </row>
    <row r="14671" customFormat="false" ht="15" hidden="false" customHeight="false" outlineLevel="0" collapsed="false">
      <c r="A14671" s="3" t="s">
        <v>326</v>
      </c>
      <c r="C14671" s="25" t="n">
        <f aca="false">SUMPRODUCT($G$14630:$K$14630,$G$14629:$K$14629-$G$14635:$K$14635+$G$14634:$K$14634)</f>
        <v>0</v>
      </c>
    </row>
    <row r="14672" customFormat="false" ht="15" hidden="false" customHeight="false" outlineLevel="0" collapsed="false">
      <c r="A14672" s="3" t="s">
        <v>327</v>
      </c>
      <c r="C14672" s="25" t="n">
        <f aca="false">SUMPRODUCT($G$14630:$K$14630,$G$14637:$K$14637)</f>
        <v>0</v>
      </c>
    </row>
    <row r="14673" customFormat="false" ht="15" hidden="false" customHeight="false" outlineLevel="0" collapsed="false">
      <c r="A14673" s="3" t="s">
        <v>328</v>
      </c>
      <c r="C14673" s="3" t="str">
        <f aca="false">IF(SUM($G$14630:$K$14630)=0,"n/a (beyond horizon)",IF(SUMPRODUCT($G$14630:$K$14630,$G$14627:$K$14627)&gt;0,"REFINANCING PASS","REFINANCING FAILURE"))</f>
        <v>n/a (beyond horizon)</v>
      </c>
    </row>
    <row r="14674" customFormat="false" ht="15" hidden="false" customHeight="false" outlineLevel="0" collapsed="false">
      <c r="A14674" s="3" t="s">
        <v>329</v>
      </c>
      <c r="C14674" s="3" t="str">
        <f aca="false">IF(SUM($G$14630:$K$14630)=0,"n/a",IF(C14672&gt;=C14671-0.001,"Repaid from cash",IF(SUMPRODUCT($G$14630:$K$14630,$G$14627:$K$14627)&gt;0,IF(C14672&gt;0,"Partly repaid; remainder refinanced","Refinanced"),IF(SUM($G$14639:$K$14639)&gt;0.001,IF(C14672&gt;0,"Partial repayment; PAYMENT DEFAULT","PAYMENT DEFAULT"),"Repaid from cash"))))</f>
        <v>n/a</v>
      </c>
    </row>
    <row r="14675" customFormat="false" ht="15" hidden="false" customHeight="false" outlineLevel="0" collapsed="false">
      <c r="A14675" s="3" t="s">
        <v>330</v>
      </c>
      <c r="C14675" s="25" t="n">
        <f aca="false">SUMPRODUCT($G$14643:$K$14643,$G$14642:$K$14642-$G$14648:$K$14648+$G$14647:$K$14647)</f>
        <v>276.706</v>
      </c>
    </row>
    <row r="14676" customFormat="false" ht="15" hidden="false" customHeight="false" outlineLevel="0" collapsed="false">
      <c r="A14676" s="3" t="s">
        <v>331</v>
      </c>
      <c r="C14676" s="25" t="n">
        <f aca="false">SUMPRODUCT($G$14643:$K$14643,$G$14650:$K$14650)</f>
        <v>270.37196743168</v>
      </c>
    </row>
    <row r="14677" customFormat="false" ht="15" hidden="false" customHeight="false" outlineLevel="0" collapsed="false">
      <c r="A14677" s="3" t="s">
        <v>332</v>
      </c>
      <c r="C14677" s="3" t="str">
        <f aca="false">IF(SUM($G$14643:$K$14643)=0,"n/a (beyond horizon)",IF(SUMPRODUCT($G$14643:$K$14643,$G$14627:$K$14627)&gt;0,"REFINANCING PASS","REFINANCING FAILURE"))</f>
        <v>REFINANCING FAILURE</v>
      </c>
    </row>
    <row r="14678" customFormat="false" ht="15" hidden="false" customHeight="false" outlineLevel="0" collapsed="false">
      <c r="A14678" s="3" t="s">
        <v>333</v>
      </c>
      <c r="C14678" s="3" t="str">
        <f aca="false">IF(SUM($G$14643:$K$14643)=0,"n/a",IF(C14676&gt;=C14675-0.001,"Repaid from cash",IF(SUMPRODUCT($G$14643:$K$14643,$G$14627:$K$14627)&gt;0,IF(C14676&gt;0,"Partly repaid; remainder refinanced","Refinanced"),IF(SUM($G$14652:$K$14652)&gt;0.001,IF(C14676&gt;0,"Partial repayment; PAYMENT DEFAULT","PAYMENT DEFAULT"),"Repaid from cash"))))</f>
        <v>Partial repayment; PAYMENT DEFAULT</v>
      </c>
    </row>
    <row r="14679" customFormat="false" ht="15" hidden="false" customHeight="false" outlineLevel="0" collapsed="false">
      <c r="A14679" s="3" t="s">
        <v>334</v>
      </c>
      <c r="C14679" s="25" t="n">
        <f aca="false">SUMPRODUCT($G$14656:$K$14656,$G$14655:$K$14655-$G$14661:$K$14661+$G$14660:$K$14660)</f>
        <v>143.75</v>
      </c>
    </row>
    <row r="14680" customFormat="false" ht="15" hidden="false" customHeight="false" outlineLevel="0" collapsed="false">
      <c r="A14680" s="3" t="s">
        <v>335</v>
      </c>
      <c r="C14680" s="25" t="n">
        <f aca="false">SUMPRODUCT($G$14656:$K$14656,$G$14663:$K$14663)</f>
        <v>0</v>
      </c>
    </row>
    <row r="14681" customFormat="false" ht="15" hidden="false" customHeight="false" outlineLevel="0" collapsed="false">
      <c r="A14681" s="3" t="s">
        <v>336</v>
      </c>
      <c r="C14681" s="3" t="str">
        <f aca="false">IF(SUM($G$14656:$K$14656)=0,"n/a (beyond horizon)",IF(SUMPRODUCT($G$14656:$K$14656,$G$14627:$K$14627)&gt;0,"REFINANCING PASS","REFINANCING FAILURE"))</f>
        <v>REFINANCING FAILURE</v>
      </c>
    </row>
    <row r="14682" customFormat="false" ht="15" hidden="false" customHeight="false" outlineLevel="0" collapsed="false">
      <c r="A14682" s="3" t="s">
        <v>337</v>
      </c>
      <c r="C14682" s="3" t="str">
        <f aca="false">IF(SUM($G$14656:$K$14656)=0,"n/a",IF(C14680&gt;=C14679-0.001,"Repaid from cash",IF(SUMPRODUCT($G$14656:$K$14656,$G$14627:$K$14627)&gt;0,IF(C14680&gt;0,"Partly repaid; remainder refinanced","Refinanced"),IF(SUM($G$14665:$K$14665)&gt;0.001,IF(C14680&gt;0,"Partial repayment; PAYMENT DEFAULT","PAYMENT DEFAULT"),"Repaid from cash"))))</f>
        <v>PAYMENT DEFAULT</v>
      </c>
    </row>
    <row r="14683" customFormat="false" ht="15" hidden="false" customHeight="false" outlineLevel="0" collapsed="false">
      <c r="A14683" s="3" t="s">
        <v>338</v>
      </c>
      <c r="C14683" s="20" t="n">
        <f aca="false">IF(C14673="REFINANCING FAILURE",1,0)+IF(C14677="REFINANCING FAILURE",1,0)+IF(C14681="REFINANCING FAILURE",1,0)</f>
        <v>2</v>
      </c>
    </row>
    <row r="14685" customFormat="false" ht="15" hidden="false" customHeight="false" outlineLevel="0" collapsed="false">
      <c r="A14685" s="23" t="s">
        <v>340</v>
      </c>
      <c r="B14685" s="24"/>
      <c r="C14685" s="24"/>
      <c r="D14685" s="24"/>
      <c r="E14685" s="24"/>
      <c r="F14685" s="24"/>
      <c r="G14685" s="24"/>
      <c r="H14685" s="24"/>
      <c r="I14685" s="24"/>
      <c r="J14685" s="24"/>
      <c r="K14685" s="24"/>
    </row>
    <row r="14686" customFormat="false" ht="15" hidden="false" customHeight="false" outlineLevel="0" collapsed="false">
      <c r="A14686" s="3" t="s">
        <v>305</v>
      </c>
      <c r="G14686" s="25" t="n">
        <f aca="false">F14698</f>
        <v>463.996</v>
      </c>
      <c r="H14686" s="25" t="n">
        <f aca="false">G14698</f>
        <v>431.67030664</v>
      </c>
      <c r="I14686" s="25" t="n">
        <f aca="false">H14698</f>
        <v>359.0106596512</v>
      </c>
      <c r="J14686" s="25" t="n">
        <f aca="false">I14698</f>
        <v>0</v>
      </c>
      <c r="K14686" s="25" t="n">
        <f aca="false">J14698</f>
        <v>-82.533161826112</v>
      </c>
    </row>
    <row r="14687" customFormat="false" ht="15" hidden="false" customHeight="false" outlineLevel="0" collapsed="false">
      <c r="A14687" s="3" t="s">
        <v>341</v>
      </c>
      <c r="G14687" s="25" t="n">
        <f aca="false">G14616</f>
        <v>-32.32569336</v>
      </c>
      <c r="H14687" s="25" t="n">
        <f aca="false">H14616</f>
        <v>-72.6596469888</v>
      </c>
      <c r="I14687" s="25" t="n">
        <f aca="false">I14616</f>
        <v>-88.63869221952</v>
      </c>
      <c r="J14687" s="25" t="n">
        <f aca="false">J14616</f>
        <v>-82.533161826112</v>
      </c>
      <c r="K14687" s="25" t="n">
        <f aca="false">K14616</f>
        <v>-86.2490037995945</v>
      </c>
    </row>
    <row r="14688" customFormat="false" ht="15" hidden="false" customHeight="false" outlineLevel="0" collapsed="false">
      <c r="A14688" s="3" t="s">
        <v>342</v>
      </c>
      <c r="G14688" s="25" t="n">
        <f aca="false">CHOOSE($C$14586,Assumptions!$G$74,Assumptions!$G$93,Assumptions!$G$112)</f>
        <v>0</v>
      </c>
      <c r="H14688" s="25" t="n">
        <f aca="false">CHOOSE($C$14586,Assumptions!$H$74,Assumptions!$H$93,Assumptions!$H$112)</f>
        <v>0</v>
      </c>
      <c r="I14688" s="25" t="n">
        <f aca="false">CHOOSE($C$14586,Assumptions!$I$74,Assumptions!$I$93,Assumptions!$I$112)</f>
        <v>0</v>
      </c>
      <c r="J14688" s="25" t="n">
        <f aca="false">CHOOSE($C$14586,Assumptions!$J$74,Assumptions!$J$93,Assumptions!$J$112)</f>
        <v>0</v>
      </c>
      <c r="K14688" s="25" t="n">
        <f aca="false">CHOOSE($C$14586,Assumptions!$K$74,Assumptions!$K$93,Assumptions!$K$112)</f>
        <v>0</v>
      </c>
    </row>
    <row r="14689" customFormat="false" ht="15" hidden="false" customHeight="false" outlineLevel="0" collapsed="false">
      <c r="A14689" s="3" t="s">
        <v>343</v>
      </c>
      <c r="G14689" s="25" t="n">
        <f aca="false">G14635+G14648+G14661</f>
        <v>0</v>
      </c>
      <c r="H14689" s="25" t="n">
        <f aca="false">H14635+H14648+H14661</f>
        <v>0</v>
      </c>
      <c r="I14689" s="25" t="n">
        <f aca="false">I14635+I14648+I14661</f>
        <v>0</v>
      </c>
      <c r="J14689" s="25" t="n">
        <f aca="false">J14635+J14648+J14661</f>
        <v>0</v>
      </c>
      <c r="K14689" s="25" t="n">
        <f aca="false">K14635+K14648+K14661</f>
        <v>0</v>
      </c>
    </row>
    <row r="14690" customFormat="false" ht="15" hidden="false" customHeight="false" outlineLevel="0" collapsed="false">
      <c r="A14690" s="2" t="s">
        <v>344</v>
      </c>
      <c r="G14690" s="16" t="n">
        <f aca="false">G14686+G14687+G14688-G14689</f>
        <v>431.67030664</v>
      </c>
      <c r="H14690" s="16" t="n">
        <f aca="false">H14686+H14687+H14688-H14689</f>
        <v>359.0106596512</v>
      </c>
      <c r="I14690" s="16" t="n">
        <f aca="false">I14686+I14687+I14688-I14689</f>
        <v>270.37196743168</v>
      </c>
      <c r="J14690" s="16" t="n">
        <f aca="false">J14686+J14687+J14688-J14689</f>
        <v>-82.533161826112</v>
      </c>
      <c r="K14690" s="16" t="n">
        <f aca="false">K14686+K14687+K14688-K14689</f>
        <v>-168.782165625707</v>
      </c>
    </row>
    <row r="14691" customFormat="false" ht="15" hidden="false" customHeight="false" outlineLevel="0" collapsed="false">
      <c r="A14691" s="3" t="s">
        <v>345</v>
      </c>
      <c r="G14691" s="25" t="n">
        <f aca="false">G14636+G14649+G14662</f>
        <v>0</v>
      </c>
      <c r="H14691" s="25" t="n">
        <f aca="false">H14636+H14649+H14662</f>
        <v>0</v>
      </c>
      <c r="I14691" s="25" t="n">
        <f aca="false">I14636+I14649+I14662</f>
        <v>0</v>
      </c>
      <c r="J14691" s="25" t="n">
        <f aca="false">J14636+J14649+J14662</f>
        <v>0</v>
      </c>
      <c r="K14691" s="25" t="n">
        <f aca="false">K14636+K14649+K14662</f>
        <v>0</v>
      </c>
    </row>
    <row r="14692" customFormat="false" ht="15" hidden="false" customHeight="false" outlineLevel="0" collapsed="false">
      <c r="A14692" s="2" t="s">
        <v>346</v>
      </c>
      <c r="G14692" s="16" t="n">
        <f aca="false">G14690+G14691</f>
        <v>431.67030664</v>
      </c>
      <c r="H14692" s="16" t="n">
        <f aca="false">H14690+H14691</f>
        <v>359.0106596512</v>
      </c>
      <c r="I14692" s="16" t="n">
        <f aca="false">I14690+I14691</f>
        <v>270.37196743168</v>
      </c>
      <c r="J14692" s="16" t="n">
        <f aca="false">J14690+J14691</f>
        <v>-82.533161826112</v>
      </c>
      <c r="K14692" s="16" t="n">
        <f aca="false">K14690+K14691</f>
        <v>-168.782165625707</v>
      </c>
    </row>
    <row r="14693" customFormat="false" ht="15" hidden="false" customHeight="false" outlineLevel="0" collapsed="false">
      <c r="A14693" s="3" t="s">
        <v>347</v>
      </c>
      <c r="G14693" s="25" t="n">
        <f aca="false">G14637+G14650+G14663</f>
        <v>0</v>
      </c>
      <c r="H14693" s="25" t="n">
        <f aca="false">H14637+H14650+H14663</f>
        <v>0</v>
      </c>
      <c r="I14693" s="25" t="n">
        <f aca="false">I14637+I14650+I14663</f>
        <v>270.37196743168</v>
      </c>
      <c r="J14693" s="25" t="n">
        <f aca="false">J14637+J14650+J14663</f>
        <v>0</v>
      </c>
      <c r="K14693" s="25" t="n">
        <f aca="false">K14637+K14650+K14663</f>
        <v>0</v>
      </c>
    </row>
    <row r="14694" customFormat="false" ht="15" hidden="false" customHeight="false" outlineLevel="0" collapsed="false">
      <c r="A14694" s="2" t="s">
        <v>348</v>
      </c>
      <c r="G14694" s="16" t="n">
        <f aca="false">G14692-G14693</f>
        <v>431.67030664</v>
      </c>
      <c r="H14694" s="16" t="n">
        <f aca="false">H14692-H14693</f>
        <v>359.0106596512</v>
      </c>
      <c r="I14694" s="16" t="n">
        <f aca="false">I14692-I14693</f>
        <v>0</v>
      </c>
      <c r="J14694" s="16" t="n">
        <f aca="false">J14692-J14693</f>
        <v>-82.533161826112</v>
      </c>
      <c r="K14694" s="16" t="n">
        <f aca="false">K14692-K14693</f>
        <v>-168.782165625707</v>
      </c>
    </row>
    <row r="14695" customFormat="false" ht="15" hidden="false" customHeight="false" outlineLevel="0" collapsed="false">
      <c r="A14695" s="3" t="s">
        <v>349</v>
      </c>
      <c r="G14695" s="25" t="n">
        <f aca="false">MAX(0,-G14694)</f>
        <v>0</v>
      </c>
      <c r="H14695" s="25" t="n">
        <f aca="false">MAX(0,-H14694)</f>
        <v>0</v>
      </c>
      <c r="I14695" s="25" t="n">
        <f aca="false">MAX(0,-I14694)</f>
        <v>-0</v>
      </c>
      <c r="J14695" s="25" t="n">
        <f aca="false">MAX(0,-J14694)</f>
        <v>82.533161826112</v>
      </c>
      <c r="K14695" s="25" t="n">
        <f aca="false">MAX(0,-K14694)</f>
        <v>168.782165625707</v>
      </c>
    </row>
    <row r="14696" customFormat="false" ht="15" hidden="false" customHeight="false" outlineLevel="0" collapsed="false">
      <c r="A14696" s="3" t="s">
        <v>350</v>
      </c>
      <c r="G14696" s="25" t="n">
        <f aca="false">MAX(0,G14694-Assumptions!$C$12)*Assumptions!$C$13</f>
        <v>0</v>
      </c>
      <c r="H14696" s="25" t="n">
        <f aca="false">MAX(0,H14694-Assumptions!$C$12)*Assumptions!$C$13</f>
        <v>0</v>
      </c>
      <c r="I14696" s="25" t="n">
        <f aca="false">MAX(0,I14694-Assumptions!$C$12)*Assumptions!$C$13</f>
        <v>0</v>
      </c>
      <c r="J14696" s="25" t="n">
        <f aca="false">MAX(0,J14694-Assumptions!$C$12)*Assumptions!$C$13</f>
        <v>0</v>
      </c>
      <c r="K14696" s="25" t="n">
        <f aca="false">MAX(0,K14694-Assumptions!$C$12)*Assumptions!$C$13</f>
        <v>0</v>
      </c>
    </row>
    <row r="14697" customFormat="false" ht="15" hidden="false" customHeight="false" outlineLevel="0" collapsed="false">
      <c r="A14697" s="3" t="s">
        <v>351</v>
      </c>
      <c r="G14697" s="25" t="n">
        <f aca="false">G14638+G14651+G14664</f>
        <v>0</v>
      </c>
      <c r="H14697" s="25" t="n">
        <f aca="false">H14638+H14651+H14664</f>
        <v>0</v>
      </c>
      <c r="I14697" s="25" t="n">
        <f aca="false">I14638+I14651+I14664</f>
        <v>0</v>
      </c>
      <c r="J14697" s="25" t="n">
        <f aca="false">J14638+J14651+J14664</f>
        <v>0</v>
      </c>
      <c r="K14697" s="25" t="n">
        <f aca="false">K14638+K14651+K14664</f>
        <v>0</v>
      </c>
    </row>
    <row r="14698" customFormat="false" ht="15" hidden="false" customHeight="false" outlineLevel="0" collapsed="false">
      <c r="A14698" s="2" t="s">
        <v>352</v>
      </c>
      <c r="F14698" s="28" t="n">
        <f aca="false">Assumptions!$C$11</f>
        <v>463.996</v>
      </c>
      <c r="G14698" s="16" t="n">
        <f aca="false">G14694-G14697</f>
        <v>431.67030664</v>
      </c>
      <c r="H14698" s="16" t="n">
        <f aca="false">H14694-H14697</f>
        <v>359.0106596512</v>
      </c>
      <c r="I14698" s="16" t="n">
        <f aca="false">I14694-I14697</f>
        <v>0</v>
      </c>
      <c r="J14698" s="16" t="n">
        <f aca="false">J14694-J14697</f>
        <v>-82.533161826112</v>
      </c>
      <c r="K14698" s="16" t="n">
        <f aca="false">K14694-K14697</f>
        <v>-168.782165625707</v>
      </c>
    </row>
    <row r="14699" customFormat="false" ht="15" hidden="false" customHeight="false" outlineLevel="0" collapsed="false">
      <c r="A14699" s="3" t="s">
        <v>353</v>
      </c>
      <c r="G14699" s="25" t="n">
        <f aca="false">G14639+G14652+G14665</f>
        <v>0</v>
      </c>
      <c r="H14699" s="25" t="n">
        <f aca="false">H14639+H14652+H14665</f>
        <v>0</v>
      </c>
      <c r="I14699" s="25" t="n">
        <f aca="false">I14639+I14652+I14665</f>
        <v>150.08403256832</v>
      </c>
      <c r="J14699" s="25" t="n">
        <f aca="false">J14639+J14652+J14665</f>
        <v>0</v>
      </c>
      <c r="K14699" s="25" t="n">
        <f aca="false">K14639+K14652+K14665</f>
        <v>0</v>
      </c>
    </row>
    <row r="14700" customFormat="false" ht="15" hidden="false" customHeight="false" outlineLevel="0" collapsed="false">
      <c r="A14700" s="3" t="s">
        <v>354</v>
      </c>
      <c r="G14700" s="20" t="n">
        <f aca="false">IF(OR(G14695&gt;0.001,G14699&gt;0.001),1,0)</f>
        <v>0</v>
      </c>
      <c r="H14700" s="20" t="n">
        <f aca="false">IF(OR(H14695&gt;0.001,H14699&gt;0.001),1,0)</f>
        <v>0</v>
      </c>
      <c r="I14700" s="20" t="n">
        <f aca="false">IF(OR(I14695&gt;0.001,I14699&gt;0.001),1,0)</f>
        <v>1</v>
      </c>
      <c r="J14700" s="20" t="n">
        <f aca="false">IF(OR(J14695&gt;0.001,J14699&gt;0.001),1,0)</f>
        <v>1</v>
      </c>
      <c r="K14700" s="20" t="n">
        <f aca="false">IF(OR(K14695&gt;0.001,K14699&gt;0.001),1,0)</f>
        <v>1</v>
      </c>
    </row>
    <row r="14701" customFormat="false" ht="15" hidden="false" customHeight="false" outlineLevel="0" collapsed="false">
      <c r="A14701" s="3" t="s">
        <v>355</v>
      </c>
      <c r="G14701" s="20" t="n">
        <f aca="false">IF(G14700=1,1,0)</f>
        <v>0</v>
      </c>
      <c r="H14701" s="20" t="n">
        <f aca="false">IF(AND(H14700=1,SUM($G$14700:G14700)=0),1,0)</f>
        <v>0</v>
      </c>
      <c r="I14701" s="20" t="n">
        <f aca="false">IF(AND(I14700=1,SUM($G$14700:H14700)=0),1,0)</f>
        <v>1</v>
      </c>
      <c r="J14701" s="20" t="n">
        <f aca="false">IF(AND(J14700=1,SUM($G$14700:I14700)=0),1,0)</f>
        <v>0</v>
      </c>
      <c r="K14701" s="20" t="n">
        <f aca="false">IF(AND(K14700=1,SUM($G$14700:J14700)=0),1,0)</f>
        <v>0</v>
      </c>
    </row>
    <row r="14702" customFormat="false" ht="15" hidden="false" customHeight="false" outlineLevel="0" collapsed="false">
      <c r="A14702" s="3" t="s">
        <v>356</v>
      </c>
      <c r="G14702" s="25" t="n">
        <f aca="false">(G14668-F14668)-(G14691+G14608-G14689-G14693-G14697)</f>
        <v>0</v>
      </c>
      <c r="H14702" s="25" t="n">
        <f aca="false">(H14668-G14668)-(H14691+H14608-H14689-H14693-H14697)</f>
        <v>0</v>
      </c>
      <c r="I14702" s="25" t="n">
        <f aca="false">(I14668-H14668)-(I14691+I14608-I14689-I14693-I14697)</f>
        <v>0</v>
      </c>
      <c r="J14702" s="25" t="n">
        <f aca="false">(J14668-I14668)-(J14691+J14608-J14689-J14693-J14697)</f>
        <v>0</v>
      </c>
      <c r="K14702" s="25" t="n">
        <f aca="false">(K14668-J14668)-(K14691+K14608-K14689-K14693-K14697)</f>
        <v>0</v>
      </c>
    </row>
    <row r="14704" customFormat="false" ht="15" hidden="false" customHeight="false" outlineLevel="0" collapsed="false">
      <c r="A14704" s="23" t="s">
        <v>358</v>
      </c>
      <c r="B14704" s="24"/>
      <c r="C14704" s="24"/>
      <c r="D14704" s="24"/>
      <c r="E14704" s="24"/>
      <c r="F14704" s="24"/>
      <c r="G14704" s="24"/>
      <c r="H14704" s="24"/>
      <c r="I14704" s="24"/>
      <c r="J14704" s="24"/>
      <c r="K14704" s="24"/>
    </row>
    <row r="14705" customFormat="false" ht="15" hidden="false" customHeight="false" outlineLevel="0" collapsed="false">
      <c r="A14705" s="3" t="s">
        <v>359</v>
      </c>
      <c r="G14705" s="25" t="n">
        <f aca="false">G14668</f>
        <v>1735.554</v>
      </c>
      <c r="H14705" s="25" t="n">
        <f aca="false">H14668</f>
        <v>1735.554</v>
      </c>
      <c r="I14705" s="25" t="n">
        <f aca="false">I14668</f>
        <v>1465.18203256832</v>
      </c>
      <c r="J14705" s="25" t="n">
        <f aca="false">J14668</f>
        <v>1465.18203256832</v>
      </c>
      <c r="K14705" s="25" t="n">
        <f aca="false">K14668</f>
        <v>1465.18203256832</v>
      </c>
    </row>
    <row r="14706" customFormat="false" ht="15" hidden="false" customHeight="false" outlineLevel="0" collapsed="false">
      <c r="A14706" s="3" t="s">
        <v>360</v>
      </c>
      <c r="G14706" s="25" t="n">
        <f aca="false">Assumptions!$O$56*G14640+Assumptions!$O$57*G14653+Assumptions!$O$58*G14666</f>
        <v>1315.098</v>
      </c>
      <c r="H14706" s="25" t="n">
        <f aca="false">Assumptions!$O$56*H14640+Assumptions!$O$57*H14653+Assumptions!$O$58*H14666</f>
        <v>1315.098</v>
      </c>
      <c r="I14706" s="25" t="n">
        <f aca="false">Assumptions!$O$56*I14640+Assumptions!$O$57*I14653+Assumptions!$O$58*I14666</f>
        <v>1315.098</v>
      </c>
      <c r="J14706" s="25" t="n">
        <f aca="false">Assumptions!$O$56*J14640+Assumptions!$O$57*J14653+Assumptions!$O$58*J14666</f>
        <v>1315.098</v>
      </c>
      <c r="K14706" s="25" t="n">
        <f aca="false">Assumptions!$O$56*K14640+Assumptions!$O$57*K14653+Assumptions!$O$58*K14666</f>
        <v>1315.098</v>
      </c>
    </row>
    <row r="14707" customFormat="false" ht="15" hidden="false" customHeight="false" outlineLevel="0" collapsed="false">
      <c r="A14707" s="3" t="s">
        <v>361</v>
      </c>
      <c r="G14707" s="25" t="n">
        <f aca="false">G14705-G14698</f>
        <v>1303.88369336</v>
      </c>
      <c r="H14707" s="25" t="n">
        <f aca="false">H14705-H14698</f>
        <v>1376.5433403488</v>
      </c>
      <c r="I14707" s="25" t="n">
        <f aca="false">I14705-I14698</f>
        <v>1465.18203256832</v>
      </c>
      <c r="J14707" s="25" t="n">
        <f aca="false">J14705-J14698</f>
        <v>1547.71519439443</v>
      </c>
      <c r="K14707" s="25" t="n">
        <f aca="false">K14705-K14698</f>
        <v>1633.96419819403</v>
      </c>
    </row>
    <row r="14708" customFormat="false" ht="15" hidden="false" customHeight="false" outlineLevel="0" collapsed="false">
      <c r="A14708" s="3" t="s">
        <v>362</v>
      </c>
      <c r="G14708" s="32" t="n">
        <f aca="false">IF(G14603&gt;0,G14705/G14603,0)</f>
        <v>9.98286782658702</v>
      </c>
      <c r="H14708" s="32" t="n">
        <f aca="false">IF(H14603&gt;0,H14705/H14603,0)</f>
        <v>13.6130015817096</v>
      </c>
      <c r="I14708" s="32" t="n">
        <f aca="false">IF(I14603&gt;0,I14705/I14603,0)</f>
        <v>13.6813219341771</v>
      </c>
      <c r="J14708" s="32" t="n">
        <f aca="false">IF(J14603&gt;0,J14705/J14603,0)</f>
        <v>14.8710021023664</v>
      </c>
      <c r="K14708" s="32" t="n">
        <f aca="false">IF(K14603&gt;0,K14705/K14603,0)</f>
        <v>15.8202150025174</v>
      </c>
    </row>
    <row r="14709" customFormat="false" ht="15" hidden="false" customHeight="false" outlineLevel="0" collapsed="false">
      <c r="A14709" s="3" t="s">
        <v>363</v>
      </c>
      <c r="G14709" s="32" t="n">
        <f aca="false">IF(G14603&gt;0,G14707/G14603,0)</f>
        <v>7.49990986858087</v>
      </c>
      <c r="H14709" s="32" t="n">
        <f aca="false">IF(H14603&gt;0,H14707/H14603,0)</f>
        <v>10.7970634560838</v>
      </c>
      <c r="I14709" s="32" t="n">
        <f aca="false">IF(I14603&gt;0,I14707/I14603,0)</f>
        <v>13.6813219341771</v>
      </c>
      <c r="J14709" s="32" t="n">
        <f aca="false">IF(J14603&gt;0,J14707/J14603,0)</f>
        <v>15.7086801490181</v>
      </c>
      <c r="K14709" s="32" t="n">
        <f aca="false">IF(K14603&gt;0,K14707/K14603,0)</f>
        <v>17.6426302993449</v>
      </c>
    </row>
    <row r="14710" customFormat="false" ht="15" hidden="false" customHeight="false" outlineLevel="0" collapsed="false">
      <c r="A14710" s="3" t="s">
        <v>364</v>
      </c>
      <c r="G14710" s="32" t="n">
        <f aca="false">IF(G14607&gt;0,G14603/G14607,0)</f>
        <v>1.11476782580477</v>
      </c>
      <c r="H14710" s="32" t="n">
        <f aca="false">IF(H14607&gt;0,H14603/H14607,0)</f>
        <v>0.817496405590163</v>
      </c>
      <c r="I14710" s="32" t="n">
        <f aca="false">IF(I14607&gt;0,I14603/I14607,0)</f>
        <v>0.686696980695737</v>
      </c>
      <c r="J14710" s="32" t="n">
        <f aca="false">IF(J14607&gt;0,J14603/J14607,0)</f>
        <v>0.682012179303795</v>
      </c>
      <c r="K14710" s="32" t="n">
        <f aca="false">IF(K14607&gt;0,K14603/K14607,0)</f>
        <v>0.641091448545568</v>
      </c>
    </row>
    <row r="14711" customFormat="false" ht="15" hidden="false" customHeight="false" outlineLevel="0" collapsed="false">
      <c r="A14711" s="3" t="s">
        <v>365</v>
      </c>
      <c r="G14711" s="32" t="n">
        <f aca="false">IF(G14607&gt;0,G14606/G14607,0)</f>
        <v>0.510100328512125</v>
      </c>
      <c r="H14711" s="32" t="n">
        <f aca="false">IF(H14607&gt;0,H14606/H14607,0)</f>
        <v>0.285389007972637</v>
      </c>
      <c r="I14711" s="32" t="n">
        <f aca="false">IF(I14607&gt;0,I14606/I14607,0)</f>
        <v>0.207800322839964</v>
      </c>
      <c r="J14711" s="32" t="n">
        <f aca="false">IF(J14607&gt;0,J14606/J14607,0)</f>
        <v>0.206382662257416</v>
      </c>
      <c r="K14711" s="32" t="n">
        <f aca="false">IF(K14607&gt;0,K14606/K14607,0)</f>
        <v>0.193999702521971</v>
      </c>
    </row>
    <row r="14712" customFormat="false" ht="15" hidden="false" customHeight="false" outlineLevel="0" collapsed="false">
      <c r="A14712" s="3" t="s">
        <v>198</v>
      </c>
      <c r="G14712" s="21" t="n">
        <f aca="false">IF(G14705&gt;0,G14616/G14705,0)</f>
        <v>-0.0186255762482758</v>
      </c>
      <c r="H14712" s="21" t="n">
        <f aca="false">IF(H14705&gt;0,H14616/H14705,0)</f>
        <v>-0.0418653911020919</v>
      </c>
      <c r="I14712" s="21" t="n">
        <f aca="false">IF(I14705&gt;0,I14616/I14705,0)</f>
        <v>-0.0604967097938985</v>
      </c>
      <c r="J14712" s="21" t="n">
        <f aca="false">IF(J14705&gt;0,J14616/J14705,0)</f>
        <v>-0.0563296300333683</v>
      </c>
      <c r="K14712" s="21" t="n">
        <f aca="false">IF(K14705&gt;0,K14616/K14705,0)</f>
        <v>-0.0588657258159305</v>
      </c>
    </row>
    <row r="14713" customFormat="false" ht="15" hidden="false" customHeight="false" outlineLevel="0" collapsed="false">
      <c r="A14713" s="3" t="s">
        <v>366</v>
      </c>
      <c r="G14713" s="32" t="n">
        <f aca="false">IF(G14607+G14689&gt;0,(G14603-G14614-G14611)/(G14607+G14689),0)</f>
        <v>0.978518424873074</v>
      </c>
      <c r="H14713" s="32" t="n">
        <f aca="false">IF(H14607+H14689&gt;0,(H14603-H14614-H14611)/(H14607+H14689),0)</f>
        <v>0.697596932770272</v>
      </c>
      <c r="I14713" s="32" t="n">
        <f aca="false">IF(I14607+I14689&gt;0,(I14603-I14614-I14611)/(I14607+I14689),0)</f>
        <v>0.578787455157835</v>
      </c>
      <c r="J14713" s="32" t="n">
        <f aca="false">IF(J14607+J14689&gt;0,(J14603-J14614-J14611)/(J14607+J14689),0)</f>
        <v>0.57483883684177</v>
      </c>
      <c r="K14713" s="32" t="n">
        <f aca="false">IF(K14607+K14689&gt;0,(K14603-K14614-K14611)/(K14607+K14689),0)</f>
        <v>0.540348506631264</v>
      </c>
    </row>
    <row r="14714" customFormat="false" ht="15" hidden="false" customHeight="false" outlineLevel="0" collapsed="false">
      <c r="A14714" s="3" t="s">
        <v>367</v>
      </c>
      <c r="G14714" s="25" t="n">
        <f aca="false">MAX(0,G14698)+Assumptions!$P$56*MAX(0,Assumptions!$D$56-G14640)+Assumptions!$P$57*MAX(0,Assumptions!$D$57-G14653)+Assumptions!$P$58*MAX(0,Assumptions!$D$58-G14666)</f>
        <v>431.67030664</v>
      </c>
      <c r="H14714" s="25" t="n">
        <f aca="false">MAX(0,H14698)+Assumptions!$P$56*MAX(0,Assumptions!$D$56-H14640)+Assumptions!$P$57*MAX(0,Assumptions!$D$57-H14653)+Assumptions!$P$58*MAX(0,Assumptions!$D$58-H14666)</f>
        <v>359.0106596512</v>
      </c>
      <c r="I14714" s="25" t="n">
        <f aca="false">MAX(0,I14698)+Assumptions!$P$56*MAX(0,Assumptions!$D$56-I14640)+Assumptions!$P$57*MAX(0,Assumptions!$D$57-I14653)+Assumptions!$P$58*MAX(0,Assumptions!$D$58-I14666)</f>
        <v>0</v>
      </c>
      <c r="J14714" s="25" t="n">
        <f aca="false">MAX(0,J14698)+Assumptions!$P$56*MAX(0,Assumptions!$D$56-J14640)+Assumptions!$P$57*MAX(0,Assumptions!$D$57-J14653)+Assumptions!$P$58*MAX(0,Assumptions!$D$58-J14666)</f>
        <v>0</v>
      </c>
      <c r="K14714" s="25" t="n">
        <f aca="false">MAX(0,K14698)+Assumptions!$P$56*MAX(0,Assumptions!$D$56-K14640)+Assumptions!$P$57*MAX(0,Assumptions!$D$57-K14653)+Assumptions!$P$58*MAX(0,Assumptions!$D$58-K14666)</f>
        <v>0</v>
      </c>
    </row>
    <row r="14715" customFormat="false" ht="15" hidden="false" customHeight="false" outlineLevel="0" collapsed="false">
      <c r="A14715" s="3" t="s">
        <v>368</v>
      </c>
      <c r="G14715" s="21" t="n">
        <f aca="false">IF(G14705&gt;0,G14705/(G14705+MAX(0,G14603*CHOOSE($C$14586,Assumptions!$C$82,Assumptions!$C$101,Assumptions!$C$120)-G14707)),0)</f>
        <v>1</v>
      </c>
      <c r="H14715" s="21" t="n">
        <f aca="false">IF(H14705&gt;0,H14705/(H14705+MAX(0,H14603*CHOOSE($C$14586,Assumptions!$C$82,Assumptions!$C$101,Assumptions!$C$120)-H14707)),0)</f>
        <v>1</v>
      </c>
      <c r="I14715" s="21" t="n">
        <f aca="false">IF(I14705&gt;0,I14705/(I14705+MAX(0,I14603*CHOOSE($C$14586,Assumptions!$C$82,Assumptions!$C$101,Assumptions!$C$120)-I14707)),0)</f>
        <v>1</v>
      </c>
      <c r="J14715" s="21" t="n">
        <f aca="false">IF(J14705&gt;0,J14705/(J14705+MAX(0,J14603*CHOOSE($C$14586,Assumptions!$C$82,Assumptions!$C$101,Assumptions!$C$120)-J14707)),0)</f>
        <v>1</v>
      </c>
      <c r="K14715" s="21" t="n">
        <f aca="false">IF(K14705&gt;0,K14705/(K14705+MAX(0,K14603*CHOOSE($C$14586,Assumptions!$C$82,Assumptions!$C$101,Assumptions!$C$120)-K14707)),0)</f>
        <v>1</v>
      </c>
    </row>
    <row r="14716" customFormat="false" ht="15" hidden="false" customHeight="false" outlineLevel="0" collapsed="false">
      <c r="A14716" s="3" t="s">
        <v>369</v>
      </c>
      <c r="G14716" s="21" t="n">
        <f aca="false">IF(G14705&gt;0,MAX(0,G14698)/G14705,0)</f>
        <v>0.248721910490829</v>
      </c>
      <c r="H14716" s="21" t="n">
        <f aca="false">IF(H14705&gt;0,MAX(0,H14698)/H14705,0)</f>
        <v>0.206856519388737</v>
      </c>
      <c r="I14716" s="21" t="n">
        <f aca="false">IF(I14705&gt;0,MAX(0,I14698)/I14705,0)</f>
        <v>0</v>
      </c>
      <c r="J14716" s="21" t="n">
        <f aca="false">IF(J14705&gt;0,MAX(0,J14698)/J14705,0)</f>
        <v>0</v>
      </c>
      <c r="K14716" s="21" t="n">
        <f aca="false">IF(K14705&gt;0,MAX(0,K14698)/K14705,0)</f>
        <v>0</v>
      </c>
    </row>
    <row r="14717" customFormat="false" ht="15" hidden="false" customHeight="false" outlineLevel="0" collapsed="false">
      <c r="A14717" s="3" t="s">
        <v>370</v>
      </c>
      <c r="G14717" s="25" t="n">
        <f aca="false">Assumptions!$C$30*(1-CHOOSE($C$14586,Assumptions!$C$85,Assumptions!$C$104,Assumptions!$C$123))</f>
        <v>1595.73115</v>
      </c>
      <c r="H14717" s="25" t="n">
        <f aca="false">Assumptions!$C$30*(1-CHOOSE($C$14586,Assumptions!$C$85,Assumptions!$C$104,Assumptions!$C$123))</f>
        <v>1595.73115</v>
      </c>
      <c r="I14717" s="25" t="n">
        <f aca="false">Assumptions!$C$30*(1-CHOOSE($C$14586,Assumptions!$C$85,Assumptions!$C$104,Assumptions!$C$123))</f>
        <v>1595.73115</v>
      </c>
      <c r="J14717" s="25" t="n">
        <f aca="false">Assumptions!$C$30*(1-CHOOSE($C$14586,Assumptions!$C$85,Assumptions!$C$104,Assumptions!$C$123))</f>
        <v>1595.73115</v>
      </c>
      <c r="K14717" s="25" t="n">
        <f aca="false">Assumptions!$C$30*(1-CHOOSE($C$14586,Assumptions!$C$85,Assumptions!$C$104,Assumptions!$C$123))</f>
        <v>1595.73115</v>
      </c>
    </row>
    <row r="14718" customFormat="false" ht="15" hidden="false" customHeight="false" outlineLevel="0" collapsed="false">
      <c r="A14718" s="23" t="s">
        <v>371</v>
      </c>
      <c r="B14718" s="24"/>
      <c r="C14718" s="24"/>
      <c r="D14718" s="24"/>
      <c r="E14718" s="24"/>
      <c r="F14718" s="24"/>
      <c r="G14718" s="24"/>
      <c r="H14718" s="24"/>
      <c r="I14718" s="24"/>
      <c r="J14718" s="24"/>
      <c r="K14718" s="24"/>
    </row>
    <row r="14719" customFormat="false" ht="15" hidden="false" customHeight="false" outlineLevel="0" collapsed="false">
      <c r="A14719" s="23" t="s">
        <v>372</v>
      </c>
      <c r="B14719" s="24"/>
      <c r="C14719" s="24"/>
      <c r="D14719" s="24"/>
      <c r="E14719" s="24"/>
      <c r="F14719" s="24"/>
      <c r="G14719" s="24"/>
      <c r="H14719" s="24"/>
      <c r="I14719" s="24"/>
      <c r="J14719" s="24"/>
      <c r="K14719" s="24"/>
    </row>
    <row r="14720" customFormat="false" ht="15" hidden="false" customHeight="false" outlineLevel="0" collapsed="false">
      <c r="A14720" s="3" t="s">
        <v>373</v>
      </c>
      <c r="G14720" s="32" t="n">
        <f aca="false">IF(G14603&gt;0,G14707/G14603,99)</f>
        <v>7.49990986858087</v>
      </c>
      <c r="H14720" s="32" t="n">
        <f aca="false">IF(H14603&gt;0,H14707/H14603,99)</f>
        <v>10.7970634560838</v>
      </c>
      <c r="I14720" s="32" t="n">
        <f aca="false">IF(I14603&gt;0,I14707/I14603,99)</f>
        <v>13.6813219341771</v>
      </c>
      <c r="J14720" s="32" t="n">
        <f aca="false">IF(J14603&gt;0,J14707/J14603,99)</f>
        <v>15.7086801490181</v>
      </c>
      <c r="K14720" s="32" t="n">
        <f aca="false">IF(K14603&gt;0,K14707/K14603,99)</f>
        <v>17.6426302993449</v>
      </c>
    </row>
    <row r="14721" customFormat="false" ht="15" hidden="false" customHeight="false" outlineLevel="0" collapsed="false">
      <c r="A14721" s="3" t="s">
        <v>374</v>
      </c>
      <c r="G14721" s="33" t="n">
        <f aca="false">Assumptions!$G$65</f>
        <v>5.25</v>
      </c>
      <c r="H14721" s="33" t="n">
        <f aca="false">Assumptions!$H$65</f>
        <v>5.25</v>
      </c>
      <c r="I14721" s="33" t="n">
        <f aca="false">Assumptions!$I$65</f>
        <v>5</v>
      </c>
      <c r="J14721" s="33" t="n">
        <f aca="false">Assumptions!$J$65</f>
        <v>5</v>
      </c>
      <c r="K14721" s="33" t="n">
        <f aca="false">Assumptions!$K$65</f>
        <v>5</v>
      </c>
    </row>
    <row r="14722" customFormat="false" ht="15" hidden="false" customHeight="false" outlineLevel="0" collapsed="false">
      <c r="A14722" s="3" t="s">
        <v>375</v>
      </c>
      <c r="G14722" s="32" t="n">
        <f aca="false">G14721-G14720</f>
        <v>-2.24990986858086</v>
      </c>
      <c r="H14722" s="32" t="n">
        <f aca="false">H14721-H14720</f>
        <v>-5.54706345608375</v>
      </c>
      <c r="I14722" s="32" t="n">
        <f aca="false">I14721-I14720</f>
        <v>-8.68132193417709</v>
      </c>
      <c r="J14722" s="32" t="n">
        <f aca="false">J14721-J14720</f>
        <v>-10.7086801490181</v>
      </c>
      <c r="K14722" s="32" t="n">
        <f aca="false">K14721-K14720</f>
        <v>-12.6426302993449</v>
      </c>
    </row>
    <row r="14723" customFormat="false" ht="15" hidden="false" customHeight="false" outlineLevel="0" collapsed="false">
      <c r="A14723" s="3" t="s">
        <v>376</v>
      </c>
      <c r="G14723" s="21" t="n">
        <f aca="false">IF(G14721=0,0,G14722/ABS(G14721))</f>
        <v>-0.42855426068207</v>
      </c>
      <c r="H14723" s="21" t="n">
        <f aca="false">IF(H14721=0,0,H14722/ABS(H14721))</f>
        <v>-1.05658351544452</v>
      </c>
      <c r="I14723" s="21" t="n">
        <f aca="false">IF(I14721=0,0,I14722/ABS(I14721))</f>
        <v>-1.73626438683542</v>
      </c>
      <c r="J14723" s="21" t="n">
        <f aca="false">IF(J14721=0,0,J14722/ABS(J14721))</f>
        <v>-2.14173602980363</v>
      </c>
      <c r="K14723" s="21" t="n">
        <f aca="false">IF(K14721=0,0,K14722/ABS(K14721))</f>
        <v>-2.52852605986897</v>
      </c>
    </row>
    <row r="14724" customFormat="false" ht="15" hidden="false" customHeight="false" outlineLevel="0" collapsed="false">
      <c r="A14724" s="3" t="s">
        <v>377</v>
      </c>
      <c r="G14724" s="20" t="n">
        <f aca="false">IF(G14722&lt;0,1,0)</f>
        <v>1</v>
      </c>
      <c r="H14724" s="20" t="n">
        <f aca="false">IF(H14722&lt;0,1,0)</f>
        <v>1</v>
      </c>
      <c r="I14724" s="20" t="n">
        <f aca="false">IF(I14722&lt;0,1,0)</f>
        <v>1</v>
      </c>
      <c r="J14724" s="20" t="n">
        <f aca="false">IF(J14722&lt;0,1,0)</f>
        <v>1</v>
      </c>
      <c r="K14724" s="20" t="n">
        <f aca="false">IF(K14722&lt;0,1,0)</f>
        <v>1</v>
      </c>
    </row>
    <row r="14725" customFormat="false" ht="15" hidden="false" customHeight="false" outlineLevel="0" collapsed="false">
      <c r="A14725" s="3" t="s">
        <v>378</v>
      </c>
      <c r="C14725" s="20" t="n">
        <f aca="false">IFERROR(INDEX($G$14593:$K$14593,MATCH(1,$G$14724:$K$14724,0)),0)</f>
        <v>2027</v>
      </c>
    </row>
    <row r="14726" customFormat="false" ht="15" hidden="false" customHeight="false" outlineLevel="0" collapsed="false">
      <c r="A14726" s="3" t="s">
        <v>379</v>
      </c>
      <c r="C14726" s="21" t="n">
        <f aca="false">MIN($G$14723:$K$14723)</f>
        <v>-2.52852605986897</v>
      </c>
    </row>
    <row r="14727" customFormat="false" ht="15" hidden="false" customHeight="false" outlineLevel="0" collapsed="false">
      <c r="A14727" s="23" t="s">
        <v>380</v>
      </c>
      <c r="B14727" s="24"/>
      <c r="C14727" s="24"/>
      <c r="D14727" s="24"/>
      <c r="E14727" s="24"/>
      <c r="F14727" s="24"/>
      <c r="G14727" s="24"/>
      <c r="H14727" s="24"/>
      <c r="I14727" s="24"/>
      <c r="J14727" s="24"/>
      <c r="K14727" s="24"/>
    </row>
    <row r="14728" customFormat="false" ht="15" hidden="false" customHeight="false" outlineLevel="0" collapsed="false">
      <c r="A14728" s="3" t="s">
        <v>373</v>
      </c>
      <c r="G14728" s="32" t="n">
        <f aca="false">IF(G14607&gt;0,G14603/G14607,99)</f>
        <v>1.11476782580477</v>
      </c>
      <c r="H14728" s="32" t="n">
        <f aca="false">IF(H14607&gt;0,H14603/H14607,99)</f>
        <v>0.817496405590163</v>
      </c>
      <c r="I14728" s="32" t="n">
        <f aca="false">IF(I14607&gt;0,I14603/I14607,99)</f>
        <v>0.686696980695737</v>
      </c>
      <c r="J14728" s="32" t="n">
        <f aca="false">IF(J14607&gt;0,J14603/J14607,99)</f>
        <v>0.682012179303795</v>
      </c>
      <c r="K14728" s="32" t="n">
        <f aca="false">IF(K14607&gt;0,K14603/K14607,99)</f>
        <v>0.641091448545568</v>
      </c>
    </row>
    <row r="14729" customFormat="false" ht="15" hidden="false" customHeight="false" outlineLevel="0" collapsed="false">
      <c r="A14729" s="3" t="s">
        <v>374</v>
      </c>
      <c r="G14729" s="33" t="n">
        <f aca="false">Assumptions!$G$66</f>
        <v>1.4</v>
      </c>
      <c r="H14729" s="33" t="n">
        <f aca="false">Assumptions!$H$66</f>
        <v>1.4</v>
      </c>
      <c r="I14729" s="33" t="n">
        <f aca="false">Assumptions!$I$66</f>
        <v>1.4</v>
      </c>
      <c r="J14729" s="33" t="n">
        <f aca="false">Assumptions!$J$66</f>
        <v>1.5</v>
      </c>
      <c r="K14729" s="33" t="n">
        <f aca="false">Assumptions!$K$66</f>
        <v>1.5</v>
      </c>
    </row>
    <row r="14730" customFormat="false" ht="15" hidden="false" customHeight="false" outlineLevel="0" collapsed="false">
      <c r="A14730" s="3" t="s">
        <v>375</v>
      </c>
      <c r="G14730" s="32" t="n">
        <f aca="false">G14728-G14729</f>
        <v>-0.285232174195233</v>
      </c>
      <c r="H14730" s="32" t="n">
        <f aca="false">H14728-H14729</f>
        <v>-0.582503594409837</v>
      </c>
      <c r="I14730" s="32" t="n">
        <f aca="false">I14728-I14729</f>
        <v>-0.713303019304263</v>
      </c>
      <c r="J14730" s="32" t="n">
        <f aca="false">J14728-J14729</f>
        <v>-0.817987820696205</v>
      </c>
      <c r="K14730" s="32" t="n">
        <f aca="false">K14728-K14729</f>
        <v>-0.858908551454433</v>
      </c>
    </row>
    <row r="14731" customFormat="false" ht="15" hidden="false" customHeight="false" outlineLevel="0" collapsed="false">
      <c r="A14731" s="3" t="s">
        <v>376</v>
      </c>
      <c r="G14731" s="21" t="n">
        <f aca="false">IF(G14729=0,0,G14730/ABS(G14729))</f>
        <v>-0.203737267282309</v>
      </c>
      <c r="H14731" s="21" t="n">
        <f aca="false">IF(H14729=0,0,H14730/ABS(H14729))</f>
        <v>-0.416073996007027</v>
      </c>
      <c r="I14731" s="21" t="n">
        <f aca="false">IF(I14729=0,0,I14730/ABS(I14729))</f>
        <v>-0.509502156645902</v>
      </c>
      <c r="J14731" s="21" t="n">
        <f aca="false">IF(J14729=0,0,J14730/ABS(J14729))</f>
        <v>-0.54532521379747</v>
      </c>
      <c r="K14731" s="21" t="n">
        <f aca="false">IF(K14729=0,0,K14730/ABS(K14729))</f>
        <v>-0.572605700969622</v>
      </c>
    </row>
    <row r="14732" customFormat="false" ht="15" hidden="false" customHeight="false" outlineLevel="0" collapsed="false">
      <c r="A14732" s="3" t="s">
        <v>377</v>
      </c>
      <c r="G14732" s="20" t="n">
        <f aca="false">IF(G14730&lt;0,1,0)</f>
        <v>1</v>
      </c>
      <c r="H14732" s="20" t="n">
        <f aca="false">IF(H14730&lt;0,1,0)</f>
        <v>1</v>
      </c>
      <c r="I14732" s="20" t="n">
        <f aca="false">IF(I14730&lt;0,1,0)</f>
        <v>1</v>
      </c>
      <c r="J14732" s="20" t="n">
        <f aca="false">IF(J14730&lt;0,1,0)</f>
        <v>1</v>
      </c>
      <c r="K14732" s="20" t="n">
        <f aca="false">IF(K14730&lt;0,1,0)</f>
        <v>1</v>
      </c>
    </row>
    <row r="14733" customFormat="false" ht="15" hidden="false" customHeight="false" outlineLevel="0" collapsed="false">
      <c r="A14733" s="3" t="s">
        <v>378</v>
      </c>
      <c r="C14733" s="20" t="n">
        <f aca="false">IFERROR(INDEX($G$14593:$K$14593,MATCH(1,$G$14732:$K$14732,0)),0)</f>
        <v>2027</v>
      </c>
    </row>
    <row r="14734" customFormat="false" ht="15" hidden="false" customHeight="false" outlineLevel="0" collapsed="false">
      <c r="A14734" s="3" t="s">
        <v>379</v>
      </c>
      <c r="C14734" s="21" t="n">
        <f aca="false">MIN($G$14731:$K$14731)</f>
        <v>-0.572605700969622</v>
      </c>
    </row>
    <row r="14735" customFormat="false" ht="15" hidden="false" customHeight="false" outlineLevel="0" collapsed="false">
      <c r="A14735" s="23" t="s">
        <v>381</v>
      </c>
      <c r="B14735" s="24"/>
      <c r="C14735" s="24"/>
      <c r="D14735" s="24"/>
      <c r="E14735" s="24"/>
      <c r="F14735" s="24"/>
      <c r="G14735" s="24"/>
      <c r="H14735" s="24"/>
      <c r="I14735" s="24"/>
      <c r="J14735" s="24"/>
      <c r="K14735" s="24"/>
    </row>
    <row r="14736" customFormat="false" ht="15" hidden="false" customHeight="false" outlineLevel="0" collapsed="false">
      <c r="A14736" s="3" t="s">
        <v>373</v>
      </c>
      <c r="G14736" s="25" t="n">
        <f aca="false">G14714</f>
        <v>431.67030664</v>
      </c>
      <c r="H14736" s="25" t="n">
        <f aca="false">H14714</f>
        <v>359.0106596512</v>
      </c>
      <c r="I14736" s="25" t="n">
        <f aca="false">I14714</f>
        <v>0</v>
      </c>
      <c r="J14736" s="25" t="n">
        <f aca="false">J14714</f>
        <v>0</v>
      </c>
      <c r="K14736" s="25" t="n">
        <f aca="false">K14714</f>
        <v>0</v>
      </c>
    </row>
    <row r="14737" customFormat="false" ht="15" hidden="false" customHeight="false" outlineLevel="0" collapsed="false">
      <c r="A14737" s="3" t="s">
        <v>374</v>
      </c>
      <c r="G14737" s="29" t="n">
        <f aca="false">Assumptions!$G$67</f>
        <v>200</v>
      </c>
      <c r="H14737" s="29" t="n">
        <f aca="false">Assumptions!$H$67</f>
        <v>200</v>
      </c>
      <c r="I14737" s="29" t="n">
        <f aca="false">Assumptions!$I$67</f>
        <v>200</v>
      </c>
      <c r="J14737" s="29" t="n">
        <f aca="false">Assumptions!$J$67</f>
        <v>200</v>
      </c>
      <c r="K14737" s="29" t="n">
        <f aca="false">Assumptions!$K$67</f>
        <v>200</v>
      </c>
    </row>
    <row r="14738" customFormat="false" ht="15" hidden="false" customHeight="false" outlineLevel="0" collapsed="false">
      <c r="A14738" s="3" t="s">
        <v>375</v>
      </c>
      <c r="G14738" s="25" t="n">
        <f aca="false">G14736-G14737</f>
        <v>231.67030664</v>
      </c>
      <c r="H14738" s="25" t="n">
        <f aca="false">H14736-H14737</f>
        <v>159.0106596512</v>
      </c>
      <c r="I14738" s="25" t="n">
        <f aca="false">I14736-I14737</f>
        <v>-200</v>
      </c>
      <c r="J14738" s="25" t="n">
        <f aca="false">J14736-J14737</f>
        <v>-200</v>
      </c>
      <c r="K14738" s="25" t="n">
        <f aca="false">K14736-K14737</f>
        <v>-200</v>
      </c>
    </row>
    <row r="14739" customFormat="false" ht="15" hidden="false" customHeight="false" outlineLevel="0" collapsed="false">
      <c r="A14739" s="3" t="s">
        <v>376</v>
      </c>
      <c r="G14739" s="21" t="n">
        <f aca="false">IF(G14737=0,0,G14738/ABS(G14737))</f>
        <v>1.1583515332</v>
      </c>
      <c r="H14739" s="21" t="n">
        <f aca="false">IF(H14737=0,0,H14738/ABS(H14737))</f>
        <v>0.795053298256</v>
      </c>
      <c r="I14739" s="21" t="n">
        <f aca="false">IF(I14737=0,0,I14738/ABS(I14737))</f>
        <v>-1</v>
      </c>
      <c r="J14739" s="21" t="n">
        <f aca="false">IF(J14737=0,0,J14738/ABS(J14737))</f>
        <v>-1</v>
      </c>
      <c r="K14739" s="21" t="n">
        <f aca="false">IF(K14737=0,0,K14738/ABS(K14737))</f>
        <v>-1</v>
      </c>
    </row>
    <row r="14740" customFormat="false" ht="15" hidden="false" customHeight="false" outlineLevel="0" collapsed="false">
      <c r="A14740" s="3" t="s">
        <v>377</v>
      </c>
      <c r="G14740" s="20" t="n">
        <f aca="false">IF(G14738&lt;0,1,0)</f>
        <v>0</v>
      </c>
      <c r="H14740" s="20" t="n">
        <f aca="false">IF(H14738&lt;0,1,0)</f>
        <v>0</v>
      </c>
      <c r="I14740" s="20" t="n">
        <f aca="false">IF(I14738&lt;0,1,0)</f>
        <v>1</v>
      </c>
      <c r="J14740" s="20" t="n">
        <f aca="false">IF(J14738&lt;0,1,0)</f>
        <v>1</v>
      </c>
      <c r="K14740" s="20" t="n">
        <f aca="false">IF(K14738&lt;0,1,0)</f>
        <v>1</v>
      </c>
    </row>
    <row r="14741" customFormat="false" ht="15" hidden="false" customHeight="false" outlineLevel="0" collapsed="false">
      <c r="A14741" s="3" t="s">
        <v>378</v>
      </c>
      <c r="C14741" s="20" t="n">
        <f aca="false">IFERROR(INDEX($G$14593:$K$14593,MATCH(1,$G$14740:$K$14740,0)),0)</f>
        <v>2029</v>
      </c>
    </row>
    <row r="14742" customFormat="false" ht="15" hidden="false" customHeight="false" outlineLevel="0" collapsed="false">
      <c r="A14742" s="3" t="s">
        <v>379</v>
      </c>
      <c r="C14742" s="21" t="n">
        <f aca="false">MIN($G$14739:$K$14739)</f>
        <v>-1</v>
      </c>
    </row>
    <row r="14743" customFormat="false" ht="15" hidden="false" customHeight="false" outlineLevel="0" collapsed="false">
      <c r="A14743" s="3" t="s">
        <v>382</v>
      </c>
      <c r="G14743" s="20" t="n">
        <f aca="false">G14724+G14732+G14740</f>
        <v>2</v>
      </c>
      <c r="H14743" s="20" t="n">
        <f aca="false">H14724+H14732+H14740</f>
        <v>2</v>
      </c>
      <c r="I14743" s="20" t="n">
        <f aca="false">I14724+I14732+I14740</f>
        <v>3</v>
      </c>
      <c r="J14743" s="20" t="n">
        <f aca="false">J14724+J14732+J14740</f>
        <v>3</v>
      </c>
      <c r="K14743" s="20" t="n">
        <f aca="false">K14724+K14732+K14740</f>
        <v>3</v>
      </c>
    </row>
    <row r="14744" customFormat="false" ht="15" hidden="false" customHeight="false" outlineLevel="0" collapsed="false">
      <c r="A14744" s="3" t="s">
        <v>383</v>
      </c>
      <c r="C14744" s="20" t="n">
        <f aca="false">SUM($G$14743:$K$14743)</f>
        <v>13</v>
      </c>
    </row>
    <row r="14745" customFormat="false" ht="15" hidden="false" customHeight="false" outlineLevel="0" collapsed="false">
      <c r="A14745" s="3" t="s">
        <v>384</v>
      </c>
      <c r="C14745" s="21" t="n">
        <f aca="false">MIN(C14726,C14734,C14742)</f>
        <v>-2.52852605986897</v>
      </c>
    </row>
    <row r="14747" customFormat="false" ht="15" hidden="false" customHeight="false" outlineLevel="0" collapsed="false">
      <c r="A14747" s="23" t="s">
        <v>486</v>
      </c>
      <c r="B14747" s="24"/>
      <c r="C14747" s="24"/>
      <c r="D14747" s="24"/>
      <c r="E14747" s="24"/>
      <c r="F14747" s="24"/>
      <c r="G14747" s="24"/>
      <c r="H14747" s="24"/>
      <c r="I14747" s="24"/>
      <c r="J14747" s="24"/>
      <c r="K14747" s="24"/>
    </row>
    <row r="14748" customFormat="false" ht="15" hidden="false" customHeight="false" outlineLevel="0" collapsed="false">
      <c r="A14748" s="3" t="s">
        <v>487</v>
      </c>
      <c r="G14748" s="20" t="n">
        <f aca="false">IF($C$14749=1,G14701,IF(G14603=MIN($G$14603:$K$14603),1,0))</f>
        <v>0</v>
      </c>
      <c r="H14748" s="20" t="n">
        <f aca="false">IF($C$14749=1,H14701,IF(AND(H14603=MIN($G$14603:$K$14603),SUM($G$14748:G14748)=0),1,0))</f>
        <v>0</v>
      </c>
      <c r="I14748" s="20" t="n">
        <f aca="false">IF($C$14749=1,I14701,IF(AND(I14603=MIN($G$14603:$K$14603),SUM($G$14748:H14748)=0),1,0))</f>
        <v>1</v>
      </c>
      <c r="J14748" s="20" t="n">
        <f aca="false">IF($C$14749=1,J14701,IF(AND(J14603=MIN($G$14603:$K$14603),SUM($G$14748:I14748)=0),1,0))</f>
        <v>0</v>
      </c>
      <c r="K14748" s="20" t="n">
        <f aca="false">IF($C$14749=1,K14701,IF(AND(K14603=MIN($G$14603:$K$14603),SUM($G$14748:J14748)=0),1,0))</f>
        <v>0</v>
      </c>
    </row>
    <row r="14749" customFormat="false" ht="15" hidden="false" customHeight="false" outlineLevel="0" collapsed="false">
      <c r="A14749" s="3" t="s">
        <v>488</v>
      </c>
      <c r="C14749" s="20" t="n">
        <f aca="false">IF(SUM($G$14701:$K$14701)&gt;0,1,0)</f>
        <v>1</v>
      </c>
    </row>
    <row r="14750" customFormat="false" ht="15" hidden="false" customHeight="false" outlineLevel="0" collapsed="false">
      <c r="A14750" s="3" t="s">
        <v>489</v>
      </c>
      <c r="C14750" s="20" t="n">
        <f aca="false">SUMPRODUCT($G$14748:$K$14748,$G$14593:$K$14593)</f>
        <v>2029</v>
      </c>
    </row>
    <row r="14751" customFormat="false" ht="15" hidden="false" customHeight="false" outlineLevel="0" collapsed="false">
      <c r="A14751" s="3" t="s">
        <v>490</v>
      </c>
      <c r="C14751" s="25" t="n">
        <f aca="false">SUMPRODUCT($G$14748:$K$14748,$G$14603:$K$14603)</f>
        <v>107.0936010144</v>
      </c>
    </row>
    <row r="14752" customFormat="false" ht="15" hidden="false" customHeight="false" outlineLevel="0" collapsed="false">
      <c r="A14752" s="3" t="s">
        <v>491</v>
      </c>
      <c r="C14752" s="25" t="n">
        <f aca="false">MAX(0,SUMPRODUCT($G$14748:$K$14748,$G$14698:$K$14698))</f>
        <v>0</v>
      </c>
    </row>
    <row r="14753" customFormat="false" ht="15" hidden="false" customHeight="false" outlineLevel="0" collapsed="false">
      <c r="A14753" s="3" t="s">
        <v>492</v>
      </c>
      <c r="C14753" s="25" t="n">
        <f aca="false">(CHOOSE($C$14586,Assumptions!$C$84,Assumptions!$C$103,Assumptions!$C$122)+$C$14590)*C14751</f>
        <v>428.3744040576</v>
      </c>
    </row>
    <row r="14754" customFormat="false" ht="15" hidden="false" customHeight="false" outlineLevel="0" collapsed="false">
      <c r="A14754" s="3" t="s">
        <v>493</v>
      </c>
      <c r="C14754" s="25" t="n">
        <f aca="false">Assumptions!$C$30*(1-CHOOSE($C$14586,Assumptions!$C$85,Assumptions!$C$104,Assumptions!$C$123))*CHOOSE($C$14586,Assumptions!$C$86,Assumptions!$C$105,Assumptions!$C$124)</f>
        <v>478.719345</v>
      </c>
    </row>
    <row r="14755" customFormat="false" ht="15" hidden="false" customHeight="false" outlineLevel="0" collapsed="false">
      <c r="A14755" s="3" t="s">
        <v>494</v>
      </c>
      <c r="C14755" s="25" t="n">
        <f aca="false">MAX(C14753,C14754)+C14752</f>
        <v>478.719345</v>
      </c>
    </row>
    <row r="14756" customFormat="false" ht="15" hidden="false" customHeight="false" outlineLevel="0" collapsed="false">
      <c r="A14756" s="2" t="s">
        <v>495</v>
      </c>
      <c r="C14756" s="16" t="n">
        <f aca="false">IF(ISNUMBER(Assumptions!$C$14),Assumptions!$C$14,C14755)</f>
        <v>478.719345</v>
      </c>
    </row>
    <row r="14757" customFormat="false" ht="15" hidden="false" customHeight="false" outlineLevel="0" collapsed="false">
      <c r="A14757" s="3" t="s">
        <v>496</v>
      </c>
      <c r="C14757" s="25" t="n">
        <f aca="false">C14756*Assumptions!$C$15</f>
        <v>19.1487738</v>
      </c>
    </row>
    <row r="14758" customFormat="false" ht="15" hidden="false" customHeight="false" outlineLevel="0" collapsed="false">
      <c r="A14758" s="2" t="s">
        <v>497</v>
      </c>
      <c r="C14758" s="16" t="n">
        <f aca="false">C14756-C14757</f>
        <v>459.5705712</v>
      </c>
    </row>
    <row r="14759" customFormat="false" ht="15" hidden="false" customHeight="false" outlineLevel="0" collapsed="false">
      <c r="A14759" s="23" t="s">
        <v>498</v>
      </c>
      <c r="B14759" s="24"/>
      <c r="C14759" s="24"/>
      <c r="D14759" s="24"/>
      <c r="E14759" s="24"/>
      <c r="F14759" s="24"/>
      <c r="G14759" s="24"/>
      <c r="H14759" s="24"/>
      <c r="I14759" s="24"/>
      <c r="J14759" s="24"/>
      <c r="K14759" s="24"/>
    </row>
    <row r="14760" customFormat="false" ht="15" hidden="false" customHeight="false" outlineLevel="0" collapsed="false">
      <c r="A14760" s="3" t="s">
        <v>499</v>
      </c>
      <c r="C14760" s="25" t="n">
        <f aca="false">SUMPRODUCT($G$14748:$K$14748,$G$14640:$K$14640)*(1+SUMPRODUCT($G$14748:$K$14748,$G$14632:$K$14632)*Assumptions!$C$16/12)</f>
        <v>1349.6193225</v>
      </c>
    </row>
    <row r="14761" customFormat="false" ht="15" hidden="false" customHeight="false" outlineLevel="0" collapsed="false">
      <c r="A14761" s="3" t="s">
        <v>500</v>
      </c>
      <c r="C14761" s="25" t="n">
        <f aca="false">SUMPRODUCT($G$14748:$K$14748,$G$14653:$K$14653)*(1+SUMPRODUCT($G$14748:$K$14748,$G$14645:$K$14645)*Assumptions!$C$16/12)</f>
        <v>6.40133166435848</v>
      </c>
    </row>
    <row r="14762" customFormat="false" ht="15" hidden="false" customHeight="false" outlineLevel="0" collapsed="false">
      <c r="A14762" s="3" t="s">
        <v>501</v>
      </c>
      <c r="C14762" s="25" t="n">
        <f aca="false">SUMPRODUCT($G$14748:$K$14748,$G$14666:$K$14666)*(1+SUMPRODUCT($G$14748:$K$14748,$G$14658:$K$14658)*Assumptions!$C$16/12)</f>
        <v>145.27734375</v>
      </c>
    </row>
    <row r="14763" customFormat="false" ht="15" hidden="false" customHeight="false" outlineLevel="0" collapsed="false">
      <c r="A14763" s="23" t="s">
        <v>502</v>
      </c>
      <c r="B14763" s="24"/>
      <c r="C14763" s="24"/>
      <c r="D14763" s="24"/>
      <c r="E14763" s="24"/>
      <c r="F14763" s="24"/>
      <c r="G14763" s="24"/>
      <c r="H14763" s="24"/>
      <c r="I14763" s="24"/>
      <c r="J14763" s="24"/>
      <c r="K14763" s="24"/>
    </row>
    <row r="14764" customFormat="false" ht="15" hidden="false" customHeight="false" outlineLevel="0" collapsed="false">
      <c r="A14764" s="3" t="s">
        <v>499</v>
      </c>
      <c r="C14764" s="27" t="n">
        <f aca="false">Assumptions!$M$56</f>
        <v>1</v>
      </c>
    </row>
    <row r="14765" customFormat="false" ht="15" hidden="false" customHeight="false" outlineLevel="0" collapsed="false">
      <c r="A14765" s="3" t="s">
        <v>500</v>
      </c>
      <c r="C14765" s="27" t="n">
        <f aca="false">Assumptions!$M$57</f>
        <v>2</v>
      </c>
    </row>
    <row r="14766" customFormat="false" ht="15" hidden="false" customHeight="false" outlineLevel="0" collapsed="false">
      <c r="A14766" s="3" t="s">
        <v>501</v>
      </c>
      <c r="C14766" s="27" t="n">
        <f aca="false">Assumptions!$M$58</f>
        <v>2</v>
      </c>
    </row>
    <row r="14767" customFormat="false" ht="15" hidden="false" customHeight="false" outlineLevel="0" collapsed="false">
      <c r="A14767" s="23" t="s">
        <v>503</v>
      </c>
      <c r="B14767" s="24"/>
      <c r="C14767" s="24"/>
      <c r="D14767" s="24"/>
      <c r="E14767" s="24"/>
      <c r="F14767" s="24"/>
      <c r="G14767" s="24"/>
      <c r="H14767" s="24"/>
      <c r="I14767" s="24"/>
      <c r="J14767" s="24"/>
      <c r="K14767" s="24"/>
    </row>
    <row r="14768" customFormat="false" ht="15" hidden="false" customHeight="false" outlineLevel="0" collapsed="false">
      <c r="A14768" s="3" t="s">
        <v>499</v>
      </c>
      <c r="C14768" s="35" t="n">
        <f aca="false">Assumptions!$Q$56</f>
        <v>0</v>
      </c>
    </row>
    <row r="14769" customFormat="false" ht="15" hidden="false" customHeight="false" outlineLevel="0" collapsed="false">
      <c r="A14769" s="3" t="s">
        <v>500</v>
      </c>
      <c r="C14769" s="35" t="n">
        <f aca="false">Assumptions!$Q$57</f>
        <v>0</v>
      </c>
    </row>
    <row r="14770" customFormat="false" ht="15" hidden="false" customHeight="false" outlineLevel="0" collapsed="false">
      <c r="A14770" s="3" t="s">
        <v>501</v>
      </c>
      <c r="C14770" s="35" t="n">
        <f aca="false">Assumptions!$Q$58</f>
        <v>0</v>
      </c>
    </row>
    <row r="14771" customFormat="false" ht="15" hidden="false" customHeight="false" outlineLevel="0" collapsed="false">
      <c r="A14771" s="23" t="s">
        <v>504</v>
      </c>
      <c r="B14771" s="24"/>
      <c r="C14771" s="24"/>
      <c r="D14771" s="24"/>
      <c r="E14771" s="24"/>
      <c r="F14771" s="24"/>
      <c r="G14771" s="24"/>
      <c r="H14771" s="24"/>
      <c r="I14771" s="24"/>
      <c r="J14771" s="24"/>
      <c r="K14771" s="24"/>
    </row>
    <row r="14772" customFormat="false" ht="15" hidden="false" customHeight="false" outlineLevel="0" collapsed="false">
      <c r="A14772" s="3" t="s">
        <v>499</v>
      </c>
      <c r="C14772" s="25" t="n">
        <f aca="false">IF(C14768&gt;0,MIN(C14760,C14768*$C$14758),0)</f>
        <v>0</v>
      </c>
    </row>
    <row r="14773" customFormat="false" ht="15" hidden="false" customHeight="false" outlineLevel="0" collapsed="false">
      <c r="A14773" s="3" t="s">
        <v>500</v>
      </c>
      <c r="C14773" s="25" t="n">
        <f aca="false">IF(C14769&gt;0,MIN(C14761,C14769*$C$14758),0)</f>
        <v>0</v>
      </c>
    </row>
    <row r="14774" customFormat="false" ht="15" hidden="false" customHeight="false" outlineLevel="0" collapsed="false">
      <c r="A14774" s="3" t="s">
        <v>501</v>
      </c>
      <c r="C14774" s="25" t="n">
        <f aca="false">IF(C14770&gt;0,MIN(C14762,C14770*$C$14758),0)</f>
        <v>0</v>
      </c>
    </row>
    <row r="14775" customFormat="false" ht="15" hidden="false" customHeight="false" outlineLevel="0" collapsed="false">
      <c r="A14775" s="23" t="s">
        <v>505</v>
      </c>
      <c r="B14775" s="24"/>
      <c r="C14775" s="24"/>
      <c r="D14775" s="24"/>
      <c r="E14775" s="24"/>
      <c r="F14775" s="24"/>
      <c r="G14775" s="24"/>
      <c r="H14775" s="24"/>
      <c r="I14775" s="24"/>
      <c r="J14775" s="24"/>
      <c r="K14775" s="24"/>
    </row>
    <row r="14776" customFormat="false" ht="15" hidden="false" customHeight="false" outlineLevel="0" collapsed="false">
      <c r="A14776" s="3" t="s">
        <v>499</v>
      </c>
      <c r="C14776" s="25" t="n">
        <f aca="false">IF(C14768&gt;0,C14760-C14772,0)</f>
        <v>0</v>
      </c>
      <c r="G14776" s="20" t="n">
        <f aca="false">IF(AND(G14630=1,G14627=1),1,0)</f>
        <v>0</v>
      </c>
      <c r="H14776" s="20" t="n">
        <f aca="false">IF(G14776=1,1,IF(AND(H14630=1,H14627=1),1,0))</f>
        <v>0</v>
      </c>
      <c r="I14776" s="20" t="n">
        <f aca="false">IF(H14776=1,1,IF(AND(I14630=1,I14627=1),1,0))</f>
        <v>0</v>
      </c>
      <c r="J14776" s="20" t="n">
        <f aca="false">IF(I14776=1,1,IF(AND(J14630=1,J14627=1),1,0))</f>
        <v>0</v>
      </c>
      <c r="K14776" s="20" t="n">
        <f aca="false">IF(J14776=1,1,IF(AND(K14630=1,K14627=1),1,0))</f>
        <v>0</v>
      </c>
    </row>
    <row r="14777" customFormat="false" ht="15" hidden="false" customHeight="false" outlineLevel="0" collapsed="false">
      <c r="A14777" s="3" t="s">
        <v>500</v>
      </c>
      <c r="C14777" s="25" t="n">
        <f aca="false">IF(C14769&gt;0,C14761-C14773,0)</f>
        <v>0</v>
      </c>
      <c r="G14777" s="20" t="n">
        <f aca="false">IF(AND(G14643=1,G14627=1),1,0)</f>
        <v>0</v>
      </c>
      <c r="H14777" s="20" t="n">
        <f aca="false">IF(G14777=1,1,IF(AND(H14643=1,H14627=1),1,0))</f>
        <v>0</v>
      </c>
      <c r="I14777" s="20" t="n">
        <f aca="false">IF(H14777=1,1,IF(AND(I14643=1,I14627=1),1,0))</f>
        <v>0</v>
      </c>
      <c r="J14777" s="20" t="n">
        <f aca="false">IF(I14777=1,1,IF(AND(J14643=1,J14627=1),1,0))</f>
        <v>0</v>
      </c>
      <c r="K14777" s="20" t="n">
        <f aca="false">IF(J14777=1,1,IF(AND(K14643=1,K14627=1),1,0))</f>
        <v>0</v>
      </c>
    </row>
    <row r="14778" customFormat="false" ht="15" hidden="false" customHeight="false" outlineLevel="0" collapsed="false">
      <c r="A14778" s="3" t="s">
        <v>501</v>
      </c>
      <c r="C14778" s="25" t="n">
        <f aca="false">IF(C14770&gt;0,C14762-C14774,0)</f>
        <v>0</v>
      </c>
      <c r="G14778" s="20" t="n">
        <f aca="false">IF(AND(G14656=1,G14627=1),1,0)</f>
        <v>0</v>
      </c>
      <c r="H14778" s="20" t="n">
        <f aca="false">IF(G14778=1,1,IF(AND(H14656=1,H14627=1),1,0))</f>
        <v>0</v>
      </c>
      <c r="I14778" s="20" t="n">
        <f aca="false">IF(H14778=1,1,IF(AND(I14656=1,I14627=1),1,0))</f>
        <v>0</v>
      </c>
      <c r="J14778" s="20" t="n">
        <f aca="false">IF(I14778=1,1,IF(AND(J14656=1,J14627=1),1,0))</f>
        <v>0</v>
      </c>
      <c r="K14778" s="20" t="n">
        <f aca="false">IF(J14778=1,1,IF(AND(K14656=1,K14627=1),1,0))</f>
        <v>0</v>
      </c>
    </row>
    <row r="14779" customFormat="false" ht="15" hidden="false" customHeight="false" outlineLevel="0" collapsed="false">
      <c r="A14779" s="23" t="s">
        <v>506</v>
      </c>
      <c r="B14779" s="24"/>
      <c r="C14779" s="24"/>
      <c r="D14779" s="24"/>
      <c r="E14779" s="24"/>
      <c r="F14779" s="24"/>
      <c r="G14779" s="24"/>
      <c r="H14779" s="24"/>
      <c r="I14779" s="24"/>
      <c r="J14779" s="24"/>
      <c r="K14779" s="24"/>
    </row>
    <row r="14780" customFormat="false" ht="15" hidden="false" customHeight="false" outlineLevel="0" collapsed="false">
      <c r="A14780" s="3" t="s">
        <v>499</v>
      </c>
      <c r="C14780" s="25" t="n">
        <f aca="false">IF(C14768&gt;0,C14776,C14760)</f>
        <v>1349.6193225</v>
      </c>
    </row>
    <row r="14781" customFormat="false" ht="15" hidden="false" customHeight="false" outlineLevel="0" collapsed="false">
      <c r="A14781" s="3" t="s">
        <v>500</v>
      </c>
      <c r="C14781" s="25" t="n">
        <f aca="false">IF(C14769&gt;0,C14777,C14761)</f>
        <v>6.40133166435848</v>
      </c>
    </row>
    <row r="14782" customFormat="false" ht="15" hidden="false" customHeight="false" outlineLevel="0" collapsed="false">
      <c r="A14782" s="3" t="s">
        <v>501</v>
      </c>
      <c r="C14782" s="25" t="n">
        <f aca="false">IF(C14770&gt;0,C14778,C14762)</f>
        <v>145.27734375</v>
      </c>
    </row>
    <row r="14783" customFormat="false" ht="15" hidden="false" customHeight="false" outlineLevel="0" collapsed="false">
      <c r="A14783" s="23" t="s">
        <v>507</v>
      </c>
      <c r="B14783" s="24"/>
      <c r="C14783" s="24"/>
      <c r="D14783" s="24"/>
      <c r="E14783" s="24"/>
      <c r="F14783" s="24"/>
      <c r="G14783" s="24"/>
      <c r="H14783" s="24"/>
      <c r="I14783" s="24"/>
      <c r="J14783" s="24"/>
      <c r="K14783" s="24"/>
    </row>
    <row r="14784" customFormat="false" ht="15" hidden="false" customHeight="false" outlineLevel="0" collapsed="false">
      <c r="A14784" s="3" t="s">
        <v>499</v>
      </c>
      <c r="C14784" s="20" t="n">
        <f aca="false">IF(C14768&gt;0,Assumptions!$C$17,C14764)</f>
        <v>1</v>
      </c>
    </row>
    <row r="14785" customFormat="false" ht="15" hidden="false" customHeight="false" outlineLevel="0" collapsed="false">
      <c r="A14785" s="3" t="s">
        <v>500</v>
      </c>
      <c r="C14785" s="20" t="n">
        <f aca="false">IF(C14769&gt;0,Assumptions!$C$17,C14765)</f>
        <v>2</v>
      </c>
    </row>
    <row r="14786" customFormat="false" ht="15" hidden="false" customHeight="false" outlineLevel="0" collapsed="false">
      <c r="A14786" s="3" t="s">
        <v>501</v>
      </c>
      <c r="C14786" s="20" t="n">
        <f aca="false">IF(C14770&gt;0,Assumptions!$C$17,C14766)</f>
        <v>2</v>
      </c>
    </row>
    <row r="14787" customFormat="false" ht="15" hidden="false" customHeight="false" outlineLevel="0" collapsed="false">
      <c r="A14787" s="23" t="s">
        <v>508</v>
      </c>
      <c r="B14787" s="24"/>
      <c r="C14787" s="24"/>
      <c r="D14787" s="24"/>
      <c r="E14787" s="24"/>
      <c r="F14787" s="24"/>
      <c r="G14787" s="24"/>
      <c r="H14787" s="24"/>
      <c r="I14787" s="24"/>
      <c r="J14787" s="24"/>
      <c r="K14787" s="24"/>
    </row>
    <row r="14788" customFormat="false" ht="15" hidden="false" customHeight="false" outlineLevel="0" collapsed="false">
      <c r="A14788" s="3" t="s">
        <v>499</v>
      </c>
      <c r="C14788" s="25" t="n">
        <f aca="false">SUMPRODUCT(($C$14784:$C$14786&lt;C14784)*$C$14780:$C$14782)</f>
        <v>0</v>
      </c>
    </row>
    <row r="14789" customFormat="false" ht="15" hidden="false" customHeight="false" outlineLevel="0" collapsed="false">
      <c r="A14789" s="3" t="s">
        <v>500</v>
      </c>
      <c r="C14789" s="25" t="n">
        <f aca="false">SUMPRODUCT(($C$14784:$C$14786&lt;C14785)*$C$14780:$C$14782)</f>
        <v>1349.6193225</v>
      </c>
    </row>
    <row r="14790" customFormat="false" ht="15" hidden="false" customHeight="false" outlineLevel="0" collapsed="false">
      <c r="A14790" s="3" t="s">
        <v>501</v>
      </c>
      <c r="C14790" s="25" t="n">
        <f aca="false">SUMPRODUCT(($C$14784:$C$14786&lt;C14786)*$C$14780:$C$14782)</f>
        <v>1349.6193225</v>
      </c>
    </row>
    <row r="14791" customFormat="false" ht="15" hidden="false" customHeight="false" outlineLevel="0" collapsed="false">
      <c r="A14791" s="23" t="s">
        <v>509</v>
      </c>
      <c r="B14791" s="24"/>
      <c r="C14791" s="24"/>
      <c r="D14791" s="24"/>
      <c r="E14791" s="24"/>
      <c r="F14791" s="24"/>
      <c r="G14791" s="24"/>
      <c r="H14791" s="24"/>
      <c r="I14791" s="24"/>
      <c r="J14791" s="24"/>
      <c r="K14791" s="24"/>
    </row>
    <row r="14792" customFormat="false" ht="15" hidden="false" customHeight="false" outlineLevel="0" collapsed="false">
      <c r="A14792" s="3" t="s">
        <v>499</v>
      </c>
      <c r="C14792" s="25" t="n">
        <f aca="false">SUMPRODUCT(($C$14784:$C$14786=C14784)*$C$14780:$C$14782)</f>
        <v>1349.6193225</v>
      </c>
    </row>
    <row r="14793" customFormat="false" ht="15" hidden="false" customHeight="false" outlineLevel="0" collapsed="false">
      <c r="A14793" s="3" t="s">
        <v>500</v>
      </c>
      <c r="C14793" s="25" t="n">
        <f aca="false">SUMPRODUCT(($C$14784:$C$14786=C14785)*$C$14780:$C$14782)</f>
        <v>151.678675414359</v>
      </c>
    </row>
    <row r="14794" customFormat="false" ht="15" hidden="false" customHeight="false" outlineLevel="0" collapsed="false">
      <c r="A14794" s="3" t="s">
        <v>501</v>
      </c>
      <c r="C14794" s="25" t="n">
        <f aca="false">SUMPRODUCT(($C$14784:$C$14786=C14786)*$C$14780:$C$14782)</f>
        <v>151.678675414359</v>
      </c>
    </row>
    <row r="14795" customFormat="false" ht="15" hidden="false" customHeight="false" outlineLevel="0" collapsed="false">
      <c r="A14795" s="23" t="s">
        <v>510</v>
      </c>
      <c r="B14795" s="24"/>
      <c r="C14795" s="24"/>
      <c r="D14795" s="24"/>
      <c r="E14795" s="24"/>
      <c r="F14795" s="24"/>
      <c r="G14795" s="24"/>
      <c r="H14795" s="24"/>
      <c r="I14795" s="24"/>
      <c r="J14795" s="24"/>
      <c r="K14795" s="24"/>
    </row>
    <row r="14796" customFormat="false" ht="15" hidden="false" customHeight="false" outlineLevel="0" collapsed="false">
      <c r="A14796" s="3" t="s">
        <v>499</v>
      </c>
      <c r="C14796" s="25" t="n">
        <f aca="false">IF(C14792=0,0,C14780/C14792*MAX(0,MIN(C14792,$C$14758-SUM($C$14772:$C$14774)-C14788)))</f>
        <v>459.5705712</v>
      </c>
    </row>
    <row r="14797" customFormat="false" ht="15" hidden="false" customHeight="false" outlineLevel="0" collapsed="false">
      <c r="A14797" s="3" t="s">
        <v>500</v>
      </c>
      <c r="C14797" s="25" t="n">
        <f aca="false">IF(C14793=0,0,C14781/C14793*MAX(0,MIN(C14793,$C$14758-SUM($C$14772:$C$14774)-C14789)))</f>
        <v>0</v>
      </c>
    </row>
    <row r="14798" customFormat="false" ht="15" hidden="false" customHeight="false" outlineLevel="0" collapsed="false">
      <c r="A14798" s="3" t="s">
        <v>501</v>
      </c>
      <c r="C14798" s="25" t="n">
        <f aca="false">IF(C14794=0,0,C14782/C14794*MAX(0,MIN(C14794,$C$14758-SUM($C$14772:$C$14774)-C14790)))</f>
        <v>0</v>
      </c>
    </row>
    <row r="14799" customFormat="false" ht="15" hidden="false" customHeight="false" outlineLevel="0" collapsed="false">
      <c r="A14799" s="23" t="s">
        <v>511</v>
      </c>
      <c r="B14799" s="24"/>
      <c r="C14799" s="24"/>
      <c r="D14799" s="24"/>
      <c r="E14799" s="24"/>
      <c r="F14799" s="24"/>
      <c r="G14799" s="24"/>
      <c r="H14799" s="24"/>
      <c r="I14799" s="24"/>
      <c r="J14799" s="24"/>
      <c r="K14799" s="24"/>
    </row>
    <row r="14800" customFormat="false" ht="15" hidden="false" customHeight="false" outlineLevel="0" collapsed="false">
      <c r="A14800" s="2" t="s">
        <v>499</v>
      </c>
      <c r="C14800" s="16" t="n">
        <f aca="false">C14772+C14796</f>
        <v>459.5705712</v>
      </c>
    </row>
    <row r="14801" customFormat="false" ht="15" hidden="false" customHeight="false" outlineLevel="0" collapsed="false">
      <c r="A14801" s="2" t="s">
        <v>500</v>
      </c>
      <c r="C14801" s="16" t="n">
        <f aca="false">C14773+C14797</f>
        <v>0</v>
      </c>
    </row>
    <row r="14802" customFormat="false" ht="15" hidden="false" customHeight="false" outlineLevel="0" collapsed="false">
      <c r="A14802" s="2" t="s">
        <v>501</v>
      </c>
      <c r="C14802" s="16" t="n">
        <f aca="false">C14774+C14798</f>
        <v>0</v>
      </c>
    </row>
    <row r="14803" customFormat="false" ht="15" hidden="false" customHeight="false" outlineLevel="0" collapsed="false">
      <c r="A14803" s="23" t="s">
        <v>512</v>
      </c>
      <c r="B14803" s="24"/>
      <c r="C14803" s="24"/>
      <c r="D14803" s="24"/>
      <c r="E14803" s="24"/>
      <c r="F14803" s="24"/>
      <c r="G14803" s="24"/>
      <c r="H14803" s="24"/>
      <c r="I14803" s="24"/>
      <c r="J14803" s="24"/>
      <c r="K14803" s="24"/>
    </row>
    <row r="14804" customFormat="false" ht="15" hidden="false" customHeight="false" outlineLevel="0" collapsed="false">
      <c r="A14804" s="3" t="s">
        <v>499</v>
      </c>
      <c r="C14804" s="21" t="n">
        <f aca="false">IF(C14760=0,1,C14800/C14760)</f>
        <v>0.340518665921812</v>
      </c>
    </row>
    <row r="14805" customFormat="false" ht="15" hidden="false" customHeight="false" outlineLevel="0" collapsed="false">
      <c r="A14805" s="3" t="s">
        <v>500</v>
      </c>
      <c r="C14805" s="21" t="n">
        <f aca="false">IF(C14761=0,1,C14801/C14761)</f>
        <v>0</v>
      </c>
    </row>
    <row r="14806" customFormat="false" ht="15" hidden="false" customHeight="false" outlineLevel="0" collapsed="false">
      <c r="A14806" s="3" t="s">
        <v>501</v>
      </c>
      <c r="C14806" s="21" t="n">
        <f aca="false">IF(C14762=0,1,C14802/C14762)</f>
        <v>0</v>
      </c>
    </row>
    <row r="14807" customFormat="false" ht="15" hidden="false" customHeight="false" outlineLevel="0" collapsed="false">
      <c r="A14807" s="23" t="s">
        <v>513</v>
      </c>
      <c r="B14807" s="24"/>
      <c r="C14807" s="24"/>
      <c r="D14807" s="24"/>
      <c r="E14807" s="24"/>
      <c r="F14807" s="24"/>
      <c r="G14807" s="24"/>
      <c r="H14807" s="24"/>
      <c r="I14807" s="24"/>
      <c r="J14807" s="24"/>
      <c r="K14807" s="24"/>
    </row>
    <row r="14808" customFormat="false" ht="15" hidden="false" customHeight="false" outlineLevel="0" collapsed="false">
      <c r="A14808" s="3" t="s">
        <v>499</v>
      </c>
      <c r="C14808" s="25" t="n">
        <f aca="false">C14760-C14800</f>
        <v>890.0487513</v>
      </c>
    </row>
    <row r="14809" customFormat="false" ht="15" hidden="false" customHeight="false" outlineLevel="0" collapsed="false">
      <c r="A14809" s="3" t="s">
        <v>500</v>
      </c>
      <c r="C14809" s="25" t="n">
        <f aca="false">C14761-C14801</f>
        <v>6.40133166435848</v>
      </c>
    </row>
    <row r="14810" customFormat="false" ht="15" hidden="false" customHeight="false" outlineLevel="0" collapsed="false">
      <c r="A14810" s="3" t="s">
        <v>501</v>
      </c>
      <c r="C14810" s="25" t="n">
        <f aca="false">C14762-C14802</f>
        <v>145.27734375</v>
      </c>
    </row>
    <row r="14811" customFormat="false" ht="15" hidden="false" customHeight="false" outlineLevel="0" collapsed="false">
      <c r="A14811" s="23" t="s">
        <v>514</v>
      </c>
      <c r="B14811" s="24"/>
      <c r="C14811" s="24"/>
      <c r="D14811" s="24"/>
      <c r="E14811" s="24"/>
      <c r="F14811" s="24"/>
      <c r="G14811" s="24"/>
      <c r="H14811" s="24"/>
      <c r="I14811" s="24"/>
      <c r="J14811" s="24"/>
      <c r="K14811" s="24"/>
    </row>
    <row r="14812" customFormat="false" ht="15" hidden="false" customHeight="false" outlineLevel="0" collapsed="false">
      <c r="A14812" s="3" t="s">
        <v>499</v>
      </c>
      <c r="C14812" s="21" t="n">
        <f aca="false">IF(C14760=0,0,C14808/C14760)</f>
        <v>0.659481334078188</v>
      </c>
    </row>
    <row r="14813" customFormat="false" ht="15" hidden="false" customHeight="false" outlineLevel="0" collapsed="false">
      <c r="A14813" s="3" t="s">
        <v>500</v>
      </c>
      <c r="C14813" s="21" t="n">
        <f aca="false">IF(C14761=0,0,C14809/C14761)</f>
        <v>1</v>
      </c>
    </row>
    <row r="14814" customFormat="false" ht="15" hidden="false" customHeight="false" outlineLevel="0" collapsed="false">
      <c r="A14814" s="3" t="s">
        <v>501</v>
      </c>
      <c r="C14814" s="21" t="n">
        <f aca="false">IF(C14762=0,0,C14810/C14762)</f>
        <v>1</v>
      </c>
    </row>
    <row r="14815" customFormat="false" ht="15" hidden="false" customHeight="false" outlineLevel="0" collapsed="false">
      <c r="A14815" s="2" t="s">
        <v>515</v>
      </c>
      <c r="C14815" s="16" t="n">
        <f aca="false">MAX(0,$C$14758-SUM($C$14772:$C$14774)-SUM($C$14780:$C$14782))</f>
        <v>0</v>
      </c>
    </row>
    <row r="14816" customFormat="false" ht="15" hidden="false" customHeight="false" outlineLevel="0" collapsed="false">
      <c r="A14816" s="3" t="s">
        <v>516</v>
      </c>
      <c r="C14816" s="25" t="n">
        <f aca="false">SUM($C$14800:$C$14802)+C14815+C14757-C14756</f>
        <v>0</v>
      </c>
    </row>
    <row r="14818" customFormat="false" ht="15" hidden="false" customHeight="false" outlineLevel="0" collapsed="false">
      <c r="A14818" s="23" t="s">
        <v>519</v>
      </c>
      <c r="B14818" s="24"/>
      <c r="C14818" s="24"/>
      <c r="D14818" s="24"/>
      <c r="E14818" s="24"/>
      <c r="F14818" s="24"/>
      <c r="G14818" s="24"/>
      <c r="H14818" s="24"/>
      <c r="I14818" s="24"/>
      <c r="J14818" s="24"/>
      <c r="K14818" s="24"/>
    </row>
    <row r="14819" customFormat="false" ht="15" hidden="false" customHeight="false" outlineLevel="0" collapsed="false">
      <c r="A14819" s="3" t="s">
        <v>520</v>
      </c>
      <c r="C14819" s="27" t="n">
        <f aca="false">Assumptions!$C$33</f>
        <v>1</v>
      </c>
    </row>
    <row r="14820" customFormat="false" ht="15" hidden="false" customHeight="false" outlineLevel="0" collapsed="false">
      <c r="A14820" s="3" t="s">
        <v>521</v>
      </c>
      <c r="C14820" s="29" t="n">
        <f aca="false">Assumptions!$C$34</f>
        <v>100</v>
      </c>
    </row>
    <row r="14821" customFormat="false" ht="15" hidden="false" customHeight="false" outlineLevel="0" collapsed="false">
      <c r="A14821" s="3" t="s">
        <v>522</v>
      </c>
      <c r="C14821" s="40" t="n">
        <f aca="false">Assumptions!$C$35</f>
        <v>95</v>
      </c>
    </row>
    <row r="14822" customFormat="false" ht="15" hidden="false" customHeight="false" outlineLevel="0" collapsed="false">
      <c r="A14822" s="3" t="s">
        <v>523</v>
      </c>
      <c r="C14822" s="25" t="n">
        <f aca="false">C14820*C14821/100*(1+Assumptions!$C$36)</f>
        <v>95</v>
      </c>
    </row>
    <row r="14823" customFormat="false" ht="15" hidden="false" customHeight="false" outlineLevel="0" collapsed="false">
      <c r="A14823" s="3" t="s">
        <v>524</v>
      </c>
      <c r="C14823" s="27" t="n">
        <f aca="false">Assumptions!$C$37</f>
        <v>3</v>
      </c>
    </row>
    <row r="14824" customFormat="false" ht="15" hidden="false" customHeight="false" outlineLevel="0" collapsed="false">
      <c r="A14824" s="3" t="s">
        <v>525</v>
      </c>
      <c r="C14824" s="20" t="n">
        <f aca="false">IF(C14749=1,SUMPRODUCT($G$14701:$K$14701,$G$14594:$K$14594),0)</f>
        <v>3</v>
      </c>
    </row>
    <row r="14825" customFormat="false" ht="15" hidden="false" customHeight="false" outlineLevel="0" collapsed="false">
      <c r="A14825" s="3" t="s">
        <v>526</v>
      </c>
      <c r="C14825" s="21" t="n">
        <f aca="false">IFERROR(C14820/CHOOSE(C14819,SUMPRODUCT($G$14748:$K$14748,$G$14640:$K$14640),SUMPRODUCT($G$14748:$K$14748,$G$14653:$K$14653),SUMPRODUCT($G$14748:$K$14748,$G$14666:$K$14666)),0)</f>
        <v>0.0760399605200525</v>
      </c>
    </row>
    <row r="14826" customFormat="false" ht="15" hidden="false" customHeight="false" outlineLevel="0" collapsed="false">
      <c r="A14826" s="3" t="s">
        <v>527</v>
      </c>
      <c r="C14826" s="25" t="n">
        <f aca="false">CHOOSE(C14819,C14800,C14801,C14802)*C14825</f>
        <v>34.945728090226</v>
      </c>
    </row>
    <row r="14827" customFormat="false" ht="15" hidden="false" customHeight="false" outlineLevel="0" collapsed="false">
      <c r="A14827" s="3" t="s">
        <v>528</v>
      </c>
      <c r="C14827" s="21" t="n">
        <f aca="false">CHOOSE(C14819,C14804,C14805,C14806)</f>
        <v>0.340518665921812</v>
      </c>
    </row>
    <row r="14828" customFormat="false" ht="15" hidden="false" customHeight="false" outlineLevel="0" collapsed="false">
      <c r="A14828" s="3" t="s">
        <v>529</v>
      </c>
      <c r="C14828" s="20" t="n">
        <f aca="false">IF(C14749=1,C14824,C14823)</f>
        <v>3</v>
      </c>
    </row>
    <row r="14829" customFormat="false" ht="15" hidden="false" customHeight="false" outlineLevel="0" collapsed="false">
      <c r="A14829" s="3" t="s">
        <v>530</v>
      </c>
      <c r="C14829" s="34" t="n">
        <f aca="false">CHOOSE($C$14586,Assumptions!$C$83,Assumptions!$C$102,Assumptions!$C$121)</f>
        <v>80</v>
      </c>
    </row>
    <row r="14830" customFormat="false" ht="15" hidden="false" customHeight="false" outlineLevel="0" collapsed="false">
      <c r="A14830" s="3" t="s">
        <v>531</v>
      </c>
      <c r="C14830" s="25" t="n">
        <f aca="false">INDEX($G$14603:$K$14603,C14823)*CHOOSE($C$14586,Assumptions!$C$82,Assumptions!$C$101,Assumptions!$C$120)+MAX(0,INDEX($G$14698:$K$14698,C14823))</f>
        <v>428.3744040576</v>
      </c>
    </row>
    <row r="14831" customFormat="false" ht="15" hidden="false" customHeight="false" outlineLevel="0" collapsed="false">
      <c r="A14831" s="23" t="s">
        <v>532</v>
      </c>
      <c r="B14831" s="24"/>
      <c r="C14831" s="24"/>
      <c r="D14831" s="24"/>
      <c r="E14831" s="24"/>
      <c r="F14831" s="24"/>
      <c r="G14831" s="24"/>
      <c r="H14831" s="24"/>
      <c r="I14831" s="24"/>
      <c r="J14831" s="24"/>
      <c r="K14831" s="24"/>
    </row>
    <row r="14832" customFormat="false" ht="15" hidden="false" customHeight="false" outlineLevel="0" collapsed="false">
      <c r="A14832" s="3" t="s">
        <v>499</v>
      </c>
      <c r="C14832" s="25" t="n">
        <f aca="false">INDEX($G$14640:$K$14640,C14823)</f>
        <v>1315.098</v>
      </c>
    </row>
    <row r="14833" customFormat="false" ht="15" hidden="false" customHeight="false" outlineLevel="0" collapsed="false">
      <c r="A14833" s="3" t="s">
        <v>500</v>
      </c>
      <c r="C14833" s="25" t="n">
        <f aca="false">INDEX($G$14653:$K$14653,C14823)</f>
        <v>6.33403256832008</v>
      </c>
    </row>
    <row r="14834" customFormat="false" ht="15" hidden="false" customHeight="false" outlineLevel="0" collapsed="false">
      <c r="A14834" s="3" t="s">
        <v>501</v>
      </c>
      <c r="C14834" s="25" t="n">
        <f aca="false">INDEX($G$14666:$K$14666,C14823)</f>
        <v>143.75</v>
      </c>
    </row>
    <row r="14835" customFormat="false" ht="15" hidden="false" customHeight="false" outlineLevel="0" collapsed="false">
      <c r="A14835" s="23" t="s">
        <v>502</v>
      </c>
      <c r="B14835" s="24"/>
      <c r="C14835" s="24"/>
      <c r="D14835" s="24"/>
      <c r="E14835" s="24"/>
      <c r="F14835" s="24"/>
      <c r="G14835" s="24"/>
      <c r="H14835" s="24"/>
      <c r="I14835" s="24"/>
      <c r="J14835" s="24"/>
      <c r="K14835" s="24"/>
    </row>
    <row r="14836" customFormat="false" ht="15" hidden="false" customHeight="false" outlineLevel="0" collapsed="false">
      <c r="A14836" s="3" t="s">
        <v>499</v>
      </c>
      <c r="C14836" s="27" t="n">
        <f aca="false">Assumptions!$M$56</f>
        <v>1</v>
      </c>
    </row>
    <row r="14837" customFormat="false" ht="15" hidden="false" customHeight="false" outlineLevel="0" collapsed="false">
      <c r="A14837" s="3" t="s">
        <v>500</v>
      </c>
      <c r="C14837" s="27" t="n">
        <f aca="false">Assumptions!$M$57</f>
        <v>2</v>
      </c>
    </row>
    <row r="14838" customFormat="false" ht="15" hidden="false" customHeight="false" outlineLevel="0" collapsed="false">
      <c r="A14838" s="3" t="s">
        <v>501</v>
      </c>
      <c r="C14838" s="27" t="n">
        <f aca="false">Assumptions!$M$58</f>
        <v>2</v>
      </c>
    </row>
    <row r="14839" customFormat="false" ht="15" hidden="false" customHeight="false" outlineLevel="0" collapsed="false">
      <c r="A14839" s="23" t="s">
        <v>503</v>
      </c>
      <c r="B14839" s="24"/>
      <c r="C14839" s="24"/>
      <c r="D14839" s="24"/>
      <c r="E14839" s="24"/>
      <c r="F14839" s="24"/>
      <c r="G14839" s="24"/>
      <c r="H14839" s="24"/>
      <c r="I14839" s="24"/>
      <c r="J14839" s="24"/>
      <c r="K14839" s="24"/>
    </row>
    <row r="14840" customFormat="false" ht="15" hidden="false" customHeight="false" outlineLevel="0" collapsed="false">
      <c r="A14840" s="3" t="s">
        <v>499</v>
      </c>
      <c r="C14840" s="35" t="n">
        <f aca="false">Assumptions!$Q$56</f>
        <v>0</v>
      </c>
    </row>
    <row r="14841" customFormat="false" ht="15" hidden="false" customHeight="false" outlineLevel="0" collapsed="false">
      <c r="A14841" s="3" t="s">
        <v>500</v>
      </c>
      <c r="C14841" s="35" t="n">
        <f aca="false">Assumptions!$Q$57</f>
        <v>0</v>
      </c>
    </row>
    <row r="14842" customFormat="false" ht="15" hidden="false" customHeight="false" outlineLevel="0" collapsed="false">
      <c r="A14842" s="3" t="s">
        <v>501</v>
      </c>
      <c r="C14842" s="35" t="n">
        <f aca="false">Assumptions!$Q$58</f>
        <v>0</v>
      </c>
    </row>
    <row r="14843" customFormat="false" ht="15" hidden="false" customHeight="false" outlineLevel="0" collapsed="false">
      <c r="A14843" s="23" t="s">
        <v>504</v>
      </c>
      <c r="B14843" s="24"/>
      <c r="C14843" s="24"/>
      <c r="D14843" s="24"/>
      <c r="E14843" s="24"/>
      <c r="F14843" s="24"/>
      <c r="G14843" s="24"/>
      <c r="H14843" s="24"/>
      <c r="I14843" s="24"/>
      <c r="J14843" s="24"/>
      <c r="K14843" s="24"/>
    </row>
    <row r="14844" customFormat="false" ht="15" hidden="false" customHeight="false" outlineLevel="0" collapsed="false">
      <c r="A14844" s="3" t="s">
        <v>499</v>
      </c>
      <c r="C14844" s="25" t="n">
        <f aca="false">IF(C14840&gt;0,MIN(C14832,C14840*$C$14830),0)</f>
        <v>0</v>
      </c>
    </row>
    <row r="14845" customFormat="false" ht="15" hidden="false" customHeight="false" outlineLevel="0" collapsed="false">
      <c r="A14845" s="3" t="s">
        <v>500</v>
      </c>
      <c r="C14845" s="25" t="n">
        <f aca="false">IF(C14841&gt;0,MIN(C14833,C14841*$C$14830),0)</f>
        <v>0</v>
      </c>
    </row>
    <row r="14846" customFormat="false" ht="15" hidden="false" customHeight="false" outlineLevel="0" collapsed="false">
      <c r="A14846" s="3" t="s">
        <v>501</v>
      </c>
      <c r="C14846" s="25" t="n">
        <f aca="false">IF(C14842&gt;0,MIN(C14834,C14842*$C$14830),0)</f>
        <v>0</v>
      </c>
    </row>
    <row r="14847" customFormat="false" ht="15" hidden="false" customHeight="false" outlineLevel="0" collapsed="false">
      <c r="A14847" s="23" t="s">
        <v>505</v>
      </c>
      <c r="B14847" s="24"/>
      <c r="C14847" s="24"/>
      <c r="D14847" s="24"/>
      <c r="E14847" s="24"/>
      <c r="F14847" s="24"/>
      <c r="G14847" s="24"/>
      <c r="H14847" s="24"/>
      <c r="I14847" s="24"/>
      <c r="J14847" s="24"/>
      <c r="K14847" s="24"/>
    </row>
    <row r="14848" customFormat="false" ht="15" hidden="false" customHeight="false" outlineLevel="0" collapsed="false">
      <c r="A14848" s="3" t="s">
        <v>499</v>
      </c>
      <c r="C14848" s="25" t="n">
        <f aca="false">IF(C14840&gt;0,C14832-C14844,0)</f>
        <v>0</v>
      </c>
    </row>
    <row r="14849" customFormat="false" ht="15" hidden="false" customHeight="false" outlineLevel="0" collapsed="false">
      <c r="A14849" s="3" t="s">
        <v>500</v>
      </c>
      <c r="C14849" s="25" t="n">
        <f aca="false">IF(C14841&gt;0,C14833-C14845,0)</f>
        <v>0</v>
      </c>
    </row>
    <row r="14850" customFormat="false" ht="15" hidden="false" customHeight="false" outlineLevel="0" collapsed="false">
      <c r="A14850" s="3" t="s">
        <v>501</v>
      </c>
      <c r="C14850" s="25" t="n">
        <f aca="false">IF(C14842&gt;0,C14834-C14846,0)</f>
        <v>0</v>
      </c>
    </row>
    <row r="14851" customFormat="false" ht="15" hidden="false" customHeight="false" outlineLevel="0" collapsed="false">
      <c r="A14851" s="23" t="s">
        <v>506</v>
      </c>
      <c r="B14851" s="24"/>
      <c r="C14851" s="24"/>
      <c r="D14851" s="24"/>
      <c r="E14851" s="24"/>
      <c r="F14851" s="24"/>
      <c r="G14851" s="24"/>
      <c r="H14851" s="24"/>
      <c r="I14851" s="24"/>
      <c r="J14851" s="24"/>
      <c r="K14851" s="24"/>
    </row>
    <row r="14852" customFormat="false" ht="15" hidden="false" customHeight="false" outlineLevel="0" collapsed="false">
      <c r="A14852" s="3" t="s">
        <v>499</v>
      </c>
      <c r="C14852" s="25" t="n">
        <f aca="false">IF(C14840&gt;0,C14848,C14832)</f>
        <v>1315.098</v>
      </c>
    </row>
    <row r="14853" customFormat="false" ht="15" hidden="false" customHeight="false" outlineLevel="0" collapsed="false">
      <c r="A14853" s="3" t="s">
        <v>500</v>
      </c>
      <c r="C14853" s="25" t="n">
        <f aca="false">IF(C14841&gt;0,C14849,C14833)</f>
        <v>6.33403256832008</v>
      </c>
    </row>
    <row r="14854" customFormat="false" ht="15" hidden="false" customHeight="false" outlineLevel="0" collapsed="false">
      <c r="A14854" s="3" t="s">
        <v>501</v>
      </c>
      <c r="C14854" s="25" t="n">
        <f aca="false">IF(C14842&gt;0,C14850,C14834)</f>
        <v>143.75</v>
      </c>
    </row>
    <row r="14855" customFormat="false" ht="15" hidden="false" customHeight="false" outlineLevel="0" collapsed="false">
      <c r="A14855" s="23" t="s">
        <v>507</v>
      </c>
      <c r="B14855" s="24"/>
      <c r="C14855" s="24"/>
      <c r="D14855" s="24"/>
      <c r="E14855" s="24"/>
      <c r="F14855" s="24"/>
      <c r="G14855" s="24"/>
      <c r="H14855" s="24"/>
      <c r="I14855" s="24"/>
      <c r="J14855" s="24"/>
      <c r="K14855" s="24"/>
    </row>
    <row r="14856" customFormat="false" ht="15" hidden="false" customHeight="false" outlineLevel="0" collapsed="false">
      <c r="A14856" s="3" t="s">
        <v>499</v>
      </c>
      <c r="C14856" s="20" t="n">
        <f aca="false">IF(C14840&gt;0,Assumptions!$C$17,C14836)</f>
        <v>1</v>
      </c>
    </row>
    <row r="14857" customFormat="false" ht="15" hidden="false" customHeight="false" outlineLevel="0" collapsed="false">
      <c r="A14857" s="3" t="s">
        <v>500</v>
      </c>
      <c r="C14857" s="20" t="n">
        <f aca="false">IF(C14841&gt;0,Assumptions!$C$17,C14837)</f>
        <v>2</v>
      </c>
    </row>
    <row r="14858" customFormat="false" ht="15" hidden="false" customHeight="false" outlineLevel="0" collapsed="false">
      <c r="A14858" s="3" t="s">
        <v>501</v>
      </c>
      <c r="C14858" s="20" t="n">
        <f aca="false">IF(C14842&gt;0,Assumptions!$C$17,C14838)</f>
        <v>2</v>
      </c>
    </row>
    <row r="14859" customFormat="false" ht="15" hidden="false" customHeight="false" outlineLevel="0" collapsed="false">
      <c r="A14859" s="23" t="s">
        <v>508</v>
      </c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</row>
    <row r="14860" customFormat="false" ht="15" hidden="false" customHeight="false" outlineLevel="0" collapsed="false">
      <c r="A14860" s="3" t="s">
        <v>499</v>
      </c>
      <c r="C14860" s="25" t="n">
        <f aca="false">SUMPRODUCT(($C$14856:$C$14858&lt;C14856)*$C$14852:$C$14854)</f>
        <v>0</v>
      </c>
    </row>
    <row r="14861" customFormat="false" ht="15" hidden="false" customHeight="false" outlineLevel="0" collapsed="false">
      <c r="A14861" s="3" t="s">
        <v>500</v>
      </c>
      <c r="C14861" s="25" t="n">
        <f aca="false">SUMPRODUCT(($C$14856:$C$14858&lt;C14857)*$C$14852:$C$14854)</f>
        <v>1315.098</v>
      </c>
    </row>
    <row r="14862" customFormat="false" ht="15" hidden="false" customHeight="false" outlineLevel="0" collapsed="false">
      <c r="A14862" s="3" t="s">
        <v>501</v>
      </c>
      <c r="C14862" s="25" t="n">
        <f aca="false">SUMPRODUCT(($C$14856:$C$14858&lt;C14858)*$C$14852:$C$14854)</f>
        <v>1315.098</v>
      </c>
    </row>
    <row r="14863" customFormat="false" ht="15" hidden="false" customHeight="false" outlineLevel="0" collapsed="false">
      <c r="A14863" s="23" t="s">
        <v>509</v>
      </c>
      <c r="B14863" s="24"/>
      <c r="C14863" s="24"/>
      <c r="D14863" s="24"/>
      <c r="E14863" s="24"/>
      <c r="F14863" s="24"/>
      <c r="G14863" s="24"/>
      <c r="H14863" s="24"/>
      <c r="I14863" s="24"/>
      <c r="J14863" s="24"/>
      <c r="K14863" s="24"/>
    </row>
    <row r="14864" customFormat="false" ht="15" hidden="false" customHeight="false" outlineLevel="0" collapsed="false">
      <c r="A14864" s="3" t="s">
        <v>499</v>
      </c>
      <c r="C14864" s="25" t="n">
        <f aca="false">SUMPRODUCT(($C$14856:$C$14858=C14856)*$C$14852:$C$14854)</f>
        <v>1315.098</v>
      </c>
    </row>
    <row r="14865" customFormat="false" ht="15" hidden="false" customHeight="false" outlineLevel="0" collapsed="false">
      <c r="A14865" s="3" t="s">
        <v>500</v>
      </c>
      <c r="C14865" s="25" t="n">
        <f aca="false">SUMPRODUCT(($C$14856:$C$14858=C14857)*$C$14852:$C$14854)</f>
        <v>150.08403256832</v>
      </c>
    </row>
    <row r="14866" customFormat="false" ht="15" hidden="false" customHeight="false" outlineLevel="0" collapsed="false">
      <c r="A14866" s="3" t="s">
        <v>501</v>
      </c>
      <c r="C14866" s="25" t="n">
        <f aca="false">SUMPRODUCT(($C$14856:$C$14858=C14858)*$C$14852:$C$14854)</f>
        <v>150.08403256832</v>
      </c>
    </row>
    <row r="14867" customFormat="false" ht="15" hidden="false" customHeight="false" outlineLevel="0" collapsed="false">
      <c r="A14867" s="23" t="s">
        <v>510</v>
      </c>
      <c r="B14867" s="24"/>
      <c r="C14867" s="24"/>
      <c r="D14867" s="24"/>
      <c r="E14867" s="24"/>
      <c r="F14867" s="24"/>
      <c r="G14867" s="24"/>
      <c r="H14867" s="24"/>
      <c r="I14867" s="24"/>
      <c r="J14867" s="24"/>
      <c r="K14867" s="24"/>
    </row>
    <row r="14868" customFormat="false" ht="15" hidden="false" customHeight="false" outlineLevel="0" collapsed="false">
      <c r="A14868" s="3" t="s">
        <v>499</v>
      </c>
      <c r="C14868" s="25" t="n">
        <f aca="false">IF(C14864=0,0,C14852/C14864*MAX(0,MIN(C14864,$C$14830-SUM($C$14844:$C$14846)-C14860)))</f>
        <v>428.3744040576</v>
      </c>
    </row>
    <row r="14869" customFormat="false" ht="15" hidden="false" customHeight="false" outlineLevel="0" collapsed="false">
      <c r="A14869" s="3" t="s">
        <v>500</v>
      </c>
      <c r="C14869" s="25" t="n">
        <f aca="false">IF(C14865=0,0,C14853/C14865*MAX(0,MIN(C14865,$C$14830-SUM($C$14844:$C$14846)-C14861)))</f>
        <v>0</v>
      </c>
    </row>
    <row r="14870" customFormat="false" ht="15" hidden="false" customHeight="false" outlineLevel="0" collapsed="false">
      <c r="A14870" s="3" t="s">
        <v>501</v>
      </c>
      <c r="C14870" s="25" t="n">
        <f aca="false">IF(C14866=0,0,C14854/C14866*MAX(0,MIN(C14866,$C$14830-SUM($C$14844:$C$14846)-C14862)))</f>
        <v>0</v>
      </c>
    </row>
    <row r="14871" customFormat="false" ht="15" hidden="false" customHeight="false" outlineLevel="0" collapsed="false">
      <c r="A14871" s="23" t="s">
        <v>511</v>
      </c>
      <c r="B14871" s="24"/>
      <c r="C14871" s="24"/>
      <c r="D14871" s="24"/>
      <c r="E14871" s="24"/>
      <c r="F14871" s="24"/>
      <c r="G14871" s="24"/>
      <c r="H14871" s="24"/>
      <c r="I14871" s="24"/>
      <c r="J14871" s="24"/>
      <c r="K14871" s="24"/>
    </row>
    <row r="14872" customFormat="false" ht="15" hidden="false" customHeight="false" outlineLevel="0" collapsed="false">
      <c r="A14872" s="2" t="s">
        <v>499</v>
      </c>
      <c r="C14872" s="16" t="n">
        <f aca="false">C14844+C14868</f>
        <v>428.3744040576</v>
      </c>
    </row>
    <row r="14873" customFormat="false" ht="15" hidden="false" customHeight="false" outlineLevel="0" collapsed="false">
      <c r="A14873" s="2" t="s">
        <v>500</v>
      </c>
      <c r="C14873" s="16" t="n">
        <f aca="false">C14845+C14869</f>
        <v>0</v>
      </c>
    </row>
    <row r="14874" customFormat="false" ht="15" hidden="false" customHeight="false" outlineLevel="0" collapsed="false">
      <c r="A14874" s="2" t="s">
        <v>501</v>
      </c>
      <c r="C14874" s="16" t="n">
        <f aca="false">C14846+C14870</f>
        <v>0</v>
      </c>
    </row>
    <row r="14875" customFormat="false" ht="15" hidden="false" customHeight="false" outlineLevel="0" collapsed="false">
      <c r="A14875" s="23" t="s">
        <v>512</v>
      </c>
      <c r="B14875" s="24"/>
      <c r="C14875" s="24"/>
      <c r="D14875" s="24"/>
      <c r="E14875" s="24"/>
      <c r="F14875" s="24"/>
      <c r="G14875" s="24"/>
      <c r="H14875" s="24"/>
      <c r="I14875" s="24"/>
      <c r="J14875" s="24"/>
      <c r="K14875" s="24"/>
    </row>
    <row r="14876" customFormat="false" ht="15" hidden="false" customHeight="false" outlineLevel="0" collapsed="false">
      <c r="A14876" s="3" t="s">
        <v>499</v>
      </c>
      <c r="C14876" s="21" t="n">
        <f aca="false">IF(C14832=0,1,C14872/C14832)</f>
        <v>0.325735727723409</v>
      </c>
    </row>
    <row r="14877" customFormat="false" ht="15" hidden="false" customHeight="false" outlineLevel="0" collapsed="false">
      <c r="A14877" s="3" t="s">
        <v>500</v>
      </c>
      <c r="C14877" s="21" t="n">
        <f aca="false">IF(C14833=0,1,C14873/C14833)</f>
        <v>0</v>
      </c>
    </row>
    <row r="14878" customFormat="false" ht="15" hidden="false" customHeight="false" outlineLevel="0" collapsed="false">
      <c r="A14878" s="3" t="s">
        <v>501</v>
      </c>
      <c r="C14878" s="21" t="n">
        <f aca="false">IF(C14834=0,1,C14874/C14834)</f>
        <v>0</v>
      </c>
    </row>
    <row r="14879" customFormat="false" ht="15" hidden="false" customHeight="false" outlineLevel="0" collapsed="false">
      <c r="A14879" s="23" t="s">
        <v>513</v>
      </c>
      <c r="B14879" s="24"/>
      <c r="C14879" s="24"/>
      <c r="D14879" s="24"/>
      <c r="E14879" s="24"/>
      <c r="F14879" s="24"/>
      <c r="G14879" s="24"/>
      <c r="H14879" s="24"/>
      <c r="I14879" s="24"/>
      <c r="J14879" s="24"/>
      <c r="K14879" s="24"/>
    </row>
    <row r="14880" customFormat="false" ht="15" hidden="false" customHeight="false" outlineLevel="0" collapsed="false">
      <c r="A14880" s="3" t="s">
        <v>499</v>
      </c>
      <c r="C14880" s="25" t="n">
        <f aca="false">C14832-C14872</f>
        <v>886.7235959424</v>
      </c>
    </row>
    <row r="14881" customFormat="false" ht="15" hidden="false" customHeight="false" outlineLevel="0" collapsed="false">
      <c r="A14881" s="3" t="s">
        <v>500</v>
      </c>
      <c r="C14881" s="25" t="n">
        <f aca="false">C14833-C14873</f>
        <v>6.33403256832008</v>
      </c>
    </row>
    <row r="14882" customFormat="false" ht="15" hidden="false" customHeight="false" outlineLevel="0" collapsed="false">
      <c r="A14882" s="3" t="s">
        <v>501</v>
      </c>
      <c r="C14882" s="25" t="n">
        <f aca="false">C14834-C14874</f>
        <v>143.75</v>
      </c>
    </row>
    <row r="14883" customFormat="false" ht="15" hidden="false" customHeight="false" outlineLevel="0" collapsed="false">
      <c r="A14883" s="23" t="s">
        <v>514</v>
      </c>
      <c r="B14883" s="24"/>
      <c r="C14883" s="24"/>
      <c r="D14883" s="24"/>
      <c r="E14883" s="24"/>
      <c r="F14883" s="24"/>
      <c r="G14883" s="24"/>
      <c r="H14883" s="24"/>
      <c r="I14883" s="24"/>
      <c r="J14883" s="24"/>
      <c r="K14883" s="24"/>
    </row>
    <row r="14884" customFormat="false" ht="15" hidden="false" customHeight="false" outlineLevel="0" collapsed="false">
      <c r="A14884" s="3" t="s">
        <v>499</v>
      </c>
      <c r="C14884" s="21" t="n">
        <f aca="false">IF(C14832=0,0,C14880/C14832)</f>
        <v>0.674264272276591</v>
      </c>
    </row>
    <row r="14885" customFormat="false" ht="15" hidden="false" customHeight="false" outlineLevel="0" collapsed="false">
      <c r="A14885" s="3" t="s">
        <v>500</v>
      </c>
      <c r="C14885" s="21" t="n">
        <f aca="false">IF(C14833=0,0,C14881/C14833)</f>
        <v>1</v>
      </c>
    </row>
    <row r="14886" customFormat="false" ht="15" hidden="false" customHeight="false" outlineLevel="0" collapsed="false">
      <c r="A14886" s="3" t="s">
        <v>501</v>
      </c>
      <c r="C14886" s="21" t="n">
        <f aca="false">IF(C14834=0,0,C14882/C14834)</f>
        <v>1</v>
      </c>
    </row>
    <row r="14887" customFormat="false" ht="15" hidden="false" customHeight="false" outlineLevel="0" collapsed="false">
      <c r="A14887" s="2" t="s">
        <v>515</v>
      </c>
      <c r="C14887" s="16" t="n">
        <f aca="false">MAX(0,$C$14830-SUM($C$14844:$C$14846)-SUM($C$14852:$C$14854))</f>
        <v>0</v>
      </c>
    </row>
    <row r="14888" customFormat="false" ht="15" hidden="false" customHeight="false" outlineLevel="0" collapsed="false">
      <c r="A14888" s="3" t="s">
        <v>533</v>
      </c>
      <c r="C14888" s="34" t="n">
        <f aca="false">MIN(C14829,100*CHOOSE(C14819,C14876,C14877,C14878))</f>
        <v>32.5735727723409</v>
      </c>
    </row>
    <row r="14889" customFormat="false" ht="15" hidden="false" customHeight="false" outlineLevel="0" collapsed="false">
      <c r="A14889" s="3" t="s">
        <v>534</v>
      </c>
      <c r="C14889" s="20" t="n">
        <f aca="false">IF(C14749=1,C14824+Assumptions!$C$39,C14823)</f>
        <v>4</v>
      </c>
    </row>
    <row r="14890" customFormat="false" ht="15" hidden="false" customHeight="false" outlineLevel="0" collapsed="false">
      <c r="A14890" s="23" t="s">
        <v>535</v>
      </c>
      <c r="B14890" s="24"/>
      <c r="C14890" s="24"/>
      <c r="D14890" s="24"/>
      <c r="E14890" s="24"/>
      <c r="F14890" s="24"/>
      <c r="G14890" s="24"/>
      <c r="H14890" s="24"/>
      <c r="I14890" s="24"/>
      <c r="J14890" s="24"/>
      <c r="K14890" s="24"/>
    </row>
    <row r="14891" customFormat="false" ht="15" hidden="false" customHeight="false" outlineLevel="0" collapsed="false">
      <c r="A14891" s="3" t="s">
        <v>536</v>
      </c>
      <c r="C14891" s="20" t="n">
        <f aca="false">COLUMN()-COLUMN($C$1)</f>
        <v>0</v>
      </c>
      <c r="D14891" s="20" t="n">
        <f aca="false">COLUMN()-COLUMN($C$1)</f>
        <v>1</v>
      </c>
      <c r="E14891" s="20" t="n">
        <f aca="false">COLUMN()-COLUMN($C$1)</f>
        <v>2</v>
      </c>
      <c r="F14891" s="20" t="n">
        <f aca="false">COLUMN()-COLUMN($C$1)</f>
        <v>3</v>
      </c>
      <c r="G14891" s="20" t="n">
        <f aca="false">COLUMN()-COLUMN($C$1)</f>
        <v>4</v>
      </c>
      <c r="H14891" s="20" t="n">
        <f aca="false">COLUMN()-COLUMN($C$1)</f>
        <v>5</v>
      </c>
      <c r="I14891" s="20" t="n">
        <f aca="false">COLUMN()-COLUMN($C$1)</f>
        <v>6</v>
      </c>
    </row>
    <row r="14892" customFormat="false" ht="15" hidden="false" customHeight="false" outlineLevel="0" collapsed="false">
      <c r="A14892" s="3" t="s">
        <v>537</v>
      </c>
      <c r="D14892" s="31" t="n">
        <f aca="false">CHOOSE($C$14819,G14632,G14645,G14658)</f>
        <v>0.105</v>
      </c>
      <c r="E14892" s="31" t="n">
        <f aca="false">CHOOSE($C$14819,H14632,H14645,H14658)</f>
        <v>0.105</v>
      </c>
      <c r="F14892" s="31" t="n">
        <f aca="false">CHOOSE($C$14819,I14632,I14645,I14658)</f>
        <v>0.105</v>
      </c>
      <c r="G14892" s="31" t="n">
        <f aca="false">CHOOSE($C$14819,J14632,J14645,J14658)</f>
        <v>0.105</v>
      </c>
      <c r="H14892" s="31" t="n">
        <f aca="false">CHOOSE($C$14819,K14632,K14645,K14658)</f>
        <v>0.105</v>
      </c>
    </row>
    <row r="14893" customFormat="false" ht="15" hidden="false" customHeight="false" outlineLevel="0" collapsed="false">
      <c r="A14893" s="3" t="s">
        <v>538</v>
      </c>
      <c r="D14893" s="25" t="n">
        <f aca="false">IF(D14891&lt;=$C$14828,$C$14820*D14892,0)</f>
        <v>10.5</v>
      </c>
      <c r="E14893" s="25" t="n">
        <f aca="false">IF(E14891&lt;=$C$14828,$C$14820*E14892,0)</f>
        <v>10.5</v>
      </c>
      <c r="F14893" s="25" t="n">
        <f aca="false">IF(F14891&lt;=$C$14828,$C$14820*F14892,0)</f>
        <v>10.5</v>
      </c>
      <c r="G14893" s="25" t="n">
        <f aca="false">IF(G14891&lt;=$C$14828,$C$14820*G14892,0)</f>
        <v>0</v>
      </c>
      <c r="H14893" s="25" t="n">
        <f aca="false">IF(H14891&lt;=$C$14828,$C$14820*H14892,0)</f>
        <v>0</v>
      </c>
    </row>
    <row r="14894" customFormat="false" ht="15" hidden="false" customHeight="false" outlineLevel="0" collapsed="false">
      <c r="A14894" s="3" t="s">
        <v>539</v>
      </c>
      <c r="D14894" s="25" t="n">
        <f aca="false">IF(AND($C$14749=0,D14891=$C$14823),$C$14820*$C$14888/100,0)+IF(AND($C$14749=1,D14891=$C$14889),$C$14826,0)</f>
        <v>0</v>
      </c>
      <c r="E14894" s="25" t="n">
        <f aca="false">IF(AND($C$14749=0,E14891=$C$14823),$C$14820*$C$14888/100,0)+IF(AND($C$14749=1,E14891=$C$14889),$C$14826,0)</f>
        <v>0</v>
      </c>
      <c r="F14894" s="25" t="n">
        <f aca="false">IF(AND($C$14749=0,F14891=$C$14823),$C$14820*$C$14888/100,0)+IF(AND($C$14749=1,F14891=$C$14889),$C$14826,0)</f>
        <v>0</v>
      </c>
      <c r="G14894" s="25" t="n">
        <f aca="false">IF(AND($C$14749=0,G14891=$C$14823),$C$14820*$C$14888/100,0)+IF(AND($C$14749=1,G14891=$C$14889),$C$14826,0)</f>
        <v>34.945728090226</v>
      </c>
      <c r="H14894" s="25" t="n">
        <f aca="false">IF(AND($C$14749=0,H14891=$C$14823),$C$14820*$C$14888/100,0)+IF(AND($C$14749=1,H14891=$C$14889),$C$14826,0)</f>
        <v>0</v>
      </c>
      <c r="I14894" s="25" t="n">
        <f aca="false">IF(AND($C$14749=0,I14891=$C$14823),$C$14820*$C$14888/100,0)+IF(AND($C$14749=1,I14891=$C$14889),$C$14826,0)</f>
        <v>0</v>
      </c>
    </row>
    <row r="14895" customFormat="false" ht="15" hidden="false" customHeight="false" outlineLevel="0" collapsed="false">
      <c r="A14895" s="2" t="s">
        <v>540</v>
      </c>
      <c r="C14895" s="16" t="n">
        <f aca="false">-$C$14822</f>
        <v>-95</v>
      </c>
      <c r="D14895" s="16" t="n">
        <f aca="false">D14893+D14894</f>
        <v>10.5</v>
      </c>
      <c r="E14895" s="16" t="n">
        <f aca="false">E14893+E14894</f>
        <v>10.5</v>
      </c>
      <c r="F14895" s="16" t="n">
        <f aca="false">F14893+F14894</f>
        <v>10.5</v>
      </c>
      <c r="G14895" s="16" t="n">
        <f aca="false">G14893+G14894</f>
        <v>34.945728090226</v>
      </c>
      <c r="H14895" s="16" t="n">
        <f aca="false">H14893+H14894</f>
        <v>0</v>
      </c>
      <c r="I14895" s="16" t="n">
        <f aca="false">I14893+I14894</f>
        <v>0</v>
      </c>
    </row>
    <row r="14896" customFormat="false" ht="15" hidden="false" customHeight="false" outlineLevel="0" collapsed="false">
      <c r="A14896" s="3" t="s">
        <v>541</v>
      </c>
      <c r="C14896" s="25" t="n">
        <f aca="false">SUM($C$14893:$I$14893)</f>
        <v>31.5</v>
      </c>
    </row>
    <row r="14897" customFormat="false" ht="15" hidden="false" customHeight="false" outlineLevel="0" collapsed="false">
      <c r="A14897" s="3" t="s">
        <v>542</v>
      </c>
      <c r="C14897" s="25" t="n">
        <f aca="false">SUM($C$14894:$I$14894)</f>
        <v>34.945728090226</v>
      </c>
    </row>
    <row r="14898" customFormat="false" ht="15" hidden="false" customHeight="false" outlineLevel="0" collapsed="false">
      <c r="A14898" s="3" t="s">
        <v>543</v>
      </c>
      <c r="C14898" s="25" t="n">
        <f aca="false">C14896+C14897</f>
        <v>66.445728090226</v>
      </c>
    </row>
    <row r="14899" customFormat="false" ht="15" hidden="false" customHeight="false" outlineLevel="0" collapsed="false">
      <c r="A14899" s="3" t="s">
        <v>544</v>
      </c>
      <c r="C14899" s="25" t="n">
        <f aca="false">C14897-C14820*C14821/100</f>
        <v>-60.054271909774</v>
      </c>
    </row>
    <row r="14900" customFormat="false" ht="15" hidden="false" customHeight="false" outlineLevel="0" collapsed="false">
      <c r="A14900" s="3" t="s">
        <v>545</v>
      </c>
      <c r="C14900" s="25" t="n">
        <f aca="false">C14898-C14822</f>
        <v>-28.554271909774</v>
      </c>
    </row>
    <row r="14901" customFormat="false" ht="15" hidden="false" customHeight="false" outlineLevel="0" collapsed="false">
      <c r="A14901" s="2" t="s">
        <v>427</v>
      </c>
      <c r="C14901" s="44" t="n">
        <f aca="false">C14898/C14822</f>
        <v>0.699428716739221</v>
      </c>
    </row>
    <row r="14902" customFormat="false" ht="15" hidden="false" customHeight="false" outlineLevel="0" collapsed="false">
      <c r="A14902" s="2" t="s">
        <v>426</v>
      </c>
      <c r="C14902" s="42" t="n">
        <f aca="false">IF(C14898&lt;=0,-1,IFERROR(IRR($C$14895:$I$14895,MAX(-0.9,C14901^(1/C14889)-1)),IRR($C$14895:$I$14895,0.1)))</f>
        <v>-0.10811295237651</v>
      </c>
    </row>
    <row r="14903" customFormat="false" ht="15" hidden="false" customHeight="false" outlineLevel="0" collapsed="false">
      <c r="A14903" s="3" t="s">
        <v>546</v>
      </c>
      <c r="C14903" s="32" t="n">
        <f aca="false">MAX($G$14709:$K$14709)</f>
        <v>17.6426302993449</v>
      </c>
    </row>
    <row r="14904" customFormat="false" ht="15" hidden="false" customHeight="false" outlineLevel="0" collapsed="false">
      <c r="A14904" s="3" t="s">
        <v>547</v>
      </c>
      <c r="C14904" s="32" t="n">
        <f aca="false">MIN($G$14710:$K$14710)</f>
        <v>0.641091448545568</v>
      </c>
    </row>
    <row r="14905" customFormat="false" ht="15" hidden="false" customHeight="false" outlineLevel="0" collapsed="false">
      <c r="A14905" s="3" t="s">
        <v>548</v>
      </c>
      <c r="C14905" s="25" t="n">
        <f aca="false">SUM($G$14616:$K$14616)</f>
        <v>-362.406198194027</v>
      </c>
    </row>
    <row r="14909" customFormat="false" ht="15" hidden="false" customHeight="false" outlineLevel="0" collapsed="false">
      <c r="A14909" s="9" t="s">
        <v>1060</v>
      </c>
      <c r="B14909" s="10"/>
      <c r="C14909" s="10"/>
      <c r="D14909" s="10"/>
      <c r="E14909" s="10"/>
      <c r="F14909" s="10"/>
      <c r="G14909" s="10"/>
      <c r="H14909" s="10"/>
      <c r="I14909" s="10"/>
      <c r="J14909" s="10"/>
      <c r="K14909" s="10"/>
    </row>
    <row r="14910" customFormat="false" ht="15" hidden="false" customHeight="false" outlineLevel="0" collapsed="false">
      <c r="A14910" s="3" t="s">
        <v>1010</v>
      </c>
      <c r="C14910" s="11" t="n">
        <v>3</v>
      </c>
    </row>
    <row r="14911" customFormat="false" ht="15" hidden="false" customHeight="false" outlineLevel="0" collapsed="false">
      <c r="A14911" s="3" t="s">
        <v>1011</v>
      </c>
      <c r="C14911" s="18" t="n">
        <v>0</v>
      </c>
    </row>
    <row r="14912" customFormat="false" ht="15" hidden="false" customHeight="false" outlineLevel="0" collapsed="false">
      <c r="A14912" s="3" t="s">
        <v>1012</v>
      </c>
      <c r="C14912" s="18" t="n">
        <v>0</v>
      </c>
    </row>
    <row r="14913" customFormat="false" ht="15" hidden="false" customHeight="false" outlineLevel="0" collapsed="false">
      <c r="A14913" s="3" t="s">
        <v>1013</v>
      </c>
      <c r="C14913" s="30" t="n">
        <f aca="false">Sensitivities!$A$53</f>
        <v>0.01</v>
      </c>
    </row>
    <row r="14914" customFormat="false" ht="15" hidden="false" customHeight="false" outlineLevel="0" collapsed="false">
      <c r="A14914" s="3" t="s">
        <v>1014</v>
      </c>
      <c r="C14914" s="15" t="n">
        <v>0</v>
      </c>
    </row>
    <row r="14916" customFormat="false" ht="15" hidden="false" customHeight="false" outlineLevel="0" collapsed="false">
      <c r="A14916" s="23" t="s">
        <v>281</v>
      </c>
      <c r="B14916" s="24"/>
      <c r="C14916" s="24"/>
      <c r="D14916" s="24"/>
      <c r="E14916" s="24"/>
      <c r="F14916" s="24"/>
      <c r="G14916" s="24"/>
      <c r="H14916" s="24"/>
      <c r="I14916" s="24"/>
      <c r="J14916" s="24"/>
      <c r="K14916" s="24"/>
    </row>
    <row r="14917" customFormat="false" ht="15" hidden="false" customHeight="false" outlineLevel="0" collapsed="false">
      <c r="A14917" s="3" t="s">
        <v>282</v>
      </c>
      <c r="F14917" s="27" t="n">
        <f aca="false">Assumptions!$C$6</f>
        <v>2026</v>
      </c>
      <c r="G14917" s="20" t="n">
        <f aca="false">F14917+1</f>
        <v>2027</v>
      </c>
      <c r="H14917" s="20" t="n">
        <f aca="false">G14917+1</f>
        <v>2028</v>
      </c>
      <c r="I14917" s="20" t="n">
        <f aca="false">H14917+1</f>
        <v>2029</v>
      </c>
      <c r="J14917" s="20" t="n">
        <f aca="false">I14917+1</f>
        <v>2030</v>
      </c>
      <c r="K14917" s="20" t="n">
        <f aca="false">J14917+1</f>
        <v>2031</v>
      </c>
    </row>
    <row r="14918" customFormat="false" ht="15" hidden="false" customHeight="false" outlineLevel="0" collapsed="false">
      <c r="A14918" s="3" t="s">
        <v>283</v>
      </c>
      <c r="G14918" s="20" t="n">
        <f aca="false">G14917-Assumptions!$C$6</f>
        <v>1</v>
      </c>
      <c r="H14918" s="20" t="n">
        <f aca="false">H14917-Assumptions!$C$6</f>
        <v>2</v>
      </c>
      <c r="I14918" s="20" t="n">
        <f aca="false">I14917-Assumptions!$C$6</f>
        <v>3</v>
      </c>
      <c r="J14918" s="20" t="n">
        <f aca="false">J14917-Assumptions!$C$6</f>
        <v>4</v>
      </c>
      <c r="K14918" s="20" t="n">
        <f aca="false">K14917-Assumptions!$C$6</f>
        <v>5</v>
      </c>
    </row>
    <row r="14919" customFormat="false" ht="15" hidden="false" customHeight="false" outlineLevel="0" collapsed="false">
      <c r="A14919" s="3" t="s">
        <v>165</v>
      </c>
      <c r="G14919" s="21" t="n">
        <f aca="false">CHOOSE($C$14910,Assumptions!$G$71,Assumptions!$G$90,Assumptions!$G$109)+$C$14911</f>
        <v>-0.14</v>
      </c>
      <c r="H14919" s="21" t="n">
        <f aca="false">CHOOSE($C$14910,Assumptions!$H$71,Assumptions!$H$90,Assumptions!$H$109)+$C$14911</f>
        <v>-0.12</v>
      </c>
      <c r="I14919" s="21" t="n">
        <f aca="false">CHOOSE($C$14910,Assumptions!$I$71,Assumptions!$I$90,Assumptions!$I$109)+$C$14911</f>
        <v>-0.1</v>
      </c>
      <c r="J14919" s="21" t="n">
        <f aca="false">CHOOSE($C$14910,Assumptions!$J$71,Assumptions!$J$90,Assumptions!$J$109)+$C$14911</f>
        <v>-0.08</v>
      </c>
      <c r="K14919" s="21" t="n">
        <f aca="false">CHOOSE($C$14910,Assumptions!$K$71,Assumptions!$K$90,Assumptions!$K$109)+$C$14911</f>
        <v>-0.06</v>
      </c>
    </row>
    <row r="14920" customFormat="false" ht="15" hidden="false" customHeight="false" outlineLevel="0" collapsed="false">
      <c r="A14920" s="3" t="s">
        <v>166</v>
      </c>
      <c r="G14920" s="21" t="n">
        <f aca="false">CHOOSE($C$14910,Assumptions!$G$72,Assumptions!$G$91,Assumptions!$G$110)</f>
        <v>0.433246670103635</v>
      </c>
      <c r="H14920" s="21" t="n">
        <f aca="false">CHOOSE($C$14910,Assumptions!$H$72,Assumptions!$H$91,Assumptions!$H$110)</f>
        <v>0.418246670103635</v>
      </c>
      <c r="I14920" s="21" t="n">
        <f aca="false">CHOOSE($C$14910,Assumptions!$I$72,Assumptions!$I$91,Assumptions!$I$110)</f>
        <v>0.413246670103635</v>
      </c>
      <c r="J14920" s="21" t="n">
        <f aca="false">CHOOSE($C$14910,Assumptions!$J$72,Assumptions!$J$91,Assumptions!$J$110)</f>
        <v>0.413246670103635</v>
      </c>
      <c r="K14920" s="21" t="n">
        <f aca="false">CHOOSE($C$14910,Assumptions!$K$72,Assumptions!$K$91,Assumptions!$K$110)</f>
        <v>0.413246670103635</v>
      </c>
    </row>
    <row r="14921" customFormat="false" ht="15" hidden="false" customHeight="false" outlineLevel="0" collapsed="false">
      <c r="A14921" s="3" t="s">
        <v>167</v>
      </c>
      <c r="G14921" s="21" t="n">
        <f aca="false">CHOOSE($C$14910,Assumptions!$G$73,Assumptions!$G$92,Assumptions!$G$111)+$C$14912</f>
        <v>0.09</v>
      </c>
      <c r="H14921" s="21" t="n">
        <f aca="false">CHOOSE($C$14910,Assumptions!$H$73,Assumptions!$H$92,Assumptions!$H$111)+$C$14912</f>
        <v>0.075</v>
      </c>
      <c r="I14921" s="21" t="n">
        <f aca="false">CHOOSE($C$14910,Assumptions!$I$73,Assumptions!$I$92,Assumptions!$I$111)+$C$14912</f>
        <v>0.07</v>
      </c>
      <c r="J14921" s="21" t="n">
        <f aca="false">CHOOSE($C$14910,Assumptions!$J$73,Assumptions!$J$92,Assumptions!$J$111)+$C$14912</f>
        <v>0.07</v>
      </c>
      <c r="K14921" s="21" t="n">
        <f aca="false">CHOOSE($C$14910,Assumptions!$K$73,Assumptions!$K$92,Assumptions!$K$111)+$C$14912</f>
        <v>0.07</v>
      </c>
    </row>
    <row r="14922" customFormat="false" ht="15" hidden="false" customHeight="false" outlineLevel="0" collapsed="false">
      <c r="A14922" s="23" t="s">
        <v>284</v>
      </c>
      <c r="B14922" s="24"/>
      <c r="C14922" s="24"/>
      <c r="D14922" s="24"/>
      <c r="E14922" s="24"/>
      <c r="F14922" s="24"/>
      <c r="G14922" s="24"/>
      <c r="H14922" s="24"/>
      <c r="I14922" s="24"/>
      <c r="J14922" s="24"/>
      <c r="K14922" s="24"/>
    </row>
    <row r="14923" customFormat="false" ht="15" hidden="false" customHeight="false" outlineLevel="0" collapsed="false">
      <c r="A14923" s="2" t="s">
        <v>256</v>
      </c>
      <c r="F14923" s="28" t="n">
        <f aca="false">'Historical Financials'!G23</f>
        <v>2246.166</v>
      </c>
      <c r="G14923" s="16" t="n">
        <f aca="false">F14923*(1+G14919)</f>
        <v>1931.70276</v>
      </c>
      <c r="H14923" s="16" t="n">
        <f aca="false">G14923*(1+H14919)</f>
        <v>1699.8984288</v>
      </c>
      <c r="I14923" s="16" t="n">
        <f aca="false">H14923*(1+I14919)</f>
        <v>1529.90858592</v>
      </c>
      <c r="J14923" s="16" t="n">
        <f aca="false">I14923*(1+J14919)</f>
        <v>1407.5158990464</v>
      </c>
      <c r="K14923" s="16" t="n">
        <f aca="false">J14923*(1+K14919)</f>
        <v>1323.06494510362</v>
      </c>
    </row>
    <row r="14924" customFormat="false" ht="15" hidden="false" customHeight="false" outlineLevel="0" collapsed="false">
      <c r="A14924" s="3" t="s">
        <v>257</v>
      </c>
      <c r="G14924" s="25" t="n">
        <f aca="false">G14923*(1-G14920)</f>
        <v>1094.7989716</v>
      </c>
      <c r="H14924" s="25" t="n">
        <f aca="false">H14923*(1-H14920)</f>
        <v>988.92157144</v>
      </c>
      <c r="I14924" s="25" t="n">
        <f aca="false">I14923*(1-I14920)</f>
        <v>897.6789572256</v>
      </c>
      <c r="J14924" s="25" t="n">
        <f aca="false">J14923*(1-J14920)</f>
        <v>825.864640647552</v>
      </c>
      <c r="K14924" s="25" t="n">
        <f aca="false">K14923*(1-K14920)</f>
        <v>776.312762208699</v>
      </c>
    </row>
    <row r="14925" customFormat="false" ht="15" hidden="false" customHeight="false" outlineLevel="0" collapsed="false">
      <c r="A14925" s="2" t="s">
        <v>258</v>
      </c>
      <c r="G14925" s="16" t="n">
        <f aca="false">G14923-G14924</f>
        <v>836.9037884</v>
      </c>
      <c r="H14925" s="16" t="n">
        <f aca="false">H14923-H14924</f>
        <v>710.97685736</v>
      </c>
      <c r="I14925" s="16" t="n">
        <f aca="false">I14923-I14924</f>
        <v>632.2296286944</v>
      </c>
      <c r="J14925" s="16" t="n">
        <f aca="false">J14923-J14924</f>
        <v>581.651258398848</v>
      </c>
      <c r="K14925" s="16" t="n">
        <f aca="false">K14923-K14924</f>
        <v>546.752182894917</v>
      </c>
    </row>
    <row r="14926" customFormat="false" ht="15" hidden="false" customHeight="false" outlineLevel="0" collapsed="false">
      <c r="A14926" s="3" t="s">
        <v>285</v>
      </c>
      <c r="G14926" s="25" t="n">
        <f aca="false">G14925-G14927</f>
        <v>663.05054</v>
      </c>
      <c r="H14926" s="25" t="n">
        <f aca="false">H14925-H14927</f>
        <v>583.4844752</v>
      </c>
      <c r="I14926" s="25" t="n">
        <f aca="false">I14925-I14927</f>
        <v>525.13602768</v>
      </c>
      <c r="J14926" s="25" t="n">
        <f aca="false">J14925-J14927</f>
        <v>483.1251454656</v>
      </c>
      <c r="K14926" s="25" t="n">
        <f aca="false">K14925-K14927</f>
        <v>454.137636737664</v>
      </c>
    </row>
    <row r="14927" customFormat="false" ht="15" hidden="false" customHeight="false" outlineLevel="0" collapsed="false">
      <c r="A14927" s="2" t="s">
        <v>286</v>
      </c>
      <c r="G14927" s="16" t="n">
        <f aca="false">G14923*G14921</f>
        <v>173.8532484</v>
      </c>
      <c r="H14927" s="16" t="n">
        <f aca="false">H14923*H14921</f>
        <v>127.49238216</v>
      </c>
      <c r="I14927" s="16" t="n">
        <f aca="false">I14923*I14921</f>
        <v>107.0936010144</v>
      </c>
      <c r="J14927" s="16" t="n">
        <f aca="false">J14923*J14921</f>
        <v>98.526112933248</v>
      </c>
      <c r="K14927" s="16" t="n">
        <f aca="false">K14923*K14921</f>
        <v>92.6145461572531</v>
      </c>
    </row>
    <row r="14928" customFormat="false" ht="15" hidden="false" customHeight="false" outlineLevel="0" collapsed="false">
      <c r="A14928" s="3" t="s">
        <v>287</v>
      </c>
      <c r="G14928" s="25" t="n">
        <f aca="false">G14923*'Historical Financials'!G28/'Historical Financials'!G23</f>
        <v>73.35456</v>
      </c>
      <c r="H14928" s="25" t="n">
        <f aca="false">H14923*'Historical Financials'!G28/'Historical Financials'!G23</f>
        <v>64.5520128</v>
      </c>
      <c r="I14928" s="25" t="n">
        <f aca="false">I14923*'Historical Financials'!G28/'Historical Financials'!G23</f>
        <v>58.09681152</v>
      </c>
      <c r="J14928" s="25" t="n">
        <f aca="false">J14923*'Historical Financials'!G28/'Historical Financials'!G23</f>
        <v>53.4490665984</v>
      </c>
      <c r="K14928" s="25" t="n">
        <f aca="false">K14923*'Historical Financials'!G28/'Historical Financials'!G23</f>
        <v>50.242122602496</v>
      </c>
    </row>
    <row r="14929" customFormat="false" ht="15" hidden="false" customHeight="false" outlineLevel="0" collapsed="false">
      <c r="A14929" s="3" t="s">
        <v>288</v>
      </c>
      <c r="G14929" s="25" t="n">
        <f aca="false">G14923*'Historical Financials'!G29/'Historical Financials'!G23</f>
        <v>20.94616</v>
      </c>
      <c r="H14929" s="25" t="n">
        <f aca="false">H14923*'Historical Financials'!G29/'Historical Financials'!G23</f>
        <v>18.4326208</v>
      </c>
      <c r="I14929" s="25" t="n">
        <f aca="false">I14923*'Historical Financials'!G29/'Historical Financials'!G23</f>
        <v>16.58935872</v>
      </c>
      <c r="J14929" s="25" t="n">
        <f aca="false">J14923*'Historical Financials'!G29/'Historical Financials'!G23</f>
        <v>15.2622100224</v>
      </c>
      <c r="K14929" s="25" t="n">
        <f aca="false">K14923*'Historical Financials'!G29/'Historical Financials'!G23</f>
        <v>14.346477421056</v>
      </c>
    </row>
    <row r="14930" customFormat="false" ht="15" hidden="false" customHeight="false" outlineLevel="0" collapsed="false">
      <c r="A14930" s="2" t="s">
        <v>289</v>
      </c>
      <c r="G14930" s="16" t="n">
        <f aca="false">G14927-G14928-G14929</f>
        <v>79.5525284</v>
      </c>
      <c r="H14930" s="16" t="n">
        <f aca="false">H14927-H14928-H14929</f>
        <v>44.50774856</v>
      </c>
      <c r="I14930" s="16" t="n">
        <f aca="false">I14927-I14928-I14929</f>
        <v>32.4074307744</v>
      </c>
      <c r="J14930" s="16" t="n">
        <f aca="false">J14927-J14928-J14929</f>
        <v>29.814836312448</v>
      </c>
      <c r="K14930" s="16" t="n">
        <f aca="false">K14927-K14928-K14929</f>
        <v>28.0259461337011</v>
      </c>
    </row>
    <row r="14931" customFormat="false" ht="15" hidden="false" customHeight="false" outlineLevel="0" collapsed="false">
      <c r="A14931" s="3" t="s">
        <v>290</v>
      </c>
      <c r="G14931" s="25" t="n">
        <f aca="false">G14957+G14970+G14983</f>
        <v>155.95467</v>
      </c>
      <c r="H14931" s="25" t="n">
        <f aca="false">H14957+H14970+H14983</f>
        <v>155.95467</v>
      </c>
      <c r="I14931" s="25" t="n">
        <f aca="false">I14957+I14970+I14983</f>
        <v>155.95467</v>
      </c>
      <c r="J14931" s="25" t="n">
        <f aca="false">J14957+J14970+J14983</f>
        <v>144.463861384154</v>
      </c>
      <c r="K14931" s="25" t="n">
        <f aca="false">K14957+K14970+K14983</f>
        <v>144.463861384154</v>
      </c>
    </row>
    <row r="14932" customFormat="false" ht="15" hidden="false" customHeight="false" outlineLevel="0" collapsed="false">
      <c r="A14932" s="3" t="s">
        <v>291</v>
      </c>
      <c r="G14932" s="25" t="n">
        <f aca="false">G14958+G14971+G14984</f>
        <v>0</v>
      </c>
      <c r="H14932" s="25" t="n">
        <f aca="false">H14958+H14971+H14984</f>
        <v>0</v>
      </c>
      <c r="I14932" s="25" t="n">
        <f aca="false">I14958+I14971+I14984</f>
        <v>0</v>
      </c>
      <c r="J14932" s="25" t="n">
        <f aca="false">J14958+J14971+J14984</f>
        <v>0</v>
      </c>
      <c r="K14932" s="25" t="n">
        <f aca="false">K14958+K14971+K14984</f>
        <v>0</v>
      </c>
    </row>
    <row r="14933" customFormat="false" ht="15" hidden="false" customHeight="false" outlineLevel="0" collapsed="false">
      <c r="A14933" s="3" t="s">
        <v>239</v>
      </c>
      <c r="G14933" s="25" t="n">
        <f aca="false">G14931+G14932</f>
        <v>155.95467</v>
      </c>
      <c r="H14933" s="25" t="n">
        <f aca="false">H14931+H14932</f>
        <v>155.95467</v>
      </c>
      <c r="I14933" s="25" t="n">
        <f aca="false">I14931+I14932</f>
        <v>155.95467</v>
      </c>
      <c r="J14933" s="25" t="n">
        <f aca="false">J14931+J14932</f>
        <v>144.463861384154</v>
      </c>
      <c r="K14933" s="25" t="n">
        <f aca="false">K14931+K14932</f>
        <v>144.463861384154</v>
      </c>
    </row>
    <row r="14934" customFormat="false" ht="15" hidden="false" customHeight="false" outlineLevel="0" collapsed="false">
      <c r="A14934" s="2" t="s">
        <v>264</v>
      </c>
      <c r="G14934" s="16" t="n">
        <f aca="false">G14930-G14933</f>
        <v>-76.4021416</v>
      </c>
      <c r="H14934" s="16" t="n">
        <f aca="false">H14930-H14933</f>
        <v>-111.44692144</v>
      </c>
      <c r="I14934" s="16" t="n">
        <f aca="false">I14930-I14933</f>
        <v>-123.5472392256</v>
      </c>
      <c r="J14934" s="16" t="n">
        <f aca="false">J14930-J14933</f>
        <v>-114.649025071706</v>
      </c>
      <c r="K14934" s="16" t="n">
        <f aca="false">K14930-K14933</f>
        <v>-116.437915250452</v>
      </c>
    </row>
    <row r="14935" customFormat="false" ht="15" hidden="false" customHeight="false" outlineLevel="0" collapsed="false">
      <c r="A14935" s="3" t="s">
        <v>292</v>
      </c>
      <c r="G14935" s="25" t="n">
        <f aca="false">MAX(0,G14934)*Assumptions!$C$9</f>
        <v>0</v>
      </c>
      <c r="H14935" s="25" t="n">
        <f aca="false">MAX(0,H14934)*Assumptions!$C$9</f>
        <v>0</v>
      </c>
      <c r="I14935" s="25" t="n">
        <f aca="false">MAX(0,I14934)*Assumptions!$C$9</f>
        <v>0</v>
      </c>
      <c r="J14935" s="25" t="n">
        <f aca="false">MAX(0,J14934)*Assumptions!$C$9</f>
        <v>0</v>
      </c>
      <c r="K14935" s="25" t="n">
        <f aca="false">MAX(0,K14934)*Assumptions!$C$9</f>
        <v>0</v>
      </c>
    </row>
    <row r="14936" customFormat="false" ht="15" hidden="false" customHeight="false" outlineLevel="0" collapsed="false">
      <c r="A14936" s="2" t="s">
        <v>293</v>
      </c>
      <c r="G14936" s="16" t="n">
        <f aca="false">G14934-G14935</f>
        <v>-76.4021416</v>
      </c>
      <c r="H14936" s="16" t="n">
        <f aca="false">H14934-H14935</f>
        <v>-111.44692144</v>
      </c>
      <c r="I14936" s="16" t="n">
        <f aca="false">I14934-I14935</f>
        <v>-123.5472392256</v>
      </c>
      <c r="J14936" s="16" t="n">
        <f aca="false">J14934-J14935</f>
        <v>-114.649025071706</v>
      </c>
      <c r="K14936" s="16" t="n">
        <f aca="false">K14934-K14935</f>
        <v>-116.437915250452</v>
      </c>
    </row>
    <row r="14937" customFormat="false" ht="15" hidden="false" customHeight="false" outlineLevel="0" collapsed="false">
      <c r="A14937" s="23" t="s">
        <v>294</v>
      </c>
      <c r="B14937" s="24"/>
      <c r="C14937" s="24"/>
      <c r="D14937" s="24"/>
      <c r="E14937" s="24"/>
      <c r="F14937" s="24"/>
      <c r="G14937" s="24"/>
      <c r="H14937" s="24"/>
      <c r="I14937" s="24"/>
      <c r="J14937" s="24"/>
      <c r="K14937" s="24"/>
    </row>
    <row r="14938" customFormat="false" ht="15" hidden="false" customHeight="false" outlineLevel="0" collapsed="false">
      <c r="A14938" s="3" t="s">
        <v>169</v>
      </c>
      <c r="G14938" s="25" t="n">
        <f aca="false">G14923*CHOOSE($C$14910,Assumptions!$C$75,Assumptions!$C$94,Assumptions!$C$113)</f>
        <v>21.24873036</v>
      </c>
      <c r="H14938" s="25" t="n">
        <f aca="false">H14923*CHOOSE($C$14910,Assumptions!$C$75,Assumptions!$C$94,Assumptions!$C$113)</f>
        <v>18.6988827168</v>
      </c>
      <c r="I14938" s="25" t="n">
        <f aca="false">I14923*CHOOSE($C$14910,Assumptions!$C$75,Assumptions!$C$94,Assumptions!$C$113)</f>
        <v>16.82899444512</v>
      </c>
      <c r="J14938" s="25" t="n">
        <f aca="false">J14923*CHOOSE($C$14910,Assumptions!$C$75,Assumptions!$C$94,Assumptions!$C$113)</f>
        <v>15.4826748895104</v>
      </c>
      <c r="K14938" s="25" t="n">
        <f aca="false">K14923*CHOOSE($C$14910,Assumptions!$C$75,Assumptions!$C$94,Assumptions!$C$113)</f>
        <v>14.5537143961398</v>
      </c>
    </row>
    <row r="14939" customFormat="false" ht="15" hidden="false" customHeight="false" outlineLevel="0" collapsed="false">
      <c r="A14939" s="3" t="s">
        <v>295</v>
      </c>
      <c r="G14939" s="25" t="n">
        <f aca="false">CHOOSE($C$14910,Assumptions!$C$76,Assumptions!$C$95,Assumptions!$C$114)*(G14923-F14923)+CHOOSE($C$14910,Assumptions!$C$77,Assumptions!$C$96,Assumptions!$C$115)*G14923</f>
        <v>28.9755414</v>
      </c>
      <c r="H14939" s="25" t="n">
        <f aca="false">CHOOSE($C$14910,Assumptions!$C$76,Assumptions!$C$95,Assumptions!$C$114)*(H14923-G14923)+CHOOSE($C$14910,Assumptions!$C$77,Assumptions!$C$96,Assumptions!$C$115)*H14923</f>
        <v>25.498476432</v>
      </c>
      <c r="I14939" s="25" t="n">
        <f aca="false">CHOOSE($C$14910,Assumptions!$C$76,Assumptions!$C$95,Assumptions!$C$114)*(I14923-H14923)+CHOOSE($C$14910,Assumptions!$C$77,Assumptions!$C$96,Assumptions!$C$115)*I14923</f>
        <v>22.9486287888</v>
      </c>
      <c r="J14939" s="25" t="n">
        <f aca="false">CHOOSE($C$14910,Assumptions!$C$76,Assumptions!$C$95,Assumptions!$C$114)*(J14923-I14923)+CHOOSE($C$14910,Assumptions!$C$77,Assumptions!$C$96,Assumptions!$C$115)*J14923</f>
        <v>21.112738485696</v>
      </c>
      <c r="K14939" s="25" t="n">
        <f aca="false">CHOOSE($C$14910,Assumptions!$C$76,Assumptions!$C$95,Assumptions!$C$114)*(K14923-J14923)+CHOOSE($C$14910,Assumptions!$C$77,Assumptions!$C$96,Assumptions!$C$115)*K14923</f>
        <v>19.8459741765542</v>
      </c>
    </row>
    <row r="14940" customFormat="false" ht="15" hidden="false" customHeight="false" outlineLevel="0" collapsed="false">
      <c r="A14940" s="2" t="s">
        <v>296</v>
      </c>
      <c r="G14940" s="16" t="n">
        <f aca="false">G14936+G14928+G14929+G14932-G14938-G14939</f>
        <v>-32.32569336</v>
      </c>
      <c r="H14940" s="16" t="n">
        <f aca="false">H14936+H14928+H14929+H14932-H14938-H14939</f>
        <v>-72.6596469888</v>
      </c>
      <c r="I14940" s="16" t="n">
        <f aca="false">I14936+I14928+I14929+I14932-I14938-I14939</f>
        <v>-88.63869221952</v>
      </c>
      <c r="J14940" s="16" t="n">
        <f aca="false">J14936+J14928+J14929+J14932-J14938-J14939</f>
        <v>-82.533161826112</v>
      </c>
      <c r="K14940" s="16" t="n">
        <f aca="false">K14936+K14928+K14929+K14932-K14938-K14939</f>
        <v>-86.2490037995945</v>
      </c>
    </row>
    <row r="14942" customFormat="false" ht="15" hidden="false" customHeight="false" outlineLevel="0" collapsed="false">
      <c r="A14942" s="23" t="s">
        <v>298</v>
      </c>
      <c r="B14942" s="24"/>
      <c r="C14942" s="24"/>
      <c r="D14942" s="24"/>
      <c r="E14942" s="24"/>
      <c r="F14942" s="24"/>
      <c r="G14942" s="24"/>
      <c r="H14942" s="24"/>
      <c r="I14942" s="24"/>
      <c r="J14942" s="24"/>
      <c r="K14942" s="24"/>
    </row>
    <row r="14943" customFormat="false" ht="15" hidden="false" customHeight="false" outlineLevel="0" collapsed="false">
      <c r="A14943" s="3" t="s">
        <v>299</v>
      </c>
      <c r="G14943" s="30" t="n">
        <f aca="false">Assumptions!$G$52</f>
        <v>0.039</v>
      </c>
      <c r="H14943" s="30" t="n">
        <f aca="false">Assumptions!$H$52</f>
        <v>0.0375</v>
      </c>
      <c r="I14943" s="30" t="n">
        <f aca="false">Assumptions!$I$52</f>
        <v>0.035</v>
      </c>
      <c r="J14943" s="30" t="n">
        <f aca="false">Assumptions!$J$52</f>
        <v>0.035</v>
      </c>
      <c r="K14943" s="30" t="n">
        <f aca="false">Assumptions!$K$52</f>
        <v>0.035</v>
      </c>
    </row>
    <row r="14944" customFormat="false" ht="15" hidden="false" customHeight="false" outlineLevel="0" collapsed="false">
      <c r="A14944" s="3" t="s">
        <v>300</v>
      </c>
      <c r="C14944" s="31" t="n">
        <f aca="false">CHOOSE($C$14910,Assumptions!$C$78,Assumptions!$C$97,Assumptions!$C$116)+$C$14913</f>
        <v>0.04</v>
      </c>
    </row>
    <row r="14945" customFormat="false" ht="15" hidden="false" customHeight="false" outlineLevel="0" collapsed="false">
      <c r="A14945" s="3" t="s">
        <v>301</v>
      </c>
      <c r="C14945" s="31" t="n">
        <f aca="false">CHOOSE($C$14910,Assumptions!$C$79,Assumptions!$C$98,Assumptions!$C$117)</f>
        <v>0.15</v>
      </c>
    </row>
    <row r="14946" customFormat="false" ht="15" hidden="false" customHeight="false" outlineLevel="0" collapsed="false">
      <c r="A14946" s="3" t="s">
        <v>302</v>
      </c>
      <c r="C14946" s="32" t="n">
        <f aca="false">CHOOSE($C$14910,Assumptions!$C$80,Assumptions!$C$99,Assumptions!$C$118)</f>
        <v>5</v>
      </c>
    </row>
    <row r="14947" customFormat="false" ht="15" hidden="false" customHeight="false" outlineLevel="0" collapsed="false">
      <c r="A14947" s="3" t="s">
        <v>303</v>
      </c>
      <c r="C14947" s="32" t="n">
        <f aca="false">CHOOSE($C$14910,Assumptions!$C$81,Assumptions!$C$100,Assumptions!$C$119)</f>
        <v>1.75</v>
      </c>
    </row>
    <row r="14948" customFormat="false" ht="15" hidden="false" customHeight="false" outlineLevel="0" collapsed="false">
      <c r="A14948" s="3" t="s">
        <v>304</v>
      </c>
      <c r="G14948" s="25" t="n">
        <f aca="false">G14953+G14966+G14979</f>
        <v>1735.554</v>
      </c>
      <c r="H14948" s="25" t="n">
        <f aca="false">H14953+H14966+H14979</f>
        <v>1735.554</v>
      </c>
      <c r="I14948" s="25" t="n">
        <f aca="false">I14953+I14966+I14979</f>
        <v>1735.554</v>
      </c>
      <c r="J14948" s="25" t="n">
        <f aca="false">J14953+J14966+J14979</f>
        <v>1465.18203256832</v>
      </c>
      <c r="K14948" s="25" t="n">
        <f aca="false">K14953+K14966+K14979</f>
        <v>1465.18203256832</v>
      </c>
    </row>
    <row r="14949" customFormat="false" ht="15" hidden="false" customHeight="false" outlineLevel="0" collapsed="false">
      <c r="A14949" s="3" t="s">
        <v>305</v>
      </c>
      <c r="G14949" s="25" t="n">
        <f aca="false">F15022</f>
        <v>463.996</v>
      </c>
      <c r="H14949" s="25" t="n">
        <f aca="false">G15022</f>
        <v>431.67030664</v>
      </c>
      <c r="I14949" s="25" t="n">
        <f aca="false">H15022</f>
        <v>359.0106596512</v>
      </c>
      <c r="J14949" s="25" t="n">
        <f aca="false">I15022</f>
        <v>0</v>
      </c>
      <c r="K14949" s="25" t="n">
        <f aca="false">J15022</f>
        <v>-82.533161826112</v>
      </c>
    </row>
    <row r="14950" customFormat="false" ht="15" hidden="false" customHeight="false" outlineLevel="0" collapsed="false">
      <c r="A14950" s="3" t="s">
        <v>306</v>
      </c>
      <c r="G14950" s="25" t="n">
        <f aca="false">G14953*IF(G14954=1,$C$14945,IF(Assumptions!$I$56=1,MAX(G14943,Assumptions!$G$56)+Assumptions!$F$56+$C$14944,Assumptions!$E$56))+G14966*IF(G14967=1,$C$14945,IF(Assumptions!$I$57=1,MAX(G14943,Assumptions!$G$57)+Assumptions!$F$57+$C$14944,Assumptions!$E$57))+G14979*IF(G14980=1,$C$14945,IF(Assumptions!$I$58=1,MAX(G14943,Assumptions!$G$58)+Assumptions!$F$58+$C$14944,Assumptions!$E$58))</f>
        <v>155.95467</v>
      </c>
      <c r="H14950" s="25" t="n">
        <f aca="false">H14953*IF(OR(H14954=1,G15100=1),$C$14945,IF(Assumptions!$I$56=1,MAX(H14943,Assumptions!$G$56)+Assumptions!$F$56+$C$14944,Assumptions!$E$56))+H14966*IF(OR(H14967=1,G15101=1),$C$14945,IF(Assumptions!$I$57=1,MAX(H14943,Assumptions!$G$57)+Assumptions!$F$57+$C$14944,Assumptions!$E$57))+H14979*IF(OR(H14980=1,G15102=1),$C$14945,IF(Assumptions!$I$58=1,MAX(H14943,Assumptions!$G$58)+Assumptions!$F$58+$C$14944,Assumptions!$E$58))</f>
        <v>155.95467</v>
      </c>
      <c r="I14950" s="25" t="n">
        <f aca="false">I14953*IF(OR(I14954=1,H15100=1),$C$14945,IF(Assumptions!$I$56=1,MAX(I14943,Assumptions!$G$56)+Assumptions!$F$56+$C$14944,Assumptions!$E$56))+I14966*IF(OR(I14967=1,H15101=1),$C$14945,IF(Assumptions!$I$57=1,MAX(I14943,Assumptions!$G$57)+Assumptions!$F$57+$C$14944,Assumptions!$E$57))+I14979*IF(OR(I14980=1,H15102=1),$C$14945,IF(Assumptions!$I$58=1,MAX(I14943,Assumptions!$G$58)+Assumptions!$F$58+$C$14944,Assumptions!$E$58))</f>
        <v>201.15369</v>
      </c>
      <c r="J14950" s="25" t="n">
        <f aca="false">J14953*IF(OR(J14954=1,I15100=1),$C$14945,IF(Assumptions!$I$56=1,MAX(J14943,Assumptions!$G$56)+Assumptions!$F$56+$C$14944,Assumptions!$E$56))+J14966*IF(OR(J14967=1,I15101=1),$C$14945,IF(Assumptions!$I$57=1,MAX(J14943,Assumptions!$G$57)+Assumptions!$F$57+$C$14944,Assumptions!$E$57))+J14979*IF(OR(J14980=1,I15102=1),$C$14945,IF(Assumptions!$I$58=1,MAX(J14943,Assumptions!$G$58)+Assumptions!$F$58+$C$14944,Assumptions!$E$58))</f>
        <v>144.463861384154</v>
      </c>
      <c r="K14950" s="25" t="n">
        <f aca="false">K14953*IF(OR(K14954=1,J15100=1),$C$14945,IF(Assumptions!$I$56=1,MAX(K14943,Assumptions!$G$56)+Assumptions!$F$56+$C$14944,Assumptions!$E$56))+K14966*IF(OR(K14967=1,J15101=1),$C$14945,IF(Assumptions!$I$57=1,MAX(K14943,Assumptions!$G$57)+Assumptions!$F$57+$C$14944,Assumptions!$E$57))+K14979*IF(OR(K14980=1,J15102=1),$C$14945,IF(Assumptions!$I$58=1,MAX(K14943,Assumptions!$G$58)+Assumptions!$F$58+$C$14944,Assumptions!$E$58))</f>
        <v>144.463861384154</v>
      </c>
    </row>
    <row r="14951" customFormat="false" ht="15" hidden="false" customHeight="false" outlineLevel="0" collapsed="false">
      <c r="A14951" s="3" t="s">
        <v>307</v>
      </c>
      <c r="G14951" s="20" t="n">
        <f aca="false">IF(G14927&lt;=0,0,IF(AND((G14948-G14949)/G14927&lt;=$C$14946,G14927/G14950&gt;=$C$14947),1,0))</f>
        <v>0</v>
      </c>
      <c r="H14951" s="20" t="n">
        <f aca="false">IF(H14927&lt;=0,0,IF(AND((H14948-H14949)/H14927&lt;=$C$14946,H14927/H14950&gt;=$C$14947),1,0))</f>
        <v>0</v>
      </c>
      <c r="I14951" s="20" t="n">
        <f aca="false">IF(I14927&lt;=0,0,IF(AND((I14948-I14949)/I14927&lt;=$C$14946,I14927/I14950&gt;=$C$14947),1,0))</f>
        <v>0</v>
      </c>
      <c r="J14951" s="20" t="n">
        <f aca="false">IF(J14927&lt;=0,0,IF(AND((J14948-J14949)/J14927&lt;=$C$14946,J14927/J14950&gt;=$C$14947),1,0))</f>
        <v>0</v>
      </c>
      <c r="K14951" s="20" t="n">
        <f aca="false">IF(K14927&lt;=0,0,IF(AND((K14948-K14949)/K14927&lt;=$C$14946,K14927/K14950&gt;=$C$14947),1,0))</f>
        <v>0</v>
      </c>
    </row>
    <row r="14952" customFormat="false" ht="15" hidden="false" customHeight="false" outlineLevel="0" collapsed="false">
      <c r="A14952" s="23" t="s">
        <v>308</v>
      </c>
      <c r="B14952" s="24"/>
      <c r="C14952" s="24"/>
      <c r="D14952" s="24"/>
      <c r="E14952" s="24"/>
      <c r="F14952" s="24"/>
      <c r="G14952" s="24"/>
      <c r="H14952" s="24"/>
      <c r="I14952" s="24"/>
      <c r="J14952" s="24"/>
      <c r="K14952" s="24"/>
    </row>
    <row r="14953" customFormat="false" ht="15" hidden="false" customHeight="false" outlineLevel="0" collapsed="false">
      <c r="A14953" s="3" t="s">
        <v>309</v>
      </c>
      <c r="G14953" s="25" t="n">
        <f aca="false">F14964</f>
        <v>1315.098</v>
      </c>
      <c r="H14953" s="25" t="n">
        <f aca="false">G14964</f>
        <v>1315.098</v>
      </c>
      <c r="I14953" s="25" t="n">
        <f aca="false">H14964</f>
        <v>1315.098</v>
      </c>
      <c r="J14953" s="25" t="n">
        <f aca="false">I14964</f>
        <v>1315.098</v>
      </c>
      <c r="K14953" s="25" t="n">
        <f aca="false">J14964</f>
        <v>1315.098</v>
      </c>
    </row>
    <row r="14954" customFormat="false" ht="15" hidden="false" customHeight="false" outlineLevel="0" collapsed="false">
      <c r="A14954" s="3" t="s">
        <v>310</v>
      </c>
      <c r="G14954" s="20" t="n">
        <f aca="false">IF(G14917=Assumptions!$K$56,1,0)</f>
        <v>0</v>
      </c>
      <c r="H14954" s="20" t="n">
        <f aca="false">IF(H14917=Assumptions!$K$56,1,0)</f>
        <v>0</v>
      </c>
      <c r="I14954" s="20" t="n">
        <f aca="false">IF(I14917=Assumptions!$K$56,1,0)</f>
        <v>0</v>
      </c>
      <c r="J14954" s="20" t="n">
        <f aca="false">IF(J14917=Assumptions!$K$56,1,0)</f>
        <v>0</v>
      </c>
      <c r="K14954" s="20" t="n">
        <f aca="false">IF(K14917=Assumptions!$K$56,1,0)</f>
        <v>0</v>
      </c>
    </row>
    <row r="14956" customFormat="false" ht="15" hidden="false" customHeight="false" outlineLevel="0" collapsed="false">
      <c r="A14956" s="3" t="s">
        <v>311</v>
      </c>
      <c r="G14956" s="31" t="n">
        <f aca="false">IF(Assumptions!$I$56=1,MAX(G14943,Assumptions!$G$56)+Assumptions!$F$56+$C$14944,Assumptions!$E$56)</f>
        <v>0.105</v>
      </c>
      <c r="H14956" s="31" t="n">
        <f aca="false">IF(G15100=1,$C$14945,IF(Assumptions!$I$56=1,MAX(H14943,Assumptions!$G$56)+Assumptions!$F$56+$C$14944,Assumptions!$E$56))</f>
        <v>0.105</v>
      </c>
      <c r="I14956" s="31" t="n">
        <f aca="false">IF(H15100=1,$C$14945,IF(Assumptions!$I$56=1,MAX(I14943,Assumptions!$G$56)+Assumptions!$F$56+$C$14944,Assumptions!$E$56))</f>
        <v>0.105</v>
      </c>
      <c r="J14956" s="31" t="n">
        <f aca="false">IF(I15100=1,$C$14945,IF(Assumptions!$I$56=1,MAX(J14943,Assumptions!$G$56)+Assumptions!$F$56+$C$14944,Assumptions!$E$56))</f>
        <v>0.105</v>
      </c>
      <c r="K14956" s="31" t="n">
        <f aca="false">IF(J15100=1,$C$14945,IF(Assumptions!$I$56=1,MAX(K14943,Assumptions!$G$56)+Assumptions!$F$56+$C$14944,Assumptions!$E$56))</f>
        <v>0.105</v>
      </c>
    </row>
    <row r="14957" customFormat="false" ht="15" hidden="false" customHeight="false" outlineLevel="0" collapsed="false">
      <c r="A14957" s="3" t="s">
        <v>312</v>
      </c>
      <c r="G14957" s="25" t="n">
        <f aca="false">G14953*G14956</f>
        <v>138.08529</v>
      </c>
      <c r="H14957" s="25" t="n">
        <f aca="false">H14953*H14956</f>
        <v>138.08529</v>
      </c>
      <c r="I14957" s="25" t="n">
        <f aca="false">I14953*I14956</f>
        <v>138.08529</v>
      </c>
      <c r="J14957" s="25" t="n">
        <f aca="false">J14953*J14956</f>
        <v>138.08529</v>
      </c>
      <c r="K14957" s="25" t="n">
        <f aca="false">K14953*K14956</f>
        <v>138.08529</v>
      </c>
    </row>
    <row r="14958" customFormat="false" ht="15" hidden="false" customHeight="false" outlineLevel="0" collapsed="false">
      <c r="A14958" s="3" t="s">
        <v>313</v>
      </c>
      <c r="G14958" s="25" t="n">
        <f aca="false">G14953*Assumptions!$H$56</f>
        <v>0</v>
      </c>
      <c r="H14958" s="25" t="n">
        <f aca="false">H14953*Assumptions!$H$56</f>
        <v>0</v>
      </c>
      <c r="I14958" s="25" t="n">
        <f aca="false">I14953*Assumptions!$H$56</f>
        <v>0</v>
      </c>
      <c r="J14958" s="25" t="n">
        <f aca="false">J14953*Assumptions!$H$56</f>
        <v>0</v>
      </c>
      <c r="K14958" s="25" t="n">
        <f aca="false">K14953*Assumptions!$H$56</f>
        <v>0</v>
      </c>
    </row>
    <row r="14959" customFormat="false" ht="15" hidden="false" customHeight="false" outlineLevel="0" collapsed="false">
      <c r="A14959" s="3" t="s">
        <v>314</v>
      </c>
      <c r="G14959" s="25" t="n">
        <f aca="false">MIN(G14953,Assumptions!$L$56*Assumptions!$C$56)</f>
        <v>0</v>
      </c>
      <c r="H14959" s="25" t="n">
        <f aca="false">MIN(H14953,Assumptions!$L$56*Assumptions!$C$56)</f>
        <v>0</v>
      </c>
      <c r="I14959" s="25" t="n">
        <f aca="false">MIN(I14953,Assumptions!$L$56*Assumptions!$C$56)</f>
        <v>0</v>
      </c>
      <c r="J14959" s="25" t="n">
        <f aca="false">MIN(J14953,Assumptions!$L$56*Assumptions!$C$56)</f>
        <v>0</v>
      </c>
      <c r="K14959" s="25" t="n">
        <f aca="false">MIN(K14953,Assumptions!$L$56*Assumptions!$C$56)</f>
        <v>0</v>
      </c>
    </row>
    <row r="14960" customFormat="false" ht="15" hidden="false" customHeight="false" outlineLevel="0" collapsed="false">
      <c r="A14960" s="3" t="s">
        <v>315</v>
      </c>
      <c r="G14960" s="25" t="n">
        <f aca="false">IF(AND(Assumptions!$P$56=1,G14917&lt;Assumptions!$K$56),MIN(MAX(0,-G15014),MAX(0,Assumptions!$D$56-G14953)),0)</f>
        <v>0</v>
      </c>
      <c r="H14960" s="25" t="n">
        <f aca="false">IF(AND(Assumptions!$P$56=1,OR(H14917&lt;Assumptions!$K$56,G15100=1)),MIN(MAX(0,-H15014),MAX(0,Assumptions!$D$56-H14953)),0)</f>
        <v>0</v>
      </c>
      <c r="I14960" s="25" t="n">
        <f aca="false">IF(AND(Assumptions!$P$56=1,OR(I14917&lt;Assumptions!$K$56,H15100=1)),MIN(MAX(0,-I15014),MAX(0,Assumptions!$D$56-I14953)),0)</f>
        <v>0</v>
      </c>
      <c r="J14960" s="25" t="n">
        <f aca="false">IF(AND(Assumptions!$P$56=1,OR(J14917&lt;Assumptions!$K$56,I15100=1)),MIN(MAX(0,-J15014),MAX(0,Assumptions!$D$56-J14953)),0)</f>
        <v>0</v>
      </c>
      <c r="K14960" s="25" t="n">
        <f aca="false">IF(AND(Assumptions!$P$56=1,OR(K14917&lt;Assumptions!$K$56,J15100=1)),MIN(MAX(0,-K15014),MAX(0,Assumptions!$D$56-K14953)),0)</f>
        <v>0</v>
      </c>
    </row>
    <row r="14961" customFormat="false" ht="15" hidden="false" customHeight="false" outlineLevel="0" collapsed="false">
      <c r="A14961" s="3" t="s">
        <v>316</v>
      </c>
      <c r="G14961" s="25" t="n">
        <f aca="false">G14954*MIN(G14953-G14959+G14958,MAX(0,G15016-Assumptions!$C$12*G14951))</f>
        <v>0</v>
      </c>
      <c r="H14961" s="25" t="n">
        <f aca="false">H14954*MIN(H14953-H14959+H14958,MAX(0,H15016-Assumptions!$C$12*H14951))</f>
        <v>0</v>
      </c>
      <c r="I14961" s="25" t="n">
        <f aca="false">I14954*MIN(I14953-I14959+I14958,MAX(0,I15016-Assumptions!$C$12*I14951))</f>
        <v>0</v>
      </c>
      <c r="J14961" s="25" t="n">
        <f aca="false">J14954*MIN(J14953-J14959+J14958,MAX(0,J15016-Assumptions!$C$12*J14951))</f>
        <v>0</v>
      </c>
      <c r="K14961" s="25" t="n">
        <f aca="false">K14954*MIN(K14953-K14959+K14958,MAX(0,K15016-Assumptions!$C$12*K14951))</f>
        <v>0</v>
      </c>
    </row>
    <row r="14962" customFormat="false" ht="15" hidden="false" customHeight="false" outlineLevel="0" collapsed="false">
      <c r="A14962" s="3" t="s">
        <v>317</v>
      </c>
      <c r="G14962" s="25" t="n">
        <f aca="false">Assumptions!$N$56*MIN(G14953+G14960+G14958-G14959-G14961,MAX(0,G15020))</f>
        <v>0</v>
      </c>
      <c r="H14962" s="25" t="n">
        <f aca="false">Assumptions!$N$56*MIN(H14953+H14960+H14958-H14959-H14961,MAX(0,H15020))</f>
        <v>0</v>
      </c>
      <c r="I14962" s="25" t="n">
        <f aca="false">Assumptions!$N$56*MIN(I14953+I14960+I14958-I14959-I14961,MAX(0,I15020))</f>
        <v>0</v>
      </c>
      <c r="J14962" s="25" t="n">
        <f aca="false">Assumptions!$N$56*MIN(J14953+J14960+J14958-J14959-J14961,MAX(0,J15020))</f>
        <v>0</v>
      </c>
      <c r="K14962" s="25" t="n">
        <f aca="false">Assumptions!$N$56*MIN(K14953+K14960+K14958-K14959-K14961,MAX(0,K15020))</f>
        <v>0</v>
      </c>
    </row>
    <row r="14963" customFormat="false" ht="15" hidden="false" customHeight="false" outlineLevel="0" collapsed="false">
      <c r="A14963" s="3" t="s">
        <v>318</v>
      </c>
      <c r="G14963" s="25" t="n">
        <f aca="false">G14954*(1-G14951)*(G14953-G14959+G14958-G14961)</f>
        <v>0</v>
      </c>
      <c r="H14963" s="25" t="n">
        <f aca="false">H14954*(1-H14951)*(H14953-H14959+H14958-H14961)</f>
        <v>0</v>
      </c>
      <c r="I14963" s="25" t="n">
        <f aca="false">I14954*(1-I14951)*(I14953-I14959+I14958-I14961)</f>
        <v>0</v>
      </c>
      <c r="J14963" s="25" t="n">
        <f aca="false">J14954*(1-J14951)*(J14953-J14959+J14958-J14961)</f>
        <v>0</v>
      </c>
      <c r="K14963" s="25" t="n">
        <f aca="false">K14954*(1-K14951)*(K14953-K14959+K14958-K14961)</f>
        <v>0</v>
      </c>
    </row>
    <row r="14964" customFormat="false" ht="15" hidden="false" customHeight="false" outlineLevel="0" collapsed="false">
      <c r="A14964" s="2" t="s">
        <v>319</v>
      </c>
      <c r="F14964" s="28" t="n">
        <f aca="false">Assumptions!$C$56</f>
        <v>1315.098</v>
      </c>
      <c r="G14964" s="16" t="n">
        <f aca="false">G14953+G14960+G14958-G14959-G14961-G14962</f>
        <v>1315.098</v>
      </c>
      <c r="H14964" s="16" t="n">
        <f aca="false">H14953+H14960+H14958-H14959-H14961-H14962</f>
        <v>1315.098</v>
      </c>
      <c r="I14964" s="16" t="n">
        <f aca="false">I14953+I14960+I14958-I14959-I14961-I14962</f>
        <v>1315.098</v>
      </c>
      <c r="J14964" s="16" t="n">
        <f aca="false">J14953+J14960+J14958-J14959-J14961-J14962</f>
        <v>1315.098</v>
      </c>
      <c r="K14964" s="16" t="n">
        <f aca="false">K14953+K14960+K14958-K14959-K14961-K14962</f>
        <v>1315.098</v>
      </c>
    </row>
    <row r="14965" customFormat="false" ht="15" hidden="false" customHeight="false" outlineLevel="0" collapsed="false">
      <c r="A14965" s="23" t="s">
        <v>320</v>
      </c>
      <c r="B14965" s="24"/>
      <c r="C14965" s="24"/>
      <c r="D14965" s="24"/>
      <c r="E14965" s="24"/>
      <c r="F14965" s="24"/>
      <c r="G14965" s="24"/>
      <c r="H14965" s="24"/>
      <c r="I14965" s="24"/>
      <c r="J14965" s="24"/>
      <c r="K14965" s="24"/>
    </row>
    <row r="14966" customFormat="false" ht="15" hidden="false" customHeight="false" outlineLevel="0" collapsed="false">
      <c r="A14966" s="3" t="s">
        <v>309</v>
      </c>
      <c r="G14966" s="25" t="n">
        <f aca="false">F14977</f>
        <v>276.706</v>
      </c>
      <c r="H14966" s="25" t="n">
        <f aca="false">G14977</f>
        <v>276.706</v>
      </c>
      <c r="I14966" s="25" t="n">
        <f aca="false">H14977</f>
        <v>276.706</v>
      </c>
      <c r="J14966" s="25" t="n">
        <f aca="false">I14977</f>
        <v>6.33403256832008</v>
      </c>
      <c r="K14966" s="25" t="n">
        <f aca="false">J14977</f>
        <v>6.33403256832008</v>
      </c>
    </row>
    <row r="14967" customFormat="false" ht="15" hidden="false" customHeight="false" outlineLevel="0" collapsed="false">
      <c r="A14967" s="3" t="s">
        <v>310</v>
      </c>
      <c r="G14967" s="20" t="n">
        <f aca="false">IF(G14917=Assumptions!$K$57,1,0)</f>
        <v>0</v>
      </c>
      <c r="H14967" s="20" t="n">
        <f aca="false">IF(H14917=Assumptions!$K$57,1,0)</f>
        <v>0</v>
      </c>
      <c r="I14967" s="20" t="n">
        <f aca="false">IF(I14917=Assumptions!$K$57,1,0)</f>
        <v>1</v>
      </c>
      <c r="J14967" s="20" t="n">
        <f aca="false">IF(J14917=Assumptions!$K$57,1,0)</f>
        <v>0</v>
      </c>
      <c r="K14967" s="20" t="n">
        <f aca="false">IF(K14917=Assumptions!$K$57,1,0)</f>
        <v>0</v>
      </c>
    </row>
    <row r="14969" customFormat="false" ht="15" hidden="false" customHeight="false" outlineLevel="0" collapsed="false">
      <c r="A14969" s="3" t="s">
        <v>311</v>
      </c>
      <c r="G14969" s="31" t="n">
        <f aca="false">IF(Assumptions!$I$57=1,MAX(G14943,Assumptions!$G$57)+Assumptions!$F$57+$C$14944,Assumptions!$E$57)</f>
        <v>0.0425</v>
      </c>
      <c r="H14969" s="31" t="n">
        <f aca="false">IF(G15101=1,$C$14945,IF(Assumptions!$I$57=1,MAX(H14943,Assumptions!$G$57)+Assumptions!$F$57+$C$14944,Assumptions!$E$57))</f>
        <v>0.0425</v>
      </c>
      <c r="I14969" s="31" t="n">
        <f aca="false">IF(H15101=1,$C$14945,IF(Assumptions!$I$57=1,MAX(I14943,Assumptions!$G$57)+Assumptions!$F$57+$C$14944,Assumptions!$E$57))</f>
        <v>0.0425</v>
      </c>
      <c r="J14969" s="31" t="n">
        <f aca="false">IF(I15101=1,$C$14945,IF(Assumptions!$I$57=1,MAX(J14943,Assumptions!$G$57)+Assumptions!$F$57+$C$14944,Assumptions!$E$57))</f>
        <v>0.0425</v>
      </c>
      <c r="K14969" s="31" t="n">
        <f aca="false">IF(J15101=1,$C$14945,IF(Assumptions!$I$57=1,MAX(K14943,Assumptions!$G$57)+Assumptions!$F$57+$C$14944,Assumptions!$E$57))</f>
        <v>0.0425</v>
      </c>
    </row>
    <row r="14970" customFormat="false" ht="15" hidden="false" customHeight="false" outlineLevel="0" collapsed="false">
      <c r="A14970" s="3" t="s">
        <v>312</v>
      </c>
      <c r="G14970" s="25" t="n">
        <f aca="false">G14966*G14969</f>
        <v>11.760005</v>
      </c>
      <c r="H14970" s="25" t="n">
        <f aca="false">H14966*H14969</f>
        <v>11.760005</v>
      </c>
      <c r="I14970" s="25" t="n">
        <f aca="false">I14966*I14969</f>
        <v>11.760005</v>
      </c>
      <c r="J14970" s="25" t="n">
        <f aca="false">J14966*J14969</f>
        <v>0.269196384153604</v>
      </c>
      <c r="K14970" s="25" t="n">
        <f aca="false">K14966*K14969</f>
        <v>0.269196384153604</v>
      </c>
    </row>
    <row r="14971" customFormat="false" ht="15" hidden="false" customHeight="false" outlineLevel="0" collapsed="false">
      <c r="A14971" s="3" t="s">
        <v>313</v>
      </c>
      <c r="G14971" s="25" t="n">
        <f aca="false">G14966*Assumptions!$H$57</f>
        <v>0</v>
      </c>
      <c r="H14971" s="25" t="n">
        <f aca="false">H14966*Assumptions!$H$57</f>
        <v>0</v>
      </c>
      <c r="I14971" s="25" t="n">
        <f aca="false">I14966*Assumptions!$H$57</f>
        <v>0</v>
      </c>
      <c r="J14971" s="25" t="n">
        <f aca="false">J14966*Assumptions!$H$57</f>
        <v>0</v>
      </c>
      <c r="K14971" s="25" t="n">
        <f aca="false">K14966*Assumptions!$H$57</f>
        <v>0</v>
      </c>
    </row>
    <row r="14972" customFormat="false" ht="15" hidden="false" customHeight="false" outlineLevel="0" collapsed="false">
      <c r="A14972" s="3" t="s">
        <v>314</v>
      </c>
      <c r="G14972" s="25" t="n">
        <f aca="false">MIN(G14966,Assumptions!$L$57*Assumptions!$C$57)</f>
        <v>0</v>
      </c>
      <c r="H14972" s="25" t="n">
        <f aca="false">MIN(H14966,Assumptions!$L$57*Assumptions!$C$57)</f>
        <v>0</v>
      </c>
      <c r="I14972" s="25" t="n">
        <f aca="false">MIN(I14966,Assumptions!$L$57*Assumptions!$C$57)</f>
        <v>0</v>
      </c>
      <c r="J14972" s="25" t="n">
        <f aca="false">MIN(J14966,Assumptions!$L$57*Assumptions!$C$57)</f>
        <v>0</v>
      </c>
      <c r="K14972" s="25" t="n">
        <f aca="false">MIN(K14966,Assumptions!$L$57*Assumptions!$C$57)</f>
        <v>0</v>
      </c>
    </row>
    <row r="14973" customFormat="false" ht="15" hidden="false" customHeight="false" outlineLevel="0" collapsed="false">
      <c r="A14973" s="3" t="s">
        <v>315</v>
      </c>
      <c r="G14973" s="25" t="n">
        <f aca="false">IF(AND(Assumptions!$P$57=1,G14917&lt;Assumptions!$K$57),MIN(MAX(0,-G15014),MAX(0,Assumptions!$D$57-G14966)),0)</f>
        <v>0</v>
      </c>
      <c r="H14973" s="25" t="n">
        <f aca="false">IF(AND(Assumptions!$P$57=1,OR(H14917&lt;Assumptions!$K$57,G15101=1)),MIN(MAX(0,-H15014),MAX(0,Assumptions!$D$57-H14966)),0)</f>
        <v>0</v>
      </c>
      <c r="I14973" s="25" t="n">
        <f aca="false">IF(AND(Assumptions!$P$57=1,OR(I14917&lt;Assumptions!$K$57,H15101=1)),MIN(MAX(0,-I15014),MAX(0,Assumptions!$D$57-I14966)),0)</f>
        <v>0</v>
      </c>
      <c r="J14973" s="25" t="n">
        <f aca="false">IF(AND(Assumptions!$P$57=1,OR(J14917&lt;Assumptions!$K$57,I15101=1)),MIN(MAX(0,-J15014),MAX(0,Assumptions!$D$57-J14966)),0)</f>
        <v>0</v>
      </c>
      <c r="K14973" s="25" t="n">
        <f aca="false">IF(AND(Assumptions!$P$57=1,OR(K14917&lt;Assumptions!$K$57,J15101=1)),MIN(MAX(0,-K15014),MAX(0,Assumptions!$D$57-K14966)),0)</f>
        <v>0</v>
      </c>
    </row>
    <row r="14974" customFormat="false" ht="15" hidden="false" customHeight="false" outlineLevel="0" collapsed="false">
      <c r="A14974" s="3" t="s">
        <v>316</v>
      </c>
      <c r="G14974" s="25" t="n">
        <f aca="false">G14967*MIN(G14966-G14972+G14971,MAX(0,G15016-Assumptions!$C$12*G14951-G14961))</f>
        <v>0</v>
      </c>
      <c r="H14974" s="25" t="n">
        <f aca="false">H14967*MIN(H14966-H14972+H14971,MAX(0,H15016-Assumptions!$C$12*H14951-H14961))</f>
        <v>0</v>
      </c>
      <c r="I14974" s="25" t="n">
        <f aca="false">I14967*MIN(I14966-I14972+I14971,MAX(0,I15016-Assumptions!$C$12*I14951-I14961))</f>
        <v>270.37196743168</v>
      </c>
      <c r="J14974" s="25" t="n">
        <f aca="false">J14967*MIN(J14966-J14972+J14971,MAX(0,J15016-Assumptions!$C$12*J14951-J14961))</f>
        <v>0</v>
      </c>
      <c r="K14974" s="25" t="n">
        <f aca="false">K14967*MIN(K14966-K14972+K14971,MAX(0,K15016-Assumptions!$C$12*K14951-K14961))</f>
        <v>0</v>
      </c>
    </row>
    <row r="14975" customFormat="false" ht="15" hidden="false" customHeight="false" outlineLevel="0" collapsed="false">
      <c r="A14975" s="3" t="s">
        <v>317</v>
      </c>
      <c r="G14975" s="25" t="n">
        <f aca="false">Assumptions!$N$57*MIN(G14966+G14973+G14971-G14972-G14974,MAX(0,G15020-G14962))</f>
        <v>0</v>
      </c>
      <c r="H14975" s="25" t="n">
        <f aca="false">Assumptions!$N$57*MIN(H14966+H14973+H14971-H14972-H14974,MAX(0,H15020-H14962))</f>
        <v>0</v>
      </c>
      <c r="I14975" s="25" t="n">
        <f aca="false">Assumptions!$N$57*MIN(I14966+I14973+I14971-I14972-I14974,MAX(0,I15020-I14962))</f>
        <v>0</v>
      </c>
      <c r="J14975" s="25" t="n">
        <f aca="false">Assumptions!$N$57*MIN(J14966+J14973+J14971-J14972-J14974,MAX(0,J15020-J14962))</f>
        <v>0</v>
      </c>
      <c r="K14975" s="25" t="n">
        <f aca="false">Assumptions!$N$57*MIN(K14966+K14973+K14971-K14972-K14974,MAX(0,K15020-K14962))</f>
        <v>0</v>
      </c>
    </row>
    <row r="14976" customFormat="false" ht="15" hidden="false" customHeight="false" outlineLevel="0" collapsed="false">
      <c r="A14976" s="3" t="s">
        <v>318</v>
      </c>
      <c r="G14976" s="25" t="n">
        <f aca="false">G14967*(1-G14951)*(G14966-G14972+G14971-G14974)</f>
        <v>0</v>
      </c>
      <c r="H14976" s="25" t="n">
        <f aca="false">H14967*(1-H14951)*(H14966-H14972+H14971-H14974)</f>
        <v>0</v>
      </c>
      <c r="I14976" s="25" t="n">
        <f aca="false">I14967*(1-I14951)*(I14966-I14972+I14971-I14974)</f>
        <v>6.33403256832008</v>
      </c>
      <c r="J14976" s="25" t="n">
        <f aca="false">J14967*(1-J14951)*(J14966-J14972+J14971-J14974)</f>
        <v>0</v>
      </c>
      <c r="K14976" s="25" t="n">
        <f aca="false">K14967*(1-K14951)*(K14966-K14972+K14971-K14974)</f>
        <v>0</v>
      </c>
    </row>
    <row r="14977" customFormat="false" ht="15" hidden="false" customHeight="false" outlineLevel="0" collapsed="false">
      <c r="A14977" s="2" t="s">
        <v>319</v>
      </c>
      <c r="F14977" s="28" t="n">
        <f aca="false">Assumptions!$C$57</f>
        <v>276.706</v>
      </c>
      <c r="G14977" s="16" t="n">
        <f aca="false">G14966+G14973+G14971-G14972-G14974-G14975</f>
        <v>276.706</v>
      </c>
      <c r="H14977" s="16" t="n">
        <f aca="false">H14966+H14973+H14971-H14972-H14974-H14975</f>
        <v>276.706</v>
      </c>
      <c r="I14977" s="16" t="n">
        <f aca="false">I14966+I14973+I14971-I14972-I14974-I14975</f>
        <v>6.33403256832008</v>
      </c>
      <c r="J14977" s="16" t="n">
        <f aca="false">J14966+J14973+J14971-J14972-J14974-J14975</f>
        <v>6.33403256832008</v>
      </c>
      <c r="K14977" s="16" t="n">
        <f aca="false">K14966+K14973+K14971-K14972-K14974-K14975</f>
        <v>6.33403256832008</v>
      </c>
    </row>
    <row r="14978" customFormat="false" ht="15" hidden="false" customHeight="false" outlineLevel="0" collapsed="false">
      <c r="A14978" s="23" t="s">
        <v>321</v>
      </c>
      <c r="B14978" s="24"/>
      <c r="C14978" s="24"/>
      <c r="D14978" s="24"/>
      <c r="E14978" s="24"/>
      <c r="F14978" s="24"/>
      <c r="G14978" s="24"/>
      <c r="H14978" s="24"/>
      <c r="I14978" s="24"/>
      <c r="J14978" s="24"/>
      <c r="K14978" s="24"/>
    </row>
    <row r="14979" customFormat="false" ht="15" hidden="false" customHeight="false" outlineLevel="0" collapsed="false">
      <c r="A14979" s="3" t="s">
        <v>309</v>
      </c>
      <c r="G14979" s="25" t="n">
        <f aca="false">F14990</f>
        <v>143.75</v>
      </c>
      <c r="H14979" s="25" t="n">
        <f aca="false">G14990</f>
        <v>143.75</v>
      </c>
      <c r="I14979" s="25" t="n">
        <f aca="false">H14990</f>
        <v>143.75</v>
      </c>
      <c r="J14979" s="25" t="n">
        <f aca="false">I14990</f>
        <v>143.75</v>
      </c>
      <c r="K14979" s="25" t="n">
        <f aca="false">J14990</f>
        <v>143.75</v>
      </c>
    </row>
    <row r="14980" customFormat="false" ht="15" hidden="false" customHeight="false" outlineLevel="0" collapsed="false">
      <c r="A14980" s="3" t="s">
        <v>310</v>
      </c>
      <c r="G14980" s="20" t="n">
        <f aca="false">IF(G14917=Assumptions!$K$58,1,0)</f>
        <v>0</v>
      </c>
      <c r="H14980" s="20" t="n">
        <f aca="false">IF(H14917=Assumptions!$K$58,1,0)</f>
        <v>0</v>
      </c>
      <c r="I14980" s="20" t="n">
        <f aca="false">IF(I14917=Assumptions!$K$58,1,0)</f>
        <v>1</v>
      </c>
      <c r="J14980" s="20" t="n">
        <f aca="false">IF(J14917=Assumptions!$K$58,1,0)</f>
        <v>0</v>
      </c>
      <c r="K14980" s="20" t="n">
        <f aca="false">IF(K14917=Assumptions!$K$58,1,0)</f>
        <v>0</v>
      </c>
    </row>
    <row r="14982" customFormat="false" ht="15" hidden="false" customHeight="false" outlineLevel="0" collapsed="false">
      <c r="A14982" s="3" t="s">
        <v>311</v>
      </c>
      <c r="G14982" s="31" t="n">
        <f aca="false">IF(Assumptions!$I$58=1,MAX(G14943,Assumptions!$G$58)+Assumptions!$F$58+$C$14944,Assumptions!$E$58)</f>
        <v>0.0425</v>
      </c>
      <c r="H14982" s="31" t="n">
        <f aca="false">IF(G15102=1,$C$14945,IF(Assumptions!$I$58=1,MAX(H14943,Assumptions!$G$58)+Assumptions!$F$58+$C$14944,Assumptions!$E$58))</f>
        <v>0.0425</v>
      </c>
      <c r="I14982" s="31" t="n">
        <f aca="false">IF(H15102=1,$C$14945,IF(Assumptions!$I$58=1,MAX(I14943,Assumptions!$G$58)+Assumptions!$F$58+$C$14944,Assumptions!$E$58))</f>
        <v>0.0425</v>
      </c>
      <c r="J14982" s="31" t="n">
        <f aca="false">IF(I15102=1,$C$14945,IF(Assumptions!$I$58=1,MAX(J14943,Assumptions!$G$58)+Assumptions!$F$58+$C$14944,Assumptions!$E$58))</f>
        <v>0.0425</v>
      </c>
      <c r="K14982" s="31" t="n">
        <f aca="false">IF(J15102=1,$C$14945,IF(Assumptions!$I$58=1,MAX(K14943,Assumptions!$G$58)+Assumptions!$F$58+$C$14944,Assumptions!$E$58))</f>
        <v>0.0425</v>
      </c>
    </row>
    <row r="14983" customFormat="false" ht="15" hidden="false" customHeight="false" outlineLevel="0" collapsed="false">
      <c r="A14983" s="3" t="s">
        <v>312</v>
      </c>
      <c r="G14983" s="25" t="n">
        <f aca="false">G14979*G14982</f>
        <v>6.109375</v>
      </c>
      <c r="H14983" s="25" t="n">
        <f aca="false">H14979*H14982</f>
        <v>6.109375</v>
      </c>
      <c r="I14983" s="25" t="n">
        <f aca="false">I14979*I14982</f>
        <v>6.109375</v>
      </c>
      <c r="J14983" s="25" t="n">
        <f aca="false">J14979*J14982</f>
        <v>6.109375</v>
      </c>
      <c r="K14983" s="25" t="n">
        <f aca="false">K14979*K14982</f>
        <v>6.109375</v>
      </c>
    </row>
    <row r="14984" customFormat="false" ht="15" hidden="false" customHeight="false" outlineLevel="0" collapsed="false">
      <c r="A14984" s="3" t="s">
        <v>313</v>
      </c>
      <c r="G14984" s="25" t="n">
        <f aca="false">G14979*Assumptions!$H$58</f>
        <v>0</v>
      </c>
      <c r="H14984" s="25" t="n">
        <f aca="false">H14979*Assumptions!$H$58</f>
        <v>0</v>
      </c>
      <c r="I14984" s="25" t="n">
        <f aca="false">I14979*Assumptions!$H$58</f>
        <v>0</v>
      </c>
      <c r="J14984" s="25" t="n">
        <f aca="false">J14979*Assumptions!$H$58</f>
        <v>0</v>
      </c>
      <c r="K14984" s="25" t="n">
        <f aca="false">K14979*Assumptions!$H$58</f>
        <v>0</v>
      </c>
    </row>
    <row r="14985" customFormat="false" ht="15" hidden="false" customHeight="false" outlineLevel="0" collapsed="false">
      <c r="A14985" s="3" t="s">
        <v>314</v>
      </c>
      <c r="G14985" s="25" t="n">
        <f aca="false">MIN(G14979,Assumptions!$L$58*Assumptions!$C$58)</f>
        <v>0</v>
      </c>
      <c r="H14985" s="25" t="n">
        <f aca="false">MIN(H14979,Assumptions!$L$58*Assumptions!$C$58)</f>
        <v>0</v>
      </c>
      <c r="I14985" s="25" t="n">
        <f aca="false">MIN(I14979,Assumptions!$L$58*Assumptions!$C$58)</f>
        <v>0</v>
      </c>
      <c r="J14985" s="25" t="n">
        <f aca="false">MIN(J14979,Assumptions!$L$58*Assumptions!$C$58)</f>
        <v>0</v>
      </c>
      <c r="K14985" s="25" t="n">
        <f aca="false">MIN(K14979,Assumptions!$L$58*Assumptions!$C$58)</f>
        <v>0</v>
      </c>
    </row>
    <row r="14986" customFormat="false" ht="15" hidden="false" customHeight="false" outlineLevel="0" collapsed="false">
      <c r="A14986" s="3" t="s">
        <v>315</v>
      </c>
      <c r="G14986" s="25" t="n">
        <f aca="false">IF(AND(Assumptions!$P$58=1,G14917&lt;Assumptions!$K$58),MIN(MAX(0,-G15014),MAX(0,Assumptions!$D$58-G14979)),0)</f>
        <v>0</v>
      </c>
      <c r="H14986" s="25" t="n">
        <f aca="false">IF(AND(Assumptions!$P$58=1,OR(H14917&lt;Assumptions!$K$58,G15102=1)),MIN(MAX(0,-H15014),MAX(0,Assumptions!$D$58-H14979)),0)</f>
        <v>0</v>
      </c>
      <c r="I14986" s="25" t="n">
        <f aca="false">IF(AND(Assumptions!$P$58=1,OR(I14917&lt;Assumptions!$K$58,H15102=1)),MIN(MAX(0,-I15014),MAX(0,Assumptions!$D$58-I14979)),0)</f>
        <v>0</v>
      </c>
      <c r="J14986" s="25" t="n">
        <f aca="false">IF(AND(Assumptions!$P$58=1,OR(J14917&lt;Assumptions!$K$58,I15102=1)),MIN(MAX(0,-J15014),MAX(0,Assumptions!$D$58-J14979)),0)</f>
        <v>0</v>
      </c>
      <c r="K14986" s="25" t="n">
        <f aca="false">IF(AND(Assumptions!$P$58=1,OR(K14917&lt;Assumptions!$K$58,J15102=1)),MIN(MAX(0,-K15014),MAX(0,Assumptions!$D$58-K14979)),0)</f>
        <v>0</v>
      </c>
    </row>
    <row r="14987" customFormat="false" ht="15" hidden="false" customHeight="false" outlineLevel="0" collapsed="false">
      <c r="A14987" s="3" t="s">
        <v>316</v>
      </c>
      <c r="G14987" s="25" t="n">
        <f aca="false">G14980*MIN(G14979-G14985+G14984,MAX(0,G15016-Assumptions!$C$12*G14951-G14961-G14974))</f>
        <v>0</v>
      </c>
      <c r="H14987" s="25" t="n">
        <f aca="false">H14980*MIN(H14979-H14985+H14984,MAX(0,H15016-Assumptions!$C$12*H14951-H14961-H14974))</f>
        <v>0</v>
      </c>
      <c r="I14987" s="25" t="n">
        <f aca="false">I14980*MIN(I14979-I14985+I14984,MAX(0,I15016-Assumptions!$C$12*I14951-I14961-I14974))</f>
        <v>0</v>
      </c>
      <c r="J14987" s="25" t="n">
        <f aca="false">J14980*MIN(J14979-J14985+J14984,MAX(0,J15016-Assumptions!$C$12*J14951-J14961-J14974))</f>
        <v>0</v>
      </c>
      <c r="K14987" s="25" t="n">
        <f aca="false">K14980*MIN(K14979-K14985+K14984,MAX(0,K15016-Assumptions!$C$12*K14951-K14961-K14974))</f>
        <v>0</v>
      </c>
    </row>
    <row r="14988" customFormat="false" ht="15" hidden="false" customHeight="false" outlineLevel="0" collapsed="false">
      <c r="A14988" s="3" t="s">
        <v>317</v>
      </c>
      <c r="G14988" s="25" t="n">
        <f aca="false">Assumptions!$N$58*MIN(G14979+G14986+G14984-G14985-G14987,MAX(0,G15020-G14962-G14975))</f>
        <v>0</v>
      </c>
      <c r="H14988" s="25" t="n">
        <f aca="false">Assumptions!$N$58*MIN(H14979+H14986+H14984-H14985-H14987,MAX(0,H15020-H14962-H14975))</f>
        <v>0</v>
      </c>
      <c r="I14988" s="25" t="n">
        <f aca="false">Assumptions!$N$58*MIN(I14979+I14986+I14984-I14985-I14987,MAX(0,I15020-I14962-I14975))</f>
        <v>0</v>
      </c>
      <c r="J14988" s="25" t="n">
        <f aca="false">Assumptions!$N$58*MIN(J14979+J14986+J14984-J14985-J14987,MAX(0,J15020-J14962-J14975))</f>
        <v>0</v>
      </c>
      <c r="K14988" s="25" t="n">
        <f aca="false">Assumptions!$N$58*MIN(K14979+K14986+K14984-K14985-K14987,MAX(0,K15020-K14962-K14975))</f>
        <v>0</v>
      </c>
    </row>
    <row r="14989" customFormat="false" ht="15" hidden="false" customHeight="false" outlineLevel="0" collapsed="false">
      <c r="A14989" s="3" t="s">
        <v>318</v>
      </c>
      <c r="G14989" s="25" t="n">
        <f aca="false">G14980*(1-G14951)*(G14979-G14985+G14984-G14987)</f>
        <v>0</v>
      </c>
      <c r="H14989" s="25" t="n">
        <f aca="false">H14980*(1-H14951)*(H14979-H14985+H14984-H14987)</f>
        <v>0</v>
      </c>
      <c r="I14989" s="25" t="n">
        <f aca="false">I14980*(1-I14951)*(I14979-I14985+I14984-I14987)</f>
        <v>143.75</v>
      </c>
      <c r="J14989" s="25" t="n">
        <f aca="false">J14980*(1-J14951)*(J14979-J14985+J14984-J14987)</f>
        <v>0</v>
      </c>
      <c r="K14989" s="25" t="n">
        <f aca="false">K14980*(1-K14951)*(K14979-K14985+K14984-K14987)</f>
        <v>0</v>
      </c>
    </row>
    <row r="14990" customFormat="false" ht="15" hidden="false" customHeight="false" outlineLevel="0" collapsed="false">
      <c r="A14990" s="2" t="s">
        <v>319</v>
      </c>
      <c r="F14990" s="28" t="n">
        <f aca="false">Assumptions!$C$58</f>
        <v>143.75</v>
      </c>
      <c r="G14990" s="16" t="n">
        <f aca="false">G14979+G14986+G14984-G14985-G14987-G14988</f>
        <v>143.75</v>
      </c>
      <c r="H14990" s="16" t="n">
        <f aca="false">H14979+H14986+H14984-H14985-H14987-H14988</f>
        <v>143.75</v>
      </c>
      <c r="I14990" s="16" t="n">
        <f aca="false">I14979+I14986+I14984-I14985-I14987-I14988</f>
        <v>143.75</v>
      </c>
      <c r="J14990" s="16" t="n">
        <f aca="false">J14979+J14986+J14984-J14985-J14987-J14988</f>
        <v>143.75</v>
      </c>
      <c r="K14990" s="16" t="n">
        <f aca="false">K14979+K14986+K14984-K14985-K14987-K14988</f>
        <v>143.75</v>
      </c>
    </row>
    <row r="14991" customFormat="false" ht="15" hidden="false" customHeight="false" outlineLevel="0" collapsed="false">
      <c r="A14991" s="23" t="s">
        <v>322</v>
      </c>
      <c r="B14991" s="24"/>
      <c r="C14991" s="24"/>
      <c r="D14991" s="24"/>
      <c r="E14991" s="24"/>
      <c r="F14991" s="24"/>
      <c r="G14991" s="24"/>
      <c r="H14991" s="24"/>
      <c r="I14991" s="24"/>
      <c r="J14991" s="24"/>
      <c r="K14991" s="24"/>
    </row>
    <row r="14992" customFormat="false" ht="15" hidden="false" customHeight="false" outlineLevel="0" collapsed="false">
      <c r="A14992" s="2" t="s">
        <v>323</v>
      </c>
      <c r="F14992" s="16" t="n">
        <f aca="false">F14964+F14977+F14990</f>
        <v>1735.554</v>
      </c>
      <c r="G14992" s="16" t="n">
        <f aca="false">G14964+G14977+G14990</f>
        <v>1735.554</v>
      </c>
      <c r="H14992" s="16" t="n">
        <f aca="false">H14964+H14977+H14990</f>
        <v>1735.554</v>
      </c>
      <c r="I14992" s="16" t="n">
        <f aca="false">I14964+I14977+I14990</f>
        <v>1465.18203256832</v>
      </c>
      <c r="J14992" s="16" t="n">
        <f aca="false">J14964+J14977+J14990</f>
        <v>1465.18203256832</v>
      </c>
      <c r="K14992" s="16" t="n">
        <f aca="false">K14964+K14977+K14990</f>
        <v>1465.18203256832</v>
      </c>
    </row>
    <row r="14993" customFormat="false" ht="15" hidden="false" customHeight="false" outlineLevel="0" collapsed="false">
      <c r="A14993" s="3" t="s">
        <v>324</v>
      </c>
      <c r="G14993" s="25" t="n">
        <f aca="false">G14954*Assumptions!$C$56+G14967*Assumptions!$C$57+G14980*Assumptions!$C$58</f>
        <v>0</v>
      </c>
      <c r="H14993" s="25" t="n">
        <f aca="false">H14954*Assumptions!$C$56+H14967*Assumptions!$C$57+H14980*Assumptions!$C$58</f>
        <v>0</v>
      </c>
      <c r="I14993" s="25" t="n">
        <f aca="false">I14954*Assumptions!$C$56+I14967*Assumptions!$C$57+I14980*Assumptions!$C$58</f>
        <v>420.456</v>
      </c>
      <c r="J14993" s="25" t="n">
        <f aca="false">J14954*Assumptions!$C$56+J14967*Assumptions!$C$57+J14980*Assumptions!$C$58</f>
        <v>0</v>
      </c>
      <c r="K14993" s="25" t="n">
        <f aca="false">K14954*Assumptions!$C$56+K14967*Assumptions!$C$57+K14980*Assumptions!$C$58</f>
        <v>0</v>
      </c>
    </row>
    <row r="14994" customFormat="false" ht="15" hidden="false" customHeight="false" outlineLevel="0" collapsed="false">
      <c r="A14994" s="23" t="s">
        <v>325</v>
      </c>
      <c r="B14994" s="24"/>
      <c r="C14994" s="24"/>
      <c r="D14994" s="24"/>
      <c r="E14994" s="24"/>
      <c r="F14994" s="24"/>
      <c r="G14994" s="24"/>
      <c r="H14994" s="24"/>
      <c r="I14994" s="24"/>
      <c r="J14994" s="24"/>
      <c r="K14994" s="24"/>
    </row>
    <row r="14995" customFormat="false" ht="15" hidden="false" customHeight="false" outlineLevel="0" collapsed="false">
      <c r="A14995" s="3" t="s">
        <v>326</v>
      </c>
      <c r="C14995" s="25" t="n">
        <f aca="false">SUMPRODUCT($G$14954:$K$14954,$G$14953:$K$14953-$G$14959:$K$14959+$G$14958:$K$14958)</f>
        <v>0</v>
      </c>
    </row>
    <row r="14996" customFormat="false" ht="15" hidden="false" customHeight="false" outlineLevel="0" collapsed="false">
      <c r="A14996" s="3" t="s">
        <v>327</v>
      </c>
      <c r="C14996" s="25" t="n">
        <f aca="false">SUMPRODUCT($G$14954:$K$14954,$G$14961:$K$14961)</f>
        <v>0</v>
      </c>
    </row>
    <row r="14997" customFormat="false" ht="15" hidden="false" customHeight="false" outlineLevel="0" collapsed="false">
      <c r="A14997" s="3" t="s">
        <v>328</v>
      </c>
      <c r="C14997" s="3" t="str">
        <f aca="false">IF(SUM($G$14954:$K$14954)=0,"n/a (beyond horizon)",IF(SUMPRODUCT($G$14954:$K$14954,$G$14951:$K$14951)&gt;0,"REFINANCING PASS","REFINANCING FAILURE"))</f>
        <v>n/a (beyond horizon)</v>
      </c>
    </row>
    <row r="14998" customFormat="false" ht="15" hidden="false" customHeight="false" outlineLevel="0" collapsed="false">
      <c r="A14998" s="3" t="s">
        <v>329</v>
      </c>
      <c r="C14998" s="3" t="str">
        <f aca="false">IF(SUM($G$14954:$K$14954)=0,"n/a",IF(C14996&gt;=C14995-0.001,"Repaid from cash",IF(SUMPRODUCT($G$14954:$K$14954,$G$14951:$K$14951)&gt;0,IF(C14996&gt;0,"Partly repaid; remainder refinanced","Refinanced"),IF(SUM($G$14963:$K$14963)&gt;0.001,IF(C14996&gt;0,"Partial repayment; PAYMENT DEFAULT","PAYMENT DEFAULT"),"Repaid from cash"))))</f>
        <v>n/a</v>
      </c>
    </row>
    <row r="14999" customFormat="false" ht="15" hidden="false" customHeight="false" outlineLevel="0" collapsed="false">
      <c r="A14999" s="3" t="s">
        <v>330</v>
      </c>
      <c r="C14999" s="25" t="n">
        <f aca="false">SUMPRODUCT($G$14967:$K$14967,$G$14966:$K$14966-$G$14972:$K$14972+$G$14971:$K$14971)</f>
        <v>276.706</v>
      </c>
    </row>
    <row r="15000" customFormat="false" ht="15" hidden="false" customHeight="false" outlineLevel="0" collapsed="false">
      <c r="A15000" s="3" t="s">
        <v>331</v>
      </c>
      <c r="C15000" s="25" t="n">
        <f aca="false">SUMPRODUCT($G$14967:$K$14967,$G$14974:$K$14974)</f>
        <v>270.37196743168</v>
      </c>
    </row>
    <row r="15001" customFormat="false" ht="15" hidden="false" customHeight="false" outlineLevel="0" collapsed="false">
      <c r="A15001" s="3" t="s">
        <v>332</v>
      </c>
      <c r="C15001" s="3" t="str">
        <f aca="false">IF(SUM($G$14967:$K$14967)=0,"n/a (beyond horizon)",IF(SUMPRODUCT($G$14967:$K$14967,$G$14951:$K$14951)&gt;0,"REFINANCING PASS","REFINANCING FAILURE"))</f>
        <v>REFINANCING FAILURE</v>
      </c>
    </row>
    <row r="15002" customFormat="false" ht="15" hidden="false" customHeight="false" outlineLevel="0" collapsed="false">
      <c r="A15002" s="3" t="s">
        <v>333</v>
      </c>
      <c r="C15002" s="3" t="str">
        <f aca="false">IF(SUM($G$14967:$K$14967)=0,"n/a",IF(C15000&gt;=C14999-0.001,"Repaid from cash",IF(SUMPRODUCT($G$14967:$K$14967,$G$14951:$K$14951)&gt;0,IF(C15000&gt;0,"Partly repaid; remainder refinanced","Refinanced"),IF(SUM($G$14976:$K$14976)&gt;0.001,IF(C15000&gt;0,"Partial repayment; PAYMENT DEFAULT","PAYMENT DEFAULT"),"Repaid from cash"))))</f>
        <v>Partial repayment; PAYMENT DEFAULT</v>
      </c>
    </row>
    <row r="15003" customFormat="false" ht="15" hidden="false" customHeight="false" outlineLevel="0" collapsed="false">
      <c r="A15003" s="3" t="s">
        <v>334</v>
      </c>
      <c r="C15003" s="25" t="n">
        <f aca="false">SUMPRODUCT($G$14980:$K$14980,$G$14979:$K$14979-$G$14985:$K$14985+$G$14984:$K$14984)</f>
        <v>143.75</v>
      </c>
    </row>
    <row r="15004" customFormat="false" ht="15" hidden="false" customHeight="false" outlineLevel="0" collapsed="false">
      <c r="A15004" s="3" t="s">
        <v>335</v>
      </c>
      <c r="C15004" s="25" t="n">
        <f aca="false">SUMPRODUCT($G$14980:$K$14980,$G$14987:$K$14987)</f>
        <v>0</v>
      </c>
    </row>
    <row r="15005" customFormat="false" ht="15" hidden="false" customHeight="false" outlineLevel="0" collapsed="false">
      <c r="A15005" s="3" t="s">
        <v>336</v>
      </c>
      <c r="C15005" s="3" t="str">
        <f aca="false">IF(SUM($G$14980:$K$14980)=0,"n/a (beyond horizon)",IF(SUMPRODUCT($G$14980:$K$14980,$G$14951:$K$14951)&gt;0,"REFINANCING PASS","REFINANCING FAILURE"))</f>
        <v>REFINANCING FAILURE</v>
      </c>
    </row>
    <row r="15006" customFormat="false" ht="15" hidden="false" customHeight="false" outlineLevel="0" collapsed="false">
      <c r="A15006" s="3" t="s">
        <v>337</v>
      </c>
      <c r="C15006" s="3" t="str">
        <f aca="false">IF(SUM($G$14980:$K$14980)=0,"n/a",IF(C15004&gt;=C15003-0.001,"Repaid from cash",IF(SUMPRODUCT($G$14980:$K$14980,$G$14951:$K$14951)&gt;0,IF(C15004&gt;0,"Partly repaid; remainder refinanced","Refinanced"),IF(SUM($G$14989:$K$14989)&gt;0.001,IF(C15004&gt;0,"Partial repayment; PAYMENT DEFAULT","PAYMENT DEFAULT"),"Repaid from cash"))))</f>
        <v>PAYMENT DEFAULT</v>
      </c>
    </row>
    <row r="15007" customFormat="false" ht="15" hidden="false" customHeight="false" outlineLevel="0" collapsed="false">
      <c r="A15007" s="3" t="s">
        <v>338</v>
      </c>
      <c r="C15007" s="20" t="n">
        <f aca="false">IF(C14997="REFINANCING FAILURE",1,0)+IF(C15001="REFINANCING FAILURE",1,0)+IF(C15005="REFINANCING FAILURE",1,0)</f>
        <v>2</v>
      </c>
    </row>
    <row r="15009" customFormat="false" ht="15" hidden="false" customHeight="false" outlineLevel="0" collapsed="false">
      <c r="A15009" s="23" t="s">
        <v>340</v>
      </c>
      <c r="B15009" s="24"/>
      <c r="C15009" s="24"/>
      <c r="D15009" s="24"/>
      <c r="E15009" s="24"/>
      <c r="F15009" s="24"/>
      <c r="G15009" s="24"/>
      <c r="H15009" s="24"/>
      <c r="I15009" s="24"/>
      <c r="J15009" s="24"/>
      <c r="K15009" s="24"/>
    </row>
    <row r="15010" customFormat="false" ht="15" hidden="false" customHeight="false" outlineLevel="0" collapsed="false">
      <c r="A15010" s="3" t="s">
        <v>305</v>
      </c>
      <c r="G15010" s="25" t="n">
        <f aca="false">F15022</f>
        <v>463.996</v>
      </c>
      <c r="H15010" s="25" t="n">
        <f aca="false">G15022</f>
        <v>431.67030664</v>
      </c>
      <c r="I15010" s="25" t="n">
        <f aca="false">H15022</f>
        <v>359.0106596512</v>
      </c>
      <c r="J15010" s="25" t="n">
        <f aca="false">I15022</f>
        <v>0</v>
      </c>
      <c r="K15010" s="25" t="n">
        <f aca="false">J15022</f>
        <v>-82.533161826112</v>
      </c>
    </row>
    <row r="15011" customFormat="false" ht="15" hidden="false" customHeight="false" outlineLevel="0" collapsed="false">
      <c r="A15011" s="3" t="s">
        <v>341</v>
      </c>
      <c r="G15011" s="25" t="n">
        <f aca="false">G14940</f>
        <v>-32.32569336</v>
      </c>
      <c r="H15011" s="25" t="n">
        <f aca="false">H14940</f>
        <v>-72.6596469888</v>
      </c>
      <c r="I15011" s="25" t="n">
        <f aca="false">I14940</f>
        <v>-88.63869221952</v>
      </c>
      <c r="J15011" s="25" t="n">
        <f aca="false">J14940</f>
        <v>-82.533161826112</v>
      </c>
      <c r="K15011" s="25" t="n">
        <f aca="false">K14940</f>
        <v>-86.2490037995945</v>
      </c>
    </row>
    <row r="15012" customFormat="false" ht="15" hidden="false" customHeight="false" outlineLevel="0" collapsed="false">
      <c r="A15012" s="3" t="s">
        <v>342</v>
      </c>
      <c r="G15012" s="25" t="n">
        <f aca="false">CHOOSE($C$14910,Assumptions!$G$74,Assumptions!$G$93,Assumptions!$G$112)</f>
        <v>0</v>
      </c>
      <c r="H15012" s="25" t="n">
        <f aca="false">CHOOSE($C$14910,Assumptions!$H$74,Assumptions!$H$93,Assumptions!$H$112)</f>
        <v>0</v>
      </c>
      <c r="I15012" s="25" t="n">
        <f aca="false">CHOOSE($C$14910,Assumptions!$I$74,Assumptions!$I$93,Assumptions!$I$112)</f>
        <v>0</v>
      </c>
      <c r="J15012" s="25" t="n">
        <f aca="false">CHOOSE($C$14910,Assumptions!$J$74,Assumptions!$J$93,Assumptions!$J$112)</f>
        <v>0</v>
      </c>
      <c r="K15012" s="25" t="n">
        <f aca="false">CHOOSE($C$14910,Assumptions!$K$74,Assumptions!$K$93,Assumptions!$K$112)</f>
        <v>0</v>
      </c>
    </row>
    <row r="15013" customFormat="false" ht="15" hidden="false" customHeight="false" outlineLevel="0" collapsed="false">
      <c r="A15013" s="3" t="s">
        <v>343</v>
      </c>
      <c r="G15013" s="25" t="n">
        <f aca="false">G14959+G14972+G14985</f>
        <v>0</v>
      </c>
      <c r="H15013" s="25" t="n">
        <f aca="false">H14959+H14972+H14985</f>
        <v>0</v>
      </c>
      <c r="I15013" s="25" t="n">
        <f aca="false">I14959+I14972+I14985</f>
        <v>0</v>
      </c>
      <c r="J15013" s="25" t="n">
        <f aca="false">J14959+J14972+J14985</f>
        <v>0</v>
      </c>
      <c r="K15013" s="25" t="n">
        <f aca="false">K14959+K14972+K14985</f>
        <v>0</v>
      </c>
    </row>
    <row r="15014" customFormat="false" ht="15" hidden="false" customHeight="false" outlineLevel="0" collapsed="false">
      <c r="A15014" s="2" t="s">
        <v>344</v>
      </c>
      <c r="G15014" s="16" t="n">
        <f aca="false">G15010+G15011+G15012-G15013</f>
        <v>431.67030664</v>
      </c>
      <c r="H15014" s="16" t="n">
        <f aca="false">H15010+H15011+H15012-H15013</f>
        <v>359.0106596512</v>
      </c>
      <c r="I15014" s="16" t="n">
        <f aca="false">I15010+I15011+I15012-I15013</f>
        <v>270.37196743168</v>
      </c>
      <c r="J15014" s="16" t="n">
        <f aca="false">J15010+J15011+J15012-J15013</f>
        <v>-82.533161826112</v>
      </c>
      <c r="K15014" s="16" t="n">
        <f aca="false">K15010+K15011+K15012-K15013</f>
        <v>-168.782165625707</v>
      </c>
    </row>
    <row r="15015" customFormat="false" ht="15" hidden="false" customHeight="false" outlineLevel="0" collapsed="false">
      <c r="A15015" s="3" t="s">
        <v>345</v>
      </c>
      <c r="G15015" s="25" t="n">
        <f aca="false">G14960+G14973+G14986</f>
        <v>0</v>
      </c>
      <c r="H15015" s="25" t="n">
        <f aca="false">H14960+H14973+H14986</f>
        <v>0</v>
      </c>
      <c r="I15015" s="25" t="n">
        <f aca="false">I14960+I14973+I14986</f>
        <v>0</v>
      </c>
      <c r="J15015" s="25" t="n">
        <f aca="false">J14960+J14973+J14986</f>
        <v>0</v>
      </c>
      <c r="K15015" s="25" t="n">
        <f aca="false">K14960+K14973+K14986</f>
        <v>0</v>
      </c>
    </row>
    <row r="15016" customFormat="false" ht="15" hidden="false" customHeight="false" outlineLevel="0" collapsed="false">
      <c r="A15016" s="2" t="s">
        <v>346</v>
      </c>
      <c r="G15016" s="16" t="n">
        <f aca="false">G15014+G15015</f>
        <v>431.67030664</v>
      </c>
      <c r="H15016" s="16" t="n">
        <f aca="false">H15014+H15015</f>
        <v>359.0106596512</v>
      </c>
      <c r="I15016" s="16" t="n">
        <f aca="false">I15014+I15015</f>
        <v>270.37196743168</v>
      </c>
      <c r="J15016" s="16" t="n">
        <f aca="false">J15014+J15015</f>
        <v>-82.533161826112</v>
      </c>
      <c r="K15016" s="16" t="n">
        <f aca="false">K15014+K15015</f>
        <v>-168.782165625707</v>
      </c>
    </row>
    <row r="15017" customFormat="false" ht="15" hidden="false" customHeight="false" outlineLevel="0" collapsed="false">
      <c r="A15017" s="3" t="s">
        <v>347</v>
      </c>
      <c r="G15017" s="25" t="n">
        <f aca="false">G14961+G14974+G14987</f>
        <v>0</v>
      </c>
      <c r="H15017" s="25" t="n">
        <f aca="false">H14961+H14974+H14987</f>
        <v>0</v>
      </c>
      <c r="I15017" s="25" t="n">
        <f aca="false">I14961+I14974+I14987</f>
        <v>270.37196743168</v>
      </c>
      <c r="J15017" s="25" t="n">
        <f aca="false">J14961+J14974+J14987</f>
        <v>0</v>
      </c>
      <c r="K15017" s="25" t="n">
        <f aca="false">K14961+K14974+K14987</f>
        <v>0</v>
      </c>
    </row>
    <row r="15018" customFormat="false" ht="15" hidden="false" customHeight="false" outlineLevel="0" collapsed="false">
      <c r="A15018" s="2" t="s">
        <v>348</v>
      </c>
      <c r="G15018" s="16" t="n">
        <f aca="false">G15016-G15017</f>
        <v>431.67030664</v>
      </c>
      <c r="H15018" s="16" t="n">
        <f aca="false">H15016-H15017</f>
        <v>359.0106596512</v>
      </c>
      <c r="I15018" s="16" t="n">
        <f aca="false">I15016-I15017</f>
        <v>0</v>
      </c>
      <c r="J15018" s="16" t="n">
        <f aca="false">J15016-J15017</f>
        <v>-82.533161826112</v>
      </c>
      <c r="K15018" s="16" t="n">
        <f aca="false">K15016-K15017</f>
        <v>-168.782165625707</v>
      </c>
    </row>
    <row r="15019" customFormat="false" ht="15" hidden="false" customHeight="false" outlineLevel="0" collapsed="false">
      <c r="A15019" s="3" t="s">
        <v>349</v>
      </c>
      <c r="G15019" s="25" t="n">
        <f aca="false">MAX(0,-G15018)</f>
        <v>0</v>
      </c>
      <c r="H15019" s="25" t="n">
        <f aca="false">MAX(0,-H15018)</f>
        <v>0</v>
      </c>
      <c r="I15019" s="25" t="n">
        <f aca="false">MAX(0,-I15018)</f>
        <v>-0</v>
      </c>
      <c r="J15019" s="25" t="n">
        <f aca="false">MAX(0,-J15018)</f>
        <v>82.533161826112</v>
      </c>
      <c r="K15019" s="25" t="n">
        <f aca="false">MAX(0,-K15018)</f>
        <v>168.782165625707</v>
      </c>
    </row>
    <row r="15020" customFormat="false" ht="15" hidden="false" customHeight="false" outlineLevel="0" collapsed="false">
      <c r="A15020" s="3" t="s">
        <v>350</v>
      </c>
      <c r="G15020" s="25" t="n">
        <f aca="false">MAX(0,G15018-Assumptions!$C$12)*Assumptions!$C$13</f>
        <v>0</v>
      </c>
      <c r="H15020" s="25" t="n">
        <f aca="false">MAX(0,H15018-Assumptions!$C$12)*Assumptions!$C$13</f>
        <v>0</v>
      </c>
      <c r="I15020" s="25" t="n">
        <f aca="false">MAX(0,I15018-Assumptions!$C$12)*Assumptions!$C$13</f>
        <v>0</v>
      </c>
      <c r="J15020" s="25" t="n">
        <f aca="false">MAX(0,J15018-Assumptions!$C$12)*Assumptions!$C$13</f>
        <v>0</v>
      </c>
      <c r="K15020" s="25" t="n">
        <f aca="false">MAX(0,K15018-Assumptions!$C$12)*Assumptions!$C$13</f>
        <v>0</v>
      </c>
    </row>
    <row r="15021" customFormat="false" ht="15" hidden="false" customHeight="false" outlineLevel="0" collapsed="false">
      <c r="A15021" s="3" t="s">
        <v>351</v>
      </c>
      <c r="G15021" s="25" t="n">
        <f aca="false">G14962+G14975+G14988</f>
        <v>0</v>
      </c>
      <c r="H15021" s="25" t="n">
        <f aca="false">H14962+H14975+H14988</f>
        <v>0</v>
      </c>
      <c r="I15021" s="25" t="n">
        <f aca="false">I14962+I14975+I14988</f>
        <v>0</v>
      </c>
      <c r="J15021" s="25" t="n">
        <f aca="false">J14962+J14975+J14988</f>
        <v>0</v>
      </c>
      <c r="K15021" s="25" t="n">
        <f aca="false">K14962+K14975+K14988</f>
        <v>0</v>
      </c>
    </row>
    <row r="15022" customFormat="false" ht="15" hidden="false" customHeight="false" outlineLevel="0" collapsed="false">
      <c r="A15022" s="2" t="s">
        <v>352</v>
      </c>
      <c r="F15022" s="28" t="n">
        <f aca="false">Assumptions!$C$11</f>
        <v>463.996</v>
      </c>
      <c r="G15022" s="16" t="n">
        <f aca="false">G15018-G15021</f>
        <v>431.67030664</v>
      </c>
      <c r="H15022" s="16" t="n">
        <f aca="false">H15018-H15021</f>
        <v>359.0106596512</v>
      </c>
      <c r="I15022" s="16" t="n">
        <f aca="false">I15018-I15021</f>
        <v>0</v>
      </c>
      <c r="J15022" s="16" t="n">
        <f aca="false">J15018-J15021</f>
        <v>-82.533161826112</v>
      </c>
      <c r="K15022" s="16" t="n">
        <f aca="false">K15018-K15021</f>
        <v>-168.782165625707</v>
      </c>
    </row>
    <row r="15023" customFormat="false" ht="15" hidden="false" customHeight="false" outlineLevel="0" collapsed="false">
      <c r="A15023" s="3" t="s">
        <v>353</v>
      </c>
      <c r="G15023" s="25" t="n">
        <f aca="false">G14963+G14976+G14989</f>
        <v>0</v>
      </c>
      <c r="H15023" s="25" t="n">
        <f aca="false">H14963+H14976+H14989</f>
        <v>0</v>
      </c>
      <c r="I15023" s="25" t="n">
        <f aca="false">I14963+I14976+I14989</f>
        <v>150.08403256832</v>
      </c>
      <c r="J15023" s="25" t="n">
        <f aca="false">J14963+J14976+J14989</f>
        <v>0</v>
      </c>
      <c r="K15023" s="25" t="n">
        <f aca="false">K14963+K14976+K14989</f>
        <v>0</v>
      </c>
    </row>
    <row r="15024" customFormat="false" ht="15" hidden="false" customHeight="false" outlineLevel="0" collapsed="false">
      <c r="A15024" s="3" t="s">
        <v>354</v>
      </c>
      <c r="G15024" s="20" t="n">
        <f aca="false">IF(OR(G15019&gt;0.001,G15023&gt;0.001),1,0)</f>
        <v>0</v>
      </c>
      <c r="H15024" s="20" t="n">
        <f aca="false">IF(OR(H15019&gt;0.001,H15023&gt;0.001),1,0)</f>
        <v>0</v>
      </c>
      <c r="I15024" s="20" t="n">
        <f aca="false">IF(OR(I15019&gt;0.001,I15023&gt;0.001),1,0)</f>
        <v>1</v>
      </c>
      <c r="J15024" s="20" t="n">
        <f aca="false">IF(OR(J15019&gt;0.001,J15023&gt;0.001),1,0)</f>
        <v>1</v>
      </c>
      <c r="K15024" s="20" t="n">
        <f aca="false">IF(OR(K15019&gt;0.001,K15023&gt;0.001),1,0)</f>
        <v>1</v>
      </c>
    </row>
    <row r="15025" customFormat="false" ht="15" hidden="false" customHeight="false" outlineLevel="0" collapsed="false">
      <c r="A15025" s="3" t="s">
        <v>355</v>
      </c>
      <c r="G15025" s="20" t="n">
        <f aca="false">IF(G15024=1,1,0)</f>
        <v>0</v>
      </c>
      <c r="H15025" s="20" t="n">
        <f aca="false">IF(AND(H15024=1,SUM($G$15024:G15024)=0),1,0)</f>
        <v>0</v>
      </c>
      <c r="I15025" s="20" t="n">
        <f aca="false">IF(AND(I15024=1,SUM($G$15024:H15024)=0),1,0)</f>
        <v>1</v>
      </c>
      <c r="J15025" s="20" t="n">
        <f aca="false">IF(AND(J15024=1,SUM($G$15024:I15024)=0),1,0)</f>
        <v>0</v>
      </c>
      <c r="K15025" s="20" t="n">
        <f aca="false">IF(AND(K15024=1,SUM($G$15024:J15024)=0),1,0)</f>
        <v>0</v>
      </c>
    </row>
    <row r="15026" customFormat="false" ht="15" hidden="false" customHeight="false" outlineLevel="0" collapsed="false">
      <c r="A15026" s="3" t="s">
        <v>356</v>
      </c>
      <c r="G15026" s="25" t="n">
        <f aca="false">(G14992-F14992)-(G15015+G14932-G15013-G15017-G15021)</f>
        <v>0</v>
      </c>
      <c r="H15026" s="25" t="n">
        <f aca="false">(H14992-G14992)-(H15015+H14932-H15013-H15017-H15021)</f>
        <v>0</v>
      </c>
      <c r="I15026" s="25" t="n">
        <f aca="false">(I14992-H14992)-(I15015+I14932-I15013-I15017-I15021)</f>
        <v>0</v>
      </c>
      <c r="J15026" s="25" t="n">
        <f aca="false">(J14992-I14992)-(J15015+J14932-J15013-J15017-J15021)</f>
        <v>0</v>
      </c>
      <c r="K15026" s="25" t="n">
        <f aca="false">(K14992-J14992)-(K15015+K14932-K15013-K15017-K15021)</f>
        <v>0</v>
      </c>
    </row>
    <row r="15028" customFormat="false" ht="15" hidden="false" customHeight="false" outlineLevel="0" collapsed="false">
      <c r="A15028" s="23" t="s">
        <v>358</v>
      </c>
      <c r="B15028" s="24"/>
      <c r="C15028" s="24"/>
      <c r="D15028" s="24"/>
      <c r="E15028" s="24"/>
      <c r="F15028" s="24"/>
      <c r="G15028" s="24"/>
      <c r="H15028" s="24"/>
      <c r="I15028" s="24"/>
      <c r="J15028" s="24"/>
      <c r="K15028" s="24"/>
    </row>
    <row r="15029" customFormat="false" ht="15" hidden="false" customHeight="false" outlineLevel="0" collapsed="false">
      <c r="A15029" s="3" t="s">
        <v>359</v>
      </c>
      <c r="G15029" s="25" t="n">
        <f aca="false">G14992</f>
        <v>1735.554</v>
      </c>
      <c r="H15029" s="25" t="n">
        <f aca="false">H14992</f>
        <v>1735.554</v>
      </c>
      <c r="I15029" s="25" t="n">
        <f aca="false">I14992</f>
        <v>1465.18203256832</v>
      </c>
      <c r="J15029" s="25" t="n">
        <f aca="false">J14992</f>
        <v>1465.18203256832</v>
      </c>
      <c r="K15029" s="25" t="n">
        <f aca="false">K14992</f>
        <v>1465.18203256832</v>
      </c>
    </row>
    <row r="15030" customFormat="false" ht="15" hidden="false" customHeight="false" outlineLevel="0" collapsed="false">
      <c r="A15030" s="3" t="s">
        <v>360</v>
      </c>
      <c r="G15030" s="25" t="n">
        <f aca="false">Assumptions!$O$56*G14964+Assumptions!$O$57*G14977+Assumptions!$O$58*G14990</f>
        <v>1315.098</v>
      </c>
      <c r="H15030" s="25" t="n">
        <f aca="false">Assumptions!$O$56*H14964+Assumptions!$O$57*H14977+Assumptions!$O$58*H14990</f>
        <v>1315.098</v>
      </c>
      <c r="I15030" s="25" t="n">
        <f aca="false">Assumptions!$O$56*I14964+Assumptions!$O$57*I14977+Assumptions!$O$58*I14990</f>
        <v>1315.098</v>
      </c>
      <c r="J15030" s="25" t="n">
        <f aca="false">Assumptions!$O$56*J14964+Assumptions!$O$57*J14977+Assumptions!$O$58*J14990</f>
        <v>1315.098</v>
      </c>
      <c r="K15030" s="25" t="n">
        <f aca="false">Assumptions!$O$56*K14964+Assumptions!$O$57*K14977+Assumptions!$O$58*K14990</f>
        <v>1315.098</v>
      </c>
    </row>
    <row r="15031" customFormat="false" ht="15" hidden="false" customHeight="false" outlineLevel="0" collapsed="false">
      <c r="A15031" s="3" t="s">
        <v>361</v>
      </c>
      <c r="G15031" s="25" t="n">
        <f aca="false">G15029-G15022</f>
        <v>1303.88369336</v>
      </c>
      <c r="H15031" s="25" t="n">
        <f aca="false">H15029-H15022</f>
        <v>1376.5433403488</v>
      </c>
      <c r="I15031" s="25" t="n">
        <f aca="false">I15029-I15022</f>
        <v>1465.18203256832</v>
      </c>
      <c r="J15031" s="25" t="n">
        <f aca="false">J15029-J15022</f>
        <v>1547.71519439443</v>
      </c>
      <c r="K15031" s="25" t="n">
        <f aca="false">K15029-K15022</f>
        <v>1633.96419819403</v>
      </c>
    </row>
    <row r="15032" customFormat="false" ht="15" hidden="false" customHeight="false" outlineLevel="0" collapsed="false">
      <c r="A15032" s="3" t="s">
        <v>362</v>
      </c>
      <c r="G15032" s="32" t="n">
        <f aca="false">IF(G14927&gt;0,G15029/G14927,0)</f>
        <v>9.98286782658702</v>
      </c>
      <c r="H15032" s="32" t="n">
        <f aca="false">IF(H14927&gt;0,H15029/H14927,0)</f>
        <v>13.6130015817096</v>
      </c>
      <c r="I15032" s="32" t="n">
        <f aca="false">IF(I14927&gt;0,I15029/I14927,0)</f>
        <v>13.6813219341771</v>
      </c>
      <c r="J15032" s="32" t="n">
        <f aca="false">IF(J14927&gt;0,J15029/J14927,0)</f>
        <v>14.8710021023664</v>
      </c>
      <c r="K15032" s="32" t="n">
        <f aca="false">IF(K14927&gt;0,K15029/K14927,0)</f>
        <v>15.8202150025174</v>
      </c>
    </row>
    <row r="15033" customFormat="false" ht="15" hidden="false" customHeight="false" outlineLevel="0" collapsed="false">
      <c r="A15033" s="3" t="s">
        <v>363</v>
      </c>
      <c r="G15033" s="32" t="n">
        <f aca="false">IF(G14927&gt;0,G15031/G14927,0)</f>
        <v>7.49990986858087</v>
      </c>
      <c r="H15033" s="32" t="n">
        <f aca="false">IF(H14927&gt;0,H15031/H14927,0)</f>
        <v>10.7970634560838</v>
      </c>
      <c r="I15033" s="32" t="n">
        <f aca="false">IF(I14927&gt;0,I15031/I14927,0)</f>
        <v>13.6813219341771</v>
      </c>
      <c r="J15033" s="32" t="n">
        <f aca="false">IF(J14927&gt;0,J15031/J14927,0)</f>
        <v>15.7086801490181</v>
      </c>
      <c r="K15033" s="32" t="n">
        <f aca="false">IF(K14927&gt;0,K15031/K14927,0)</f>
        <v>17.6426302993449</v>
      </c>
    </row>
    <row r="15034" customFormat="false" ht="15" hidden="false" customHeight="false" outlineLevel="0" collapsed="false">
      <c r="A15034" s="3" t="s">
        <v>364</v>
      </c>
      <c r="G15034" s="32" t="n">
        <f aca="false">IF(G14931&gt;0,G14927/G14931,0)</f>
        <v>1.11476782580477</v>
      </c>
      <c r="H15034" s="32" t="n">
        <f aca="false">IF(H14931&gt;0,H14927/H14931,0)</f>
        <v>0.817496405590163</v>
      </c>
      <c r="I15034" s="32" t="n">
        <f aca="false">IF(I14931&gt;0,I14927/I14931,0)</f>
        <v>0.686696980695737</v>
      </c>
      <c r="J15034" s="32" t="n">
        <f aca="false">IF(J14931&gt;0,J14927/J14931,0)</f>
        <v>0.682012179303795</v>
      </c>
      <c r="K15034" s="32" t="n">
        <f aca="false">IF(K14931&gt;0,K14927/K14931,0)</f>
        <v>0.641091448545568</v>
      </c>
    </row>
    <row r="15035" customFormat="false" ht="15" hidden="false" customHeight="false" outlineLevel="0" collapsed="false">
      <c r="A15035" s="3" t="s">
        <v>365</v>
      </c>
      <c r="G15035" s="32" t="n">
        <f aca="false">IF(G14931&gt;0,G14930/G14931,0)</f>
        <v>0.510100328512125</v>
      </c>
      <c r="H15035" s="32" t="n">
        <f aca="false">IF(H14931&gt;0,H14930/H14931,0)</f>
        <v>0.285389007972637</v>
      </c>
      <c r="I15035" s="32" t="n">
        <f aca="false">IF(I14931&gt;0,I14930/I14931,0)</f>
        <v>0.207800322839964</v>
      </c>
      <c r="J15035" s="32" t="n">
        <f aca="false">IF(J14931&gt;0,J14930/J14931,0)</f>
        <v>0.206382662257416</v>
      </c>
      <c r="K15035" s="32" t="n">
        <f aca="false">IF(K14931&gt;0,K14930/K14931,0)</f>
        <v>0.193999702521971</v>
      </c>
    </row>
    <row r="15036" customFormat="false" ht="15" hidden="false" customHeight="false" outlineLevel="0" collapsed="false">
      <c r="A15036" s="3" t="s">
        <v>198</v>
      </c>
      <c r="G15036" s="21" t="n">
        <f aca="false">IF(G15029&gt;0,G14940/G15029,0)</f>
        <v>-0.0186255762482758</v>
      </c>
      <c r="H15036" s="21" t="n">
        <f aca="false">IF(H15029&gt;0,H14940/H15029,0)</f>
        <v>-0.0418653911020919</v>
      </c>
      <c r="I15036" s="21" t="n">
        <f aca="false">IF(I15029&gt;0,I14940/I15029,0)</f>
        <v>-0.0604967097938985</v>
      </c>
      <c r="J15036" s="21" t="n">
        <f aca="false">IF(J15029&gt;0,J14940/J15029,0)</f>
        <v>-0.0563296300333683</v>
      </c>
      <c r="K15036" s="21" t="n">
        <f aca="false">IF(K15029&gt;0,K14940/K15029,0)</f>
        <v>-0.0588657258159305</v>
      </c>
    </row>
    <row r="15037" customFormat="false" ht="15" hidden="false" customHeight="false" outlineLevel="0" collapsed="false">
      <c r="A15037" s="3" t="s">
        <v>366</v>
      </c>
      <c r="G15037" s="32" t="n">
        <f aca="false">IF(G14931+G15013&gt;0,(G14927-G14938-G14935)/(G14931+G15013),0)</f>
        <v>0.978518424873074</v>
      </c>
      <c r="H15037" s="32" t="n">
        <f aca="false">IF(H14931+H15013&gt;0,(H14927-H14938-H14935)/(H14931+H15013),0)</f>
        <v>0.697596932770272</v>
      </c>
      <c r="I15037" s="32" t="n">
        <f aca="false">IF(I14931+I15013&gt;0,(I14927-I14938-I14935)/(I14931+I15013),0)</f>
        <v>0.578787455157835</v>
      </c>
      <c r="J15037" s="32" t="n">
        <f aca="false">IF(J14931+J15013&gt;0,(J14927-J14938-J14935)/(J14931+J15013),0)</f>
        <v>0.57483883684177</v>
      </c>
      <c r="K15037" s="32" t="n">
        <f aca="false">IF(K14931+K15013&gt;0,(K14927-K14938-K14935)/(K14931+K15013),0)</f>
        <v>0.540348506631264</v>
      </c>
    </row>
    <row r="15038" customFormat="false" ht="15" hidden="false" customHeight="false" outlineLevel="0" collapsed="false">
      <c r="A15038" s="3" t="s">
        <v>367</v>
      </c>
      <c r="G15038" s="25" t="n">
        <f aca="false">MAX(0,G15022)+Assumptions!$P$56*MAX(0,Assumptions!$D$56-G14964)+Assumptions!$P$57*MAX(0,Assumptions!$D$57-G14977)+Assumptions!$P$58*MAX(0,Assumptions!$D$58-G14990)</f>
        <v>431.67030664</v>
      </c>
      <c r="H15038" s="25" t="n">
        <f aca="false">MAX(0,H15022)+Assumptions!$P$56*MAX(0,Assumptions!$D$56-H14964)+Assumptions!$P$57*MAX(0,Assumptions!$D$57-H14977)+Assumptions!$P$58*MAX(0,Assumptions!$D$58-H14990)</f>
        <v>359.0106596512</v>
      </c>
      <c r="I15038" s="25" t="n">
        <f aca="false">MAX(0,I15022)+Assumptions!$P$56*MAX(0,Assumptions!$D$56-I14964)+Assumptions!$P$57*MAX(0,Assumptions!$D$57-I14977)+Assumptions!$P$58*MAX(0,Assumptions!$D$58-I14990)</f>
        <v>0</v>
      </c>
      <c r="J15038" s="25" t="n">
        <f aca="false">MAX(0,J15022)+Assumptions!$P$56*MAX(0,Assumptions!$D$56-J14964)+Assumptions!$P$57*MAX(0,Assumptions!$D$57-J14977)+Assumptions!$P$58*MAX(0,Assumptions!$D$58-J14990)</f>
        <v>0</v>
      </c>
      <c r="K15038" s="25" t="n">
        <f aca="false">MAX(0,K15022)+Assumptions!$P$56*MAX(0,Assumptions!$D$56-K14964)+Assumptions!$P$57*MAX(0,Assumptions!$D$57-K14977)+Assumptions!$P$58*MAX(0,Assumptions!$D$58-K14990)</f>
        <v>0</v>
      </c>
    </row>
    <row r="15039" customFormat="false" ht="15" hidden="false" customHeight="false" outlineLevel="0" collapsed="false">
      <c r="A15039" s="3" t="s">
        <v>368</v>
      </c>
      <c r="G15039" s="21" t="n">
        <f aca="false">IF(G15029&gt;0,G15029/(G15029+MAX(0,G14927*CHOOSE($C$14910,Assumptions!$C$82,Assumptions!$C$101,Assumptions!$C$120)-G15031)),0)</f>
        <v>1</v>
      </c>
      <c r="H15039" s="21" t="n">
        <f aca="false">IF(H15029&gt;0,H15029/(H15029+MAX(0,H14927*CHOOSE($C$14910,Assumptions!$C$82,Assumptions!$C$101,Assumptions!$C$120)-H15031)),0)</f>
        <v>1</v>
      </c>
      <c r="I15039" s="21" t="n">
        <f aca="false">IF(I15029&gt;0,I15029/(I15029+MAX(0,I14927*CHOOSE($C$14910,Assumptions!$C$82,Assumptions!$C$101,Assumptions!$C$120)-I15031)),0)</f>
        <v>1</v>
      </c>
      <c r="J15039" s="21" t="n">
        <f aca="false">IF(J15029&gt;0,J15029/(J15029+MAX(0,J14927*CHOOSE($C$14910,Assumptions!$C$82,Assumptions!$C$101,Assumptions!$C$120)-J15031)),0)</f>
        <v>1</v>
      </c>
      <c r="K15039" s="21" t="n">
        <f aca="false">IF(K15029&gt;0,K15029/(K15029+MAX(0,K14927*CHOOSE($C$14910,Assumptions!$C$82,Assumptions!$C$101,Assumptions!$C$120)-K15031)),0)</f>
        <v>1</v>
      </c>
    </row>
    <row r="15040" customFormat="false" ht="15" hidden="false" customHeight="false" outlineLevel="0" collapsed="false">
      <c r="A15040" s="3" t="s">
        <v>369</v>
      </c>
      <c r="G15040" s="21" t="n">
        <f aca="false">IF(G15029&gt;0,MAX(0,G15022)/G15029,0)</f>
        <v>0.248721910490829</v>
      </c>
      <c r="H15040" s="21" t="n">
        <f aca="false">IF(H15029&gt;0,MAX(0,H15022)/H15029,0)</f>
        <v>0.206856519388737</v>
      </c>
      <c r="I15040" s="21" t="n">
        <f aca="false">IF(I15029&gt;0,MAX(0,I15022)/I15029,0)</f>
        <v>0</v>
      </c>
      <c r="J15040" s="21" t="n">
        <f aca="false">IF(J15029&gt;0,MAX(0,J15022)/J15029,0)</f>
        <v>0</v>
      </c>
      <c r="K15040" s="21" t="n">
        <f aca="false">IF(K15029&gt;0,MAX(0,K15022)/K15029,0)</f>
        <v>0</v>
      </c>
    </row>
    <row r="15041" customFormat="false" ht="15" hidden="false" customHeight="false" outlineLevel="0" collapsed="false">
      <c r="A15041" s="3" t="s">
        <v>370</v>
      </c>
      <c r="G15041" s="25" t="n">
        <f aca="false">Assumptions!$C$30*(1-CHOOSE($C$14910,Assumptions!$C$85,Assumptions!$C$104,Assumptions!$C$123))</f>
        <v>1595.73115</v>
      </c>
      <c r="H15041" s="25" t="n">
        <f aca="false">Assumptions!$C$30*(1-CHOOSE($C$14910,Assumptions!$C$85,Assumptions!$C$104,Assumptions!$C$123))</f>
        <v>1595.73115</v>
      </c>
      <c r="I15041" s="25" t="n">
        <f aca="false">Assumptions!$C$30*(1-CHOOSE($C$14910,Assumptions!$C$85,Assumptions!$C$104,Assumptions!$C$123))</f>
        <v>1595.73115</v>
      </c>
      <c r="J15041" s="25" t="n">
        <f aca="false">Assumptions!$C$30*(1-CHOOSE($C$14910,Assumptions!$C$85,Assumptions!$C$104,Assumptions!$C$123))</f>
        <v>1595.73115</v>
      </c>
      <c r="K15041" s="25" t="n">
        <f aca="false">Assumptions!$C$30*(1-CHOOSE($C$14910,Assumptions!$C$85,Assumptions!$C$104,Assumptions!$C$123))</f>
        <v>1595.73115</v>
      </c>
    </row>
    <row r="15042" customFormat="false" ht="15" hidden="false" customHeight="false" outlineLevel="0" collapsed="false">
      <c r="A15042" s="23" t="s">
        <v>371</v>
      </c>
      <c r="B15042" s="24"/>
      <c r="C15042" s="24"/>
      <c r="D15042" s="24"/>
      <c r="E15042" s="24"/>
      <c r="F15042" s="24"/>
      <c r="G15042" s="24"/>
      <c r="H15042" s="24"/>
      <c r="I15042" s="24"/>
      <c r="J15042" s="24"/>
      <c r="K15042" s="24"/>
    </row>
    <row r="15043" customFormat="false" ht="15" hidden="false" customHeight="false" outlineLevel="0" collapsed="false">
      <c r="A15043" s="23" t="s">
        <v>372</v>
      </c>
      <c r="B15043" s="24"/>
      <c r="C15043" s="24"/>
      <c r="D15043" s="24"/>
      <c r="E15043" s="24"/>
      <c r="F15043" s="24"/>
      <c r="G15043" s="24"/>
      <c r="H15043" s="24"/>
      <c r="I15043" s="24"/>
      <c r="J15043" s="24"/>
      <c r="K15043" s="24"/>
    </row>
    <row r="15044" customFormat="false" ht="15" hidden="false" customHeight="false" outlineLevel="0" collapsed="false">
      <c r="A15044" s="3" t="s">
        <v>373</v>
      </c>
      <c r="G15044" s="32" t="n">
        <f aca="false">IF(G14927&gt;0,G15031/G14927,99)</f>
        <v>7.49990986858087</v>
      </c>
      <c r="H15044" s="32" t="n">
        <f aca="false">IF(H14927&gt;0,H15031/H14927,99)</f>
        <v>10.7970634560838</v>
      </c>
      <c r="I15044" s="32" t="n">
        <f aca="false">IF(I14927&gt;0,I15031/I14927,99)</f>
        <v>13.6813219341771</v>
      </c>
      <c r="J15044" s="32" t="n">
        <f aca="false">IF(J14927&gt;0,J15031/J14927,99)</f>
        <v>15.7086801490181</v>
      </c>
      <c r="K15044" s="32" t="n">
        <f aca="false">IF(K14927&gt;0,K15031/K14927,99)</f>
        <v>17.6426302993449</v>
      </c>
    </row>
    <row r="15045" customFormat="false" ht="15" hidden="false" customHeight="false" outlineLevel="0" collapsed="false">
      <c r="A15045" s="3" t="s">
        <v>374</v>
      </c>
      <c r="G15045" s="33" t="n">
        <f aca="false">Assumptions!$G$65</f>
        <v>5.25</v>
      </c>
      <c r="H15045" s="33" t="n">
        <f aca="false">Assumptions!$H$65</f>
        <v>5.25</v>
      </c>
      <c r="I15045" s="33" t="n">
        <f aca="false">Assumptions!$I$65</f>
        <v>5</v>
      </c>
      <c r="J15045" s="33" t="n">
        <f aca="false">Assumptions!$J$65</f>
        <v>5</v>
      </c>
      <c r="K15045" s="33" t="n">
        <f aca="false">Assumptions!$K$65</f>
        <v>5</v>
      </c>
    </row>
    <row r="15046" customFormat="false" ht="15" hidden="false" customHeight="false" outlineLevel="0" collapsed="false">
      <c r="A15046" s="3" t="s">
        <v>375</v>
      </c>
      <c r="G15046" s="32" t="n">
        <f aca="false">G15045-G15044</f>
        <v>-2.24990986858086</v>
      </c>
      <c r="H15046" s="32" t="n">
        <f aca="false">H15045-H15044</f>
        <v>-5.54706345608375</v>
      </c>
      <c r="I15046" s="32" t="n">
        <f aca="false">I15045-I15044</f>
        <v>-8.68132193417709</v>
      </c>
      <c r="J15046" s="32" t="n">
        <f aca="false">J15045-J15044</f>
        <v>-10.7086801490181</v>
      </c>
      <c r="K15046" s="32" t="n">
        <f aca="false">K15045-K15044</f>
        <v>-12.6426302993449</v>
      </c>
    </row>
    <row r="15047" customFormat="false" ht="15" hidden="false" customHeight="false" outlineLevel="0" collapsed="false">
      <c r="A15047" s="3" t="s">
        <v>376</v>
      </c>
      <c r="G15047" s="21" t="n">
        <f aca="false">IF(G15045=0,0,G15046/ABS(G15045))</f>
        <v>-0.42855426068207</v>
      </c>
      <c r="H15047" s="21" t="n">
        <f aca="false">IF(H15045=0,0,H15046/ABS(H15045))</f>
        <v>-1.05658351544452</v>
      </c>
      <c r="I15047" s="21" t="n">
        <f aca="false">IF(I15045=0,0,I15046/ABS(I15045))</f>
        <v>-1.73626438683542</v>
      </c>
      <c r="J15047" s="21" t="n">
        <f aca="false">IF(J15045=0,0,J15046/ABS(J15045))</f>
        <v>-2.14173602980363</v>
      </c>
      <c r="K15047" s="21" t="n">
        <f aca="false">IF(K15045=0,0,K15046/ABS(K15045))</f>
        <v>-2.52852605986897</v>
      </c>
    </row>
    <row r="15048" customFormat="false" ht="15" hidden="false" customHeight="false" outlineLevel="0" collapsed="false">
      <c r="A15048" s="3" t="s">
        <v>377</v>
      </c>
      <c r="G15048" s="20" t="n">
        <f aca="false">IF(G15046&lt;0,1,0)</f>
        <v>1</v>
      </c>
      <c r="H15048" s="20" t="n">
        <f aca="false">IF(H15046&lt;0,1,0)</f>
        <v>1</v>
      </c>
      <c r="I15048" s="20" t="n">
        <f aca="false">IF(I15046&lt;0,1,0)</f>
        <v>1</v>
      </c>
      <c r="J15048" s="20" t="n">
        <f aca="false">IF(J15046&lt;0,1,0)</f>
        <v>1</v>
      </c>
      <c r="K15048" s="20" t="n">
        <f aca="false">IF(K15046&lt;0,1,0)</f>
        <v>1</v>
      </c>
    </row>
    <row r="15049" customFormat="false" ht="15" hidden="false" customHeight="false" outlineLevel="0" collapsed="false">
      <c r="A15049" s="3" t="s">
        <v>378</v>
      </c>
      <c r="C15049" s="20" t="n">
        <f aca="false">IFERROR(INDEX($G$14917:$K$14917,MATCH(1,$G$15048:$K$15048,0)),0)</f>
        <v>2027</v>
      </c>
    </row>
    <row r="15050" customFormat="false" ht="15" hidden="false" customHeight="false" outlineLevel="0" collapsed="false">
      <c r="A15050" s="3" t="s">
        <v>379</v>
      </c>
      <c r="C15050" s="21" t="n">
        <f aca="false">MIN($G$15047:$K$15047)</f>
        <v>-2.52852605986897</v>
      </c>
    </row>
    <row r="15051" customFormat="false" ht="15" hidden="false" customHeight="false" outlineLevel="0" collapsed="false">
      <c r="A15051" s="23" t="s">
        <v>380</v>
      </c>
      <c r="B15051" s="24"/>
      <c r="C15051" s="24"/>
      <c r="D15051" s="24"/>
      <c r="E15051" s="24"/>
      <c r="F15051" s="24"/>
      <c r="G15051" s="24"/>
      <c r="H15051" s="24"/>
      <c r="I15051" s="24"/>
      <c r="J15051" s="24"/>
      <c r="K15051" s="24"/>
    </row>
    <row r="15052" customFormat="false" ht="15" hidden="false" customHeight="false" outlineLevel="0" collapsed="false">
      <c r="A15052" s="3" t="s">
        <v>373</v>
      </c>
      <c r="G15052" s="32" t="n">
        <f aca="false">IF(G14931&gt;0,G14927/G14931,99)</f>
        <v>1.11476782580477</v>
      </c>
      <c r="H15052" s="32" t="n">
        <f aca="false">IF(H14931&gt;0,H14927/H14931,99)</f>
        <v>0.817496405590163</v>
      </c>
      <c r="I15052" s="32" t="n">
        <f aca="false">IF(I14931&gt;0,I14927/I14931,99)</f>
        <v>0.686696980695737</v>
      </c>
      <c r="J15052" s="32" t="n">
        <f aca="false">IF(J14931&gt;0,J14927/J14931,99)</f>
        <v>0.682012179303795</v>
      </c>
      <c r="K15052" s="32" t="n">
        <f aca="false">IF(K14931&gt;0,K14927/K14931,99)</f>
        <v>0.641091448545568</v>
      </c>
    </row>
    <row r="15053" customFormat="false" ht="15" hidden="false" customHeight="false" outlineLevel="0" collapsed="false">
      <c r="A15053" s="3" t="s">
        <v>374</v>
      </c>
      <c r="G15053" s="33" t="n">
        <f aca="false">Assumptions!$G$66</f>
        <v>1.4</v>
      </c>
      <c r="H15053" s="33" t="n">
        <f aca="false">Assumptions!$H$66</f>
        <v>1.4</v>
      </c>
      <c r="I15053" s="33" t="n">
        <f aca="false">Assumptions!$I$66</f>
        <v>1.4</v>
      </c>
      <c r="J15053" s="33" t="n">
        <f aca="false">Assumptions!$J$66</f>
        <v>1.5</v>
      </c>
      <c r="K15053" s="33" t="n">
        <f aca="false">Assumptions!$K$66</f>
        <v>1.5</v>
      </c>
    </row>
    <row r="15054" customFormat="false" ht="15" hidden="false" customHeight="false" outlineLevel="0" collapsed="false">
      <c r="A15054" s="3" t="s">
        <v>375</v>
      </c>
      <c r="G15054" s="32" t="n">
        <f aca="false">G15052-G15053</f>
        <v>-0.285232174195233</v>
      </c>
      <c r="H15054" s="32" t="n">
        <f aca="false">H15052-H15053</f>
        <v>-0.582503594409837</v>
      </c>
      <c r="I15054" s="32" t="n">
        <f aca="false">I15052-I15053</f>
        <v>-0.713303019304263</v>
      </c>
      <c r="J15054" s="32" t="n">
        <f aca="false">J15052-J15053</f>
        <v>-0.817987820696205</v>
      </c>
      <c r="K15054" s="32" t="n">
        <f aca="false">K15052-K15053</f>
        <v>-0.858908551454433</v>
      </c>
    </row>
    <row r="15055" customFormat="false" ht="15" hidden="false" customHeight="false" outlineLevel="0" collapsed="false">
      <c r="A15055" s="3" t="s">
        <v>376</v>
      </c>
      <c r="G15055" s="21" t="n">
        <f aca="false">IF(G15053=0,0,G15054/ABS(G15053))</f>
        <v>-0.203737267282309</v>
      </c>
      <c r="H15055" s="21" t="n">
        <f aca="false">IF(H15053=0,0,H15054/ABS(H15053))</f>
        <v>-0.416073996007027</v>
      </c>
      <c r="I15055" s="21" t="n">
        <f aca="false">IF(I15053=0,0,I15054/ABS(I15053))</f>
        <v>-0.509502156645902</v>
      </c>
      <c r="J15055" s="21" t="n">
        <f aca="false">IF(J15053=0,0,J15054/ABS(J15053))</f>
        <v>-0.54532521379747</v>
      </c>
      <c r="K15055" s="21" t="n">
        <f aca="false">IF(K15053=0,0,K15054/ABS(K15053))</f>
        <v>-0.572605700969622</v>
      </c>
    </row>
    <row r="15056" customFormat="false" ht="15" hidden="false" customHeight="false" outlineLevel="0" collapsed="false">
      <c r="A15056" s="3" t="s">
        <v>377</v>
      </c>
      <c r="G15056" s="20" t="n">
        <f aca="false">IF(G15054&lt;0,1,0)</f>
        <v>1</v>
      </c>
      <c r="H15056" s="20" t="n">
        <f aca="false">IF(H15054&lt;0,1,0)</f>
        <v>1</v>
      </c>
      <c r="I15056" s="20" t="n">
        <f aca="false">IF(I15054&lt;0,1,0)</f>
        <v>1</v>
      </c>
      <c r="J15056" s="20" t="n">
        <f aca="false">IF(J15054&lt;0,1,0)</f>
        <v>1</v>
      </c>
      <c r="K15056" s="20" t="n">
        <f aca="false">IF(K15054&lt;0,1,0)</f>
        <v>1</v>
      </c>
    </row>
    <row r="15057" customFormat="false" ht="15" hidden="false" customHeight="false" outlineLevel="0" collapsed="false">
      <c r="A15057" s="3" t="s">
        <v>378</v>
      </c>
      <c r="C15057" s="20" t="n">
        <f aca="false">IFERROR(INDEX($G$14917:$K$14917,MATCH(1,$G$15056:$K$15056,0)),0)</f>
        <v>2027</v>
      </c>
    </row>
    <row r="15058" customFormat="false" ht="15" hidden="false" customHeight="false" outlineLevel="0" collapsed="false">
      <c r="A15058" s="3" t="s">
        <v>379</v>
      </c>
      <c r="C15058" s="21" t="n">
        <f aca="false">MIN($G$15055:$K$15055)</f>
        <v>-0.572605700969622</v>
      </c>
    </row>
    <row r="15059" customFormat="false" ht="15" hidden="false" customHeight="false" outlineLevel="0" collapsed="false">
      <c r="A15059" s="23" t="s">
        <v>381</v>
      </c>
      <c r="B15059" s="24"/>
      <c r="C15059" s="24"/>
      <c r="D15059" s="24"/>
      <c r="E15059" s="24"/>
      <c r="F15059" s="24"/>
      <c r="G15059" s="24"/>
      <c r="H15059" s="24"/>
      <c r="I15059" s="24"/>
      <c r="J15059" s="24"/>
      <c r="K15059" s="24"/>
    </row>
    <row r="15060" customFormat="false" ht="15" hidden="false" customHeight="false" outlineLevel="0" collapsed="false">
      <c r="A15060" s="3" t="s">
        <v>373</v>
      </c>
      <c r="G15060" s="25" t="n">
        <f aca="false">G15038</f>
        <v>431.67030664</v>
      </c>
      <c r="H15060" s="25" t="n">
        <f aca="false">H15038</f>
        <v>359.0106596512</v>
      </c>
      <c r="I15060" s="25" t="n">
        <f aca="false">I15038</f>
        <v>0</v>
      </c>
      <c r="J15060" s="25" t="n">
        <f aca="false">J15038</f>
        <v>0</v>
      </c>
      <c r="K15060" s="25" t="n">
        <f aca="false">K15038</f>
        <v>0</v>
      </c>
    </row>
    <row r="15061" customFormat="false" ht="15" hidden="false" customHeight="false" outlineLevel="0" collapsed="false">
      <c r="A15061" s="3" t="s">
        <v>374</v>
      </c>
      <c r="G15061" s="29" t="n">
        <f aca="false">Assumptions!$G$67</f>
        <v>200</v>
      </c>
      <c r="H15061" s="29" t="n">
        <f aca="false">Assumptions!$H$67</f>
        <v>200</v>
      </c>
      <c r="I15061" s="29" t="n">
        <f aca="false">Assumptions!$I$67</f>
        <v>200</v>
      </c>
      <c r="J15061" s="29" t="n">
        <f aca="false">Assumptions!$J$67</f>
        <v>200</v>
      </c>
      <c r="K15061" s="29" t="n">
        <f aca="false">Assumptions!$K$67</f>
        <v>200</v>
      </c>
    </row>
    <row r="15062" customFormat="false" ht="15" hidden="false" customHeight="false" outlineLevel="0" collapsed="false">
      <c r="A15062" s="3" t="s">
        <v>375</v>
      </c>
      <c r="G15062" s="25" t="n">
        <f aca="false">G15060-G15061</f>
        <v>231.67030664</v>
      </c>
      <c r="H15062" s="25" t="n">
        <f aca="false">H15060-H15061</f>
        <v>159.0106596512</v>
      </c>
      <c r="I15062" s="25" t="n">
        <f aca="false">I15060-I15061</f>
        <v>-200</v>
      </c>
      <c r="J15062" s="25" t="n">
        <f aca="false">J15060-J15061</f>
        <v>-200</v>
      </c>
      <c r="K15062" s="25" t="n">
        <f aca="false">K15060-K15061</f>
        <v>-200</v>
      </c>
    </row>
    <row r="15063" customFormat="false" ht="15" hidden="false" customHeight="false" outlineLevel="0" collapsed="false">
      <c r="A15063" s="3" t="s">
        <v>376</v>
      </c>
      <c r="G15063" s="21" t="n">
        <f aca="false">IF(G15061=0,0,G15062/ABS(G15061))</f>
        <v>1.1583515332</v>
      </c>
      <c r="H15063" s="21" t="n">
        <f aca="false">IF(H15061=0,0,H15062/ABS(H15061))</f>
        <v>0.795053298256</v>
      </c>
      <c r="I15063" s="21" t="n">
        <f aca="false">IF(I15061=0,0,I15062/ABS(I15061))</f>
        <v>-1</v>
      </c>
      <c r="J15063" s="21" t="n">
        <f aca="false">IF(J15061=0,0,J15062/ABS(J15061))</f>
        <v>-1</v>
      </c>
      <c r="K15063" s="21" t="n">
        <f aca="false">IF(K15061=0,0,K15062/ABS(K15061))</f>
        <v>-1</v>
      </c>
    </row>
    <row r="15064" customFormat="false" ht="15" hidden="false" customHeight="false" outlineLevel="0" collapsed="false">
      <c r="A15064" s="3" t="s">
        <v>377</v>
      </c>
      <c r="G15064" s="20" t="n">
        <f aca="false">IF(G15062&lt;0,1,0)</f>
        <v>0</v>
      </c>
      <c r="H15064" s="20" t="n">
        <f aca="false">IF(H15062&lt;0,1,0)</f>
        <v>0</v>
      </c>
      <c r="I15064" s="20" t="n">
        <f aca="false">IF(I15062&lt;0,1,0)</f>
        <v>1</v>
      </c>
      <c r="J15064" s="20" t="n">
        <f aca="false">IF(J15062&lt;0,1,0)</f>
        <v>1</v>
      </c>
      <c r="K15064" s="20" t="n">
        <f aca="false">IF(K15062&lt;0,1,0)</f>
        <v>1</v>
      </c>
    </row>
    <row r="15065" customFormat="false" ht="15" hidden="false" customHeight="false" outlineLevel="0" collapsed="false">
      <c r="A15065" s="3" t="s">
        <v>378</v>
      </c>
      <c r="C15065" s="20" t="n">
        <f aca="false">IFERROR(INDEX($G$14917:$K$14917,MATCH(1,$G$15064:$K$15064,0)),0)</f>
        <v>2029</v>
      </c>
    </row>
    <row r="15066" customFormat="false" ht="15" hidden="false" customHeight="false" outlineLevel="0" collapsed="false">
      <c r="A15066" s="3" t="s">
        <v>379</v>
      </c>
      <c r="C15066" s="21" t="n">
        <f aca="false">MIN($G$15063:$K$15063)</f>
        <v>-1</v>
      </c>
    </row>
    <row r="15067" customFormat="false" ht="15" hidden="false" customHeight="false" outlineLevel="0" collapsed="false">
      <c r="A15067" s="3" t="s">
        <v>382</v>
      </c>
      <c r="G15067" s="20" t="n">
        <f aca="false">G15048+G15056+G15064</f>
        <v>2</v>
      </c>
      <c r="H15067" s="20" t="n">
        <f aca="false">H15048+H15056+H15064</f>
        <v>2</v>
      </c>
      <c r="I15067" s="20" t="n">
        <f aca="false">I15048+I15056+I15064</f>
        <v>3</v>
      </c>
      <c r="J15067" s="20" t="n">
        <f aca="false">J15048+J15056+J15064</f>
        <v>3</v>
      </c>
      <c r="K15067" s="20" t="n">
        <f aca="false">K15048+K15056+K15064</f>
        <v>3</v>
      </c>
    </row>
    <row r="15068" customFormat="false" ht="15" hidden="false" customHeight="false" outlineLevel="0" collapsed="false">
      <c r="A15068" s="3" t="s">
        <v>383</v>
      </c>
      <c r="C15068" s="20" t="n">
        <f aca="false">SUM($G$15067:$K$15067)</f>
        <v>13</v>
      </c>
    </row>
    <row r="15069" customFormat="false" ht="15" hidden="false" customHeight="false" outlineLevel="0" collapsed="false">
      <c r="A15069" s="3" t="s">
        <v>384</v>
      </c>
      <c r="C15069" s="21" t="n">
        <f aca="false">MIN(C15050,C15058,C15066)</f>
        <v>-2.52852605986897</v>
      </c>
    </row>
    <row r="15071" customFormat="false" ht="15" hidden="false" customHeight="false" outlineLevel="0" collapsed="false">
      <c r="A15071" s="23" t="s">
        <v>486</v>
      </c>
      <c r="B15071" s="24"/>
      <c r="C15071" s="24"/>
      <c r="D15071" s="24"/>
      <c r="E15071" s="24"/>
      <c r="F15071" s="24"/>
      <c r="G15071" s="24"/>
      <c r="H15071" s="24"/>
      <c r="I15071" s="24"/>
      <c r="J15071" s="24"/>
      <c r="K15071" s="24"/>
    </row>
    <row r="15072" customFormat="false" ht="15" hidden="false" customHeight="false" outlineLevel="0" collapsed="false">
      <c r="A15072" s="3" t="s">
        <v>487</v>
      </c>
      <c r="G15072" s="20" t="n">
        <f aca="false">IF($C$15073=1,G15025,IF(G14927=MIN($G$14927:$K$14927),1,0))</f>
        <v>0</v>
      </c>
      <c r="H15072" s="20" t="n">
        <f aca="false">IF($C$15073=1,H15025,IF(AND(H14927=MIN($G$14927:$K$14927),SUM($G$15072:G15072)=0),1,0))</f>
        <v>0</v>
      </c>
      <c r="I15072" s="20" t="n">
        <f aca="false">IF($C$15073=1,I15025,IF(AND(I14927=MIN($G$14927:$K$14927),SUM($G$15072:H15072)=0),1,0))</f>
        <v>1</v>
      </c>
      <c r="J15072" s="20" t="n">
        <f aca="false">IF($C$15073=1,J15025,IF(AND(J14927=MIN($G$14927:$K$14927),SUM($G$15072:I15072)=0),1,0))</f>
        <v>0</v>
      </c>
      <c r="K15072" s="20" t="n">
        <f aca="false">IF($C$15073=1,K15025,IF(AND(K14927=MIN($G$14927:$K$14927),SUM($G$15072:J15072)=0),1,0))</f>
        <v>0</v>
      </c>
    </row>
    <row r="15073" customFormat="false" ht="15" hidden="false" customHeight="false" outlineLevel="0" collapsed="false">
      <c r="A15073" s="3" t="s">
        <v>488</v>
      </c>
      <c r="C15073" s="20" t="n">
        <f aca="false">IF(SUM($G$15025:$K$15025)&gt;0,1,0)</f>
        <v>1</v>
      </c>
    </row>
    <row r="15074" customFormat="false" ht="15" hidden="false" customHeight="false" outlineLevel="0" collapsed="false">
      <c r="A15074" s="3" t="s">
        <v>489</v>
      </c>
      <c r="C15074" s="20" t="n">
        <f aca="false">SUMPRODUCT($G$15072:$K$15072,$G$14917:$K$14917)</f>
        <v>2029</v>
      </c>
    </row>
    <row r="15075" customFormat="false" ht="15" hidden="false" customHeight="false" outlineLevel="0" collapsed="false">
      <c r="A15075" s="3" t="s">
        <v>490</v>
      </c>
      <c r="C15075" s="25" t="n">
        <f aca="false">SUMPRODUCT($G$15072:$K$15072,$G$14927:$K$14927)</f>
        <v>107.0936010144</v>
      </c>
    </row>
    <row r="15076" customFormat="false" ht="15" hidden="false" customHeight="false" outlineLevel="0" collapsed="false">
      <c r="A15076" s="3" t="s">
        <v>491</v>
      </c>
      <c r="C15076" s="25" t="n">
        <f aca="false">MAX(0,SUMPRODUCT($G$15072:$K$15072,$G$15022:$K$15022))</f>
        <v>0</v>
      </c>
    </row>
    <row r="15077" customFormat="false" ht="15" hidden="false" customHeight="false" outlineLevel="0" collapsed="false">
      <c r="A15077" s="3" t="s">
        <v>492</v>
      </c>
      <c r="C15077" s="25" t="n">
        <f aca="false">(CHOOSE($C$14910,Assumptions!$C$84,Assumptions!$C$103,Assumptions!$C$122)+$C$14914)*C15075</f>
        <v>428.3744040576</v>
      </c>
    </row>
    <row r="15078" customFormat="false" ht="15" hidden="false" customHeight="false" outlineLevel="0" collapsed="false">
      <c r="A15078" s="3" t="s">
        <v>493</v>
      </c>
      <c r="C15078" s="25" t="n">
        <f aca="false">Assumptions!$C$30*(1-CHOOSE($C$14910,Assumptions!$C$85,Assumptions!$C$104,Assumptions!$C$123))*CHOOSE($C$14910,Assumptions!$C$86,Assumptions!$C$105,Assumptions!$C$124)</f>
        <v>478.719345</v>
      </c>
    </row>
    <row r="15079" customFormat="false" ht="15" hidden="false" customHeight="false" outlineLevel="0" collapsed="false">
      <c r="A15079" s="3" t="s">
        <v>494</v>
      </c>
      <c r="C15079" s="25" t="n">
        <f aca="false">MAX(C15077,C15078)+C15076</f>
        <v>478.719345</v>
      </c>
    </row>
    <row r="15080" customFormat="false" ht="15" hidden="false" customHeight="false" outlineLevel="0" collapsed="false">
      <c r="A15080" s="2" t="s">
        <v>495</v>
      </c>
      <c r="C15080" s="16" t="n">
        <f aca="false">IF(ISNUMBER(Assumptions!$C$14),Assumptions!$C$14,C15079)</f>
        <v>478.719345</v>
      </c>
    </row>
    <row r="15081" customFormat="false" ht="15" hidden="false" customHeight="false" outlineLevel="0" collapsed="false">
      <c r="A15081" s="3" t="s">
        <v>496</v>
      </c>
      <c r="C15081" s="25" t="n">
        <f aca="false">C15080*Assumptions!$C$15</f>
        <v>19.1487738</v>
      </c>
    </row>
    <row r="15082" customFormat="false" ht="15" hidden="false" customHeight="false" outlineLevel="0" collapsed="false">
      <c r="A15082" s="2" t="s">
        <v>497</v>
      </c>
      <c r="C15082" s="16" t="n">
        <f aca="false">C15080-C15081</f>
        <v>459.5705712</v>
      </c>
    </row>
    <row r="15083" customFormat="false" ht="15" hidden="false" customHeight="false" outlineLevel="0" collapsed="false">
      <c r="A15083" s="23" t="s">
        <v>498</v>
      </c>
      <c r="B15083" s="24"/>
      <c r="C15083" s="24"/>
      <c r="D15083" s="24"/>
      <c r="E15083" s="24"/>
      <c r="F15083" s="24"/>
      <c r="G15083" s="24"/>
      <c r="H15083" s="24"/>
      <c r="I15083" s="24"/>
      <c r="J15083" s="24"/>
      <c r="K15083" s="24"/>
    </row>
    <row r="15084" customFormat="false" ht="15" hidden="false" customHeight="false" outlineLevel="0" collapsed="false">
      <c r="A15084" s="3" t="s">
        <v>499</v>
      </c>
      <c r="C15084" s="25" t="n">
        <f aca="false">SUMPRODUCT($G$15072:$K$15072,$G$14964:$K$14964)*(1+SUMPRODUCT($G$15072:$K$15072,$G$14956:$K$14956)*Assumptions!$C$16/12)</f>
        <v>1349.6193225</v>
      </c>
    </row>
    <row r="15085" customFormat="false" ht="15" hidden="false" customHeight="false" outlineLevel="0" collapsed="false">
      <c r="A15085" s="3" t="s">
        <v>500</v>
      </c>
      <c r="C15085" s="25" t="n">
        <f aca="false">SUMPRODUCT($G$15072:$K$15072,$G$14977:$K$14977)*(1+SUMPRODUCT($G$15072:$K$15072,$G$14969:$K$14969)*Assumptions!$C$16/12)</f>
        <v>6.40133166435848</v>
      </c>
    </row>
    <row r="15086" customFormat="false" ht="15" hidden="false" customHeight="false" outlineLevel="0" collapsed="false">
      <c r="A15086" s="3" t="s">
        <v>501</v>
      </c>
      <c r="C15086" s="25" t="n">
        <f aca="false">SUMPRODUCT($G$15072:$K$15072,$G$14990:$K$14990)*(1+SUMPRODUCT($G$15072:$K$15072,$G$14982:$K$14982)*Assumptions!$C$16/12)</f>
        <v>145.27734375</v>
      </c>
    </row>
    <row r="15087" customFormat="false" ht="15" hidden="false" customHeight="false" outlineLevel="0" collapsed="false">
      <c r="A15087" s="23" t="s">
        <v>502</v>
      </c>
      <c r="B15087" s="24"/>
      <c r="C15087" s="24"/>
      <c r="D15087" s="24"/>
      <c r="E15087" s="24"/>
      <c r="F15087" s="24"/>
      <c r="G15087" s="24"/>
      <c r="H15087" s="24"/>
      <c r="I15087" s="24"/>
      <c r="J15087" s="24"/>
      <c r="K15087" s="24"/>
    </row>
    <row r="15088" customFormat="false" ht="15" hidden="false" customHeight="false" outlineLevel="0" collapsed="false">
      <c r="A15088" s="3" t="s">
        <v>499</v>
      </c>
      <c r="C15088" s="27" t="n">
        <f aca="false">Assumptions!$M$56</f>
        <v>1</v>
      </c>
    </row>
    <row r="15089" customFormat="false" ht="15" hidden="false" customHeight="false" outlineLevel="0" collapsed="false">
      <c r="A15089" s="3" t="s">
        <v>500</v>
      </c>
      <c r="C15089" s="27" t="n">
        <f aca="false">Assumptions!$M$57</f>
        <v>2</v>
      </c>
    </row>
    <row r="15090" customFormat="false" ht="15" hidden="false" customHeight="false" outlineLevel="0" collapsed="false">
      <c r="A15090" s="3" t="s">
        <v>501</v>
      </c>
      <c r="C15090" s="27" t="n">
        <f aca="false">Assumptions!$M$58</f>
        <v>2</v>
      </c>
    </row>
    <row r="15091" customFormat="false" ht="15" hidden="false" customHeight="false" outlineLevel="0" collapsed="false">
      <c r="A15091" s="23" t="s">
        <v>503</v>
      </c>
      <c r="B15091" s="24"/>
      <c r="C15091" s="24"/>
      <c r="D15091" s="24"/>
      <c r="E15091" s="24"/>
      <c r="F15091" s="24"/>
      <c r="G15091" s="24"/>
      <c r="H15091" s="24"/>
      <c r="I15091" s="24"/>
      <c r="J15091" s="24"/>
      <c r="K15091" s="24"/>
    </row>
    <row r="15092" customFormat="false" ht="15" hidden="false" customHeight="false" outlineLevel="0" collapsed="false">
      <c r="A15092" s="3" t="s">
        <v>499</v>
      </c>
      <c r="C15092" s="35" t="n">
        <f aca="false">Assumptions!$Q$56</f>
        <v>0</v>
      </c>
    </row>
    <row r="15093" customFormat="false" ht="15" hidden="false" customHeight="false" outlineLevel="0" collapsed="false">
      <c r="A15093" s="3" t="s">
        <v>500</v>
      </c>
      <c r="C15093" s="35" t="n">
        <f aca="false">Assumptions!$Q$57</f>
        <v>0</v>
      </c>
    </row>
    <row r="15094" customFormat="false" ht="15" hidden="false" customHeight="false" outlineLevel="0" collapsed="false">
      <c r="A15094" s="3" t="s">
        <v>501</v>
      </c>
      <c r="C15094" s="35" t="n">
        <f aca="false">Assumptions!$Q$58</f>
        <v>0</v>
      </c>
    </row>
    <row r="15095" customFormat="false" ht="15" hidden="false" customHeight="false" outlineLevel="0" collapsed="false">
      <c r="A15095" s="23" t="s">
        <v>504</v>
      </c>
      <c r="B15095" s="24"/>
      <c r="C15095" s="24"/>
      <c r="D15095" s="24"/>
      <c r="E15095" s="24"/>
      <c r="F15095" s="24"/>
      <c r="G15095" s="24"/>
      <c r="H15095" s="24"/>
      <c r="I15095" s="24"/>
      <c r="J15095" s="24"/>
      <c r="K15095" s="24"/>
    </row>
    <row r="15096" customFormat="false" ht="15" hidden="false" customHeight="false" outlineLevel="0" collapsed="false">
      <c r="A15096" s="3" t="s">
        <v>499</v>
      </c>
      <c r="C15096" s="25" t="n">
        <f aca="false">IF(C15092&gt;0,MIN(C15084,C15092*$C$15082),0)</f>
        <v>0</v>
      </c>
    </row>
    <row r="15097" customFormat="false" ht="15" hidden="false" customHeight="false" outlineLevel="0" collapsed="false">
      <c r="A15097" s="3" t="s">
        <v>500</v>
      </c>
      <c r="C15097" s="25" t="n">
        <f aca="false">IF(C15093&gt;0,MIN(C15085,C15093*$C$15082),0)</f>
        <v>0</v>
      </c>
    </row>
    <row r="15098" customFormat="false" ht="15" hidden="false" customHeight="false" outlineLevel="0" collapsed="false">
      <c r="A15098" s="3" t="s">
        <v>501</v>
      </c>
      <c r="C15098" s="25" t="n">
        <f aca="false">IF(C15094&gt;0,MIN(C15086,C15094*$C$15082),0)</f>
        <v>0</v>
      </c>
    </row>
    <row r="15099" customFormat="false" ht="15" hidden="false" customHeight="false" outlineLevel="0" collapsed="false">
      <c r="A15099" s="23" t="s">
        <v>505</v>
      </c>
      <c r="B15099" s="24"/>
      <c r="C15099" s="24"/>
      <c r="D15099" s="24"/>
      <c r="E15099" s="24"/>
      <c r="F15099" s="24"/>
      <c r="G15099" s="24"/>
      <c r="H15099" s="24"/>
      <c r="I15099" s="24"/>
      <c r="J15099" s="24"/>
      <c r="K15099" s="24"/>
    </row>
    <row r="15100" customFormat="false" ht="15" hidden="false" customHeight="false" outlineLevel="0" collapsed="false">
      <c r="A15100" s="3" t="s">
        <v>499</v>
      </c>
      <c r="C15100" s="25" t="n">
        <f aca="false">IF(C15092&gt;0,C15084-C15096,0)</f>
        <v>0</v>
      </c>
      <c r="G15100" s="20" t="n">
        <f aca="false">IF(AND(G14954=1,G14951=1),1,0)</f>
        <v>0</v>
      </c>
      <c r="H15100" s="20" t="n">
        <f aca="false">IF(G15100=1,1,IF(AND(H14954=1,H14951=1),1,0))</f>
        <v>0</v>
      </c>
      <c r="I15100" s="20" t="n">
        <f aca="false">IF(H15100=1,1,IF(AND(I14954=1,I14951=1),1,0))</f>
        <v>0</v>
      </c>
      <c r="J15100" s="20" t="n">
        <f aca="false">IF(I15100=1,1,IF(AND(J14954=1,J14951=1),1,0))</f>
        <v>0</v>
      </c>
      <c r="K15100" s="20" t="n">
        <f aca="false">IF(J15100=1,1,IF(AND(K14954=1,K14951=1),1,0))</f>
        <v>0</v>
      </c>
    </row>
    <row r="15101" customFormat="false" ht="15" hidden="false" customHeight="false" outlineLevel="0" collapsed="false">
      <c r="A15101" s="3" t="s">
        <v>500</v>
      </c>
      <c r="C15101" s="25" t="n">
        <f aca="false">IF(C15093&gt;0,C15085-C15097,0)</f>
        <v>0</v>
      </c>
      <c r="G15101" s="20" t="n">
        <f aca="false">IF(AND(G14967=1,G14951=1),1,0)</f>
        <v>0</v>
      </c>
      <c r="H15101" s="20" t="n">
        <f aca="false">IF(G15101=1,1,IF(AND(H14967=1,H14951=1),1,0))</f>
        <v>0</v>
      </c>
      <c r="I15101" s="20" t="n">
        <f aca="false">IF(H15101=1,1,IF(AND(I14967=1,I14951=1),1,0))</f>
        <v>0</v>
      </c>
      <c r="J15101" s="20" t="n">
        <f aca="false">IF(I15101=1,1,IF(AND(J14967=1,J14951=1),1,0))</f>
        <v>0</v>
      </c>
      <c r="K15101" s="20" t="n">
        <f aca="false">IF(J15101=1,1,IF(AND(K14967=1,K14951=1),1,0))</f>
        <v>0</v>
      </c>
    </row>
    <row r="15102" customFormat="false" ht="15" hidden="false" customHeight="false" outlineLevel="0" collapsed="false">
      <c r="A15102" s="3" t="s">
        <v>501</v>
      </c>
      <c r="C15102" s="25" t="n">
        <f aca="false">IF(C15094&gt;0,C15086-C15098,0)</f>
        <v>0</v>
      </c>
      <c r="G15102" s="20" t="n">
        <f aca="false">IF(AND(G14980=1,G14951=1),1,0)</f>
        <v>0</v>
      </c>
      <c r="H15102" s="20" t="n">
        <f aca="false">IF(G15102=1,1,IF(AND(H14980=1,H14951=1),1,0))</f>
        <v>0</v>
      </c>
      <c r="I15102" s="20" t="n">
        <f aca="false">IF(H15102=1,1,IF(AND(I14980=1,I14951=1),1,0))</f>
        <v>0</v>
      </c>
      <c r="J15102" s="20" t="n">
        <f aca="false">IF(I15102=1,1,IF(AND(J14980=1,J14951=1),1,0))</f>
        <v>0</v>
      </c>
      <c r="K15102" s="20" t="n">
        <f aca="false">IF(J15102=1,1,IF(AND(K14980=1,K14951=1),1,0))</f>
        <v>0</v>
      </c>
    </row>
    <row r="15103" customFormat="false" ht="15" hidden="false" customHeight="false" outlineLevel="0" collapsed="false">
      <c r="A15103" s="23" t="s">
        <v>506</v>
      </c>
      <c r="B15103" s="24"/>
      <c r="C15103" s="24"/>
      <c r="D15103" s="24"/>
      <c r="E15103" s="24"/>
      <c r="F15103" s="24"/>
      <c r="G15103" s="24"/>
      <c r="H15103" s="24"/>
      <c r="I15103" s="24"/>
      <c r="J15103" s="24"/>
      <c r="K15103" s="24"/>
    </row>
    <row r="15104" customFormat="false" ht="15" hidden="false" customHeight="false" outlineLevel="0" collapsed="false">
      <c r="A15104" s="3" t="s">
        <v>499</v>
      </c>
      <c r="C15104" s="25" t="n">
        <f aca="false">IF(C15092&gt;0,C15100,C15084)</f>
        <v>1349.6193225</v>
      </c>
    </row>
    <row r="15105" customFormat="false" ht="15" hidden="false" customHeight="false" outlineLevel="0" collapsed="false">
      <c r="A15105" s="3" t="s">
        <v>500</v>
      </c>
      <c r="C15105" s="25" t="n">
        <f aca="false">IF(C15093&gt;0,C15101,C15085)</f>
        <v>6.40133166435848</v>
      </c>
    </row>
    <row r="15106" customFormat="false" ht="15" hidden="false" customHeight="false" outlineLevel="0" collapsed="false">
      <c r="A15106" s="3" t="s">
        <v>501</v>
      </c>
      <c r="C15106" s="25" t="n">
        <f aca="false">IF(C15094&gt;0,C15102,C15086)</f>
        <v>145.27734375</v>
      </c>
    </row>
    <row r="15107" customFormat="false" ht="15" hidden="false" customHeight="false" outlineLevel="0" collapsed="false">
      <c r="A15107" s="23" t="s">
        <v>507</v>
      </c>
      <c r="B15107" s="24"/>
      <c r="C15107" s="24"/>
      <c r="D15107" s="24"/>
      <c r="E15107" s="24"/>
      <c r="F15107" s="24"/>
      <c r="G15107" s="24"/>
      <c r="H15107" s="24"/>
      <c r="I15107" s="24"/>
      <c r="J15107" s="24"/>
      <c r="K15107" s="24"/>
    </row>
    <row r="15108" customFormat="false" ht="15" hidden="false" customHeight="false" outlineLevel="0" collapsed="false">
      <c r="A15108" s="3" t="s">
        <v>499</v>
      </c>
      <c r="C15108" s="20" t="n">
        <f aca="false">IF(C15092&gt;0,Assumptions!$C$17,C15088)</f>
        <v>1</v>
      </c>
    </row>
    <row r="15109" customFormat="false" ht="15" hidden="false" customHeight="false" outlineLevel="0" collapsed="false">
      <c r="A15109" s="3" t="s">
        <v>500</v>
      </c>
      <c r="C15109" s="20" t="n">
        <f aca="false">IF(C15093&gt;0,Assumptions!$C$17,C15089)</f>
        <v>2</v>
      </c>
    </row>
    <row r="15110" customFormat="false" ht="15" hidden="false" customHeight="false" outlineLevel="0" collapsed="false">
      <c r="A15110" s="3" t="s">
        <v>501</v>
      </c>
      <c r="C15110" s="20" t="n">
        <f aca="false">IF(C15094&gt;0,Assumptions!$C$17,C15090)</f>
        <v>2</v>
      </c>
    </row>
    <row r="15111" customFormat="false" ht="15" hidden="false" customHeight="false" outlineLevel="0" collapsed="false">
      <c r="A15111" s="23" t="s">
        <v>508</v>
      </c>
      <c r="B15111" s="24"/>
      <c r="C15111" s="24"/>
      <c r="D15111" s="24"/>
      <c r="E15111" s="24"/>
      <c r="F15111" s="24"/>
      <c r="G15111" s="24"/>
      <c r="H15111" s="24"/>
      <c r="I15111" s="24"/>
      <c r="J15111" s="24"/>
      <c r="K15111" s="24"/>
    </row>
    <row r="15112" customFormat="false" ht="15" hidden="false" customHeight="false" outlineLevel="0" collapsed="false">
      <c r="A15112" s="3" t="s">
        <v>499</v>
      </c>
      <c r="C15112" s="25" t="n">
        <f aca="false">SUMPRODUCT(($C$15108:$C$15110&lt;C15108)*$C$15104:$C$15106)</f>
        <v>0</v>
      </c>
    </row>
    <row r="15113" customFormat="false" ht="15" hidden="false" customHeight="false" outlineLevel="0" collapsed="false">
      <c r="A15113" s="3" t="s">
        <v>500</v>
      </c>
      <c r="C15113" s="25" t="n">
        <f aca="false">SUMPRODUCT(($C$15108:$C$15110&lt;C15109)*$C$15104:$C$15106)</f>
        <v>1349.6193225</v>
      </c>
    </row>
    <row r="15114" customFormat="false" ht="15" hidden="false" customHeight="false" outlineLevel="0" collapsed="false">
      <c r="A15114" s="3" t="s">
        <v>501</v>
      </c>
      <c r="C15114" s="25" t="n">
        <f aca="false">SUMPRODUCT(($C$15108:$C$15110&lt;C15110)*$C$15104:$C$15106)</f>
        <v>1349.6193225</v>
      </c>
    </row>
    <row r="15115" customFormat="false" ht="15" hidden="false" customHeight="false" outlineLevel="0" collapsed="false">
      <c r="A15115" s="23" t="s">
        <v>509</v>
      </c>
      <c r="B15115" s="24"/>
      <c r="C15115" s="24"/>
      <c r="D15115" s="24"/>
      <c r="E15115" s="24"/>
      <c r="F15115" s="24"/>
      <c r="G15115" s="24"/>
      <c r="H15115" s="24"/>
      <c r="I15115" s="24"/>
      <c r="J15115" s="24"/>
      <c r="K15115" s="24"/>
    </row>
    <row r="15116" customFormat="false" ht="15" hidden="false" customHeight="false" outlineLevel="0" collapsed="false">
      <c r="A15116" s="3" t="s">
        <v>499</v>
      </c>
      <c r="C15116" s="25" t="n">
        <f aca="false">SUMPRODUCT(($C$15108:$C$15110=C15108)*$C$15104:$C$15106)</f>
        <v>1349.6193225</v>
      </c>
    </row>
    <row r="15117" customFormat="false" ht="15" hidden="false" customHeight="false" outlineLevel="0" collapsed="false">
      <c r="A15117" s="3" t="s">
        <v>500</v>
      </c>
      <c r="C15117" s="25" t="n">
        <f aca="false">SUMPRODUCT(($C$15108:$C$15110=C15109)*$C$15104:$C$15106)</f>
        <v>151.678675414359</v>
      </c>
    </row>
    <row r="15118" customFormat="false" ht="15" hidden="false" customHeight="false" outlineLevel="0" collapsed="false">
      <c r="A15118" s="3" t="s">
        <v>501</v>
      </c>
      <c r="C15118" s="25" t="n">
        <f aca="false">SUMPRODUCT(($C$15108:$C$15110=C15110)*$C$15104:$C$15106)</f>
        <v>151.678675414359</v>
      </c>
    </row>
    <row r="15119" customFormat="false" ht="15" hidden="false" customHeight="false" outlineLevel="0" collapsed="false">
      <c r="A15119" s="23" t="s">
        <v>510</v>
      </c>
      <c r="B15119" s="24"/>
      <c r="C15119" s="24"/>
      <c r="D15119" s="24"/>
      <c r="E15119" s="24"/>
      <c r="F15119" s="24"/>
      <c r="G15119" s="24"/>
      <c r="H15119" s="24"/>
      <c r="I15119" s="24"/>
      <c r="J15119" s="24"/>
      <c r="K15119" s="24"/>
    </row>
    <row r="15120" customFormat="false" ht="15" hidden="false" customHeight="false" outlineLevel="0" collapsed="false">
      <c r="A15120" s="3" t="s">
        <v>499</v>
      </c>
      <c r="C15120" s="25" t="n">
        <f aca="false">IF(C15116=0,0,C15104/C15116*MAX(0,MIN(C15116,$C$15082-SUM($C$15096:$C$15098)-C15112)))</f>
        <v>459.5705712</v>
      </c>
    </row>
    <row r="15121" customFormat="false" ht="15" hidden="false" customHeight="false" outlineLevel="0" collapsed="false">
      <c r="A15121" s="3" t="s">
        <v>500</v>
      </c>
      <c r="C15121" s="25" t="n">
        <f aca="false">IF(C15117=0,0,C15105/C15117*MAX(0,MIN(C15117,$C$15082-SUM($C$15096:$C$15098)-C15113)))</f>
        <v>0</v>
      </c>
    </row>
    <row r="15122" customFormat="false" ht="15" hidden="false" customHeight="false" outlineLevel="0" collapsed="false">
      <c r="A15122" s="3" t="s">
        <v>501</v>
      </c>
      <c r="C15122" s="25" t="n">
        <f aca="false">IF(C15118=0,0,C15106/C15118*MAX(0,MIN(C15118,$C$15082-SUM($C$15096:$C$15098)-C15114)))</f>
        <v>0</v>
      </c>
    </row>
    <row r="15123" customFormat="false" ht="15" hidden="false" customHeight="false" outlineLevel="0" collapsed="false">
      <c r="A15123" s="23" t="s">
        <v>511</v>
      </c>
      <c r="B15123" s="24"/>
      <c r="C15123" s="24"/>
      <c r="D15123" s="24"/>
      <c r="E15123" s="24"/>
      <c r="F15123" s="24"/>
      <c r="G15123" s="24"/>
      <c r="H15123" s="24"/>
      <c r="I15123" s="24"/>
      <c r="J15123" s="24"/>
      <c r="K15123" s="24"/>
    </row>
    <row r="15124" customFormat="false" ht="15" hidden="false" customHeight="false" outlineLevel="0" collapsed="false">
      <c r="A15124" s="2" t="s">
        <v>499</v>
      </c>
      <c r="C15124" s="16" t="n">
        <f aca="false">C15096+C15120</f>
        <v>459.5705712</v>
      </c>
    </row>
    <row r="15125" customFormat="false" ht="15" hidden="false" customHeight="false" outlineLevel="0" collapsed="false">
      <c r="A15125" s="2" t="s">
        <v>500</v>
      </c>
      <c r="C15125" s="16" t="n">
        <f aca="false">C15097+C15121</f>
        <v>0</v>
      </c>
    </row>
    <row r="15126" customFormat="false" ht="15" hidden="false" customHeight="false" outlineLevel="0" collapsed="false">
      <c r="A15126" s="2" t="s">
        <v>501</v>
      </c>
      <c r="C15126" s="16" t="n">
        <f aca="false">C15098+C15122</f>
        <v>0</v>
      </c>
    </row>
    <row r="15127" customFormat="false" ht="15" hidden="false" customHeight="false" outlineLevel="0" collapsed="false">
      <c r="A15127" s="23" t="s">
        <v>512</v>
      </c>
      <c r="B15127" s="24"/>
      <c r="C15127" s="24"/>
      <c r="D15127" s="24"/>
      <c r="E15127" s="24"/>
      <c r="F15127" s="24"/>
      <c r="G15127" s="24"/>
      <c r="H15127" s="24"/>
      <c r="I15127" s="24"/>
      <c r="J15127" s="24"/>
      <c r="K15127" s="24"/>
    </row>
    <row r="15128" customFormat="false" ht="15" hidden="false" customHeight="false" outlineLevel="0" collapsed="false">
      <c r="A15128" s="3" t="s">
        <v>499</v>
      </c>
      <c r="C15128" s="21" t="n">
        <f aca="false">IF(C15084=0,1,C15124/C15084)</f>
        <v>0.340518665921812</v>
      </c>
    </row>
    <row r="15129" customFormat="false" ht="15" hidden="false" customHeight="false" outlineLevel="0" collapsed="false">
      <c r="A15129" s="3" t="s">
        <v>500</v>
      </c>
      <c r="C15129" s="21" t="n">
        <f aca="false">IF(C15085=0,1,C15125/C15085)</f>
        <v>0</v>
      </c>
    </row>
    <row r="15130" customFormat="false" ht="15" hidden="false" customHeight="false" outlineLevel="0" collapsed="false">
      <c r="A15130" s="3" t="s">
        <v>501</v>
      </c>
      <c r="C15130" s="21" t="n">
        <f aca="false">IF(C15086=0,1,C15126/C15086)</f>
        <v>0</v>
      </c>
    </row>
    <row r="15131" customFormat="false" ht="15" hidden="false" customHeight="false" outlineLevel="0" collapsed="false">
      <c r="A15131" s="23" t="s">
        <v>513</v>
      </c>
      <c r="B15131" s="24"/>
      <c r="C15131" s="24"/>
      <c r="D15131" s="24"/>
      <c r="E15131" s="24"/>
      <c r="F15131" s="24"/>
      <c r="G15131" s="24"/>
      <c r="H15131" s="24"/>
      <c r="I15131" s="24"/>
      <c r="J15131" s="24"/>
      <c r="K15131" s="24"/>
    </row>
    <row r="15132" customFormat="false" ht="15" hidden="false" customHeight="false" outlineLevel="0" collapsed="false">
      <c r="A15132" s="3" t="s">
        <v>499</v>
      </c>
      <c r="C15132" s="25" t="n">
        <f aca="false">C15084-C15124</f>
        <v>890.0487513</v>
      </c>
    </row>
    <row r="15133" customFormat="false" ht="15" hidden="false" customHeight="false" outlineLevel="0" collapsed="false">
      <c r="A15133" s="3" t="s">
        <v>500</v>
      </c>
      <c r="C15133" s="25" t="n">
        <f aca="false">C15085-C15125</f>
        <v>6.40133166435848</v>
      </c>
    </row>
    <row r="15134" customFormat="false" ht="15" hidden="false" customHeight="false" outlineLevel="0" collapsed="false">
      <c r="A15134" s="3" t="s">
        <v>501</v>
      </c>
      <c r="C15134" s="25" t="n">
        <f aca="false">C15086-C15126</f>
        <v>145.27734375</v>
      </c>
    </row>
    <row r="15135" customFormat="false" ht="15" hidden="false" customHeight="false" outlineLevel="0" collapsed="false">
      <c r="A15135" s="23" t="s">
        <v>514</v>
      </c>
      <c r="B15135" s="24"/>
      <c r="C15135" s="24"/>
      <c r="D15135" s="24"/>
      <c r="E15135" s="24"/>
      <c r="F15135" s="24"/>
      <c r="G15135" s="24"/>
      <c r="H15135" s="24"/>
      <c r="I15135" s="24"/>
      <c r="J15135" s="24"/>
      <c r="K15135" s="24"/>
    </row>
    <row r="15136" customFormat="false" ht="15" hidden="false" customHeight="false" outlineLevel="0" collapsed="false">
      <c r="A15136" s="3" t="s">
        <v>499</v>
      </c>
      <c r="C15136" s="21" t="n">
        <f aca="false">IF(C15084=0,0,C15132/C15084)</f>
        <v>0.659481334078188</v>
      </c>
    </row>
    <row r="15137" customFormat="false" ht="15" hidden="false" customHeight="false" outlineLevel="0" collapsed="false">
      <c r="A15137" s="3" t="s">
        <v>500</v>
      </c>
      <c r="C15137" s="21" t="n">
        <f aca="false">IF(C15085=0,0,C15133/C15085)</f>
        <v>1</v>
      </c>
    </row>
    <row r="15138" customFormat="false" ht="15" hidden="false" customHeight="false" outlineLevel="0" collapsed="false">
      <c r="A15138" s="3" t="s">
        <v>501</v>
      </c>
      <c r="C15138" s="21" t="n">
        <f aca="false">IF(C15086=0,0,C15134/C15086)</f>
        <v>1</v>
      </c>
    </row>
    <row r="15139" customFormat="false" ht="15" hidden="false" customHeight="false" outlineLevel="0" collapsed="false">
      <c r="A15139" s="2" t="s">
        <v>515</v>
      </c>
      <c r="C15139" s="16" t="n">
        <f aca="false">MAX(0,$C$15082-SUM($C$15096:$C$15098)-SUM($C$15104:$C$15106))</f>
        <v>0</v>
      </c>
    </row>
    <row r="15140" customFormat="false" ht="15" hidden="false" customHeight="false" outlineLevel="0" collapsed="false">
      <c r="A15140" s="3" t="s">
        <v>516</v>
      </c>
      <c r="C15140" s="25" t="n">
        <f aca="false">SUM($C$15124:$C$15126)+C15139+C15081-C15080</f>
        <v>0</v>
      </c>
    </row>
    <row r="15142" customFormat="false" ht="15" hidden="false" customHeight="false" outlineLevel="0" collapsed="false">
      <c r="A15142" s="23" t="s">
        <v>519</v>
      </c>
      <c r="B15142" s="24"/>
      <c r="C15142" s="24"/>
      <c r="D15142" s="24"/>
      <c r="E15142" s="24"/>
      <c r="F15142" s="24"/>
      <c r="G15142" s="24"/>
      <c r="H15142" s="24"/>
      <c r="I15142" s="24"/>
      <c r="J15142" s="24"/>
      <c r="K15142" s="24"/>
    </row>
    <row r="15143" customFormat="false" ht="15" hidden="false" customHeight="false" outlineLevel="0" collapsed="false">
      <c r="A15143" s="3" t="s">
        <v>520</v>
      </c>
      <c r="C15143" s="27" t="n">
        <f aca="false">Assumptions!$C$33</f>
        <v>1</v>
      </c>
    </row>
    <row r="15144" customFormat="false" ht="15" hidden="false" customHeight="false" outlineLevel="0" collapsed="false">
      <c r="A15144" s="3" t="s">
        <v>521</v>
      </c>
      <c r="C15144" s="29" t="n">
        <f aca="false">Assumptions!$C$34</f>
        <v>100</v>
      </c>
    </row>
    <row r="15145" customFormat="false" ht="15" hidden="false" customHeight="false" outlineLevel="0" collapsed="false">
      <c r="A15145" s="3" t="s">
        <v>522</v>
      </c>
      <c r="C15145" s="40" t="n">
        <f aca="false">Assumptions!$C$35</f>
        <v>95</v>
      </c>
    </row>
    <row r="15146" customFormat="false" ht="15" hidden="false" customHeight="false" outlineLevel="0" collapsed="false">
      <c r="A15146" s="3" t="s">
        <v>523</v>
      </c>
      <c r="C15146" s="25" t="n">
        <f aca="false">C15144*C15145/100*(1+Assumptions!$C$36)</f>
        <v>95</v>
      </c>
    </row>
    <row r="15147" customFormat="false" ht="15" hidden="false" customHeight="false" outlineLevel="0" collapsed="false">
      <c r="A15147" s="3" t="s">
        <v>524</v>
      </c>
      <c r="C15147" s="27" t="n">
        <f aca="false">Assumptions!$C$37</f>
        <v>3</v>
      </c>
    </row>
    <row r="15148" customFormat="false" ht="15" hidden="false" customHeight="false" outlineLevel="0" collapsed="false">
      <c r="A15148" s="3" t="s">
        <v>525</v>
      </c>
      <c r="C15148" s="20" t="n">
        <f aca="false">IF(C15073=1,SUMPRODUCT($G$15025:$K$15025,$G$14918:$K$14918),0)</f>
        <v>3</v>
      </c>
    </row>
    <row r="15149" customFormat="false" ht="15" hidden="false" customHeight="false" outlineLevel="0" collapsed="false">
      <c r="A15149" s="3" t="s">
        <v>526</v>
      </c>
      <c r="C15149" s="21" t="n">
        <f aca="false">IFERROR(C15144/CHOOSE(C15143,SUMPRODUCT($G$15072:$K$15072,$G$14964:$K$14964),SUMPRODUCT($G$15072:$K$15072,$G$14977:$K$14977),SUMPRODUCT($G$15072:$K$15072,$G$14990:$K$14990)),0)</f>
        <v>0.0760399605200525</v>
      </c>
    </row>
    <row r="15150" customFormat="false" ht="15" hidden="false" customHeight="false" outlineLevel="0" collapsed="false">
      <c r="A15150" s="3" t="s">
        <v>527</v>
      </c>
      <c r="C15150" s="25" t="n">
        <f aca="false">CHOOSE(C15143,C15124,C15125,C15126)*C15149</f>
        <v>34.945728090226</v>
      </c>
    </row>
    <row r="15151" customFormat="false" ht="15" hidden="false" customHeight="false" outlineLevel="0" collapsed="false">
      <c r="A15151" s="3" t="s">
        <v>528</v>
      </c>
      <c r="C15151" s="21" t="n">
        <f aca="false">CHOOSE(C15143,C15128,C15129,C15130)</f>
        <v>0.340518665921812</v>
      </c>
    </row>
    <row r="15152" customFormat="false" ht="15" hidden="false" customHeight="false" outlineLevel="0" collapsed="false">
      <c r="A15152" s="3" t="s">
        <v>529</v>
      </c>
      <c r="C15152" s="20" t="n">
        <f aca="false">IF(C15073=1,C15148,C15147)</f>
        <v>3</v>
      </c>
    </row>
    <row r="15153" customFormat="false" ht="15" hidden="false" customHeight="false" outlineLevel="0" collapsed="false">
      <c r="A15153" s="3" t="s">
        <v>530</v>
      </c>
      <c r="C15153" s="34" t="n">
        <f aca="false">CHOOSE($C$14910,Assumptions!$C$83,Assumptions!$C$102,Assumptions!$C$121)</f>
        <v>80</v>
      </c>
    </row>
    <row r="15154" customFormat="false" ht="15" hidden="false" customHeight="false" outlineLevel="0" collapsed="false">
      <c r="A15154" s="3" t="s">
        <v>531</v>
      </c>
      <c r="C15154" s="25" t="n">
        <f aca="false">INDEX($G$14927:$K$14927,C15147)*CHOOSE($C$14910,Assumptions!$C$82,Assumptions!$C$101,Assumptions!$C$120)+MAX(0,INDEX($G$15022:$K$15022,C15147))</f>
        <v>428.3744040576</v>
      </c>
    </row>
    <row r="15155" customFormat="false" ht="15" hidden="false" customHeight="false" outlineLevel="0" collapsed="false">
      <c r="A15155" s="23" t="s">
        <v>532</v>
      </c>
      <c r="B15155" s="24"/>
      <c r="C15155" s="24"/>
      <c r="D15155" s="24"/>
      <c r="E15155" s="24"/>
      <c r="F15155" s="24"/>
      <c r="G15155" s="24"/>
      <c r="H15155" s="24"/>
      <c r="I15155" s="24"/>
      <c r="J15155" s="24"/>
      <c r="K15155" s="24"/>
    </row>
    <row r="15156" customFormat="false" ht="15" hidden="false" customHeight="false" outlineLevel="0" collapsed="false">
      <c r="A15156" s="3" t="s">
        <v>499</v>
      </c>
      <c r="C15156" s="25" t="n">
        <f aca="false">INDEX($G$14964:$K$14964,C15147)</f>
        <v>1315.098</v>
      </c>
    </row>
    <row r="15157" customFormat="false" ht="15" hidden="false" customHeight="false" outlineLevel="0" collapsed="false">
      <c r="A15157" s="3" t="s">
        <v>500</v>
      </c>
      <c r="C15157" s="25" t="n">
        <f aca="false">INDEX($G$14977:$K$14977,C15147)</f>
        <v>6.33403256832008</v>
      </c>
    </row>
    <row r="15158" customFormat="false" ht="15" hidden="false" customHeight="false" outlineLevel="0" collapsed="false">
      <c r="A15158" s="3" t="s">
        <v>501</v>
      </c>
      <c r="C15158" s="25" t="n">
        <f aca="false">INDEX($G$14990:$K$14990,C15147)</f>
        <v>143.75</v>
      </c>
    </row>
    <row r="15159" customFormat="false" ht="15" hidden="false" customHeight="false" outlineLevel="0" collapsed="false">
      <c r="A15159" s="23" t="s">
        <v>502</v>
      </c>
      <c r="B15159" s="24"/>
      <c r="C15159" s="24"/>
      <c r="D15159" s="24"/>
      <c r="E15159" s="24"/>
      <c r="F15159" s="24"/>
      <c r="G15159" s="24"/>
      <c r="H15159" s="24"/>
      <c r="I15159" s="24"/>
      <c r="J15159" s="24"/>
      <c r="K15159" s="24"/>
    </row>
    <row r="15160" customFormat="false" ht="15" hidden="false" customHeight="false" outlineLevel="0" collapsed="false">
      <c r="A15160" s="3" t="s">
        <v>499</v>
      </c>
      <c r="C15160" s="27" t="n">
        <f aca="false">Assumptions!$M$56</f>
        <v>1</v>
      </c>
    </row>
    <row r="15161" customFormat="false" ht="15" hidden="false" customHeight="false" outlineLevel="0" collapsed="false">
      <c r="A15161" s="3" t="s">
        <v>500</v>
      </c>
      <c r="C15161" s="27" t="n">
        <f aca="false">Assumptions!$M$57</f>
        <v>2</v>
      </c>
    </row>
    <row r="15162" customFormat="false" ht="15" hidden="false" customHeight="false" outlineLevel="0" collapsed="false">
      <c r="A15162" s="3" t="s">
        <v>501</v>
      </c>
      <c r="C15162" s="27" t="n">
        <f aca="false">Assumptions!$M$58</f>
        <v>2</v>
      </c>
    </row>
    <row r="15163" customFormat="false" ht="15" hidden="false" customHeight="false" outlineLevel="0" collapsed="false">
      <c r="A15163" s="23" t="s">
        <v>503</v>
      </c>
      <c r="B15163" s="24"/>
      <c r="C15163" s="24"/>
      <c r="D15163" s="24"/>
      <c r="E15163" s="24"/>
      <c r="F15163" s="24"/>
      <c r="G15163" s="24"/>
      <c r="H15163" s="24"/>
      <c r="I15163" s="24"/>
      <c r="J15163" s="24"/>
      <c r="K15163" s="24"/>
    </row>
    <row r="15164" customFormat="false" ht="15" hidden="false" customHeight="false" outlineLevel="0" collapsed="false">
      <c r="A15164" s="3" t="s">
        <v>499</v>
      </c>
      <c r="C15164" s="35" t="n">
        <f aca="false">Assumptions!$Q$56</f>
        <v>0</v>
      </c>
    </row>
    <row r="15165" customFormat="false" ht="15" hidden="false" customHeight="false" outlineLevel="0" collapsed="false">
      <c r="A15165" s="3" t="s">
        <v>500</v>
      </c>
      <c r="C15165" s="35" t="n">
        <f aca="false">Assumptions!$Q$57</f>
        <v>0</v>
      </c>
    </row>
    <row r="15166" customFormat="false" ht="15" hidden="false" customHeight="false" outlineLevel="0" collapsed="false">
      <c r="A15166" s="3" t="s">
        <v>501</v>
      </c>
      <c r="C15166" s="35" t="n">
        <f aca="false">Assumptions!$Q$58</f>
        <v>0</v>
      </c>
    </row>
    <row r="15167" customFormat="false" ht="15" hidden="false" customHeight="false" outlineLevel="0" collapsed="false">
      <c r="A15167" s="23" t="s">
        <v>504</v>
      </c>
      <c r="B15167" s="24"/>
      <c r="C15167" s="24"/>
      <c r="D15167" s="24"/>
      <c r="E15167" s="24"/>
      <c r="F15167" s="24"/>
      <c r="G15167" s="24"/>
      <c r="H15167" s="24"/>
      <c r="I15167" s="24"/>
      <c r="J15167" s="24"/>
      <c r="K15167" s="24"/>
    </row>
    <row r="15168" customFormat="false" ht="15" hidden="false" customHeight="false" outlineLevel="0" collapsed="false">
      <c r="A15168" s="3" t="s">
        <v>499</v>
      </c>
      <c r="C15168" s="25" t="n">
        <f aca="false">IF(C15164&gt;0,MIN(C15156,C15164*$C$15154),0)</f>
        <v>0</v>
      </c>
    </row>
    <row r="15169" customFormat="false" ht="15" hidden="false" customHeight="false" outlineLevel="0" collapsed="false">
      <c r="A15169" s="3" t="s">
        <v>500</v>
      </c>
      <c r="C15169" s="25" t="n">
        <f aca="false">IF(C15165&gt;0,MIN(C15157,C15165*$C$15154),0)</f>
        <v>0</v>
      </c>
    </row>
    <row r="15170" customFormat="false" ht="15" hidden="false" customHeight="false" outlineLevel="0" collapsed="false">
      <c r="A15170" s="3" t="s">
        <v>501</v>
      </c>
      <c r="C15170" s="25" t="n">
        <f aca="false">IF(C15166&gt;0,MIN(C15158,C15166*$C$15154),0)</f>
        <v>0</v>
      </c>
    </row>
    <row r="15171" customFormat="false" ht="15" hidden="false" customHeight="false" outlineLevel="0" collapsed="false">
      <c r="A15171" s="23" t="s">
        <v>505</v>
      </c>
      <c r="B15171" s="24"/>
      <c r="C15171" s="24"/>
      <c r="D15171" s="24"/>
      <c r="E15171" s="24"/>
      <c r="F15171" s="24"/>
      <c r="G15171" s="24"/>
      <c r="H15171" s="24"/>
      <c r="I15171" s="24"/>
      <c r="J15171" s="24"/>
      <c r="K15171" s="24"/>
    </row>
    <row r="15172" customFormat="false" ht="15" hidden="false" customHeight="false" outlineLevel="0" collapsed="false">
      <c r="A15172" s="3" t="s">
        <v>499</v>
      </c>
      <c r="C15172" s="25" t="n">
        <f aca="false">IF(C15164&gt;0,C15156-C15168,0)</f>
        <v>0</v>
      </c>
    </row>
    <row r="15173" customFormat="false" ht="15" hidden="false" customHeight="false" outlineLevel="0" collapsed="false">
      <c r="A15173" s="3" t="s">
        <v>500</v>
      </c>
      <c r="C15173" s="25" t="n">
        <f aca="false">IF(C15165&gt;0,C15157-C15169,0)</f>
        <v>0</v>
      </c>
    </row>
    <row r="15174" customFormat="false" ht="15" hidden="false" customHeight="false" outlineLevel="0" collapsed="false">
      <c r="A15174" s="3" t="s">
        <v>501</v>
      </c>
      <c r="C15174" s="25" t="n">
        <f aca="false">IF(C15166&gt;0,C15158-C15170,0)</f>
        <v>0</v>
      </c>
    </row>
    <row r="15175" customFormat="false" ht="15" hidden="false" customHeight="false" outlineLevel="0" collapsed="false">
      <c r="A15175" s="23" t="s">
        <v>506</v>
      </c>
      <c r="B15175" s="24"/>
      <c r="C15175" s="24"/>
      <c r="D15175" s="24"/>
      <c r="E15175" s="24"/>
      <c r="F15175" s="24"/>
      <c r="G15175" s="24"/>
      <c r="H15175" s="24"/>
      <c r="I15175" s="24"/>
      <c r="J15175" s="24"/>
      <c r="K15175" s="24"/>
    </row>
    <row r="15176" customFormat="false" ht="15" hidden="false" customHeight="false" outlineLevel="0" collapsed="false">
      <c r="A15176" s="3" t="s">
        <v>499</v>
      </c>
      <c r="C15176" s="25" t="n">
        <f aca="false">IF(C15164&gt;0,C15172,C15156)</f>
        <v>1315.098</v>
      </c>
    </row>
    <row r="15177" customFormat="false" ht="15" hidden="false" customHeight="false" outlineLevel="0" collapsed="false">
      <c r="A15177" s="3" t="s">
        <v>500</v>
      </c>
      <c r="C15177" s="25" t="n">
        <f aca="false">IF(C15165&gt;0,C15173,C15157)</f>
        <v>6.33403256832008</v>
      </c>
    </row>
    <row r="15178" customFormat="false" ht="15" hidden="false" customHeight="false" outlineLevel="0" collapsed="false">
      <c r="A15178" s="3" t="s">
        <v>501</v>
      </c>
      <c r="C15178" s="25" t="n">
        <f aca="false">IF(C15166&gt;0,C15174,C15158)</f>
        <v>143.75</v>
      </c>
    </row>
    <row r="15179" customFormat="false" ht="15" hidden="false" customHeight="false" outlineLevel="0" collapsed="false">
      <c r="A15179" s="23" t="s">
        <v>507</v>
      </c>
      <c r="B15179" s="24"/>
      <c r="C15179" s="24"/>
      <c r="D15179" s="24"/>
      <c r="E15179" s="24"/>
      <c r="F15179" s="24"/>
      <c r="G15179" s="24"/>
      <c r="H15179" s="24"/>
      <c r="I15179" s="24"/>
      <c r="J15179" s="24"/>
      <c r="K15179" s="24"/>
    </row>
    <row r="15180" customFormat="false" ht="15" hidden="false" customHeight="false" outlineLevel="0" collapsed="false">
      <c r="A15180" s="3" t="s">
        <v>499</v>
      </c>
      <c r="C15180" s="20" t="n">
        <f aca="false">IF(C15164&gt;0,Assumptions!$C$17,C15160)</f>
        <v>1</v>
      </c>
    </row>
    <row r="15181" customFormat="false" ht="15" hidden="false" customHeight="false" outlineLevel="0" collapsed="false">
      <c r="A15181" s="3" t="s">
        <v>500</v>
      </c>
      <c r="C15181" s="20" t="n">
        <f aca="false">IF(C15165&gt;0,Assumptions!$C$17,C15161)</f>
        <v>2</v>
      </c>
    </row>
    <row r="15182" customFormat="false" ht="15" hidden="false" customHeight="false" outlineLevel="0" collapsed="false">
      <c r="A15182" s="3" t="s">
        <v>501</v>
      </c>
      <c r="C15182" s="20" t="n">
        <f aca="false">IF(C15166&gt;0,Assumptions!$C$17,C15162)</f>
        <v>2</v>
      </c>
    </row>
    <row r="15183" customFormat="false" ht="15" hidden="false" customHeight="false" outlineLevel="0" collapsed="false">
      <c r="A15183" s="23" t="s">
        <v>508</v>
      </c>
      <c r="B15183" s="24"/>
      <c r="C15183" s="24"/>
      <c r="D15183" s="24"/>
      <c r="E15183" s="24"/>
      <c r="F15183" s="24"/>
      <c r="G15183" s="24"/>
      <c r="H15183" s="24"/>
      <c r="I15183" s="24"/>
      <c r="J15183" s="24"/>
      <c r="K15183" s="24"/>
    </row>
    <row r="15184" customFormat="false" ht="15" hidden="false" customHeight="false" outlineLevel="0" collapsed="false">
      <c r="A15184" s="3" t="s">
        <v>499</v>
      </c>
      <c r="C15184" s="25" t="n">
        <f aca="false">SUMPRODUCT(($C$15180:$C$15182&lt;C15180)*$C$15176:$C$15178)</f>
        <v>0</v>
      </c>
    </row>
    <row r="15185" customFormat="false" ht="15" hidden="false" customHeight="false" outlineLevel="0" collapsed="false">
      <c r="A15185" s="3" t="s">
        <v>500</v>
      </c>
      <c r="C15185" s="25" t="n">
        <f aca="false">SUMPRODUCT(($C$15180:$C$15182&lt;C15181)*$C$15176:$C$15178)</f>
        <v>1315.098</v>
      </c>
    </row>
    <row r="15186" customFormat="false" ht="15" hidden="false" customHeight="false" outlineLevel="0" collapsed="false">
      <c r="A15186" s="3" t="s">
        <v>501</v>
      </c>
      <c r="C15186" s="25" t="n">
        <f aca="false">SUMPRODUCT(($C$15180:$C$15182&lt;C15182)*$C$15176:$C$15178)</f>
        <v>1315.098</v>
      </c>
    </row>
    <row r="15187" customFormat="false" ht="15" hidden="false" customHeight="false" outlineLevel="0" collapsed="false">
      <c r="A15187" s="23" t="s">
        <v>509</v>
      </c>
      <c r="B15187" s="24"/>
      <c r="C15187" s="24"/>
      <c r="D15187" s="24"/>
      <c r="E15187" s="24"/>
      <c r="F15187" s="24"/>
      <c r="G15187" s="24"/>
      <c r="H15187" s="24"/>
      <c r="I15187" s="24"/>
      <c r="J15187" s="24"/>
      <c r="K15187" s="24"/>
    </row>
    <row r="15188" customFormat="false" ht="15" hidden="false" customHeight="false" outlineLevel="0" collapsed="false">
      <c r="A15188" s="3" t="s">
        <v>499</v>
      </c>
      <c r="C15188" s="25" t="n">
        <f aca="false">SUMPRODUCT(($C$15180:$C$15182=C15180)*$C$15176:$C$15178)</f>
        <v>1315.098</v>
      </c>
    </row>
    <row r="15189" customFormat="false" ht="15" hidden="false" customHeight="false" outlineLevel="0" collapsed="false">
      <c r="A15189" s="3" t="s">
        <v>500</v>
      </c>
      <c r="C15189" s="25" t="n">
        <f aca="false">SUMPRODUCT(($C$15180:$C$15182=C15181)*$C$15176:$C$15178)</f>
        <v>150.08403256832</v>
      </c>
    </row>
    <row r="15190" customFormat="false" ht="15" hidden="false" customHeight="false" outlineLevel="0" collapsed="false">
      <c r="A15190" s="3" t="s">
        <v>501</v>
      </c>
      <c r="C15190" s="25" t="n">
        <f aca="false">SUMPRODUCT(($C$15180:$C$15182=C15182)*$C$15176:$C$15178)</f>
        <v>150.08403256832</v>
      </c>
    </row>
    <row r="15191" customFormat="false" ht="15" hidden="false" customHeight="false" outlineLevel="0" collapsed="false">
      <c r="A15191" s="23" t="s">
        <v>510</v>
      </c>
      <c r="B15191" s="24"/>
      <c r="C15191" s="24"/>
      <c r="D15191" s="24"/>
      <c r="E15191" s="24"/>
      <c r="F15191" s="24"/>
      <c r="G15191" s="24"/>
      <c r="H15191" s="24"/>
      <c r="I15191" s="24"/>
      <c r="J15191" s="24"/>
      <c r="K15191" s="24"/>
    </row>
    <row r="15192" customFormat="false" ht="15" hidden="false" customHeight="false" outlineLevel="0" collapsed="false">
      <c r="A15192" s="3" t="s">
        <v>499</v>
      </c>
      <c r="C15192" s="25" t="n">
        <f aca="false">IF(C15188=0,0,C15176/C15188*MAX(0,MIN(C15188,$C$15154-SUM($C$15168:$C$15170)-C15184)))</f>
        <v>428.3744040576</v>
      </c>
    </row>
    <row r="15193" customFormat="false" ht="15" hidden="false" customHeight="false" outlineLevel="0" collapsed="false">
      <c r="A15193" s="3" t="s">
        <v>500</v>
      </c>
      <c r="C15193" s="25" t="n">
        <f aca="false">IF(C15189=0,0,C15177/C15189*MAX(0,MIN(C15189,$C$15154-SUM($C$15168:$C$15170)-C15185)))</f>
        <v>0</v>
      </c>
    </row>
    <row r="15194" customFormat="false" ht="15" hidden="false" customHeight="false" outlineLevel="0" collapsed="false">
      <c r="A15194" s="3" t="s">
        <v>501</v>
      </c>
      <c r="C15194" s="25" t="n">
        <f aca="false">IF(C15190=0,0,C15178/C15190*MAX(0,MIN(C15190,$C$15154-SUM($C$15168:$C$15170)-C15186)))</f>
        <v>0</v>
      </c>
    </row>
    <row r="15195" customFormat="false" ht="15" hidden="false" customHeight="false" outlineLevel="0" collapsed="false">
      <c r="A15195" s="23" t="s">
        <v>511</v>
      </c>
      <c r="B15195" s="24"/>
      <c r="C15195" s="24"/>
      <c r="D15195" s="24"/>
      <c r="E15195" s="24"/>
      <c r="F15195" s="24"/>
      <c r="G15195" s="24"/>
      <c r="H15195" s="24"/>
      <c r="I15195" s="24"/>
      <c r="J15195" s="24"/>
      <c r="K15195" s="24"/>
    </row>
    <row r="15196" customFormat="false" ht="15" hidden="false" customHeight="false" outlineLevel="0" collapsed="false">
      <c r="A15196" s="2" t="s">
        <v>499</v>
      </c>
      <c r="C15196" s="16" t="n">
        <f aca="false">C15168+C15192</f>
        <v>428.3744040576</v>
      </c>
    </row>
    <row r="15197" customFormat="false" ht="15" hidden="false" customHeight="false" outlineLevel="0" collapsed="false">
      <c r="A15197" s="2" t="s">
        <v>500</v>
      </c>
      <c r="C15197" s="16" t="n">
        <f aca="false">C15169+C15193</f>
        <v>0</v>
      </c>
    </row>
    <row r="15198" customFormat="false" ht="15" hidden="false" customHeight="false" outlineLevel="0" collapsed="false">
      <c r="A15198" s="2" t="s">
        <v>501</v>
      </c>
      <c r="C15198" s="16" t="n">
        <f aca="false">C15170+C15194</f>
        <v>0</v>
      </c>
    </row>
    <row r="15199" customFormat="false" ht="15" hidden="false" customHeight="false" outlineLevel="0" collapsed="false">
      <c r="A15199" s="23" t="s">
        <v>512</v>
      </c>
      <c r="B15199" s="24"/>
      <c r="C15199" s="24"/>
      <c r="D15199" s="24"/>
      <c r="E15199" s="24"/>
      <c r="F15199" s="24"/>
      <c r="G15199" s="24"/>
      <c r="H15199" s="24"/>
      <c r="I15199" s="24"/>
      <c r="J15199" s="24"/>
      <c r="K15199" s="24"/>
    </row>
    <row r="15200" customFormat="false" ht="15" hidden="false" customHeight="false" outlineLevel="0" collapsed="false">
      <c r="A15200" s="3" t="s">
        <v>499</v>
      </c>
      <c r="C15200" s="21" t="n">
        <f aca="false">IF(C15156=0,1,C15196/C15156)</f>
        <v>0.325735727723409</v>
      </c>
    </row>
    <row r="15201" customFormat="false" ht="15" hidden="false" customHeight="false" outlineLevel="0" collapsed="false">
      <c r="A15201" s="3" t="s">
        <v>500</v>
      </c>
      <c r="C15201" s="21" t="n">
        <f aca="false">IF(C15157=0,1,C15197/C15157)</f>
        <v>0</v>
      </c>
    </row>
    <row r="15202" customFormat="false" ht="15" hidden="false" customHeight="false" outlineLevel="0" collapsed="false">
      <c r="A15202" s="3" t="s">
        <v>501</v>
      </c>
      <c r="C15202" s="21" t="n">
        <f aca="false">IF(C15158=0,1,C15198/C15158)</f>
        <v>0</v>
      </c>
    </row>
    <row r="15203" customFormat="false" ht="15" hidden="false" customHeight="false" outlineLevel="0" collapsed="false">
      <c r="A15203" s="23" t="s">
        <v>513</v>
      </c>
      <c r="B15203" s="24"/>
      <c r="C15203" s="24"/>
      <c r="D15203" s="24"/>
      <c r="E15203" s="24"/>
      <c r="F15203" s="24"/>
      <c r="G15203" s="24"/>
      <c r="H15203" s="24"/>
      <c r="I15203" s="24"/>
      <c r="J15203" s="24"/>
      <c r="K15203" s="24"/>
    </row>
    <row r="15204" customFormat="false" ht="15" hidden="false" customHeight="false" outlineLevel="0" collapsed="false">
      <c r="A15204" s="3" t="s">
        <v>499</v>
      </c>
      <c r="C15204" s="25" t="n">
        <f aca="false">C15156-C15196</f>
        <v>886.7235959424</v>
      </c>
    </row>
    <row r="15205" customFormat="false" ht="15" hidden="false" customHeight="false" outlineLevel="0" collapsed="false">
      <c r="A15205" s="3" t="s">
        <v>500</v>
      </c>
      <c r="C15205" s="25" t="n">
        <f aca="false">C15157-C15197</f>
        <v>6.33403256832008</v>
      </c>
    </row>
    <row r="15206" customFormat="false" ht="15" hidden="false" customHeight="false" outlineLevel="0" collapsed="false">
      <c r="A15206" s="3" t="s">
        <v>501</v>
      </c>
      <c r="C15206" s="25" t="n">
        <f aca="false">C15158-C15198</f>
        <v>143.75</v>
      </c>
    </row>
    <row r="15207" customFormat="false" ht="15" hidden="false" customHeight="false" outlineLevel="0" collapsed="false">
      <c r="A15207" s="23" t="s">
        <v>514</v>
      </c>
      <c r="B15207" s="24"/>
      <c r="C15207" s="24"/>
      <c r="D15207" s="24"/>
      <c r="E15207" s="24"/>
      <c r="F15207" s="24"/>
      <c r="G15207" s="24"/>
      <c r="H15207" s="24"/>
      <c r="I15207" s="24"/>
      <c r="J15207" s="24"/>
      <c r="K15207" s="24"/>
    </row>
    <row r="15208" customFormat="false" ht="15" hidden="false" customHeight="false" outlineLevel="0" collapsed="false">
      <c r="A15208" s="3" t="s">
        <v>499</v>
      </c>
      <c r="C15208" s="21" t="n">
        <f aca="false">IF(C15156=0,0,C15204/C15156)</f>
        <v>0.674264272276591</v>
      </c>
    </row>
    <row r="15209" customFormat="false" ht="15" hidden="false" customHeight="false" outlineLevel="0" collapsed="false">
      <c r="A15209" s="3" t="s">
        <v>500</v>
      </c>
      <c r="C15209" s="21" t="n">
        <f aca="false">IF(C15157=0,0,C15205/C15157)</f>
        <v>1</v>
      </c>
    </row>
    <row r="15210" customFormat="false" ht="15" hidden="false" customHeight="false" outlineLevel="0" collapsed="false">
      <c r="A15210" s="3" t="s">
        <v>501</v>
      </c>
      <c r="C15210" s="21" t="n">
        <f aca="false">IF(C15158=0,0,C15206/C15158)</f>
        <v>1</v>
      </c>
    </row>
    <row r="15211" customFormat="false" ht="15" hidden="false" customHeight="false" outlineLevel="0" collapsed="false">
      <c r="A15211" s="2" t="s">
        <v>515</v>
      </c>
      <c r="C15211" s="16" t="n">
        <f aca="false">MAX(0,$C$15154-SUM($C$15168:$C$15170)-SUM($C$15176:$C$15178))</f>
        <v>0</v>
      </c>
    </row>
    <row r="15212" customFormat="false" ht="15" hidden="false" customHeight="false" outlineLevel="0" collapsed="false">
      <c r="A15212" s="3" t="s">
        <v>533</v>
      </c>
      <c r="C15212" s="34" t="n">
        <f aca="false">MIN(C15153,100*CHOOSE(C15143,C15200,C15201,C15202))</f>
        <v>32.5735727723409</v>
      </c>
    </row>
    <row r="15213" customFormat="false" ht="15" hidden="false" customHeight="false" outlineLevel="0" collapsed="false">
      <c r="A15213" s="3" t="s">
        <v>534</v>
      </c>
      <c r="C15213" s="20" t="n">
        <f aca="false">IF(C15073=1,C15148+Assumptions!$C$39,C15147)</f>
        <v>4</v>
      </c>
    </row>
    <row r="15214" customFormat="false" ht="15" hidden="false" customHeight="false" outlineLevel="0" collapsed="false">
      <c r="A15214" s="23" t="s">
        <v>535</v>
      </c>
      <c r="B15214" s="24"/>
      <c r="C15214" s="24"/>
      <c r="D15214" s="24"/>
      <c r="E15214" s="24"/>
      <c r="F15214" s="24"/>
      <c r="G15214" s="24"/>
      <c r="H15214" s="24"/>
      <c r="I15214" s="24"/>
      <c r="J15214" s="24"/>
      <c r="K15214" s="24"/>
    </row>
    <row r="15215" customFormat="false" ht="15" hidden="false" customHeight="false" outlineLevel="0" collapsed="false">
      <c r="A15215" s="3" t="s">
        <v>536</v>
      </c>
      <c r="C15215" s="20" t="n">
        <f aca="false">COLUMN()-COLUMN($C$1)</f>
        <v>0</v>
      </c>
      <c r="D15215" s="20" t="n">
        <f aca="false">COLUMN()-COLUMN($C$1)</f>
        <v>1</v>
      </c>
      <c r="E15215" s="20" t="n">
        <f aca="false">COLUMN()-COLUMN($C$1)</f>
        <v>2</v>
      </c>
      <c r="F15215" s="20" t="n">
        <f aca="false">COLUMN()-COLUMN($C$1)</f>
        <v>3</v>
      </c>
      <c r="G15215" s="20" t="n">
        <f aca="false">COLUMN()-COLUMN($C$1)</f>
        <v>4</v>
      </c>
      <c r="H15215" s="20" t="n">
        <f aca="false">COLUMN()-COLUMN($C$1)</f>
        <v>5</v>
      </c>
      <c r="I15215" s="20" t="n">
        <f aca="false">COLUMN()-COLUMN($C$1)</f>
        <v>6</v>
      </c>
    </row>
    <row r="15216" customFormat="false" ht="15" hidden="false" customHeight="false" outlineLevel="0" collapsed="false">
      <c r="A15216" s="3" t="s">
        <v>537</v>
      </c>
      <c r="D15216" s="31" t="n">
        <f aca="false">CHOOSE($C$15143,G14956,G14969,G14982)</f>
        <v>0.105</v>
      </c>
      <c r="E15216" s="31" t="n">
        <f aca="false">CHOOSE($C$15143,H14956,H14969,H14982)</f>
        <v>0.105</v>
      </c>
      <c r="F15216" s="31" t="n">
        <f aca="false">CHOOSE($C$15143,I14956,I14969,I14982)</f>
        <v>0.105</v>
      </c>
      <c r="G15216" s="31" t="n">
        <f aca="false">CHOOSE($C$15143,J14956,J14969,J14982)</f>
        <v>0.105</v>
      </c>
      <c r="H15216" s="31" t="n">
        <f aca="false">CHOOSE($C$15143,K14956,K14969,K14982)</f>
        <v>0.105</v>
      </c>
    </row>
    <row r="15217" customFormat="false" ht="15" hidden="false" customHeight="false" outlineLevel="0" collapsed="false">
      <c r="A15217" s="3" t="s">
        <v>538</v>
      </c>
      <c r="D15217" s="25" t="n">
        <f aca="false">IF(D15215&lt;=$C$15152,$C$15144*D15216,0)</f>
        <v>10.5</v>
      </c>
      <c r="E15217" s="25" t="n">
        <f aca="false">IF(E15215&lt;=$C$15152,$C$15144*E15216,0)</f>
        <v>10.5</v>
      </c>
      <c r="F15217" s="25" t="n">
        <f aca="false">IF(F15215&lt;=$C$15152,$C$15144*F15216,0)</f>
        <v>10.5</v>
      </c>
      <c r="G15217" s="25" t="n">
        <f aca="false">IF(G15215&lt;=$C$15152,$C$15144*G15216,0)</f>
        <v>0</v>
      </c>
      <c r="H15217" s="25" t="n">
        <f aca="false">IF(H15215&lt;=$C$15152,$C$15144*H15216,0)</f>
        <v>0</v>
      </c>
    </row>
    <row r="15218" customFormat="false" ht="15" hidden="false" customHeight="false" outlineLevel="0" collapsed="false">
      <c r="A15218" s="3" t="s">
        <v>539</v>
      </c>
      <c r="D15218" s="25" t="n">
        <f aca="false">IF(AND($C$15073=0,D15215=$C$15147),$C$15144*$C$15212/100,0)+IF(AND($C$15073=1,D15215=$C$15213),$C$15150,0)</f>
        <v>0</v>
      </c>
      <c r="E15218" s="25" t="n">
        <f aca="false">IF(AND($C$15073=0,E15215=$C$15147),$C$15144*$C$15212/100,0)+IF(AND($C$15073=1,E15215=$C$15213),$C$15150,0)</f>
        <v>0</v>
      </c>
      <c r="F15218" s="25" t="n">
        <f aca="false">IF(AND($C$15073=0,F15215=$C$15147),$C$15144*$C$15212/100,0)+IF(AND($C$15073=1,F15215=$C$15213),$C$15150,0)</f>
        <v>0</v>
      </c>
      <c r="G15218" s="25" t="n">
        <f aca="false">IF(AND($C$15073=0,G15215=$C$15147),$C$15144*$C$15212/100,0)+IF(AND($C$15073=1,G15215=$C$15213),$C$15150,0)</f>
        <v>34.945728090226</v>
      </c>
      <c r="H15218" s="25" t="n">
        <f aca="false">IF(AND($C$15073=0,H15215=$C$15147),$C$15144*$C$15212/100,0)+IF(AND($C$15073=1,H15215=$C$15213),$C$15150,0)</f>
        <v>0</v>
      </c>
      <c r="I15218" s="25" t="n">
        <f aca="false">IF(AND($C$15073=0,I15215=$C$15147),$C$15144*$C$15212/100,0)+IF(AND($C$15073=1,I15215=$C$15213),$C$15150,0)</f>
        <v>0</v>
      </c>
    </row>
    <row r="15219" customFormat="false" ht="15" hidden="false" customHeight="false" outlineLevel="0" collapsed="false">
      <c r="A15219" s="2" t="s">
        <v>540</v>
      </c>
      <c r="C15219" s="16" t="n">
        <f aca="false">-$C$15146</f>
        <v>-95</v>
      </c>
      <c r="D15219" s="16" t="n">
        <f aca="false">D15217+D15218</f>
        <v>10.5</v>
      </c>
      <c r="E15219" s="16" t="n">
        <f aca="false">E15217+E15218</f>
        <v>10.5</v>
      </c>
      <c r="F15219" s="16" t="n">
        <f aca="false">F15217+F15218</f>
        <v>10.5</v>
      </c>
      <c r="G15219" s="16" t="n">
        <f aca="false">G15217+G15218</f>
        <v>34.945728090226</v>
      </c>
      <c r="H15219" s="16" t="n">
        <f aca="false">H15217+H15218</f>
        <v>0</v>
      </c>
      <c r="I15219" s="16" t="n">
        <f aca="false">I15217+I15218</f>
        <v>0</v>
      </c>
    </row>
    <row r="15220" customFormat="false" ht="15" hidden="false" customHeight="false" outlineLevel="0" collapsed="false">
      <c r="A15220" s="3" t="s">
        <v>541</v>
      </c>
      <c r="C15220" s="25" t="n">
        <f aca="false">SUM($C$15217:$I$15217)</f>
        <v>31.5</v>
      </c>
    </row>
    <row r="15221" customFormat="false" ht="15" hidden="false" customHeight="false" outlineLevel="0" collapsed="false">
      <c r="A15221" s="3" t="s">
        <v>542</v>
      </c>
      <c r="C15221" s="25" t="n">
        <f aca="false">SUM($C$15218:$I$15218)</f>
        <v>34.945728090226</v>
      </c>
    </row>
    <row r="15222" customFormat="false" ht="15" hidden="false" customHeight="false" outlineLevel="0" collapsed="false">
      <c r="A15222" s="3" t="s">
        <v>543</v>
      </c>
      <c r="C15222" s="25" t="n">
        <f aca="false">C15220+C15221</f>
        <v>66.445728090226</v>
      </c>
    </row>
    <row r="15223" customFormat="false" ht="15" hidden="false" customHeight="false" outlineLevel="0" collapsed="false">
      <c r="A15223" s="3" t="s">
        <v>544</v>
      </c>
      <c r="C15223" s="25" t="n">
        <f aca="false">C15221-C15144*C15145/100</f>
        <v>-60.054271909774</v>
      </c>
    </row>
    <row r="15224" customFormat="false" ht="15" hidden="false" customHeight="false" outlineLevel="0" collapsed="false">
      <c r="A15224" s="3" t="s">
        <v>545</v>
      </c>
      <c r="C15224" s="25" t="n">
        <f aca="false">C15222-C15146</f>
        <v>-28.554271909774</v>
      </c>
    </row>
    <row r="15225" customFormat="false" ht="15" hidden="false" customHeight="false" outlineLevel="0" collapsed="false">
      <c r="A15225" s="2" t="s">
        <v>427</v>
      </c>
      <c r="C15225" s="44" t="n">
        <f aca="false">C15222/C15146</f>
        <v>0.699428716739221</v>
      </c>
    </row>
    <row r="15226" customFormat="false" ht="15" hidden="false" customHeight="false" outlineLevel="0" collapsed="false">
      <c r="A15226" s="2" t="s">
        <v>426</v>
      </c>
      <c r="C15226" s="42" t="n">
        <f aca="false">IF(C15222&lt;=0,-1,IFERROR(IRR($C$15219:$I$15219,MAX(-0.9,C15225^(1/C15213)-1)),IRR($C$15219:$I$15219,0.1)))</f>
        <v>-0.10811295237651</v>
      </c>
    </row>
    <row r="15227" customFormat="false" ht="15" hidden="false" customHeight="false" outlineLevel="0" collapsed="false">
      <c r="A15227" s="3" t="s">
        <v>546</v>
      </c>
      <c r="C15227" s="32" t="n">
        <f aca="false">MAX($G$15033:$K$15033)</f>
        <v>17.6426302993449</v>
      </c>
    </row>
    <row r="15228" customFormat="false" ht="15" hidden="false" customHeight="false" outlineLevel="0" collapsed="false">
      <c r="A15228" s="3" t="s">
        <v>547</v>
      </c>
      <c r="C15228" s="32" t="n">
        <f aca="false">MIN($G$15034:$K$15034)</f>
        <v>0.641091448545568</v>
      </c>
    </row>
    <row r="15229" customFormat="false" ht="15" hidden="false" customHeight="false" outlineLevel="0" collapsed="false">
      <c r="A15229" s="3" t="s">
        <v>548</v>
      </c>
      <c r="C15229" s="25" t="n">
        <f aca="false">SUM($G$14940:$K$14940)</f>
        <v>-362.406198194027</v>
      </c>
    </row>
    <row r="15233" customFormat="false" ht="15" hidden="false" customHeight="false" outlineLevel="0" collapsed="false">
      <c r="A15233" s="9" t="s">
        <v>1061</v>
      </c>
      <c r="B15233" s="10"/>
      <c r="C15233" s="10"/>
      <c r="D15233" s="10"/>
      <c r="E15233" s="10"/>
      <c r="F15233" s="10"/>
      <c r="G15233" s="10"/>
      <c r="H15233" s="10"/>
      <c r="I15233" s="10"/>
      <c r="J15233" s="10"/>
      <c r="K15233" s="10"/>
    </row>
    <row r="15234" customFormat="false" ht="15" hidden="false" customHeight="false" outlineLevel="0" collapsed="false">
      <c r="A15234" s="3" t="s">
        <v>1010</v>
      </c>
      <c r="C15234" s="11" t="n">
        <v>3</v>
      </c>
    </row>
    <row r="15235" customFormat="false" ht="15" hidden="false" customHeight="false" outlineLevel="0" collapsed="false">
      <c r="A15235" s="3" t="s">
        <v>1011</v>
      </c>
      <c r="C15235" s="18" t="n">
        <v>0</v>
      </c>
    </row>
    <row r="15236" customFormat="false" ht="15" hidden="false" customHeight="false" outlineLevel="0" collapsed="false">
      <c r="A15236" s="3" t="s">
        <v>1012</v>
      </c>
      <c r="C15236" s="18" t="n">
        <v>0</v>
      </c>
    </row>
    <row r="15237" customFormat="false" ht="15" hidden="false" customHeight="false" outlineLevel="0" collapsed="false">
      <c r="A15237" s="3" t="s">
        <v>1013</v>
      </c>
      <c r="C15237" s="30" t="n">
        <f aca="false">Sensitivities!$A$54</f>
        <v>0.02</v>
      </c>
    </row>
    <row r="15238" customFormat="false" ht="15" hidden="false" customHeight="false" outlineLevel="0" collapsed="false">
      <c r="A15238" s="3" t="s">
        <v>1014</v>
      </c>
      <c r="C15238" s="15" t="n">
        <v>0</v>
      </c>
    </row>
    <row r="15240" customFormat="false" ht="15" hidden="false" customHeight="false" outlineLevel="0" collapsed="false">
      <c r="A15240" s="23" t="s">
        <v>281</v>
      </c>
      <c r="B15240" s="24"/>
      <c r="C15240" s="24"/>
      <c r="D15240" s="24"/>
      <c r="E15240" s="24"/>
      <c r="F15240" s="24"/>
      <c r="G15240" s="24"/>
      <c r="H15240" s="24"/>
      <c r="I15240" s="24"/>
      <c r="J15240" s="24"/>
      <c r="K15240" s="24"/>
    </row>
    <row r="15241" customFormat="false" ht="15" hidden="false" customHeight="false" outlineLevel="0" collapsed="false">
      <c r="A15241" s="3" t="s">
        <v>282</v>
      </c>
      <c r="F15241" s="27" t="n">
        <f aca="false">Assumptions!$C$6</f>
        <v>2026</v>
      </c>
      <c r="G15241" s="20" t="n">
        <f aca="false">F15241+1</f>
        <v>2027</v>
      </c>
      <c r="H15241" s="20" t="n">
        <f aca="false">G15241+1</f>
        <v>2028</v>
      </c>
      <c r="I15241" s="20" t="n">
        <f aca="false">H15241+1</f>
        <v>2029</v>
      </c>
      <c r="J15241" s="20" t="n">
        <f aca="false">I15241+1</f>
        <v>2030</v>
      </c>
      <c r="K15241" s="20" t="n">
        <f aca="false">J15241+1</f>
        <v>2031</v>
      </c>
    </row>
    <row r="15242" customFormat="false" ht="15" hidden="false" customHeight="false" outlineLevel="0" collapsed="false">
      <c r="A15242" s="3" t="s">
        <v>283</v>
      </c>
      <c r="G15242" s="20" t="n">
        <f aca="false">G15241-Assumptions!$C$6</f>
        <v>1</v>
      </c>
      <c r="H15242" s="20" t="n">
        <f aca="false">H15241-Assumptions!$C$6</f>
        <v>2</v>
      </c>
      <c r="I15242" s="20" t="n">
        <f aca="false">I15241-Assumptions!$C$6</f>
        <v>3</v>
      </c>
      <c r="J15242" s="20" t="n">
        <f aca="false">J15241-Assumptions!$C$6</f>
        <v>4</v>
      </c>
      <c r="K15242" s="20" t="n">
        <f aca="false">K15241-Assumptions!$C$6</f>
        <v>5</v>
      </c>
    </row>
    <row r="15243" customFormat="false" ht="15" hidden="false" customHeight="false" outlineLevel="0" collapsed="false">
      <c r="A15243" s="3" t="s">
        <v>165</v>
      </c>
      <c r="G15243" s="21" t="n">
        <f aca="false">CHOOSE($C$15234,Assumptions!$G$71,Assumptions!$G$90,Assumptions!$G$109)+$C$15235</f>
        <v>-0.14</v>
      </c>
      <c r="H15243" s="21" t="n">
        <f aca="false">CHOOSE($C$15234,Assumptions!$H$71,Assumptions!$H$90,Assumptions!$H$109)+$C$15235</f>
        <v>-0.12</v>
      </c>
      <c r="I15243" s="21" t="n">
        <f aca="false">CHOOSE($C$15234,Assumptions!$I$71,Assumptions!$I$90,Assumptions!$I$109)+$C$15235</f>
        <v>-0.1</v>
      </c>
      <c r="J15243" s="21" t="n">
        <f aca="false">CHOOSE($C$15234,Assumptions!$J$71,Assumptions!$J$90,Assumptions!$J$109)+$C$15235</f>
        <v>-0.08</v>
      </c>
      <c r="K15243" s="21" t="n">
        <f aca="false">CHOOSE($C$15234,Assumptions!$K$71,Assumptions!$K$90,Assumptions!$K$109)+$C$15235</f>
        <v>-0.06</v>
      </c>
    </row>
    <row r="15244" customFormat="false" ht="15" hidden="false" customHeight="false" outlineLevel="0" collapsed="false">
      <c r="A15244" s="3" t="s">
        <v>166</v>
      </c>
      <c r="G15244" s="21" t="n">
        <f aca="false">CHOOSE($C$15234,Assumptions!$G$72,Assumptions!$G$91,Assumptions!$G$110)</f>
        <v>0.433246670103635</v>
      </c>
      <c r="H15244" s="21" t="n">
        <f aca="false">CHOOSE($C$15234,Assumptions!$H$72,Assumptions!$H$91,Assumptions!$H$110)</f>
        <v>0.418246670103635</v>
      </c>
      <c r="I15244" s="21" t="n">
        <f aca="false">CHOOSE($C$15234,Assumptions!$I$72,Assumptions!$I$91,Assumptions!$I$110)</f>
        <v>0.413246670103635</v>
      </c>
      <c r="J15244" s="21" t="n">
        <f aca="false">CHOOSE($C$15234,Assumptions!$J$72,Assumptions!$J$91,Assumptions!$J$110)</f>
        <v>0.413246670103635</v>
      </c>
      <c r="K15244" s="21" t="n">
        <f aca="false">CHOOSE($C$15234,Assumptions!$K$72,Assumptions!$K$91,Assumptions!$K$110)</f>
        <v>0.413246670103635</v>
      </c>
    </row>
    <row r="15245" customFormat="false" ht="15" hidden="false" customHeight="false" outlineLevel="0" collapsed="false">
      <c r="A15245" s="3" t="s">
        <v>167</v>
      </c>
      <c r="G15245" s="21" t="n">
        <f aca="false">CHOOSE($C$15234,Assumptions!$G$73,Assumptions!$G$92,Assumptions!$G$111)+$C$15236</f>
        <v>0.09</v>
      </c>
      <c r="H15245" s="21" t="n">
        <f aca="false">CHOOSE($C$15234,Assumptions!$H$73,Assumptions!$H$92,Assumptions!$H$111)+$C$15236</f>
        <v>0.075</v>
      </c>
      <c r="I15245" s="21" t="n">
        <f aca="false">CHOOSE($C$15234,Assumptions!$I$73,Assumptions!$I$92,Assumptions!$I$111)+$C$15236</f>
        <v>0.07</v>
      </c>
      <c r="J15245" s="21" t="n">
        <f aca="false">CHOOSE($C$15234,Assumptions!$J$73,Assumptions!$J$92,Assumptions!$J$111)+$C$15236</f>
        <v>0.07</v>
      </c>
      <c r="K15245" s="21" t="n">
        <f aca="false">CHOOSE($C$15234,Assumptions!$K$73,Assumptions!$K$92,Assumptions!$K$111)+$C$15236</f>
        <v>0.07</v>
      </c>
    </row>
    <row r="15246" customFormat="false" ht="15" hidden="false" customHeight="false" outlineLevel="0" collapsed="false">
      <c r="A15246" s="23" t="s">
        <v>284</v>
      </c>
      <c r="B15246" s="24"/>
      <c r="C15246" s="24"/>
      <c r="D15246" s="24"/>
      <c r="E15246" s="24"/>
      <c r="F15246" s="24"/>
      <c r="G15246" s="24"/>
      <c r="H15246" s="24"/>
      <c r="I15246" s="24"/>
      <c r="J15246" s="24"/>
      <c r="K15246" s="24"/>
    </row>
    <row r="15247" customFormat="false" ht="15" hidden="false" customHeight="false" outlineLevel="0" collapsed="false">
      <c r="A15247" s="2" t="s">
        <v>256</v>
      </c>
      <c r="F15247" s="28" t="n">
        <f aca="false">'Historical Financials'!G23</f>
        <v>2246.166</v>
      </c>
      <c r="G15247" s="16" t="n">
        <f aca="false">F15247*(1+G15243)</f>
        <v>1931.70276</v>
      </c>
      <c r="H15247" s="16" t="n">
        <f aca="false">G15247*(1+H15243)</f>
        <v>1699.8984288</v>
      </c>
      <c r="I15247" s="16" t="n">
        <f aca="false">H15247*(1+I15243)</f>
        <v>1529.90858592</v>
      </c>
      <c r="J15247" s="16" t="n">
        <f aca="false">I15247*(1+J15243)</f>
        <v>1407.5158990464</v>
      </c>
      <c r="K15247" s="16" t="n">
        <f aca="false">J15247*(1+K15243)</f>
        <v>1323.06494510362</v>
      </c>
    </row>
    <row r="15248" customFormat="false" ht="15" hidden="false" customHeight="false" outlineLevel="0" collapsed="false">
      <c r="A15248" s="3" t="s">
        <v>257</v>
      </c>
      <c r="G15248" s="25" t="n">
        <f aca="false">G15247*(1-G15244)</f>
        <v>1094.7989716</v>
      </c>
      <c r="H15248" s="25" t="n">
        <f aca="false">H15247*(1-H15244)</f>
        <v>988.92157144</v>
      </c>
      <c r="I15248" s="25" t="n">
        <f aca="false">I15247*(1-I15244)</f>
        <v>897.6789572256</v>
      </c>
      <c r="J15248" s="25" t="n">
        <f aca="false">J15247*(1-J15244)</f>
        <v>825.864640647552</v>
      </c>
      <c r="K15248" s="25" t="n">
        <f aca="false">K15247*(1-K15244)</f>
        <v>776.312762208699</v>
      </c>
    </row>
    <row r="15249" customFormat="false" ht="15" hidden="false" customHeight="false" outlineLevel="0" collapsed="false">
      <c r="A15249" s="2" t="s">
        <v>258</v>
      </c>
      <c r="G15249" s="16" t="n">
        <f aca="false">G15247-G15248</f>
        <v>836.9037884</v>
      </c>
      <c r="H15249" s="16" t="n">
        <f aca="false">H15247-H15248</f>
        <v>710.97685736</v>
      </c>
      <c r="I15249" s="16" t="n">
        <f aca="false">I15247-I15248</f>
        <v>632.2296286944</v>
      </c>
      <c r="J15249" s="16" t="n">
        <f aca="false">J15247-J15248</f>
        <v>581.651258398848</v>
      </c>
      <c r="K15249" s="16" t="n">
        <f aca="false">K15247-K15248</f>
        <v>546.752182894917</v>
      </c>
    </row>
    <row r="15250" customFormat="false" ht="15" hidden="false" customHeight="false" outlineLevel="0" collapsed="false">
      <c r="A15250" s="3" t="s">
        <v>285</v>
      </c>
      <c r="G15250" s="25" t="n">
        <f aca="false">G15249-G15251</f>
        <v>663.05054</v>
      </c>
      <c r="H15250" s="25" t="n">
        <f aca="false">H15249-H15251</f>
        <v>583.4844752</v>
      </c>
      <c r="I15250" s="25" t="n">
        <f aca="false">I15249-I15251</f>
        <v>525.13602768</v>
      </c>
      <c r="J15250" s="25" t="n">
        <f aca="false">J15249-J15251</f>
        <v>483.1251454656</v>
      </c>
      <c r="K15250" s="25" t="n">
        <f aca="false">K15249-K15251</f>
        <v>454.137636737664</v>
      </c>
    </row>
    <row r="15251" customFormat="false" ht="15" hidden="false" customHeight="false" outlineLevel="0" collapsed="false">
      <c r="A15251" s="2" t="s">
        <v>286</v>
      </c>
      <c r="G15251" s="16" t="n">
        <f aca="false">G15247*G15245</f>
        <v>173.8532484</v>
      </c>
      <c r="H15251" s="16" t="n">
        <f aca="false">H15247*H15245</f>
        <v>127.49238216</v>
      </c>
      <c r="I15251" s="16" t="n">
        <f aca="false">I15247*I15245</f>
        <v>107.0936010144</v>
      </c>
      <c r="J15251" s="16" t="n">
        <f aca="false">J15247*J15245</f>
        <v>98.526112933248</v>
      </c>
      <c r="K15251" s="16" t="n">
        <f aca="false">K15247*K15245</f>
        <v>92.6145461572531</v>
      </c>
    </row>
    <row r="15252" customFormat="false" ht="15" hidden="false" customHeight="false" outlineLevel="0" collapsed="false">
      <c r="A15252" s="3" t="s">
        <v>287</v>
      </c>
      <c r="G15252" s="25" t="n">
        <f aca="false">G15247*'Historical Financials'!G28/'Historical Financials'!G23</f>
        <v>73.35456</v>
      </c>
      <c r="H15252" s="25" t="n">
        <f aca="false">H15247*'Historical Financials'!G28/'Historical Financials'!G23</f>
        <v>64.5520128</v>
      </c>
      <c r="I15252" s="25" t="n">
        <f aca="false">I15247*'Historical Financials'!G28/'Historical Financials'!G23</f>
        <v>58.09681152</v>
      </c>
      <c r="J15252" s="25" t="n">
        <f aca="false">J15247*'Historical Financials'!G28/'Historical Financials'!G23</f>
        <v>53.4490665984</v>
      </c>
      <c r="K15252" s="25" t="n">
        <f aca="false">K15247*'Historical Financials'!G28/'Historical Financials'!G23</f>
        <v>50.242122602496</v>
      </c>
    </row>
    <row r="15253" customFormat="false" ht="15" hidden="false" customHeight="false" outlineLevel="0" collapsed="false">
      <c r="A15253" s="3" t="s">
        <v>288</v>
      </c>
      <c r="G15253" s="25" t="n">
        <f aca="false">G15247*'Historical Financials'!G29/'Historical Financials'!G23</f>
        <v>20.94616</v>
      </c>
      <c r="H15253" s="25" t="n">
        <f aca="false">H15247*'Historical Financials'!G29/'Historical Financials'!G23</f>
        <v>18.4326208</v>
      </c>
      <c r="I15253" s="25" t="n">
        <f aca="false">I15247*'Historical Financials'!G29/'Historical Financials'!G23</f>
        <v>16.58935872</v>
      </c>
      <c r="J15253" s="25" t="n">
        <f aca="false">J15247*'Historical Financials'!G29/'Historical Financials'!G23</f>
        <v>15.2622100224</v>
      </c>
      <c r="K15253" s="25" t="n">
        <f aca="false">K15247*'Historical Financials'!G29/'Historical Financials'!G23</f>
        <v>14.346477421056</v>
      </c>
    </row>
    <row r="15254" customFormat="false" ht="15" hidden="false" customHeight="false" outlineLevel="0" collapsed="false">
      <c r="A15254" s="2" t="s">
        <v>289</v>
      </c>
      <c r="G15254" s="16" t="n">
        <f aca="false">G15251-G15252-G15253</f>
        <v>79.5525284</v>
      </c>
      <c r="H15254" s="16" t="n">
        <f aca="false">H15251-H15252-H15253</f>
        <v>44.50774856</v>
      </c>
      <c r="I15254" s="16" t="n">
        <f aca="false">I15251-I15252-I15253</f>
        <v>32.4074307744</v>
      </c>
      <c r="J15254" s="16" t="n">
        <f aca="false">J15251-J15252-J15253</f>
        <v>29.814836312448</v>
      </c>
      <c r="K15254" s="16" t="n">
        <f aca="false">K15251-K15252-K15253</f>
        <v>28.0259461337011</v>
      </c>
    </row>
    <row r="15255" customFormat="false" ht="15" hidden="false" customHeight="false" outlineLevel="0" collapsed="false">
      <c r="A15255" s="3" t="s">
        <v>290</v>
      </c>
      <c r="G15255" s="25" t="n">
        <f aca="false">G15281+G15294+G15307</f>
        <v>155.95467</v>
      </c>
      <c r="H15255" s="25" t="n">
        <f aca="false">H15281+H15294+H15307</f>
        <v>155.95467</v>
      </c>
      <c r="I15255" s="25" t="n">
        <f aca="false">I15281+I15294+I15307</f>
        <v>155.95467</v>
      </c>
      <c r="J15255" s="25" t="n">
        <f aca="false">J15281+J15294+J15307</f>
        <v>144.463861384154</v>
      </c>
      <c r="K15255" s="25" t="n">
        <f aca="false">K15281+K15294+K15307</f>
        <v>144.463861384154</v>
      </c>
    </row>
    <row r="15256" customFormat="false" ht="15" hidden="false" customHeight="false" outlineLevel="0" collapsed="false">
      <c r="A15256" s="3" t="s">
        <v>291</v>
      </c>
      <c r="G15256" s="25" t="n">
        <f aca="false">G15282+G15295+G15308</f>
        <v>0</v>
      </c>
      <c r="H15256" s="25" t="n">
        <f aca="false">H15282+H15295+H15308</f>
        <v>0</v>
      </c>
      <c r="I15256" s="25" t="n">
        <f aca="false">I15282+I15295+I15308</f>
        <v>0</v>
      </c>
      <c r="J15256" s="25" t="n">
        <f aca="false">J15282+J15295+J15308</f>
        <v>0</v>
      </c>
      <c r="K15256" s="25" t="n">
        <f aca="false">K15282+K15295+K15308</f>
        <v>0</v>
      </c>
    </row>
    <row r="15257" customFormat="false" ht="15" hidden="false" customHeight="false" outlineLevel="0" collapsed="false">
      <c r="A15257" s="3" t="s">
        <v>239</v>
      </c>
      <c r="G15257" s="25" t="n">
        <f aca="false">G15255+G15256</f>
        <v>155.95467</v>
      </c>
      <c r="H15257" s="25" t="n">
        <f aca="false">H15255+H15256</f>
        <v>155.95467</v>
      </c>
      <c r="I15257" s="25" t="n">
        <f aca="false">I15255+I15256</f>
        <v>155.95467</v>
      </c>
      <c r="J15257" s="25" t="n">
        <f aca="false">J15255+J15256</f>
        <v>144.463861384154</v>
      </c>
      <c r="K15257" s="25" t="n">
        <f aca="false">K15255+K15256</f>
        <v>144.463861384154</v>
      </c>
    </row>
    <row r="15258" customFormat="false" ht="15" hidden="false" customHeight="false" outlineLevel="0" collapsed="false">
      <c r="A15258" s="2" t="s">
        <v>264</v>
      </c>
      <c r="G15258" s="16" t="n">
        <f aca="false">G15254-G15257</f>
        <v>-76.4021416</v>
      </c>
      <c r="H15258" s="16" t="n">
        <f aca="false">H15254-H15257</f>
        <v>-111.44692144</v>
      </c>
      <c r="I15258" s="16" t="n">
        <f aca="false">I15254-I15257</f>
        <v>-123.5472392256</v>
      </c>
      <c r="J15258" s="16" t="n">
        <f aca="false">J15254-J15257</f>
        <v>-114.649025071706</v>
      </c>
      <c r="K15258" s="16" t="n">
        <f aca="false">K15254-K15257</f>
        <v>-116.437915250452</v>
      </c>
    </row>
    <row r="15259" customFormat="false" ht="15" hidden="false" customHeight="false" outlineLevel="0" collapsed="false">
      <c r="A15259" s="3" t="s">
        <v>292</v>
      </c>
      <c r="G15259" s="25" t="n">
        <f aca="false">MAX(0,G15258)*Assumptions!$C$9</f>
        <v>0</v>
      </c>
      <c r="H15259" s="25" t="n">
        <f aca="false">MAX(0,H15258)*Assumptions!$C$9</f>
        <v>0</v>
      </c>
      <c r="I15259" s="25" t="n">
        <f aca="false">MAX(0,I15258)*Assumptions!$C$9</f>
        <v>0</v>
      </c>
      <c r="J15259" s="25" t="n">
        <f aca="false">MAX(0,J15258)*Assumptions!$C$9</f>
        <v>0</v>
      </c>
      <c r="K15259" s="25" t="n">
        <f aca="false">MAX(0,K15258)*Assumptions!$C$9</f>
        <v>0</v>
      </c>
    </row>
    <row r="15260" customFormat="false" ht="15" hidden="false" customHeight="false" outlineLevel="0" collapsed="false">
      <c r="A15260" s="2" t="s">
        <v>293</v>
      </c>
      <c r="G15260" s="16" t="n">
        <f aca="false">G15258-G15259</f>
        <v>-76.4021416</v>
      </c>
      <c r="H15260" s="16" t="n">
        <f aca="false">H15258-H15259</f>
        <v>-111.44692144</v>
      </c>
      <c r="I15260" s="16" t="n">
        <f aca="false">I15258-I15259</f>
        <v>-123.5472392256</v>
      </c>
      <c r="J15260" s="16" t="n">
        <f aca="false">J15258-J15259</f>
        <v>-114.649025071706</v>
      </c>
      <c r="K15260" s="16" t="n">
        <f aca="false">K15258-K15259</f>
        <v>-116.437915250452</v>
      </c>
    </row>
    <row r="15261" customFormat="false" ht="15" hidden="false" customHeight="false" outlineLevel="0" collapsed="false">
      <c r="A15261" s="23" t="s">
        <v>294</v>
      </c>
      <c r="B15261" s="24"/>
      <c r="C15261" s="24"/>
      <c r="D15261" s="24"/>
      <c r="E15261" s="24"/>
      <c r="F15261" s="24"/>
      <c r="G15261" s="24"/>
      <c r="H15261" s="24"/>
      <c r="I15261" s="24"/>
      <c r="J15261" s="24"/>
      <c r="K15261" s="24"/>
    </row>
    <row r="15262" customFormat="false" ht="15" hidden="false" customHeight="false" outlineLevel="0" collapsed="false">
      <c r="A15262" s="3" t="s">
        <v>169</v>
      </c>
      <c r="G15262" s="25" t="n">
        <f aca="false">G15247*CHOOSE($C$15234,Assumptions!$C$75,Assumptions!$C$94,Assumptions!$C$113)</f>
        <v>21.24873036</v>
      </c>
      <c r="H15262" s="25" t="n">
        <f aca="false">H15247*CHOOSE($C$15234,Assumptions!$C$75,Assumptions!$C$94,Assumptions!$C$113)</f>
        <v>18.6988827168</v>
      </c>
      <c r="I15262" s="25" t="n">
        <f aca="false">I15247*CHOOSE($C$15234,Assumptions!$C$75,Assumptions!$C$94,Assumptions!$C$113)</f>
        <v>16.82899444512</v>
      </c>
      <c r="J15262" s="25" t="n">
        <f aca="false">J15247*CHOOSE($C$15234,Assumptions!$C$75,Assumptions!$C$94,Assumptions!$C$113)</f>
        <v>15.4826748895104</v>
      </c>
      <c r="K15262" s="25" t="n">
        <f aca="false">K15247*CHOOSE($C$15234,Assumptions!$C$75,Assumptions!$C$94,Assumptions!$C$113)</f>
        <v>14.5537143961398</v>
      </c>
    </row>
    <row r="15263" customFormat="false" ht="15" hidden="false" customHeight="false" outlineLevel="0" collapsed="false">
      <c r="A15263" s="3" t="s">
        <v>295</v>
      </c>
      <c r="G15263" s="25" t="n">
        <f aca="false">CHOOSE($C$15234,Assumptions!$C$76,Assumptions!$C$95,Assumptions!$C$114)*(G15247-F15247)+CHOOSE($C$15234,Assumptions!$C$77,Assumptions!$C$96,Assumptions!$C$115)*G15247</f>
        <v>28.9755414</v>
      </c>
      <c r="H15263" s="25" t="n">
        <f aca="false">CHOOSE($C$15234,Assumptions!$C$76,Assumptions!$C$95,Assumptions!$C$114)*(H15247-G15247)+CHOOSE($C$15234,Assumptions!$C$77,Assumptions!$C$96,Assumptions!$C$115)*H15247</f>
        <v>25.498476432</v>
      </c>
      <c r="I15263" s="25" t="n">
        <f aca="false">CHOOSE($C$15234,Assumptions!$C$76,Assumptions!$C$95,Assumptions!$C$114)*(I15247-H15247)+CHOOSE($C$15234,Assumptions!$C$77,Assumptions!$C$96,Assumptions!$C$115)*I15247</f>
        <v>22.9486287888</v>
      </c>
      <c r="J15263" s="25" t="n">
        <f aca="false">CHOOSE($C$15234,Assumptions!$C$76,Assumptions!$C$95,Assumptions!$C$114)*(J15247-I15247)+CHOOSE($C$15234,Assumptions!$C$77,Assumptions!$C$96,Assumptions!$C$115)*J15247</f>
        <v>21.112738485696</v>
      </c>
      <c r="K15263" s="25" t="n">
        <f aca="false">CHOOSE($C$15234,Assumptions!$C$76,Assumptions!$C$95,Assumptions!$C$114)*(K15247-J15247)+CHOOSE($C$15234,Assumptions!$C$77,Assumptions!$C$96,Assumptions!$C$115)*K15247</f>
        <v>19.8459741765542</v>
      </c>
    </row>
    <row r="15264" customFormat="false" ht="15" hidden="false" customHeight="false" outlineLevel="0" collapsed="false">
      <c r="A15264" s="2" t="s">
        <v>296</v>
      </c>
      <c r="G15264" s="16" t="n">
        <f aca="false">G15260+G15252+G15253+G15256-G15262-G15263</f>
        <v>-32.32569336</v>
      </c>
      <c r="H15264" s="16" t="n">
        <f aca="false">H15260+H15252+H15253+H15256-H15262-H15263</f>
        <v>-72.6596469888</v>
      </c>
      <c r="I15264" s="16" t="n">
        <f aca="false">I15260+I15252+I15253+I15256-I15262-I15263</f>
        <v>-88.63869221952</v>
      </c>
      <c r="J15264" s="16" t="n">
        <f aca="false">J15260+J15252+J15253+J15256-J15262-J15263</f>
        <v>-82.533161826112</v>
      </c>
      <c r="K15264" s="16" t="n">
        <f aca="false">K15260+K15252+K15253+K15256-K15262-K15263</f>
        <v>-86.2490037995945</v>
      </c>
    </row>
    <row r="15266" customFormat="false" ht="15" hidden="false" customHeight="false" outlineLevel="0" collapsed="false">
      <c r="A15266" s="23" t="s">
        <v>298</v>
      </c>
      <c r="B15266" s="24"/>
      <c r="C15266" s="24"/>
      <c r="D15266" s="24"/>
      <c r="E15266" s="24"/>
      <c r="F15266" s="24"/>
      <c r="G15266" s="24"/>
      <c r="H15266" s="24"/>
      <c r="I15266" s="24"/>
      <c r="J15266" s="24"/>
      <c r="K15266" s="24"/>
    </row>
    <row r="15267" customFormat="false" ht="15" hidden="false" customHeight="false" outlineLevel="0" collapsed="false">
      <c r="A15267" s="3" t="s">
        <v>299</v>
      </c>
      <c r="G15267" s="30" t="n">
        <f aca="false">Assumptions!$G$52</f>
        <v>0.039</v>
      </c>
      <c r="H15267" s="30" t="n">
        <f aca="false">Assumptions!$H$52</f>
        <v>0.0375</v>
      </c>
      <c r="I15267" s="30" t="n">
        <f aca="false">Assumptions!$I$52</f>
        <v>0.035</v>
      </c>
      <c r="J15267" s="30" t="n">
        <f aca="false">Assumptions!$J$52</f>
        <v>0.035</v>
      </c>
      <c r="K15267" s="30" t="n">
        <f aca="false">Assumptions!$K$52</f>
        <v>0.035</v>
      </c>
    </row>
    <row r="15268" customFormat="false" ht="15" hidden="false" customHeight="false" outlineLevel="0" collapsed="false">
      <c r="A15268" s="3" t="s">
        <v>300</v>
      </c>
      <c r="C15268" s="31" t="n">
        <f aca="false">CHOOSE($C$15234,Assumptions!$C$78,Assumptions!$C$97,Assumptions!$C$116)+$C$15237</f>
        <v>0.05</v>
      </c>
    </row>
    <row r="15269" customFormat="false" ht="15" hidden="false" customHeight="false" outlineLevel="0" collapsed="false">
      <c r="A15269" s="3" t="s">
        <v>301</v>
      </c>
      <c r="C15269" s="31" t="n">
        <f aca="false">CHOOSE($C$15234,Assumptions!$C$79,Assumptions!$C$98,Assumptions!$C$117)</f>
        <v>0.15</v>
      </c>
    </row>
    <row r="15270" customFormat="false" ht="15" hidden="false" customHeight="false" outlineLevel="0" collapsed="false">
      <c r="A15270" s="3" t="s">
        <v>302</v>
      </c>
      <c r="C15270" s="32" t="n">
        <f aca="false">CHOOSE($C$15234,Assumptions!$C$80,Assumptions!$C$99,Assumptions!$C$118)</f>
        <v>5</v>
      </c>
    </row>
    <row r="15271" customFormat="false" ht="15" hidden="false" customHeight="false" outlineLevel="0" collapsed="false">
      <c r="A15271" s="3" t="s">
        <v>303</v>
      </c>
      <c r="C15271" s="32" t="n">
        <f aca="false">CHOOSE($C$15234,Assumptions!$C$81,Assumptions!$C$100,Assumptions!$C$119)</f>
        <v>1.75</v>
      </c>
    </row>
    <row r="15272" customFormat="false" ht="15" hidden="false" customHeight="false" outlineLevel="0" collapsed="false">
      <c r="A15272" s="3" t="s">
        <v>304</v>
      </c>
      <c r="G15272" s="25" t="n">
        <f aca="false">G15277+G15290+G15303</f>
        <v>1735.554</v>
      </c>
      <c r="H15272" s="25" t="n">
        <f aca="false">H15277+H15290+H15303</f>
        <v>1735.554</v>
      </c>
      <c r="I15272" s="25" t="n">
        <f aca="false">I15277+I15290+I15303</f>
        <v>1735.554</v>
      </c>
      <c r="J15272" s="25" t="n">
        <f aca="false">J15277+J15290+J15303</f>
        <v>1465.18203256832</v>
      </c>
      <c r="K15272" s="25" t="n">
        <f aca="false">K15277+K15290+K15303</f>
        <v>1465.18203256832</v>
      </c>
    </row>
    <row r="15273" customFormat="false" ht="15" hidden="false" customHeight="false" outlineLevel="0" collapsed="false">
      <c r="A15273" s="3" t="s">
        <v>305</v>
      </c>
      <c r="G15273" s="25" t="n">
        <f aca="false">F15346</f>
        <v>463.996</v>
      </c>
      <c r="H15273" s="25" t="n">
        <f aca="false">G15346</f>
        <v>431.67030664</v>
      </c>
      <c r="I15273" s="25" t="n">
        <f aca="false">H15346</f>
        <v>359.0106596512</v>
      </c>
      <c r="J15273" s="25" t="n">
        <f aca="false">I15346</f>
        <v>0</v>
      </c>
      <c r="K15273" s="25" t="n">
        <f aca="false">J15346</f>
        <v>-82.533161826112</v>
      </c>
    </row>
    <row r="15274" customFormat="false" ht="15" hidden="false" customHeight="false" outlineLevel="0" collapsed="false">
      <c r="A15274" s="3" t="s">
        <v>306</v>
      </c>
      <c r="G15274" s="25" t="n">
        <f aca="false">G15277*IF(G15278=1,$C$15269,IF(Assumptions!$I$56=1,MAX(G15267,Assumptions!$G$56)+Assumptions!$F$56+$C$15268,Assumptions!$E$56))+G15290*IF(G15291=1,$C$15269,IF(Assumptions!$I$57=1,MAX(G15267,Assumptions!$G$57)+Assumptions!$F$57+$C$15268,Assumptions!$E$57))+G15303*IF(G15304=1,$C$15269,IF(Assumptions!$I$58=1,MAX(G15267,Assumptions!$G$58)+Assumptions!$F$58+$C$15268,Assumptions!$E$58))</f>
        <v>155.95467</v>
      </c>
      <c r="H15274" s="25" t="n">
        <f aca="false">H15277*IF(OR(H15278=1,G15424=1),$C$15269,IF(Assumptions!$I$56=1,MAX(H15267,Assumptions!$G$56)+Assumptions!$F$56+$C$15268,Assumptions!$E$56))+H15290*IF(OR(H15291=1,G15425=1),$C$15269,IF(Assumptions!$I$57=1,MAX(H15267,Assumptions!$G$57)+Assumptions!$F$57+$C$15268,Assumptions!$E$57))+H15303*IF(OR(H15304=1,G15426=1),$C$15269,IF(Assumptions!$I$58=1,MAX(H15267,Assumptions!$G$58)+Assumptions!$F$58+$C$15268,Assumptions!$E$58))</f>
        <v>155.95467</v>
      </c>
      <c r="I15274" s="25" t="n">
        <f aca="false">I15277*IF(OR(I15278=1,H15424=1),$C$15269,IF(Assumptions!$I$56=1,MAX(I15267,Assumptions!$G$56)+Assumptions!$F$56+$C$15268,Assumptions!$E$56))+I15290*IF(OR(I15291=1,H15425=1),$C$15269,IF(Assumptions!$I$57=1,MAX(I15267,Assumptions!$G$57)+Assumptions!$F$57+$C$15268,Assumptions!$E$57))+I15303*IF(OR(I15304=1,H15426=1),$C$15269,IF(Assumptions!$I$58=1,MAX(I15267,Assumptions!$G$58)+Assumptions!$F$58+$C$15268,Assumptions!$E$58))</f>
        <v>201.15369</v>
      </c>
      <c r="J15274" s="25" t="n">
        <f aca="false">J15277*IF(OR(J15278=1,I15424=1),$C$15269,IF(Assumptions!$I$56=1,MAX(J15267,Assumptions!$G$56)+Assumptions!$F$56+$C$15268,Assumptions!$E$56))+J15290*IF(OR(J15291=1,I15425=1),$C$15269,IF(Assumptions!$I$57=1,MAX(J15267,Assumptions!$G$57)+Assumptions!$F$57+$C$15268,Assumptions!$E$57))+J15303*IF(OR(J15304=1,I15426=1),$C$15269,IF(Assumptions!$I$58=1,MAX(J15267,Assumptions!$G$58)+Assumptions!$F$58+$C$15268,Assumptions!$E$58))</f>
        <v>144.463861384154</v>
      </c>
      <c r="K15274" s="25" t="n">
        <f aca="false">K15277*IF(OR(K15278=1,J15424=1),$C$15269,IF(Assumptions!$I$56=1,MAX(K15267,Assumptions!$G$56)+Assumptions!$F$56+$C$15268,Assumptions!$E$56))+K15290*IF(OR(K15291=1,J15425=1),$C$15269,IF(Assumptions!$I$57=1,MAX(K15267,Assumptions!$G$57)+Assumptions!$F$57+$C$15268,Assumptions!$E$57))+K15303*IF(OR(K15304=1,J15426=1),$C$15269,IF(Assumptions!$I$58=1,MAX(K15267,Assumptions!$G$58)+Assumptions!$F$58+$C$15268,Assumptions!$E$58))</f>
        <v>144.463861384154</v>
      </c>
    </row>
    <row r="15275" customFormat="false" ht="15" hidden="false" customHeight="false" outlineLevel="0" collapsed="false">
      <c r="A15275" s="3" t="s">
        <v>307</v>
      </c>
      <c r="G15275" s="20" t="n">
        <f aca="false">IF(G15251&lt;=0,0,IF(AND((G15272-G15273)/G15251&lt;=$C$15270,G15251/G15274&gt;=$C$15271),1,0))</f>
        <v>0</v>
      </c>
      <c r="H15275" s="20" t="n">
        <f aca="false">IF(H15251&lt;=0,0,IF(AND((H15272-H15273)/H15251&lt;=$C$15270,H15251/H15274&gt;=$C$15271),1,0))</f>
        <v>0</v>
      </c>
      <c r="I15275" s="20" t="n">
        <f aca="false">IF(I15251&lt;=0,0,IF(AND((I15272-I15273)/I15251&lt;=$C$15270,I15251/I15274&gt;=$C$15271),1,0))</f>
        <v>0</v>
      </c>
      <c r="J15275" s="20" t="n">
        <f aca="false">IF(J15251&lt;=0,0,IF(AND((J15272-J15273)/J15251&lt;=$C$15270,J15251/J15274&gt;=$C$15271),1,0))</f>
        <v>0</v>
      </c>
      <c r="K15275" s="20" t="n">
        <f aca="false">IF(K15251&lt;=0,0,IF(AND((K15272-K15273)/K15251&lt;=$C$15270,K15251/K15274&gt;=$C$15271),1,0))</f>
        <v>0</v>
      </c>
    </row>
    <row r="15276" customFormat="false" ht="15" hidden="false" customHeight="false" outlineLevel="0" collapsed="false">
      <c r="A15276" s="23" t="s">
        <v>308</v>
      </c>
      <c r="B15276" s="24"/>
      <c r="C15276" s="24"/>
      <c r="D15276" s="24"/>
      <c r="E15276" s="24"/>
      <c r="F15276" s="24"/>
      <c r="G15276" s="24"/>
      <c r="H15276" s="24"/>
      <c r="I15276" s="24"/>
      <c r="J15276" s="24"/>
      <c r="K15276" s="24"/>
    </row>
    <row r="15277" customFormat="false" ht="15" hidden="false" customHeight="false" outlineLevel="0" collapsed="false">
      <c r="A15277" s="3" t="s">
        <v>309</v>
      </c>
      <c r="G15277" s="25" t="n">
        <f aca="false">F15288</f>
        <v>1315.098</v>
      </c>
      <c r="H15277" s="25" t="n">
        <f aca="false">G15288</f>
        <v>1315.098</v>
      </c>
      <c r="I15277" s="25" t="n">
        <f aca="false">H15288</f>
        <v>1315.098</v>
      </c>
      <c r="J15277" s="25" t="n">
        <f aca="false">I15288</f>
        <v>1315.098</v>
      </c>
      <c r="K15277" s="25" t="n">
        <f aca="false">J15288</f>
        <v>1315.098</v>
      </c>
    </row>
    <row r="15278" customFormat="false" ht="15" hidden="false" customHeight="false" outlineLevel="0" collapsed="false">
      <c r="A15278" s="3" t="s">
        <v>310</v>
      </c>
      <c r="G15278" s="20" t="n">
        <f aca="false">IF(G15241=Assumptions!$K$56,1,0)</f>
        <v>0</v>
      </c>
      <c r="H15278" s="20" t="n">
        <f aca="false">IF(H15241=Assumptions!$K$56,1,0)</f>
        <v>0</v>
      </c>
      <c r="I15278" s="20" t="n">
        <f aca="false">IF(I15241=Assumptions!$K$56,1,0)</f>
        <v>0</v>
      </c>
      <c r="J15278" s="20" t="n">
        <f aca="false">IF(J15241=Assumptions!$K$56,1,0)</f>
        <v>0</v>
      </c>
      <c r="K15278" s="20" t="n">
        <f aca="false">IF(K15241=Assumptions!$K$56,1,0)</f>
        <v>0</v>
      </c>
    </row>
    <row r="15280" customFormat="false" ht="15" hidden="false" customHeight="false" outlineLevel="0" collapsed="false">
      <c r="A15280" s="3" t="s">
        <v>311</v>
      </c>
      <c r="G15280" s="31" t="n">
        <f aca="false">IF(Assumptions!$I$56=1,MAX(G15267,Assumptions!$G$56)+Assumptions!$F$56+$C$15268,Assumptions!$E$56)</f>
        <v>0.105</v>
      </c>
      <c r="H15280" s="31" t="n">
        <f aca="false">IF(G15424=1,$C$15269,IF(Assumptions!$I$56=1,MAX(H15267,Assumptions!$G$56)+Assumptions!$F$56+$C$15268,Assumptions!$E$56))</f>
        <v>0.105</v>
      </c>
      <c r="I15280" s="31" t="n">
        <f aca="false">IF(H15424=1,$C$15269,IF(Assumptions!$I$56=1,MAX(I15267,Assumptions!$G$56)+Assumptions!$F$56+$C$15268,Assumptions!$E$56))</f>
        <v>0.105</v>
      </c>
      <c r="J15280" s="31" t="n">
        <f aca="false">IF(I15424=1,$C$15269,IF(Assumptions!$I$56=1,MAX(J15267,Assumptions!$G$56)+Assumptions!$F$56+$C$15268,Assumptions!$E$56))</f>
        <v>0.105</v>
      </c>
      <c r="K15280" s="31" t="n">
        <f aca="false">IF(J15424=1,$C$15269,IF(Assumptions!$I$56=1,MAX(K15267,Assumptions!$G$56)+Assumptions!$F$56+$C$15268,Assumptions!$E$56))</f>
        <v>0.105</v>
      </c>
    </row>
    <row r="15281" customFormat="false" ht="15" hidden="false" customHeight="false" outlineLevel="0" collapsed="false">
      <c r="A15281" s="3" t="s">
        <v>312</v>
      </c>
      <c r="G15281" s="25" t="n">
        <f aca="false">G15277*G15280</f>
        <v>138.08529</v>
      </c>
      <c r="H15281" s="25" t="n">
        <f aca="false">H15277*H15280</f>
        <v>138.08529</v>
      </c>
      <c r="I15281" s="25" t="n">
        <f aca="false">I15277*I15280</f>
        <v>138.08529</v>
      </c>
      <c r="J15281" s="25" t="n">
        <f aca="false">J15277*J15280</f>
        <v>138.08529</v>
      </c>
      <c r="K15281" s="25" t="n">
        <f aca="false">K15277*K15280</f>
        <v>138.08529</v>
      </c>
    </row>
    <row r="15282" customFormat="false" ht="15" hidden="false" customHeight="false" outlineLevel="0" collapsed="false">
      <c r="A15282" s="3" t="s">
        <v>313</v>
      </c>
      <c r="G15282" s="25" t="n">
        <f aca="false">G15277*Assumptions!$H$56</f>
        <v>0</v>
      </c>
      <c r="H15282" s="25" t="n">
        <f aca="false">H15277*Assumptions!$H$56</f>
        <v>0</v>
      </c>
      <c r="I15282" s="25" t="n">
        <f aca="false">I15277*Assumptions!$H$56</f>
        <v>0</v>
      </c>
      <c r="J15282" s="25" t="n">
        <f aca="false">J15277*Assumptions!$H$56</f>
        <v>0</v>
      </c>
      <c r="K15282" s="25" t="n">
        <f aca="false">K15277*Assumptions!$H$56</f>
        <v>0</v>
      </c>
    </row>
    <row r="15283" customFormat="false" ht="15" hidden="false" customHeight="false" outlineLevel="0" collapsed="false">
      <c r="A15283" s="3" t="s">
        <v>314</v>
      </c>
      <c r="G15283" s="25" t="n">
        <f aca="false">MIN(G15277,Assumptions!$L$56*Assumptions!$C$56)</f>
        <v>0</v>
      </c>
      <c r="H15283" s="25" t="n">
        <f aca="false">MIN(H15277,Assumptions!$L$56*Assumptions!$C$56)</f>
        <v>0</v>
      </c>
      <c r="I15283" s="25" t="n">
        <f aca="false">MIN(I15277,Assumptions!$L$56*Assumptions!$C$56)</f>
        <v>0</v>
      </c>
      <c r="J15283" s="25" t="n">
        <f aca="false">MIN(J15277,Assumptions!$L$56*Assumptions!$C$56)</f>
        <v>0</v>
      </c>
      <c r="K15283" s="25" t="n">
        <f aca="false">MIN(K15277,Assumptions!$L$56*Assumptions!$C$56)</f>
        <v>0</v>
      </c>
    </row>
    <row r="15284" customFormat="false" ht="15" hidden="false" customHeight="false" outlineLevel="0" collapsed="false">
      <c r="A15284" s="3" t="s">
        <v>315</v>
      </c>
      <c r="G15284" s="25" t="n">
        <f aca="false">IF(AND(Assumptions!$P$56=1,G15241&lt;Assumptions!$K$56),MIN(MAX(0,-G15338),MAX(0,Assumptions!$D$56-G15277)),0)</f>
        <v>0</v>
      </c>
      <c r="H15284" s="25" t="n">
        <f aca="false">IF(AND(Assumptions!$P$56=1,OR(H15241&lt;Assumptions!$K$56,G15424=1)),MIN(MAX(0,-H15338),MAX(0,Assumptions!$D$56-H15277)),0)</f>
        <v>0</v>
      </c>
      <c r="I15284" s="25" t="n">
        <f aca="false">IF(AND(Assumptions!$P$56=1,OR(I15241&lt;Assumptions!$K$56,H15424=1)),MIN(MAX(0,-I15338),MAX(0,Assumptions!$D$56-I15277)),0)</f>
        <v>0</v>
      </c>
      <c r="J15284" s="25" t="n">
        <f aca="false">IF(AND(Assumptions!$P$56=1,OR(J15241&lt;Assumptions!$K$56,I15424=1)),MIN(MAX(0,-J15338),MAX(0,Assumptions!$D$56-J15277)),0)</f>
        <v>0</v>
      </c>
      <c r="K15284" s="25" t="n">
        <f aca="false">IF(AND(Assumptions!$P$56=1,OR(K15241&lt;Assumptions!$K$56,J15424=1)),MIN(MAX(0,-K15338),MAX(0,Assumptions!$D$56-K15277)),0)</f>
        <v>0</v>
      </c>
    </row>
    <row r="15285" customFormat="false" ht="15" hidden="false" customHeight="false" outlineLevel="0" collapsed="false">
      <c r="A15285" s="3" t="s">
        <v>316</v>
      </c>
      <c r="G15285" s="25" t="n">
        <f aca="false">G15278*MIN(G15277-G15283+G15282,MAX(0,G15340-Assumptions!$C$12*G15275))</f>
        <v>0</v>
      </c>
      <c r="H15285" s="25" t="n">
        <f aca="false">H15278*MIN(H15277-H15283+H15282,MAX(0,H15340-Assumptions!$C$12*H15275))</f>
        <v>0</v>
      </c>
      <c r="I15285" s="25" t="n">
        <f aca="false">I15278*MIN(I15277-I15283+I15282,MAX(0,I15340-Assumptions!$C$12*I15275))</f>
        <v>0</v>
      </c>
      <c r="J15285" s="25" t="n">
        <f aca="false">J15278*MIN(J15277-J15283+J15282,MAX(0,J15340-Assumptions!$C$12*J15275))</f>
        <v>0</v>
      </c>
      <c r="K15285" s="25" t="n">
        <f aca="false">K15278*MIN(K15277-K15283+K15282,MAX(0,K15340-Assumptions!$C$12*K15275))</f>
        <v>0</v>
      </c>
    </row>
    <row r="15286" customFormat="false" ht="15" hidden="false" customHeight="false" outlineLevel="0" collapsed="false">
      <c r="A15286" s="3" t="s">
        <v>317</v>
      </c>
      <c r="G15286" s="25" t="n">
        <f aca="false">Assumptions!$N$56*MIN(G15277+G15284+G15282-G15283-G15285,MAX(0,G15344))</f>
        <v>0</v>
      </c>
      <c r="H15286" s="25" t="n">
        <f aca="false">Assumptions!$N$56*MIN(H15277+H15284+H15282-H15283-H15285,MAX(0,H15344))</f>
        <v>0</v>
      </c>
      <c r="I15286" s="25" t="n">
        <f aca="false">Assumptions!$N$56*MIN(I15277+I15284+I15282-I15283-I15285,MAX(0,I15344))</f>
        <v>0</v>
      </c>
      <c r="J15286" s="25" t="n">
        <f aca="false">Assumptions!$N$56*MIN(J15277+J15284+J15282-J15283-J15285,MAX(0,J15344))</f>
        <v>0</v>
      </c>
      <c r="K15286" s="25" t="n">
        <f aca="false">Assumptions!$N$56*MIN(K15277+K15284+K15282-K15283-K15285,MAX(0,K15344))</f>
        <v>0</v>
      </c>
    </row>
    <row r="15287" customFormat="false" ht="15" hidden="false" customHeight="false" outlineLevel="0" collapsed="false">
      <c r="A15287" s="3" t="s">
        <v>318</v>
      </c>
      <c r="G15287" s="25" t="n">
        <f aca="false">G15278*(1-G15275)*(G15277-G15283+G15282-G15285)</f>
        <v>0</v>
      </c>
      <c r="H15287" s="25" t="n">
        <f aca="false">H15278*(1-H15275)*(H15277-H15283+H15282-H15285)</f>
        <v>0</v>
      </c>
      <c r="I15287" s="25" t="n">
        <f aca="false">I15278*(1-I15275)*(I15277-I15283+I15282-I15285)</f>
        <v>0</v>
      </c>
      <c r="J15287" s="25" t="n">
        <f aca="false">J15278*(1-J15275)*(J15277-J15283+J15282-J15285)</f>
        <v>0</v>
      </c>
      <c r="K15287" s="25" t="n">
        <f aca="false">K15278*(1-K15275)*(K15277-K15283+K15282-K15285)</f>
        <v>0</v>
      </c>
    </row>
    <row r="15288" customFormat="false" ht="15" hidden="false" customHeight="false" outlineLevel="0" collapsed="false">
      <c r="A15288" s="2" t="s">
        <v>319</v>
      </c>
      <c r="F15288" s="28" t="n">
        <f aca="false">Assumptions!$C$56</f>
        <v>1315.098</v>
      </c>
      <c r="G15288" s="16" t="n">
        <f aca="false">G15277+G15284+G15282-G15283-G15285-G15286</f>
        <v>1315.098</v>
      </c>
      <c r="H15288" s="16" t="n">
        <f aca="false">H15277+H15284+H15282-H15283-H15285-H15286</f>
        <v>1315.098</v>
      </c>
      <c r="I15288" s="16" t="n">
        <f aca="false">I15277+I15284+I15282-I15283-I15285-I15286</f>
        <v>1315.098</v>
      </c>
      <c r="J15288" s="16" t="n">
        <f aca="false">J15277+J15284+J15282-J15283-J15285-J15286</f>
        <v>1315.098</v>
      </c>
      <c r="K15288" s="16" t="n">
        <f aca="false">K15277+K15284+K15282-K15283-K15285-K15286</f>
        <v>1315.098</v>
      </c>
    </row>
    <row r="15289" customFormat="false" ht="15" hidden="false" customHeight="false" outlineLevel="0" collapsed="false">
      <c r="A15289" s="23" t="s">
        <v>320</v>
      </c>
      <c r="B15289" s="24"/>
      <c r="C15289" s="24"/>
      <c r="D15289" s="24"/>
      <c r="E15289" s="24"/>
      <c r="F15289" s="24"/>
      <c r="G15289" s="24"/>
      <c r="H15289" s="24"/>
      <c r="I15289" s="24"/>
      <c r="J15289" s="24"/>
      <c r="K15289" s="24"/>
    </row>
    <row r="15290" customFormat="false" ht="15" hidden="false" customHeight="false" outlineLevel="0" collapsed="false">
      <c r="A15290" s="3" t="s">
        <v>309</v>
      </c>
      <c r="G15290" s="25" t="n">
        <f aca="false">F15301</f>
        <v>276.706</v>
      </c>
      <c r="H15290" s="25" t="n">
        <f aca="false">G15301</f>
        <v>276.706</v>
      </c>
      <c r="I15290" s="25" t="n">
        <f aca="false">H15301</f>
        <v>276.706</v>
      </c>
      <c r="J15290" s="25" t="n">
        <f aca="false">I15301</f>
        <v>6.33403256832008</v>
      </c>
      <c r="K15290" s="25" t="n">
        <f aca="false">J15301</f>
        <v>6.33403256832008</v>
      </c>
    </row>
    <row r="15291" customFormat="false" ht="15" hidden="false" customHeight="false" outlineLevel="0" collapsed="false">
      <c r="A15291" s="3" t="s">
        <v>310</v>
      </c>
      <c r="G15291" s="20" t="n">
        <f aca="false">IF(G15241=Assumptions!$K$57,1,0)</f>
        <v>0</v>
      </c>
      <c r="H15291" s="20" t="n">
        <f aca="false">IF(H15241=Assumptions!$K$57,1,0)</f>
        <v>0</v>
      </c>
      <c r="I15291" s="20" t="n">
        <f aca="false">IF(I15241=Assumptions!$K$57,1,0)</f>
        <v>1</v>
      </c>
      <c r="J15291" s="20" t="n">
        <f aca="false">IF(J15241=Assumptions!$K$57,1,0)</f>
        <v>0</v>
      </c>
      <c r="K15291" s="20" t="n">
        <f aca="false">IF(K15241=Assumptions!$K$57,1,0)</f>
        <v>0</v>
      </c>
    </row>
    <row r="15293" customFormat="false" ht="15" hidden="false" customHeight="false" outlineLevel="0" collapsed="false">
      <c r="A15293" s="3" t="s">
        <v>311</v>
      </c>
      <c r="G15293" s="31" t="n">
        <f aca="false">IF(Assumptions!$I$57=1,MAX(G15267,Assumptions!$G$57)+Assumptions!$F$57+$C$15268,Assumptions!$E$57)</f>
        <v>0.0425</v>
      </c>
      <c r="H15293" s="31" t="n">
        <f aca="false">IF(G15425=1,$C$15269,IF(Assumptions!$I$57=1,MAX(H15267,Assumptions!$G$57)+Assumptions!$F$57+$C$15268,Assumptions!$E$57))</f>
        <v>0.0425</v>
      </c>
      <c r="I15293" s="31" t="n">
        <f aca="false">IF(H15425=1,$C$15269,IF(Assumptions!$I$57=1,MAX(I15267,Assumptions!$G$57)+Assumptions!$F$57+$C$15268,Assumptions!$E$57))</f>
        <v>0.0425</v>
      </c>
      <c r="J15293" s="31" t="n">
        <f aca="false">IF(I15425=1,$C$15269,IF(Assumptions!$I$57=1,MAX(J15267,Assumptions!$G$57)+Assumptions!$F$57+$C$15268,Assumptions!$E$57))</f>
        <v>0.0425</v>
      </c>
      <c r="K15293" s="31" t="n">
        <f aca="false">IF(J15425=1,$C$15269,IF(Assumptions!$I$57=1,MAX(K15267,Assumptions!$G$57)+Assumptions!$F$57+$C$15268,Assumptions!$E$57))</f>
        <v>0.0425</v>
      </c>
    </row>
    <row r="15294" customFormat="false" ht="15" hidden="false" customHeight="false" outlineLevel="0" collapsed="false">
      <c r="A15294" s="3" t="s">
        <v>312</v>
      </c>
      <c r="G15294" s="25" t="n">
        <f aca="false">G15290*G15293</f>
        <v>11.760005</v>
      </c>
      <c r="H15294" s="25" t="n">
        <f aca="false">H15290*H15293</f>
        <v>11.760005</v>
      </c>
      <c r="I15294" s="25" t="n">
        <f aca="false">I15290*I15293</f>
        <v>11.760005</v>
      </c>
      <c r="J15294" s="25" t="n">
        <f aca="false">J15290*J15293</f>
        <v>0.269196384153604</v>
      </c>
      <c r="K15294" s="25" t="n">
        <f aca="false">K15290*K15293</f>
        <v>0.269196384153604</v>
      </c>
    </row>
    <row r="15295" customFormat="false" ht="15" hidden="false" customHeight="false" outlineLevel="0" collapsed="false">
      <c r="A15295" s="3" t="s">
        <v>313</v>
      </c>
      <c r="G15295" s="25" t="n">
        <f aca="false">G15290*Assumptions!$H$57</f>
        <v>0</v>
      </c>
      <c r="H15295" s="25" t="n">
        <f aca="false">H15290*Assumptions!$H$57</f>
        <v>0</v>
      </c>
      <c r="I15295" s="25" t="n">
        <f aca="false">I15290*Assumptions!$H$57</f>
        <v>0</v>
      </c>
      <c r="J15295" s="25" t="n">
        <f aca="false">J15290*Assumptions!$H$57</f>
        <v>0</v>
      </c>
      <c r="K15295" s="25" t="n">
        <f aca="false">K15290*Assumptions!$H$57</f>
        <v>0</v>
      </c>
    </row>
    <row r="15296" customFormat="false" ht="15" hidden="false" customHeight="false" outlineLevel="0" collapsed="false">
      <c r="A15296" s="3" t="s">
        <v>314</v>
      </c>
      <c r="G15296" s="25" t="n">
        <f aca="false">MIN(G15290,Assumptions!$L$57*Assumptions!$C$57)</f>
        <v>0</v>
      </c>
      <c r="H15296" s="25" t="n">
        <f aca="false">MIN(H15290,Assumptions!$L$57*Assumptions!$C$57)</f>
        <v>0</v>
      </c>
      <c r="I15296" s="25" t="n">
        <f aca="false">MIN(I15290,Assumptions!$L$57*Assumptions!$C$57)</f>
        <v>0</v>
      </c>
      <c r="J15296" s="25" t="n">
        <f aca="false">MIN(J15290,Assumptions!$L$57*Assumptions!$C$57)</f>
        <v>0</v>
      </c>
      <c r="K15296" s="25" t="n">
        <f aca="false">MIN(K15290,Assumptions!$L$57*Assumptions!$C$57)</f>
        <v>0</v>
      </c>
    </row>
    <row r="15297" customFormat="false" ht="15" hidden="false" customHeight="false" outlineLevel="0" collapsed="false">
      <c r="A15297" s="3" t="s">
        <v>315</v>
      </c>
      <c r="G15297" s="25" t="n">
        <f aca="false">IF(AND(Assumptions!$P$57=1,G15241&lt;Assumptions!$K$57),MIN(MAX(0,-G15338),MAX(0,Assumptions!$D$57-G15290)),0)</f>
        <v>0</v>
      </c>
      <c r="H15297" s="25" t="n">
        <f aca="false">IF(AND(Assumptions!$P$57=1,OR(H15241&lt;Assumptions!$K$57,G15425=1)),MIN(MAX(0,-H15338),MAX(0,Assumptions!$D$57-H15290)),0)</f>
        <v>0</v>
      </c>
      <c r="I15297" s="25" t="n">
        <f aca="false">IF(AND(Assumptions!$P$57=1,OR(I15241&lt;Assumptions!$K$57,H15425=1)),MIN(MAX(0,-I15338),MAX(0,Assumptions!$D$57-I15290)),0)</f>
        <v>0</v>
      </c>
      <c r="J15297" s="25" t="n">
        <f aca="false">IF(AND(Assumptions!$P$57=1,OR(J15241&lt;Assumptions!$K$57,I15425=1)),MIN(MAX(0,-J15338),MAX(0,Assumptions!$D$57-J15290)),0)</f>
        <v>0</v>
      </c>
      <c r="K15297" s="25" t="n">
        <f aca="false">IF(AND(Assumptions!$P$57=1,OR(K15241&lt;Assumptions!$K$57,J15425=1)),MIN(MAX(0,-K15338),MAX(0,Assumptions!$D$57-K15290)),0)</f>
        <v>0</v>
      </c>
    </row>
    <row r="15298" customFormat="false" ht="15" hidden="false" customHeight="false" outlineLevel="0" collapsed="false">
      <c r="A15298" s="3" t="s">
        <v>316</v>
      </c>
      <c r="G15298" s="25" t="n">
        <f aca="false">G15291*MIN(G15290-G15296+G15295,MAX(0,G15340-Assumptions!$C$12*G15275-G15285))</f>
        <v>0</v>
      </c>
      <c r="H15298" s="25" t="n">
        <f aca="false">H15291*MIN(H15290-H15296+H15295,MAX(0,H15340-Assumptions!$C$12*H15275-H15285))</f>
        <v>0</v>
      </c>
      <c r="I15298" s="25" t="n">
        <f aca="false">I15291*MIN(I15290-I15296+I15295,MAX(0,I15340-Assumptions!$C$12*I15275-I15285))</f>
        <v>270.37196743168</v>
      </c>
      <c r="J15298" s="25" t="n">
        <f aca="false">J15291*MIN(J15290-J15296+J15295,MAX(0,J15340-Assumptions!$C$12*J15275-J15285))</f>
        <v>0</v>
      </c>
      <c r="K15298" s="25" t="n">
        <f aca="false">K15291*MIN(K15290-K15296+K15295,MAX(0,K15340-Assumptions!$C$12*K15275-K15285))</f>
        <v>0</v>
      </c>
    </row>
    <row r="15299" customFormat="false" ht="15" hidden="false" customHeight="false" outlineLevel="0" collapsed="false">
      <c r="A15299" s="3" t="s">
        <v>317</v>
      </c>
      <c r="G15299" s="25" t="n">
        <f aca="false">Assumptions!$N$57*MIN(G15290+G15297+G15295-G15296-G15298,MAX(0,G15344-G15286))</f>
        <v>0</v>
      </c>
      <c r="H15299" s="25" t="n">
        <f aca="false">Assumptions!$N$57*MIN(H15290+H15297+H15295-H15296-H15298,MAX(0,H15344-H15286))</f>
        <v>0</v>
      </c>
      <c r="I15299" s="25" t="n">
        <f aca="false">Assumptions!$N$57*MIN(I15290+I15297+I15295-I15296-I15298,MAX(0,I15344-I15286))</f>
        <v>0</v>
      </c>
      <c r="J15299" s="25" t="n">
        <f aca="false">Assumptions!$N$57*MIN(J15290+J15297+J15295-J15296-J15298,MAX(0,J15344-J15286))</f>
        <v>0</v>
      </c>
      <c r="K15299" s="25" t="n">
        <f aca="false">Assumptions!$N$57*MIN(K15290+K15297+K15295-K15296-K15298,MAX(0,K15344-K15286))</f>
        <v>0</v>
      </c>
    </row>
    <row r="15300" customFormat="false" ht="15" hidden="false" customHeight="false" outlineLevel="0" collapsed="false">
      <c r="A15300" s="3" t="s">
        <v>318</v>
      </c>
      <c r="G15300" s="25" t="n">
        <f aca="false">G15291*(1-G15275)*(G15290-G15296+G15295-G15298)</f>
        <v>0</v>
      </c>
      <c r="H15300" s="25" t="n">
        <f aca="false">H15291*(1-H15275)*(H15290-H15296+H15295-H15298)</f>
        <v>0</v>
      </c>
      <c r="I15300" s="25" t="n">
        <f aca="false">I15291*(1-I15275)*(I15290-I15296+I15295-I15298)</f>
        <v>6.33403256832008</v>
      </c>
      <c r="J15300" s="25" t="n">
        <f aca="false">J15291*(1-J15275)*(J15290-J15296+J15295-J15298)</f>
        <v>0</v>
      </c>
      <c r="K15300" s="25" t="n">
        <f aca="false">K15291*(1-K15275)*(K15290-K15296+K15295-K15298)</f>
        <v>0</v>
      </c>
    </row>
    <row r="15301" customFormat="false" ht="15" hidden="false" customHeight="false" outlineLevel="0" collapsed="false">
      <c r="A15301" s="2" t="s">
        <v>319</v>
      </c>
      <c r="F15301" s="28" t="n">
        <f aca="false">Assumptions!$C$57</f>
        <v>276.706</v>
      </c>
      <c r="G15301" s="16" t="n">
        <f aca="false">G15290+G15297+G15295-G15296-G15298-G15299</f>
        <v>276.706</v>
      </c>
      <c r="H15301" s="16" t="n">
        <f aca="false">H15290+H15297+H15295-H15296-H15298-H15299</f>
        <v>276.706</v>
      </c>
      <c r="I15301" s="16" t="n">
        <f aca="false">I15290+I15297+I15295-I15296-I15298-I15299</f>
        <v>6.33403256832008</v>
      </c>
      <c r="J15301" s="16" t="n">
        <f aca="false">J15290+J15297+J15295-J15296-J15298-J15299</f>
        <v>6.33403256832008</v>
      </c>
      <c r="K15301" s="16" t="n">
        <f aca="false">K15290+K15297+K15295-K15296-K15298-K15299</f>
        <v>6.33403256832008</v>
      </c>
    </row>
    <row r="15302" customFormat="false" ht="15" hidden="false" customHeight="false" outlineLevel="0" collapsed="false">
      <c r="A15302" s="23" t="s">
        <v>321</v>
      </c>
      <c r="B15302" s="24"/>
      <c r="C15302" s="24"/>
      <c r="D15302" s="24"/>
      <c r="E15302" s="24"/>
      <c r="F15302" s="24"/>
      <c r="G15302" s="24"/>
      <c r="H15302" s="24"/>
      <c r="I15302" s="24"/>
      <c r="J15302" s="24"/>
      <c r="K15302" s="24"/>
    </row>
    <row r="15303" customFormat="false" ht="15" hidden="false" customHeight="false" outlineLevel="0" collapsed="false">
      <c r="A15303" s="3" t="s">
        <v>309</v>
      </c>
      <c r="G15303" s="25" t="n">
        <f aca="false">F15314</f>
        <v>143.75</v>
      </c>
      <c r="H15303" s="25" t="n">
        <f aca="false">G15314</f>
        <v>143.75</v>
      </c>
      <c r="I15303" s="25" t="n">
        <f aca="false">H15314</f>
        <v>143.75</v>
      </c>
      <c r="J15303" s="25" t="n">
        <f aca="false">I15314</f>
        <v>143.75</v>
      </c>
      <c r="K15303" s="25" t="n">
        <f aca="false">J15314</f>
        <v>143.75</v>
      </c>
    </row>
    <row r="15304" customFormat="false" ht="15" hidden="false" customHeight="false" outlineLevel="0" collapsed="false">
      <c r="A15304" s="3" t="s">
        <v>310</v>
      </c>
      <c r="G15304" s="20" t="n">
        <f aca="false">IF(G15241=Assumptions!$K$58,1,0)</f>
        <v>0</v>
      </c>
      <c r="H15304" s="20" t="n">
        <f aca="false">IF(H15241=Assumptions!$K$58,1,0)</f>
        <v>0</v>
      </c>
      <c r="I15304" s="20" t="n">
        <f aca="false">IF(I15241=Assumptions!$K$58,1,0)</f>
        <v>1</v>
      </c>
      <c r="J15304" s="20" t="n">
        <f aca="false">IF(J15241=Assumptions!$K$58,1,0)</f>
        <v>0</v>
      </c>
      <c r="K15304" s="20" t="n">
        <f aca="false">IF(K15241=Assumptions!$K$58,1,0)</f>
        <v>0</v>
      </c>
    </row>
    <row r="15306" customFormat="false" ht="15" hidden="false" customHeight="false" outlineLevel="0" collapsed="false">
      <c r="A15306" s="3" t="s">
        <v>311</v>
      </c>
      <c r="G15306" s="31" t="n">
        <f aca="false">IF(Assumptions!$I$58=1,MAX(G15267,Assumptions!$G$58)+Assumptions!$F$58+$C$15268,Assumptions!$E$58)</f>
        <v>0.0425</v>
      </c>
      <c r="H15306" s="31" t="n">
        <f aca="false">IF(G15426=1,$C$15269,IF(Assumptions!$I$58=1,MAX(H15267,Assumptions!$G$58)+Assumptions!$F$58+$C$15268,Assumptions!$E$58))</f>
        <v>0.0425</v>
      </c>
      <c r="I15306" s="31" t="n">
        <f aca="false">IF(H15426=1,$C$15269,IF(Assumptions!$I$58=1,MAX(I15267,Assumptions!$G$58)+Assumptions!$F$58+$C$15268,Assumptions!$E$58))</f>
        <v>0.0425</v>
      </c>
      <c r="J15306" s="31" t="n">
        <f aca="false">IF(I15426=1,$C$15269,IF(Assumptions!$I$58=1,MAX(J15267,Assumptions!$G$58)+Assumptions!$F$58+$C$15268,Assumptions!$E$58))</f>
        <v>0.0425</v>
      </c>
      <c r="K15306" s="31" t="n">
        <f aca="false">IF(J15426=1,$C$15269,IF(Assumptions!$I$58=1,MAX(K15267,Assumptions!$G$58)+Assumptions!$F$58+$C$15268,Assumptions!$E$58))</f>
        <v>0.0425</v>
      </c>
    </row>
    <row r="15307" customFormat="false" ht="15" hidden="false" customHeight="false" outlineLevel="0" collapsed="false">
      <c r="A15307" s="3" t="s">
        <v>312</v>
      </c>
      <c r="G15307" s="25" t="n">
        <f aca="false">G15303*G15306</f>
        <v>6.109375</v>
      </c>
      <c r="H15307" s="25" t="n">
        <f aca="false">H15303*H15306</f>
        <v>6.109375</v>
      </c>
      <c r="I15307" s="25" t="n">
        <f aca="false">I15303*I15306</f>
        <v>6.109375</v>
      </c>
      <c r="J15307" s="25" t="n">
        <f aca="false">J15303*J15306</f>
        <v>6.109375</v>
      </c>
      <c r="K15307" s="25" t="n">
        <f aca="false">K15303*K15306</f>
        <v>6.109375</v>
      </c>
    </row>
    <row r="15308" customFormat="false" ht="15" hidden="false" customHeight="false" outlineLevel="0" collapsed="false">
      <c r="A15308" s="3" t="s">
        <v>313</v>
      </c>
      <c r="G15308" s="25" t="n">
        <f aca="false">G15303*Assumptions!$H$58</f>
        <v>0</v>
      </c>
      <c r="H15308" s="25" t="n">
        <f aca="false">H15303*Assumptions!$H$58</f>
        <v>0</v>
      </c>
      <c r="I15308" s="25" t="n">
        <f aca="false">I15303*Assumptions!$H$58</f>
        <v>0</v>
      </c>
      <c r="J15308" s="25" t="n">
        <f aca="false">J15303*Assumptions!$H$58</f>
        <v>0</v>
      </c>
      <c r="K15308" s="25" t="n">
        <f aca="false">K15303*Assumptions!$H$58</f>
        <v>0</v>
      </c>
    </row>
    <row r="15309" customFormat="false" ht="15" hidden="false" customHeight="false" outlineLevel="0" collapsed="false">
      <c r="A15309" s="3" t="s">
        <v>314</v>
      </c>
      <c r="G15309" s="25" t="n">
        <f aca="false">MIN(G15303,Assumptions!$L$58*Assumptions!$C$58)</f>
        <v>0</v>
      </c>
      <c r="H15309" s="25" t="n">
        <f aca="false">MIN(H15303,Assumptions!$L$58*Assumptions!$C$58)</f>
        <v>0</v>
      </c>
      <c r="I15309" s="25" t="n">
        <f aca="false">MIN(I15303,Assumptions!$L$58*Assumptions!$C$58)</f>
        <v>0</v>
      </c>
      <c r="J15309" s="25" t="n">
        <f aca="false">MIN(J15303,Assumptions!$L$58*Assumptions!$C$58)</f>
        <v>0</v>
      </c>
      <c r="K15309" s="25" t="n">
        <f aca="false">MIN(K15303,Assumptions!$L$58*Assumptions!$C$58)</f>
        <v>0</v>
      </c>
    </row>
    <row r="15310" customFormat="false" ht="15" hidden="false" customHeight="false" outlineLevel="0" collapsed="false">
      <c r="A15310" s="3" t="s">
        <v>315</v>
      </c>
      <c r="G15310" s="25" t="n">
        <f aca="false">IF(AND(Assumptions!$P$58=1,G15241&lt;Assumptions!$K$58),MIN(MAX(0,-G15338),MAX(0,Assumptions!$D$58-G15303)),0)</f>
        <v>0</v>
      </c>
      <c r="H15310" s="25" t="n">
        <f aca="false">IF(AND(Assumptions!$P$58=1,OR(H15241&lt;Assumptions!$K$58,G15426=1)),MIN(MAX(0,-H15338),MAX(0,Assumptions!$D$58-H15303)),0)</f>
        <v>0</v>
      </c>
      <c r="I15310" s="25" t="n">
        <f aca="false">IF(AND(Assumptions!$P$58=1,OR(I15241&lt;Assumptions!$K$58,H15426=1)),MIN(MAX(0,-I15338),MAX(0,Assumptions!$D$58-I15303)),0)</f>
        <v>0</v>
      </c>
      <c r="J15310" s="25" t="n">
        <f aca="false">IF(AND(Assumptions!$P$58=1,OR(J15241&lt;Assumptions!$K$58,I15426=1)),MIN(MAX(0,-J15338),MAX(0,Assumptions!$D$58-J15303)),0)</f>
        <v>0</v>
      </c>
      <c r="K15310" s="25" t="n">
        <f aca="false">IF(AND(Assumptions!$P$58=1,OR(K15241&lt;Assumptions!$K$58,J15426=1)),MIN(MAX(0,-K15338),MAX(0,Assumptions!$D$58-K15303)),0)</f>
        <v>0</v>
      </c>
    </row>
    <row r="15311" customFormat="false" ht="15" hidden="false" customHeight="false" outlineLevel="0" collapsed="false">
      <c r="A15311" s="3" t="s">
        <v>316</v>
      </c>
      <c r="G15311" s="25" t="n">
        <f aca="false">G15304*MIN(G15303-G15309+G15308,MAX(0,G15340-Assumptions!$C$12*G15275-G15285-G15298))</f>
        <v>0</v>
      </c>
      <c r="H15311" s="25" t="n">
        <f aca="false">H15304*MIN(H15303-H15309+H15308,MAX(0,H15340-Assumptions!$C$12*H15275-H15285-H15298))</f>
        <v>0</v>
      </c>
      <c r="I15311" s="25" t="n">
        <f aca="false">I15304*MIN(I15303-I15309+I15308,MAX(0,I15340-Assumptions!$C$12*I15275-I15285-I15298))</f>
        <v>0</v>
      </c>
      <c r="J15311" s="25" t="n">
        <f aca="false">J15304*MIN(J15303-J15309+J15308,MAX(0,J15340-Assumptions!$C$12*J15275-J15285-J15298))</f>
        <v>0</v>
      </c>
      <c r="K15311" s="25" t="n">
        <f aca="false">K15304*MIN(K15303-K15309+K15308,MAX(0,K15340-Assumptions!$C$12*K15275-K15285-K15298))</f>
        <v>0</v>
      </c>
    </row>
    <row r="15312" customFormat="false" ht="15" hidden="false" customHeight="false" outlineLevel="0" collapsed="false">
      <c r="A15312" s="3" t="s">
        <v>317</v>
      </c>
      <c r="G15312" s="25" t="n">
        <f aca="false">Assumptions!$N$58*MIN(G15303+G15310+G15308-G15309-G15311,MAX(0,G15344-G15286-G15299))</f>
        <v>0</v>
      </c>
      <c r="H15312" s="25" t="n">
        <f aca="false">Assumptions!$N$58*MIN(H15303+H15310+H15308-H15309-H15311,MAX(0,H15344-H15286-H15299))</f>
        <v>0</v>
      </c>
      <c r="I15312" s="25" t="n">
        <f aca="false">Assumptions!$N$58*MIN(I15303+I15310+I15308-I15309-I15311,MAX(0,I15344-I15286-I15299))</f>
        <v>0</v>
      </c>
      <c r="J15312" s="25" t="n">
        <f aca="false">Assumptions!$N$58*MIN(J15303+J15310+J15308-J15309-J15311,MAX(0,J15344-J15286-J15299))</f>
        <v>0</v>
      </c>
      <c r="K15312" s="25" t="n">
        <f aca="false">Assumptions!$N$58*MIN(K15303+K15310+K15308-K15309-K15311,MAX(0,K15344-K15286-K15299))</f>
        <v>0</v>
      </c>
    </row>
    <row r="15313" customFormat="false" ht="15" hidden="false" customHeight="false" outlineLevel="0" collapsed="false">
      <c r="A15313" s="3" t="s">
        <v>318</v>
      </c>
      <c r="G15313" s="25" t="n">
        <f aca="false">G15304*(1-G15275)*(G15303-G15309+G15308-G15311)</f>
        <v>0</v>
      </c>
      <c r="H15313" s="25" t="n">
        <f aca="false">H15304*(1-H15275)*(H15303-H15309+H15308-H15311)</f>
        <v>0</v>
      </c>
      <c r="I15313" s="25" t="n">
        <f aca="false">I15304*(1-I15275)*(I15303-I15309+I15308-I15311)</f>
        <v>143.75</v>
      </c>
      <c r="J15313" s="25" t="n">
        <f aca="false">J15304*(1-J15275)*(J15303-J15309+J15308-J15311)</f>
        <v>0</v>
      </c>
      <c r="K15313" s="25" t="n">
        <f aca="false">K15304*(1-K15275)*(K15303-K15309+K15308-K15311)</f>
        <v>0</v>
      </c>
    </row>
    <row r="15314" customFormat="false" ht="15" hidden="false" customHeight="false" outlineLevel="0" collapsed="false">
      <c r="A15314" s="2" t="s">
        <v>319</v>
      </c>
      <c r="F15314" s="28" t="n">
        <f aca="false">Assumptions!$C$58</f>
        <v>143.75</v>
      </c>
      <c r="G15314" s="16" t="n">
        <f aca="false">G15303+G15310+G15308-G15309-G15311-G15312</f>
        <v>143.75</v>
      </c>
      <c r="H15314" s="16" t="n">
        <f aca="false">H15303+H15310+H15308-H15309-H15311-H15312</f>
        <v>143.75</v>
      </c>
      <c r="I15314" s="16" t="n">
        <f aca="false">I15303+I15310+I15308-I15309-I15311-I15312</f>
        <v>143.75</v>
      </c>
      <c r="J15314" s="16" t="n">
        <f aca="false">J15303+J15310+J15308-J15309-J15311-J15312</f>
        <v>143.75</v>
      </c>
      <c r="K15314" s="16" t="n">
        <f aca="false">K15303+K15310+K15308-K15309-K15311-K15312</f>
        <v>143.75</v>
      </c>
    </row>
    <row r="15315" customFormat="false" ht="15" hidden="false" customHeight="false" outlineLevel="0" collapsed="false">
      <c r="A15315" s="23" t="s">
        <v>322</v>
      </c>
      <c r="B15315" s="24"/>
      <c r="C15315" s="24"/>
      <c r="D15315" s="24"/>
      <c r="E15315" s="24"/>
      <c r="F15315" s="24"/>
      <c r="G15315" s="24"/>
      <c r="H15315" s="24"/>
      <c r="I15315" s="24"/>
      <c r="J15315" s="24"/>
      <c r="K15315" s="24"/>
    </row>
    <row r="15316" customFormat="false" ht="15" hidden="false" customHeight="false" outlineLevel="0" collapsed="false">
      <c r="A15316" s="2" t="s">
        <v>323</v>
      </c>
      <c r="F15316" s="16" t="n">
        <f aca="false">F15288+F15301+F15314</f>
        <v>1735.554</v>
      </c>
      <c r="G15316" s="16" t="n">
        <f aca="false">G15288+G15301+G15314</f>
        <v>1735.554</v>
      </c>
      <c r="H15316" s="16" t="n">
        <f aca="false">H15288+H15301+H15314</f>
        <v>1735.554</v>
      </c>
      <c r="I15316" s="16" t="n">
        <f aca="false">I15288+I15301+I15314</f>
        <v>1465.18203256832</v>
      </c>
      <c r="J15316" s="16" t="n">
        <f aca="false">J15288+J15301+J15314</f>
        <v>1465.18203256832</v>
      </c>
      <c r="K15316" s="16" t="n">
        <f aca="false">K15288+K15301+K15314</f>
        <v>1465.18203256832</v>
      </c>
    </row>
    <row r="15317" customFormat="false" ht="15" hidden="false" customHeight="false" outlineLevel="0" collapsed="false">
      <c r="A15317" s="3" t="s">
        <v>324</v>
      </c>
      <c r="G15317" s="25" t="n">
        <f aca="false">G15278*Assumptions!$C$56+G15291*Assumptions!$C$57+G15304*Assumptions!$C$58</f>
        <v>0</v>
      </c>
      <c r="H15317" s="25" t="n">
        <f aca="false">H15278*Assumptions!$C$56+H15291*Assumptions!$C$57+H15304*Assumptions!$C$58</f>
        <v>0</v>
      </c>
      <c r="I15317" s="25" t="n">
        <f aca="false">I15278*Assumptions!$C$56+I15291*Assumptions!$C$57+I15304*Assumptions!$C$58</f>
        <v>420.456</v>
      </c>
      <c r="J15317" s="25" t="n">
        <f aca="false">J15278*Assumptions!$C$56+J15291*Assumptions!$C$57+J15304*Assumptions!$C$58</f>
        <v>0</v>
      </c>
      <c r="K15317" s="25" t="n">
        <f aca="false">K15278*Assumptions!$C$56+K15291*Assumptions!$C$57+K15304*Assumptions!$C$58</f>
        <v>0</v>
      </c>
    </row>
    <row r="15318" customFormat="false" ht="15" hidden="false" customHeight="false" outlineLevel="0" collapsed="false">
      <c r="A15318" s="23" t="s">
        <v>325</v>
      </c>
      <c r="B15318" s="24"/>
      <c r="C15318" s="24"/>
      <c r="D15318" s="24"/>
      <c r="E15318" s="24"/>
      <c r="F15318" s="24"/>
      <c r="G15318" s="24"/>
      <c r="H15318" s="24"/>
      <c r="I15318" s="24"/>
      <c r="J15318" s="24"/>
      <c r="K15318" s="24"/>
    </row>
    <row r="15319" customFormat="false" ht="15" hidden="false" customHeight="false" outlineLevel="0" collapsed="false">
      <c r="A15319" s="3" t="s">
        <v>326</v>
      </c>
      <c r="C15319" s="25" t="n">
        <f aca="false">SUMPRODUCT($G$15278:$K$15278,$G$15277:$K$15277-$G$15283:$K$15283+$G$15282:$K$15282)</f>
        <v>0</v>
      </c>
    </row>
    <row r="15320" customFormat="false" ht="15" hidden="false" customHeight="false" outlineLevel="0" collapsed="false">
      <c r="A15320" s="3" t="s">
        <v>327</v>
      </c>
      <c r="C15320" s="25" t="n">
        <f aca="false">SUMPRODUCT($G$15278:$K$15278,$G$15285:$K$15285)</f>
        <v>0</v>
      </c>
    </row>
    <row r="15321" customFormat="false" ht="15" hidden="false" customHeight="false" outlineLevel="0" collapsed="false">
      <c r="A15321" s="3" t="s">
        <v>328</v>
      </c>
      <c r="C15321" s="3" t="str">
        <f aca="false">IF(SUM($G$15278:$K$15278)=0,"n/a (beyond horizon)",IF(SUMPRODUCT($G$15278:$K$15278,$G$15275:$K$15275)&gt;0,"REFINANCING PASS","REFINANCING FAILURE"))</f>
        <v>n/a (beyond horizon)</v>
      </c>
    </row>
    <row r="15322" customFormat="false" ht="15" hidden="false" customHeight="false" outlineLevel="0" collapsed="false">
      <c r="A15322" s="3" t="s">
        <v>329</v>
      </c>
      <c r="C15322" s="3" t="str">
        <f aca="false">IF(SUM($G$15278:$K$15278)=0,"n/a",IF(C15320&gt;=C15319-0.001,"Repaid from cash",IF(SUMPRODUCT($G$15278:$K$15278,$G$15275:$K$15275)&gt;0,IF(C15320&gt;0,"Partly repaid; remainder refinanced","Refinanced"),IF(SUM($G$15287:$K$15287)&gt;0.001,IF(C15320&gt;0,"Partial repayment; PAYMENT DEFAULT","PAYMENT DEFAULT"),"Repaid from cash"))))</f>
        <v>n/a</v>
      </c>
    </row>
    <row r="15323" customFormat="false" ht="15" hidden="false" customHeight="false" outlineLevel="0" collapsed="false">
      <c r="A15323" s="3" t="s">
        <v>330</v>
      </c>
      <c r="C15323" s="25" t="n">
        <f aca="false">SUMPRODUCT($G$15291:$K$15291,$G$15290:$K$15290-$G$15296:$K$15296+$G$15295:$K$15295)</f>
        <v>276.706</v>
      </c>
    </row>
    <row r="15324" customFormat="false" ht="15" hidden="false" customHeight="false" outlineLevel="0" collapsed="false">
      <c r="A15324" s="3" t="s">
        <v>331</v>
      </c>
      <c r="C15324" s="25" t="n">
        <f aca="false">SUMPRODUCT($G$15291:$K$15291,$G$15298:$K$15298)</f>
        <v>270.37196743168</v>
      </c>
    </row>
    <row r="15325" customFormat="false" ht="15" hidden="false" customHeight="false" outlineLevel="0" collapsed="false">
      <c r="A15325" s="3" t="s">
        <v>332</v>
      </c>
      <c r="C15325" s="3" t="str">
        <f aca="false">IF(SUM($G$15291:$K$15291)=0,"n/a (beyond horizon)",IF(SUMPRODUCT($G$15291:$K$15291,$G$15275:$K$15275)&gt;0,"REFINANCING PASS","REFINANCING FAILURE"))</f>
        <v>REFINANCING FAILURE</v>
      </c>
    </row>
    <row r="15326" customFormat="false" ht="15" hidden="false" customHeight="false" outlineLevel="0" collapsed="false">
      <c r="A15326" s="3" t="s">
        <v>333</v>
      </c>
      <c r="C15326" s="3" t="str">
        <f aca="false">IF(SUM($G$15291:$K$15291)=0,"n/a",IF(C15324&gt;=C15323-0.001,"Repaid from cash",IF(SUMPRODUCT($G$15291:$K$15291,$G$15275:$K$15275)&gt;0,IF(C15324&gt;0,"Partly repaid; remainder refinanced","Refinanced"),IF(SUM($G$15300:$K$15300)&gt;0.001,IF(C15324&gt;0,"Partial repayment; PAYMENT DEFAULT","PAYMENT DEFAULT"),"Repaid from cash"))))</f>
        <v>Partial repayment; PAYMENT DEFAULT</v>
      </c>
    </row>
    <row r="15327" customFormat="false" ht="15" hidden="false" customHeight="false" outlineLevel="0" collapsed="false">
      <c r="A15327" s="3" t="s">
        <v>334</v>
      </c>
      <c r="C15327" s="25" t="n">
        <f aca="false">SUMPRODUCT($G$15304:$K$15304,$G$15303:$K$15303-$G$15309:$K$15309+$G$15308:$K$15308)</f>
        <v>143.75</v>
      </c>
    </row>
    <row r="15328" customFormat="false" ht="15" hidden="false" customHeight="false" outlineLevel="0" collapsed="false">
      <c r="A15328" s="3" t="s">
        <v>335</v>
      </c>
      <c r="C15328" s="25" t="n">
        <f aca="false">SUMPRODUCT($G$15304:$K$15304,$G$15311:$K$15311)</f>
        <v>0</v>
      </c>
    </row>
    <row r="15329" customFormat="false" ht="15" hidden="false" customHeight="false" outlineLevel="0" collapsed="false">
      <c r="A15329" s="3" t="s">
        <v>336</v>
      </c>
      <c r="C15329" s="3" t="str">
        <f aca="false">IF(SUM($G$15304:$K$15304)=0,"n/a (beyond horizon)",IF(SUMPRODUCT($G$15304:$K$15304,$G$15275:$K$15275)&gt;0,"REFINANCING PASS","REFINANCING FAILURE"))</f>
        <v>REFINANCING FAILURE</v>
      </c>
    </row>
    <row r="15330" customFormat="false" ht="15" hidden="false" customHeight="false" outlineLevel="0" collapsed="false">
      <c r="A15330" s="3" t="s">
        <v>337</v>
      </c>
      <c r="C15330" s="3" t="str">
        <f aca="false">IF(SUM($G$15304:$K$15304)=0,"n/a",IF(C15328&gt;=C15327-0.001,"Repaid from cash",IF(SUMPRODUCT($G$15304:$K$15304,$G$15275:$K$15275)&gt;0,IF(C15328&gt;0,"Partly repaid; remainder refinanced","Refinanced"),IF(SUM($G$15313:$K$15313)&gt;0.001,IF(C15328&gt;0,"Partial repayment; PAYMENT DEFAULT","PAYMENT DEFAULT"),"Repaid from cash"))))</f>
        <v>PAYMENT DEFAULT</v>
      </c>
    </row>
    <row r="15331" customFormat="false" ht="15" hidden="false" customHeight="false" outlineLevel="0" collapsed="false">
      <c r="A15331" s="3" t="s">
        <v>338</v>
      </c>
      <c r="C15331" s="20" t="n">
        <f aca="false">IF(C15321="REFINANCING FAILURE",1,0)+IF(C15325="REFINANCING FAILURE",1,0)+IF(C15329="REFINANCING FAILURE",1,0)</f>
        <v>2</v>
      </c>
    </row>
    <row r="15333" customFormat="false" ht="15" hidden="false" customHeight="false" outlineLevel="0" collapsed="false">
      <c r="A15333" s="23" t="s">
        <v>340</v>
      </c>
      <c r="B15333" s="24"/>
      <c r="C15333" s="24"/>
      <c r="D15333" s="24"/>
      <c r="E15333" s="24"/>
      <c r="F15333" s="24"/>
      <c r="G15333" s="24"/>
      <c r="H15333" s="24"/>
      <c r="I15333" s="24"/>
      <c r="J15333" s="24"/>
      <c r="K15333" s="24"/>
    </row>
    <row r="15334" customFormat="false" ht="15" hidden="false" customHeight="false" outlineLevel="0" collapsed="false">
      <c r="A15334" s="3" t="s">
        <v>305</v>
      </c>
      <c r="G15334" s="25" t="n">
        <f aca="false">F15346</f>
        <v>463.996</v>
      </c>
      <c r="H15334" s="25" t="n">
        <f aca="false">G15346</f>
        <v>431.67030664</v>
      </c>
      <c r="I15334" s="25" t="n">
        <f aca="false">H15346</f>
        <v>359.0106596512</v>
      </c>
      <c r="J15334" s="25" t="n">
        <f aca="false">I15346</f>
        <v>0</v>
      </c>
      <c r="K15334" s="25" t="n">
        <f aca="false">J15346</f>
        <v>-82.533161826112</v>
      </c>
    </row>
    <row r="15335" customFormat="false" ht="15" hidden="false" customHeight="false" outlineLevel="0" collapsed="false">
      <c r="A15335" s="3" t="s">
        <v>341</v>
      </c>
      <c r="G15335" s="25" t="n">
        <f aca="false">G15264</f>
        <v>-32.32569336</v>
      </c>
      <c r="H15335" s="25" t="n">
        <f aca="false">H15264</f>
        <v>-72.6596469888</v>
      </c>
      <c r="I15335" s="25" t="n">
        <f aca="false">I15264</f>
        <v>-88.63869221952</v>
      </c>
      <c r="J15335" s="25" t="n">
        <f aca="false">J15264</f>
        <v>-82.533161826112</v>
      </c>
      <c r="K15335" s="25" t="n">
        <f aca="false">K15264</f>
        <v>-86.2490037995945</v>
      </c>
    </row>
    <row r="15336" customFormat="false" ht="15" hidden="false" customHeight="false" outlineLevel="0" collapsed="false">
      <c r="A15336" s="3" t="s">
        <v>342</v>
      </c>
      <c r="G15336" s="25" t="n">
        <f aca="false">CHOOSE($C$15234,Assumptions!$G$74,Assumptions!$G$93,Assumptions!$G$112)</f>
        <v>0</v>
      </c>
      <c r="H15336" s="25" t="n">
        <f aca="false">CHOOSE($C$15234,Assumptions!$H$74,Assumptions!$H$93,Assumptions!$H$112)</f>
        <v>0</v>
      </c>
      <c r="I15336" s="25" t="n">
        <f aca="false">CHOOSE($C$15234,Assumptions!$I$74,Assumptions!$I$93,Assumptions!$I$112)</f>
        <v>0</v>
      </c>
      <c r="J15336" s="25" t="n">
        <f aca="false">CHOOSE($C$15234,Assumptions!$J$74,Assumptions!$J$93,Assumptions!$J$112)</f>
        <v>0</v>
      </c>
      <c r="K15336" s="25" t="n">
        <f aca="false">CHOOSE($C$15234,Assumptions!$K$74,Assumptions!$K$93,Assumptions!$K$112)</f>
        <v>0</v>
      </c>
    </row>
    <row r="15337" customFormat="false" ht="15" hidden="false" customHeight="false" outlineLevel="0" collapsed="false">
      <c r="A15337" s="3" t="s">
        <v>343</v>
      </c>
      <c r="G15337" s="25" t="n">
        <f aca="false">G15283+G15296+G15309</f>
        <v>0</v>
      </c>
      <c r="H15337" s="25" t="n">
        <f aca="false">H15283+H15296+H15309</f>
        <v>0</v>
      </c>
      <c r="I15337" s="25" t="n">
        <f aca="false">I15283+I15296+I15309</f>
        <v>0</v>
      </c>
      <c r="J15337" s="25" t="n">
        <f aca="false">J15283+J15296+J15309</f>
        <v>0</v>
      </c>
      <c r="K15337" s="25" t="n">
        <f aca="false">K15283+K15296+K15309</f>
        <v>0</v>
      </c>
    </row>
    <row r="15338" customFormat="false" ht="15" hidden="false" customHeight="false" outlineLevel="0" collapsed="false">
      <c r="A15338" s="2" t="s">
        <v>344</v>
      </c>
      <c r="G15338" s="16" t="n">
        <f aca="false">G15334+G15335+G15336-G15337</f>
        <v>431.67030664</v>
      </c>
      <c r="H15338" s="16" t="n">
        <f aca="false">H15334+H15335+H15336-H15337</f>
        <v>359.0106596512</v>
      </c>
      <c r="I15338" s="16" t="n">
        <f aca="false">I15334+I15335+I15336-I15337</f>
        <v>270.37196743168</v>
      </c>
      <c r="J15338" s="16" t="n">
        <f aca="false">J15334+J15335+J15336-J15337</f>
        <v>-82.533161826112</v>
      </c>
      <c r="K15338" s="16" t="n">
        <f aca="false">K15334+K15335+K15336-K15337</f>
        <v>-168.782165625707</v>
      </c>
    </row>
    <row r="15339" customFormat="false" ht="15" hidden="false" customHeight="false" outlineLevel="0" collapsed="false">
      <c r="A15339" s="3" t="s">
        <v>345</v>
      </c>
      <c r="G15339" s="25" t="n">
        <f aca="false">G15284+G15297+G15310</f>
        <v>0</v>
      </c>
      <c r="H15339" s="25" t="n">
        <f aca="false">H15284+H15297+H15310</f>
        <v>0</v>
      </c>
      <c r="I15339" s="25" t="n">
        <f aca="false">I15284+I15297+I15310</f>
        <v>0</v>
      </c>
      <c r="J15339" s="25" t="n">
        <f aca="false">J15284+J15297+J15310</f>
        <v>0</v>
      </c>
      <c r="K15339" s="25" t="n">
        <f aca="false">K15284+K15297+K15310</f>
        <v>0</v>
      </c>
    </row>
    <row r="15340" customFormat="false" ht="15" hidden="false" customHeight="false" outlineLevel="0" collapsed="false">
      <c r="A15340" s="2" t="s">
        <v>346</v>
      </c>
      <c r="G15340" s="16" t="n">
        <f aca="false">G15338+G15339</f>
        <v>431.67030664</v>
      </c>
      <c r="H15340" s="16" t="n">
        <f aca="false">H15338+H15339</f>
        <v>359.0106596512</v>
      </c>
      <c r="I15340" s="16" t="n">
        <f aca="false">I15338+I15339</f>
        <v>270.37196743168</v>
      </c>
      <c r="J15340" s="16" t="n">
        <f aca="false">J15338+J15339</f>
        <v>-82.533161826112</v>
      </c>
      <c r="K15340" s="16" t="n">
        <f aca="false">K15338+K15339</f>
        <v>-168.782165625707</v>
      </c>
    </row>
    <row r="15341" customFormat="false" ht="15" hidden="false" customHeight="false" outlineLevel="0" collapsed="false">
      <c r="A15341" s="3" t="s">
        <v>347</v>
      </c>
      <c r="G15341" s="25" t="n">
        <f aca="false">G15285+G15298+G15311</f>
        <v>0</v>
      </c>
      <c r="H15341" s="25" t="n">
        <f aca="false">H15285+H15298+H15311</f>
        <v>0</v>
      </c>
      <c r="I15341" s="25" t="n">
        <f aca="false">I15285+I15298+I15311</f>
        <v>270.37196743168</v>
      </c>
      <c r="J15341" s="25" t="n">
        <f aca="false">J15285+J15298+J15311</f>
        <v>0</v>
      </c>
      <c r="K15341" s="25" t="n">
        <f aca="false">K15285+K15298+K15311</f>
        <v>0</v>
      </c>
    </row>
    <row r="15342" customFormat="false" ht="15" hidden="false" customHeight="false" outlineLevel="0" collapsed="false">
      <c r="A15342" s="2" t="s">
        <v>348</v>
      </c>
      <c r="G15342" s="16" t="n">
        <f aca="false">G15340-G15341</f>
        <v>431.67030664</v>
      </c>
      <c r="H15342" s="16" t="n">
        <f aca="false">H15340-H15341</f>
        <v>359.0106596512</v>
      </c>
      <c r="I15342" s="16" t="n">
        <f aca="false">I15340-I15341</f>
        <v>0</v>
      </c>
      <c r="J15342" s="16" t="n">
        <f aca="false">J15340-J15341</f>
        <v>-82.533161826112</v>
      </c>
      <c r="K15342" s="16" t="n">
        <f aca="false">K15340-K15341</f>
        <v>-168.782165625707</v>
      </c>
    </row>
    <row r="15343" customFormat="false" ht="15" hidden="false" customHeight="false" outlineLevel="0" collapsed="false">
      <c r="A15343" s="3" t="s">
        <v>349</v>
      </c>
      <c r="G15343" s="25" t="n">
        <f aca="false">MAX(0,-G15342)</f>
        <v>0</v>
      </c>
      <c r="H15343" s="25" t="n">
        <f aca="false">MAX(0,-H15342)</f>
        <v>0</v>
      </c>
      <c r="I15343" s="25" t="n">
        <f aca="false">MAX(0,-I15342)</f>
        <v>-0</v>
      </c>
      <c r="J15343" s="25" t="n">
        <f aca="false">MAX(0,-J15342)</f>
        <v>82.533161826112</v>
      </c>
      <c r="K15343" s="25" t="n">
        <f aca="false">MAX(0,-K15342)</f>
        <v>168.782165625707</v>
      </c>
    </row>
    <row r="15344" customFormat="false" ht="15" hidden="false" customHeight="false" outlineLevel="0" collapsed="false">
      <c r="A15344" s="3" t="s">
        <v>350</v>
      </c>
      <c r="G15344" s="25" t="n">
        <f aca="false">MAX(0,G15342-Assumptions!$C$12)*Assumptions!$C$13</f>
        <v>0</v>
      </c>
      <c r="H15344" s="25" t="n">
        <f aca="false">MAX(0,H15342-Assumptions!$C$12)*Assumptions!$C$13</f>
        <v>0</v>
      </c>
      <c r="I15344" s="25" t="n">
        <f aca="false">MAX(0,I15342-Assumptions!$C$12)*Assumptions!$C$13</f>
        <v>0</v>
      </c>
      <c r="J15344" s="25" t="n">
        <f aca="false">MAX(0,J15342-Assumptions!$C$12)*Assumptions!$C$13</f>
        <v>0</v>
      </c>
      <c r="K15344" s="25" t="n">
        <f aca="false">MAX(0,K15342-Assumptions!$C$12)*Assumptions!$C$13</f>
        <v>0</v>
      </c>
    </row>
    <row r="15345" customFormat="false" ht="15" hidden="false" customHeight="false" outlineLevel="0" collapsed="false">
      <c r="A15345" s="3" t="s">
        <v>351</v>
      </c>
      <c r="G15345" s="25" t="n">
        <f aca="false">G15286+G15299+G15312</f>
        <v>0</v>
      </c>
      <c r="H15345" s="25" t="n">
        <f aca="false">H15286+H15299+H15312</f>
        <v>0</v>
      </c>
      <c r="I15345" s="25" t="n">
        <f aca="false">I15286+I15299+I15312</f>
        <v>0</v>
      </c>
      <c r="J15345" s="25" t="n">
        <f aca="false">J15286+J15299+J15312</f>
        <v>0</v>
      </c>
      <c r="K15345" s="25" t="n">
        <f aca="false">K15286+K15299+K15312</f>
        <v>0</v>
      </c>
    </row>
    <row r="15346" customFormat="false" ht="15" hidden="false" customHeight="false" outlineLevel="0" collapsed="false">
      <c r="A15346" s="2" t="s">
        <v>352</v>
      </c>
      <c r="F15346" s="28" t="n">
        <f aca="false">Assumptions!$C$11</f>
        <v>463.996</v>
      </c>
      <c r="G15346" s="16" t="n">
        <f aca="false">G15342-G15345</f>
        <v>431.67030664</v>
      </c>
      <c r="H15346" s="16" t="n">
        <f aca="false">H15342-H15345</f>
        <v>359.0106596512</v>
      </c>
      <c r="I15346" s="16" t="n">
        <f aca="false">I15342-I15345</f>
        <v>0</v>
      </c>
      <c r="J15346" s="16" t="n">
        <f aca="false">J15342-J15345</f>
        <v>-82.533161826112</v>
      </c>
      <c r="K15346" s="16" t="n">
        <f aca="false">K15342-K15345</f>
        <v>-168.782165625707</v>
      </c>
    </row>
    <row r="15347" customFormat="false" ht="15" hidden="false" customHeight="false" outlineLevel="0" collapsed="false">
      <c r="A15347" s="3" t="s">
        <v>353</v>
      </c>
      <c r="G15347" s="25" t="n">
        <f aca="false">G15287+G15300+G15313</f>
        <v>0</v>
      </c>
      <c r="H15347" s="25" t="n">
        <f aca="false">H15287+H15300+H15313</f>
        <v>0</v>
      </c>
      <c r="I15347" s="25" t="n">
        <f aca="false">I15287+I15300+I15313</f>
        <v>150.08403256832</v>
      </c>
      <c r="J15347" s="25" t="n">
        <f aca="false">J15287+J15300+J15313</f>
        <v>0</v>
      </c>
      <c r="K15347" s="25" t="n">
        <f aca="false">K15287+K15300+K15313</f>
        <v>0</v>
      </c>
    </row>
    <row r="15348" customFormat="false" ht="15" hidden="false" customHeight="false" outlineLevel="0" collapsed="false">
      <c r="A15348" s="3" t="s">
        <v>354</v>
      </c>
      <c r="G15348" s="20" t="n">
        <f aca="false">IF(OR(G15343&gt;0.001,G15347&gt;0.001),1,0)</f>
        <v>0</v>
      </c>
      <c r="H15348" s="20" t="n">
        <f aca="false">IF(OR(H15343&gt;0.001,H15347&gt;0.001),1,0)</f>
        <v>0</v>
      </c>
      <c r="I15348" s="20" t="n">
        <f aca="false">IF(OR(I15343&gt;0.001,I15347&gt;0.001),1,0)</f>
        <v>1</v>
      </c>
      <c r="J15348" s="20" t="n">
        <f aca="false">IF(OR(J15343&gt;0.001,J15347&gt;0.001),1,0)</f>
        <v>1</v>
      </c>
      <c r="K15348" s="20" t="n">
        <f aca="false">IF(OR(K15343&gt;0.001,K15347&gt;0.001),1,0)</f>
        <v>1</v>
      </c>
    </row>
    <row r="15349" customFormat="false" ht="15" hidden="false" customHeight="false" outlineLevel="0" collapsed="false">
      <c r="A15349" s="3" t="s">
        <v>355</v>
      </c>
      <c r="G15349" s="20" t="n">
        <f aca="false">IF(G15348=1,1,0)</f>
        <v>0</v>
      </c>
      <c r="H15349" s="20" t="n">
        <f aca="false">IF(AND(H15348=1,SUM($G$15348:G15348)=0),1,0)</f>
        <v>0</v>
      </c>
      <c r="I15349" s="20" t="n">
        <f aca="false">IF(AND(I15348=1,SUM($G$15348:H15348)=0),1,0)</f>
        <v>1</v>
      </c>
      <c r="J15349" s="20" t="n">
        <f aca="false">IF(AND(J15348=1,SUM($G$15348:I15348)=0),1,0)</f>
        <v>0</v>
      </c>
      <c r="K15349" s="20" t="n">
        <f aca="false">IF(AND(K15348=1,SUM($G$15348:J15348)=0),1,0)</f>
        <v>0</v>
      </c>
    </row>
    <row r="15350" customFormat="false" ht="15" hidden="false" customHeight="false" outlineLevel="0" collapsed="false">
      <c r="A15350" s="3" t="s">
        <v>356</v>
      </c>
      <c r="G15350" s="25" t="n">
        <f aca="false">(G15316-F15316)-(G15339+G15256-G15337-G15341-G15345)</f>
        <v>0</v>
      </c>
      <c r="H15350" s="25" t="n">
        <f aca="false">(H15316-G15316)-(H15339+H15256-H15337-H15341-H15345)</f>
        <v>0</v>
      </c>
      <c r="I15350" s="25" t="n">
        <f aca="false">(I15316-H15316)-(I15339+I15256-I15337-I15341-I15345)</f>
        <v>0</v>
      </c>
      <c r="J15350" s="25" t="n">
        <f aca="false">(J15316-I15316)-(J15339+J15256-J15337-J15341-J15345)</f>
        <v>0</v>
      </c>
      <c r="K15350" s="25" t="n">
        <f aca="false">(K15316-J15316)-(K15339+K15256-K15337-K15341-K15345)</f>
        <v>0</v>
      </c>
    </row>
    <row r="15352" customFormat="false" ht="15" hidden="false" customHeight="false" outlineLevel="0" collapsed="false">
      <c r="A15352" s="23" t="s">
        <v>358</v>
      </c>
      <c r="B15352" s="24"/>
      <c r="C15352" s="24"/>
      <c r="D15352" s="24"/>
      <c r="E15352" s="24"/>
      <c r="F15352" s="24"/>
      <c r="G15352" s="24"/>
      <c r="H15352" s="24"/>
      <c r="I15352" s="24"/>
      <c r="J15352" s="24"/>
      <c r="K15352" s="24"/>
    </row>
    <row r="15353" customFormat="false" ht="15" hidden="false" customHeight="false" outlineLevel="0" collapsed="false">
      <c r="A15353" s="3" t="s">
        <v>359</v>
      </c>
      <c r="G15353" s="25" t="n">
        <f aca="false">G15316</f>
        <v>1735.554</v>
      </c>
      <c r="H15353" s="25" t="n">
        <f aca="false">H15316</f>
        <v>1735.554</v>
      </c>
      <c r="I15353" s="25" t="n">
        <f aca="false">I15316</f>
        <v>1465.18203256832</v>
      </c>
      <c r="J15353" s="25" t="n">
        <f aca="false">J15316</f>
        <v>1465.18203256832</v>
      </c>
      <c r="K15353" s="25" t="n">
        <f aca="false">K15316</f>
        <v>1465.18203256832</v>
      </c>
    </row>
    <row r="15354" customFormat="false" ht="15" hidden="false" customHeight="false" outlineLevel="0" collapsed="false">
      <c r="A15354" s="3" t="s">
        <v>360</v>
      </c>
      <c r="G15354" s="25" t="n">
        <f aca="false">Assumptions!$O$56*G15288+Assumptions!$O$57*G15301+Assumptions!$O$58*G15314</f>
        <v>1315.098</v>
      </c>
      <c r="H15354" s="25" t="n">
        <f aca="false">Assumptions!$O$56*H15288+Assumptions!$O$57*H15301+Assumptions!$O$58*H15314</f>
        <v>1315.098</v>
      </c>
      <c r="I15354" s="25" t="n">
        <f aca="false">Assumptions!$O$56*I15288+Assumptions!$O$57*I15301+Assumptions!$O$58*I15314</f>
        <v>1315.098</v>
      </c>
      <c r="J15354" s="25" t="n">
        <f aca="false">Assumptions!$O$56*J15288+Assumptions!$O$57*J15301+Assumptions!$O$58*J15314</f>
        <v>1315.098</v>
      </c>
      <c r="K15354" s="25" t="n">
        <f aca="false">Assumptions!$O$56*K15288+Assumptions!$O$57*K15301+Assumptions!$O$58*K15314</f>
        <v>1315.098</v>
      </c>
    </row>
    <row r="15355" customFormat="false" ht="15" hidden="false" customHeight="false" outlineLevel="0" collapsed="false">
      <c r="A15355" s="3" t="s">
        <v>361</v>
      </c>
      <c r="G15355" s="25" t="n">
        <f aca="false">G15353-G15346</f>
        <v>1303.88369336</v>
      </c>
      <c r="H15355" s="25" t="n">
        <f aca="false">H15353-H15346</f>
        <v>1376.5433403488</v>
      </c>
      <c r="I15355" s="25" t="n">
        <f aca="false">I15353-I15346</f>
        <v>1465.18203256832</v>
      </c>
      <c r="J15355" s="25" t="n">
        <f aca="false">J15353-J15346</f>
        <v>1547.71519439443</v>
      </c>
      <c r="K15355" s="25" t="n">
        <f aca="false">K15353-K15346</f>
        <v>1633.96419819403</v>
      </c>
    </row>
    <row r="15356" customFormat="false" ht="15" hidden="false" customHeight="false" outlineLevel="0" collapsed="false">
      <c r="A15356" s="3" t="s">
        <v>362</v>
      </c>
      <c r="G15356" s="32" t="n">
        <f aca="false">IF(G15251&gt;0,G15353/G15251,0)</f>
        <v>9.98286782658702</v>
      </c>
      <c r="H15356" s="32" t="n">
        <f aca="false">IF(H15251&gt;0,H15353/H15251,0)</f>
        <v>13.6130015817096</v>
      </c>
      <c r="I15356" s="32" t="n">
        <f aca="false">IF(I15251&gt;0,I15353/I15251,0)</f>
        <v>13.6813219341771</v>
      </c>
      <c r="J15356" s="32" t="n">
        <f aca="false">IF(J15251&gt;0,J15353/J15251,0)</f>
        <v>14.8710021023664</v>
      </c>
      <c r="K15356" s="32" t="n">
        <f aca="false">IF(K15251&gt;0,K15353/K15251,0)</f>
        <v>15.8202150025174</v>
      </c>
    </row>
    <row r="15357" customFormat="false" ht="15" hidden="false" customHeight="false" outlineLevel="0" collapsed="false">
      <c r="A15357" s="3" t="s">
        <v>363</v>
      </c>
      <c r="G15357" s="32" t="n">
        <f aca="false">IF(G15251&gt;0,G15355/G15251,0)</f>
        <v>7.49990986858087</v>
      </c>
      <c r="H15357" s="32" t="n">
        <f aca="false">IF(H15251&gt;0,H15355/H15251,0)</f>
        <v>10.7970634560838</v>
      </c>
      <c r="I15357" s="32" t="n">
        <f aca="false">IF(I15251&gt;0,I15355/I15251,0)</f>
        <v>13.6813219341771</v>
      </c>
      <c r="J15357" s="32" t="n">
        <f aca="false">IF(J15251&gt;0,J15355/J15251,0)</f>
        <v>15.7086801490181</v>
      </c>
      <c r="K15357" s="32" t="n">
        <f aca="false">IF(K15251&gt;0,K15355/K15251,0)</f>
        <v>17.6426302993449</v>
      </c>
    </row>
    <row r="15358" customFormat="false" ht="15" hidden="false" customHeight="false" outlineLevel="0" collapsed="false">
      <c r="A15358" s="3" t="s">
        <v>364</v>
      </c>
      <c r="G15358" s="32" t="n">
        <f aca="false">IF(G15255&gt;0,G15251/G15255,0)</f>
        <v>1.11476782580477</v>
      </c>
      <c r="H15358" s="32" t="n">
        <f aca="false">IF(H15255&gt;0,H15251/H15255,0)</f>
        <v>0.817496405590163</v>
      </c>
      <c r="I15358" s="32" t="n">
        <f aca="false">IF(I15255&gt;0,I15251/I15255,0)</f>
        <v>0.686696980695737</v>
      </c>
      <c r="J15358" s="32" t="n">
        <f aca="false">IF(J15255&gt;0,J15251/J15255,0)</f>
        <v>0.682012179303795</v>
      </c>
      <c r="K15358" s="32" t="n">
        <f aca="false">IF(K15255&gt;0,K15251/K15255,0)</f>
        <v>0.641091448545568</v>
      </c>
    </row>
    <row r="15359" customFormat="false" ht="15" hidden="false" customHeight="false" outlineLevel="0" collapsed="false">
      <c r="A15359" s="3" t="s">
        <v>365</v>
      </c>
      <c r="G15359" s="32" t="n">
        <f aca="false">IF(G15255&gt;0,G15254/G15255,0)</f>
        <v>0.510100328512125</v>
      </c>
      <c r="H15359" s="32" t="n">
        <f aca="false">IF(H15255&gt;0,H15254/H15255,0)</f>
        <v>0.285389007972637</v>
      </c>
      <c r="I15359" s="32" t="n">
        <f aca="false">IF(I15255&gt;0,I15254/I15255,0)</f>
        <v>0.207800322839964</v>
      </c>
      <c r="J15359" s="32" t="n">
        <f aca="false">IF(J15255&gt;0,J15254/J15255,0)</f>
        <v>0.206382662257416</v>
      </c>
      <c r="K15359" s="32" t="n">
        <f aca="false">IF(K15255&gt;0,K15254/K15255,0)</f>
        <v>0.193999702521971</v>
      </c>
    </row>
    <row r="15360" customFormat="false" ht="15" hidden="false" customHeight="false" outlineLevel="0" collapsed="false">
      <c r="A15360" s="3" t="s">
        <v>198</v>
      </c>
      <c r="G15360" s="21" t="n">
        <f aca="false">IF(G15353&gt;0,G15264/G15353,0)</f>
        <v>-0.0186255762482758</v>
      </c>
      <c r="H15360" s="21" t="n">
        <f aca="false">IF(H15353&gt;0,H15264/H15353,0)</f>
        <v>-0.0418653911020919</v>
      </c>
      <c r="I15360" s="21" t="n">
        <f aca="false">IF(I15353&gt;0,I15264/I15353,0)</f>
        <v>-0.0604967097938985</v>
      </c>
      <c r="J15360" s="21" t="n">
        <f aca="false">IF(J15353&gt;0,J15264/J15353,0)</f>
        <v>-0.0563296300333683</v>
      </c>
      <c r="K15360" s="21" t="n">
        <f aca="false">IF(K15353&gt;0,K15264/K15353,0)</f>
        <v>-0.0588657258159305</v>
      </c>
    </row>
    <row r="15361" customFormat="false" ht="15" hidden="false" customHeight="false" outlineLevel="0" collapsed="false">
      <c r="A15361" s="3" t="s">
        <v>366</v>
      </c>
      <c r="G15361" s="32" t="n">
        <f aca="false">IF(G15255+G15337&gt;0,(G15251-G15262-G15259)/(G15255+G15337),0)</f>
        <v>0.978518424873074</v>
      </c>
      <c r="H15361" s="32" t="n">
        <f aca="false">IF(H15255+H15337&gt;0,(H15251-H15262-H15259)/(H15255+H15337),0)</f>
        <v>0.697596932770272</v>
      </c>
      <c r="I15361" s="32" t="n">
        <f aca="false">IF(I15255+I15337&gt;0,(I15251-I15262-I15259)/(I15255+I15337),0)</f>
        <v>0.578787455157835</v>
      </c>
      <c r="J15361" s="32" t="n">
        <f aca="false">IF(J15255+J15337&gt;0,(J15251-J15262-J15259)/(J15255+J15337),0)</f>
        <v>0.57483883684177</v>
      </c>
      <c r="K15361" s="32" t="n">
        <f aca="false">IF(K15255+K15337&gt;0,(K15251-K15262-K15259)/(K15255+K15337),0)</f>
        <v>0.540348506631264</v>
      </c>
    </row>
    <row r="15362" customFormat="false" ht="15" hidden="false" customHeight="false" outlineLevel="0" collapsed="false">
      <c r="A15362" s="3" t="s">
        <v>367</v>
      </c>
      <c r="G15362" s="25" t="n">
        <f aca="false">MAX(0,G15346)+Assumptions!$P$56*MAX(0,Assumptions!$D$56-G15288)+Assumptions!$P$57*MAX(0,Assumptions!$D$57-G15301)+Assumptions!$P$58*MAX(0,Assumptions!$D$58-G15314)</f>
        <v>431.67030664</v>
      </c>
      <c r="H15362" s="25" t="n">
        <f aca="false">MAX(0,H15346)+Assumptions!$P$56*MAX(0,Assumptions!$D$56-H15288)+Assumptions!$P$57*MAX(0,Assumptions!$D$57-H15301)+Assumptions!$P$58*MAX(0,Assumptions!$D$58-H15314)</f>
        <v>359.0106596512</v>
      </c>
      <c r="I15362" s="25" t="n">
        <f aca="false">MAX(0,I15346)+Assumptions!$P$56*MAX(0,Assumptions!$D$56-I15288)+Assumptions!$P$57*MAX(0,Assumptions!$D$57-I15301)+Assumptions!$P$58*MAX(0,Assumptions!$D$58-I15314)</f>
        <v>0</v>
      </c>
      <c r="J15362" s="25" t="n">
        <f aca="false">MAX(0,J15346)+Assumptions!$P$56*MAX(0,Assumptions!$D$56-J15288)+Assumptions!$P$57*MAX(0,Assumptions!$D$57-J15301)+Assumptions!$P$58*MAX(0,Assumptions!$D$58-J15314)</f>
        <v>0</v>
      </c>
      <c r="K15362" s="25" t="n">
        <f aca="false">MAX(0,K15346)+Assumptions!$P$56*MAX(0,Assumptions!$D$56-K15288)+Assumptions!$P$57*MAX(0,Assumptions!$D$57-K15301)+Assumptions!$P$58*MAX(0,Assumptions!$D$58-K15314)</f>
        <v>0</v>
      </c>
    </row>
    <row r="15363" customFormat="false" ht="15" hidden="false" customHeight="false" outlineLevel="0" collapsed="false">
      <c r="A15363" s="3" t="s">
        <v>368</v>
      </c>
      <c r="G15363" s="21" t="n">
        <f aca="false">IF(G15353&gt;0,G15353/(G15353+MAX(0,G15251*CHOOSE($C$15234,Assumptions!$C$82,Assumptions!$C$101,Assumptions!$C$120)-G15355)),0)</f>
        <v>1</v>
      </c>
      <c r="H15363" s="21" t="n">
        <f aca="false">IF(H15353&gt;0,H15353/(H15353+MAX(0,H15251*CHOOSE($C$15234,Assumptions!$C$82,Assumptions!$C$101,Assumptions!$C$120)-H15355)),0)</f>
        <v>1</v>
      </c>
      <c r="I15363" s="21" t="n">
        <f aca="false">IF(I15353&gt;0,I15353/(I15353+MAX(0,I15251*CHOOSE($C$15234,Assumptions!$C$82,Assumptions!$C$101,Assumptions!$C$120)-I15355)),0)</f>
        <v>1</v>
      </c>
      <c r="J15363" s="21" t="n">
        <f aca="false">IF(J15353&gt;0,J15353/(J15353+MAX(0,J15251*CHOOSE($C$15234,Assumptions!$C$82,Assumptions!$C$101,Assumptions!$C$120)-J15355)),0)</f>
        <v>1</v>
      </c>
      <c r="K15363" s="21" t="n">
        <f aca="false">IF(K15353&gt;0,K15353/(K15353+MAX(0,K15251*CHOOSE($C$15234,Assumptions!$C$82,Assumptions!$C$101,Assumptions!$C$120)-K15355)),0)</f>
        <v>1</v>
      </c>
    </row>
    <row r="15364" customFormat="false" ht="15" hidden="false" customHeight="false" outlineLevel="0" collapsed="false">
      <c r="A15364" s="3" t="s">
        <v>369</v>
      </c>
      <c r="G15364" s="21" t="n">
        <f aca="false">IF(G15353&gt;0,MAX(0,G15346)/G15353,0)</f>
        <v>0.248721910490829</v>
      </c>
      <c r="H15364" s="21" t="n">
        <f aca="false">IF(H15353&gt;0,MAX(0,H15346)/H15353,0)</f>
        <v>0.206856519388737</v>
      </c>
      <c r="I15364" s="21" t="n">
        <f aca="false">IF(I15353&gt;0,MAX(0,I15346)/I15353,0)</f>
        <v>0</v>
      </c>
      <c r="J15364" s="21" t="n">
        <f aca="false">IF(J15353&gt;0,MAX(0,J15346)/J15353,0)</f>
        <v>0</v>
      </c>
      <c r="K15364" s="21" t="n">
        <f aca="false">IF(K15353&gt;0,MAX(0,K15346)/K15353,0)</f>
        <v>0</v>
      </c>
    </row>
    <row r="15365" customFormat="false" ht="15" hidden="false" customHeight="false" outlineLevel="0" collapsed="false">
      <c r="A15365" s="3" t="s">
        <v>370</v>
      </c>
      <c r="G15365" s="25" t="n">
        <f aca="false">Assumptions!$C$30*(1-CHOOSE($C$15234,Assumptions!$C$85,Assumptions!$C$104,Assumptions!$C$123))</f>
        <v>1595.73115</v>
      </c>
      <c r="H15365" s="25" t="n">
        <f aca="false">Assumptions!$C$30*(1-CHOOSE($C$15234,Assumptions!$C$85,Assumptions!$C$104,Assumptions!$C$123))</f>
        <v>1595.73115</v>
      </c>
      <c r="I15365" s="25" t="n">
        <f aca="false">Assumptions!$C$30*(1-CHOOSE($C$15234,Assumptions!$C$85,Assumptions!$C$104,Assumptions!$C$123))</f>
        <v>1595.73115</v>
      </c>
      <c r="J15365" s="25" t="n">
        <f aca="false">Assumptions!$C$30*(1-CHOOSE($C$15234,Assumptions!$C$85,Assumptions!$C$104,Assumptions!$C$123))</f>
        <v>1595.73115</v>
      </c>
      <c r="K15365" s="25" t="n">
        <f aca="false">Assumptions!$C$30*(1-CHOOSE($C$15234,Assumptions!$C$85,Assumptions!$C$104,Assumptions!$C$123))</f>
        <v>1595.73115</v>
      </c>
    </row>
    <row r="15366" customFormat="false" ht="15" hidden="false" customHeight="false" outlineLevel="0" collapsed="false">
      <c r="A15366" s="23" t="s">
        <v>371</v>
      </c>
      <c r="B15366" s="24"/>
      <c r="C15366" s="24"/>
      <c r="D15366" s="24"/>
      <c r="E15366" s="24"/>
      <c r="F15366" s="24"/>
      <c r="G15366" s="24"/>
      <c r="H15366" s="24"/>
      <c r="I15366" s="24"/>
      <c r="J15366" s="24"/>
      <c r="K15366" s="24"/>
    </row>
    <row r="15367" customFormat="false" ht="15" hidden="false" customHeight="false" outlineLevel="0" collapsed="false">
      <c r="A15367" s="23" t="s">
        <v>372</v>
      </c>
      <c r="B15367" s="24"/>
      <c r="C15367" s="24"/>
      <c r="D15367" s="24"/>
      <c r="E15367" s="24"/>
      <c r="F15367" s="24"/>
      <c r="G15367" s="24"/>
      <c r="H15367" s="24"/>
      <c r="I15367" s="24"/>
      <c r="J15367" s="24"/>
      <c r="K15367" s="24"/>
    </row>
    <row r="15368" customFormat="false" ht="15" hidden="false" customHeight="false" outlineLevel="0" collapsed="false">
      <c r="A15368" s="3" t="s">
        <v>373</v>
      </c>
      <c r="G15368" s="32" t="n">
        <f aca="false">IF(G15251&gt;0,G15355/G15251,99)</f>
        <v>7.49990986858087</v>
      </c>
      <c r="H15368" s="32" t="n">
        <f aca="false">IF(H15251&gt;0,H15355/H15251,99)</f>
        <v>10.7970634560838</v>
      </c>
      <c r="I15368" s="32" t="n">
        <f aca="false">IF(I15251&gt;0,I15355/I15251,99)</f>
        <v>13.6813219341771</v>
      </c>
      <c r="J15368" s="32" t="n">
        <f aca="false">IF(J15251&gt;0,J15355/J15251,99)</f>
        <v>15.7086801490181</v>
      </c>
      <c r="K15368" s="32" t="n">
        <f aca="false">IF(K15251&gt;0,K15355/K15251,99)</f>
        <v>17.6426302993449</v>
      </c>
    </row>
    <row r="15369" customFormat="false" ht="15" hidden="false" customHeight="false" outlineLevel="0" collapsed="false">
      <c r="A15369" s="3" t="s">
        <v>374</v>
      </c>
      <c r="G15369" s="33" t="n">
        <f aca="false">Assumptions!$G$65</f>
        <v>5.25</v>
      </c>
      <c r="H15369" s="33" t="n">
        <f aca="false">Assumptions!$H$65</f>
        <v>5.25</v>
      </c>
      <c r="I15369" s="33" t="n">
        <f aca="false">Assumptions!$I$65</f>
        <v>5</v>
      </c>
      <c r="J15369" s="33" t="n">
        <f aca="false">Assumptions!$J$65</f>
        <v>5</v>
      </c>
      <c r="K15369" s="33" t="n">
        <f aca="false">Assumptions!$K$65</f>
        <v>5</v>
      </c>
    </row>
    <row r="15370" customFormat="false" ht="15" hidden="false" customHeight="false" outlineLevel="0" collapsed="false">
      <c r="A15370" s="3" t="s">
        <v>375</v>
      </c>
      <c r="G15370" s="32" t="n">
        <f aca="false">G15369-G15368</f>
        <v>-2.24990986858086</v>
      </c>
      <c r="H15370" s="32" t="n">
        <f aca="false">H15369-H15368</f>
        <v>-5.54706345608375</v>
      </c>
      <c r="I15370" s="32" t="n">
        <f aca="false">I15369-I15368</f>
        <v>-8.68132193417709</v>
      </c>
      <c r="J15370" s="32" t="n">
        <f aca="false">J15369-J15368</f>
        <v>-10.7086801490181</v>
      </c>
      <c r="K15370" s="32" t="n">
        <f aca="false">K15369-K15368</f>
        <v>-12.6426302993449</v>
      </c>
    </row>
    <row r="15371" customFormat="false" ht="15" hidden="false" customHeight="false" outlineLevel="0" collapsed="false">
      <c r="A15371" s="3" t="s">
        <v>376</v>
      </c>
      <c r="G15371" s="21" t="n">
        <f aca="false">IF(G15369=0,0,G15370/ABS(G15369))</f>
        <v>-0.42855426068207</v>
      </c>
      <c r="H15371" s="21" t="n">
        <f aca="false">IF(H15369=0,0,H15370/ABS(H15369))</f>
        <v>-1.05658351544452</v>
      </c>
      <c r="I15371" s="21" t="n">
        <f aca="false">IF(I15369=0,0,I15370/ABS(I15369))</f>
        <v>-1.73626438683542</v>
      </c>
      <c r="J15371" s="21" t="n">
        <f aca="false">IF(J15369=0,0,J15370/ABS(J15369))</f>
        <v>-2.14173602980363</v>
      </c>
      <c r="K15371" s="21" t="n">
        <f aca="false">IF(K15369=0,0,K15370/ABS(K15369))</f>
        <v>-2.52852605986897</v>
      </c>
    </row>
    <row r="15372" customFormat="false" ht="15" hidden="false" customHeight="false" outlineLevel="0" collapsed="false">
      <c r="A15372" s="3" t="s">
        <v>377</v>
      </c>
      <c r="G15372" s="20" t="n">
        <f aca="false">IF(G15370&lt;0,1,0)</f>
        <v>1</v>
      </c>
      <c r="H15372" s="20" t="n">
        <f aca="false">IF(H15370&lt;0,1,0)</f>
        <v>1</v>
      </c>
      <c r="I15372" s="20" t="n">
        <f aca="false">IF(I15370&lt;0,1,0)</f>
        <v>1</v>
      </c>
      <c r="J15372" s="20" t="n">
        <f aca="false">IF(J15370&lt;0,1,0)</f>
        <v>1</v>
      </c>
      <c r="K15372" s="20" t="n">
        <f aca="false">IF(K15370&lt;0,1,0)</f>
        <v>1</v>
      </c>
    </row>
    <row r="15373" customFormat="false" ht="15" hidden="false" customHeight="false" outlineLevel="0" collapsed="false">
      <c r="A15373" s="3" t="s">
        <v>378</v>
      </c>
      <c r="C15373" s="20" t="n">
        <f aca="false">IFERROR(INDEX($G$15241:$K$15241,MATCH(1,$G$15372:$K$15372,0)),0)</f>
        <v>2027</v>
      </c>
    </row>
    <row r="15374" customFormat="false" ht="15" hidden="false" customHeight="false" outlineLevel="0" collapsed="false">
      <c r="A15374" s="3" t="s">
        <v>379</v>
      </c>
      <c r="C15374" s="21" t="n">
        <f aca="false">MIN($G$15371:$K$15371)</f>
        <v>-2.52852605986897</v>
      </c>
    </row>
    <row r="15375" customFormat="false" ht="15" hidden="false" customHeight="false" outlineLevel="0" collapsed="false">
      <c r="A15375" s="23" t="s">
        <v>380</v>
      </c>
      <c r="B15375" s="24"/>
      <c r="C15375" s="24"/>
      <c r="D15375" s="24"/>
      <c r="E15375" s="24"/>
      <c r="F15375" s="24"/>
      <c r="G15375" s="24"/>
      <c r="H15375" s="24"/>
      <c r="I15375" s="24"/>
      <c r="J15375" s="24"/>
      <c r="K15375" s="24"/>
    </row>
    <row r="15376" customFormat="false" ht="15" hidden="false" customHeight="false" outlineLevel="0" collapsed="false">
      <c r="A15376" s="3" t="s">
        <v>373</v>
      </c>
      <c r="G15376" s="32" t="n">
        <f aca="false">IF(G15255&gt;0,G15251/G15255,99)</f>
        <v>1.11476782580477</v>
      </c>
      <c r="H15376" s="32" t="n">
        <f aca="false">IF(H15255&gt;0,H15251/H15255,99)</f>
        <v>0.817496405590163</v>
      </c>
      <c r="I15376" s="32" t="n">
        <f aca="false">IF(I15255&gt;0,I15251/I15255,99)</f>
        <v>0.686696980695737</v>
      </c>
      <c r="J15376" s="32" t="n">
        <f aca="false">IF(J15255&gt;0,J15251/J15255,99)</f>
        <v>0.682012179303795</v>
      </c>
      <c r="K15376" s="32" t="n">
        <f aca="false">IF(K15255&gt;0,K15251/K15255,99)</f>
        <v>0.641091448545568</v>
      </c>
    </row>
    <row r="15377" customFormat="false" ht="15" hidden="false" customHeight="false" outlineLevel="0" collapsed="false">
      <c r="A15377" s="3" t="s">
        <v>374</v>
      </c>
      <c r="G15377" s="33" t="n">
        <f aca="false">Assumptions!$G$66</f>
        <v>1.4</v>
      </c>
      <c r="H15377" s="33" t="n">
        <f aca="false">Assumptions!$H$66</f>
        <v>1.4</v>
      </c>
      <c r="I15377" s="33" t="n">
        <f aca="false">Assumptions!$I$66</f>
        <v>1.4</v>
      </c>
      <c r="J15377" s="33" t="n">
        <f aca="false">Assumptions!$J$66</f>
        <v>1.5</v>
      </c>
      <c r="K15377" s="33" t="n">
        <f aca="false">Assumptions!$K$66</f>
        <v>1.5</v>
      </c>
    </row>
    <row r="15378" customFormat="false" ht="15" hidden="false" customHeight="false" outlineLevel="0" collapsed="false">
      <c r="A15378" s="3" t="s">
        <v>375</v>
      </c>
      <c r="G15378" s="32" t="n">
        <f aca="false">G15376-G15377</f>
        <v>-0.285232174195233</v>
      </c>
      <c r="H15378" s="32" t="n">
        <f aca="false">H15376-H15377</f>
        <v>-0.582503594409837</v>
      </c>
      <c r="I15378" s="32" t="n">
        <f aca="false">I15376-I15377</f>
        <v>-0.713303019304263</v>
      </c>
      <c r="J15378" s="32" t="n">
        <f aca="false">J15376-J15377</f>
        <v>-0.817987820696205</v>
      </c>
      <c r="K15378" s="32" t="n">
        <f aca="false">K15376-K15377</f>
        <v>-0.858908551454433</v>
      </c>
    </row>
    <row r="15379" customFormat="false" ht="15" hidden="false" customHeight="false" outlineLevel="0" collapsed="false">
      <c r="A15379" s="3" t="s">
        <v>376</v>
      </c>
      <c r="G15379" s="21" t="n">
        <f aca="false">IF(G15377=0,0,G15378/ABS(G15377))</f>
        <v>-0.203737267282309</v>
      </c>
      <c r="H15379" s="21" t="n">
        <f aca="false">IF(H15377=0,0,H15378/ABS(H15377))</f>
        <v>-0.416073996007027</v>
      </c>
      <c r="I15379" s="21" t="n">
        <f aca="false">IF(I15377=0,0,I15378/ABS(I15377))</f>
        <v>-0.509502156645902</v>
      </c>
      <c r="J15379" s="21" t="n">
        <f aca="false">IF(J15377=0,0,J15378/ABS(J15377))</f>
        <v>-0.54532521379747</v>
      </c>
      <c r="K15379" s="21" t="n">
        <f aca="false">IF(K15377=0,0,K15378/ABS(K15377))</f>
        <v>-0.572605700969622</v>
      </c>
    </row>
    <row r="15380" customFormat="false" ht="15" hidden="false" customHeight="false" outlineLevel="0" collapsed="false">
      <c r="A15380" s="3" t="s">
        <v>377</v>
      </c>
      <c r="G15380" s="20" t="n">
        <f aca="false">IF(G15378&lt;0,1,0)</f>
        <v>1</v>
      </c>
      <c r="H15380" s="20" t="n">
        <f aca="false">IF(H15378&lt;0,1,0)</f>
        <v>1</v>
      </c>
      <c r="I15380" s="20" t="n">
        <f aca="false">IF(I15378&lt;0,1,0)</f>
        <v>1</v>
      </c>
      <c r="J15380" s="20" t="n">
        <f aca="false">IF(J15378&lt;0,1,0)</f>
        <v>1</v>
      </c>
      <c r="K15380" s="20" t="n">
        <f aca="false">IF(K15378&lt;0,1,0)</f>
        <v>1</v>
      </c>
    </row>
    <row r="15381" customFormat="false" ht="15" hidden="false" customHeight="false" outlineLevel="0" collapsed="false">
      <c r="A15381" s="3" t="s">
        <v>378</v>
      </c>
      <c r="C15381" s="20" t="n">
        <f aca="false">IFERROR(INDEX($G$15241:$K$15241,MATCH(1,$G$15380:$K$15380,0)),0)</f>
        <v>2027</v>
      </c>
    </row>
    <row r="15382" customFormat="false" ht="15" hidden="false" customHeight="false" outlineLevel="0" collapsed="false">
      <c r="A15382" s="3" t="s">
        <v>379</v>
      </c>
      <c r="C15382" s="21" t="n">
        <f aca="false">MIN($G$15379:$K$15379)</f>
        <v>-0.572605700969622</v>
      </c>
    </row>
    <row r="15383" customFormat="false" ht="15" hidden="false" customHeight="false" outlineLevel="0" collapsed="false">
      <c r="A15383" s="23" t="s">
        <v>381</v>
      </c>
      <c r="B15383" s="24"/>
      <c r="C15383" s="24"/>
      <c r="D15383" s="24"/>
      <c r="E15383" s="24"/>
      <c r="F15383" s="24"/>
      <c r="G15383" s="24"/>
      <c r="H15383" s="24"/>
      <c r="I15383" s="24"/>
      <c r="J15383" s="24"/>
      <c r="K15383" s="24"/>
    </row>
    <row r="15384" customFormat="false" ht="15" hidden="false" customHeight="false" outlineLevel="0" collapsed="false">
      <c r="A15384" s="3" t="s">
        <v>373</v>
      </c>
      <c r="G15384" s="25" t="n">
        <f aca="false">G15362</f>
        <v>431.67030664</v>
      </c>
      <c r="H15384" s="25" t="n">
        <f aca="false">H15362</f>
        <v>359.0106596512</v>
      </c>
      <c r="I15384" s="25" t="n">
        <f aca="false">I15362</f>
        <v>0</v>
      </c>
      <c r="J15384" s="25" t="n">
        <f aca="false">J15362</f>
        <v>0</v>
      </c>
      <c r="K15384" s="25" t="n">
        <f aca="false">K15362</f>
        <v>0</v>
      </c>
    </row>
    <row r="15385" customFormat="false" ht="15" hidden="false" customHeight="false" outlineLevel="0" collapsed="false">
      <c r="A15385" s="3" t="s">
        <v>374</v>
      </c>
      <c r="G15385" s="29" t="n">
        <f aca="false">Assumptions!$G$67</f>
        <v>200</v>
      </c>
      <c r="H15385" s="29" t="n">
        <f aca="false">Assumptions!$H$67</f>
        <v>200</v>
      </c>
      <c r="I15385" s="29" t="n">
        <f aca="false">Assumptions!$I$67</f>
        <v>200</v>
      </c>
      <c r="J15385" s="29" t="n">
        <f aca="false">Assumptions!$J$67</f>
        <v>200</v>
      </c>
      <c r="K15385" s="29" t="n">
        <f aca="false">Assumptions!$K$67</f>
        <v>200</v>
      </c>
    </row>
    <row r="15386" customFormat="false" ht="15" hidden="false" customHeight="false" outlineLevel="0" collapsed="false">
      <c r="A15386" s="3" t="s">
        <v>375</v>
      </c>
      <c r="G15386" s="25" t="n">
        <f aca="false">G15384-G15385</f>
        <v>231.67030664</v>
      </c>
      <c r="H15386" s="25" t="n">
        <f aca="false">H15384-H15385</f>
        <v>159.0106596512</v>
      </c>
      <c r="I15386" s="25" t="n">
        <f aca="false">I15384-I15385</f>
        <v>-200</v>
      </c>
      <c r="J15386" s="25" t="n">
        <f aca="false">J15384-J15385</f>
        <v>-200</v>
      </c>
      <c r="K15386" s="25" t="n">
        <f aca="false">K15384-K15385</f>
        <v>-200</v>
      </c>
    </row>
    <row r="15387" customFormat="false" ht="15" hidden="false" customHeight="false" outlineLevel="0" collapsed="false">
      <c r="A15387" s="3" t="s">
        <v>376</v>
      </c>
      <c r="G15387" s="21" t="n">
        <f aca="false">IF(G15385=0,0,G15386/ABS(G15385))</f>
        <v>1.1583515332</v>
      </c>
      <c r="H15387" s="21" t="n">
        <f aca="false">IF(H15385=0,0,H15386/ABS(H15385))</f>
        <v>0.795053298256</v>
      </c>
      <c r="I15387" s="21" t="n">
        <f aca="false">IF(I15385=0,0,I15386/ABS(I15385))</f>
        <v>-1</v>
      </c>
      <c r="J15387" s="21" t="n">
        <f aca="false">IF(J15385=0,0,J15386/ABS(J15385))</f>
        <v>-1</v>
      </c>
      <c r="K15387" s="21" t="n">
        <f aca="false">IF(K15385=0,0,K15386/ABS(K15385))</f>
        <v>-1</v>
      </c>
    </row>
    <row r="15388" customFormat="false" ht="15" hidden="false" customHeight="false" outlineLevel="0" collapsed="false">
      <c r="A15388" s="3" t="s">
        <v>377</v>
      </c>
      <c r="G15388" s="20" t="n">
        <f aca="false">IF(G15386&lt;0,1,0)</f>
        <v>0</v>
      </c>
      <c r="H15388" s="20" t="n">
        <f aca="false">IF(H15386&lt;0,1,0)</f>
        <v>0</v>
      </c>
      <c r="I15388" s="20" t="n">
        <f aca="false">IF(I15386&lt;0,1,0)</f>
        <v>1</v>
      </c>
      <c r="J15388" s="20" t="n">
        <f aca="false">IF(J15386&lt;0,1,0)</f>
        <v>1</v>
      </c>
      <c r="K15388" s="20" t="n">
        <f aca="false">IF(K15386&lt;0,1,0)</f>
        <v>1</v>
      </c>
    </row>
    <row r="15389" customFormat="false" ht="15" hidden="false" customHeight="false" outlineLevel="0" collapsed="false">
      <c r="A15389" s="3" t="s">
        <v>378</v>
      </c>
      <c r="C15389" s="20" t="n">
        <f aca="false">IFERROR(INDEX($G$15241:$K$15241,MATCH(1,$G$15388:$K$15388,0)),0)</f>
        <v>2029</v>
      </c>
    </row>
    <row r="15390" customFormat="false" ht="15" hidden="false" customHeight="false" outlineLevel="0" collapsed="false">
      <c r="A15390" s="3" t="s">
        <v>379</v>
      </c>
      <c r="C15390" s="21" t="n">
        <f aca="false">MIN($G$15387:$K$15387)</f>
        <v>-1</v>
      </c>
    </row>
    <row r="15391" customFormat="false" ht="15" hidden="false" customHeight="false" outlineLevel="0" collapsed="false">
      <c r="A15391" s="3" t="s">
        <v>382</v>
      </c>
      <c r="G15391" s="20" t="n">
        <f aca="false">G15372+G15380+G15388</f>
        <v>2</v>
      </c>
      <c r="H15391" s="20" t="n">
        <f aca="false">H15372+H15380+H15388</f>
        <v>2</v>
      </c>
      <c r="I15391" s="20" t="n">
        <f aca="false">I15372+I15380+I15388</f>
        <v>3</v>
      </c>
      <c r="J15391" s="20" t="n">
        <f aca="false">J15372+J15380+J15388</f>
        <v>3</v>
      </c>
      <c r="K15391" s="20" t="n">
        <f aca="false">K15372+K15380+K15388</f>
        <v>3</v>
      </c>
    </row>
    <row r="15392" customFormat="false" ht="15" hidden="false" customHeight="false" outlineLevel="0" collapsed="false">
      <c r="A15392" s="3" t="s">
        <v>383</v>
      </c>
      <c r="C15392" s="20" t="n">
        <f aca="false">SUM($G$15391:$K$15391)</f>
        <v>13</v>
      </c>
    </row>
    <row r="15393" customFormat="false" ht="15" hidden="false" customHeight="false" outlineLevel="0" collapsed="false">
      <c r="A15393" s="3" t="s">
        <v>384</v>
      </c>
      <c r="C15393" s="21" t="n">
        <f aca="false">MIN(C15374,C15382,C15390)</f>
        <v>-2.52852605986897</v>
      </c>
    </row>
    <row r="15395" customFormat="false" ht="15" hidden="false" customHeight="false" outlineLevel="0" collapsed="false">
      <c r="A15395" s="23" t="s">
        <v>486</v>
      </c>
      <c r="B15395" s="24"/>
      <c r="C15395" s="24"/>
      <c r="D15395" s="24"/>
      <c r="E15395" s="24"/>
      <c r="F15395" s="24"/>
      <c r="G15395" s="24"/>
      <c r="H15395" s="24"/>
      <c r="I15395" s="24"/>
      <c r="J15395" s="24"/>
      <c r="K15395" s="24"/>
    </row>
    <row r="15396" customFormat="false" ht="15" hidden="false" customHeight="false" outlineLevel="0" collapsed="false">
      <c r="A15396" s="3" t="s">
        <v>487</v>
      </c>
      <c r="G15396" s="20" t="n">
        <f aca="false">IF($C$15397=1,G15349,IF(G15251=MIN($G$15251:$K$15251),1,0))</f>
        <v>0</v>
      </c>
      <c r="H15396" s="20" t="n">
        <f aca="false">IF($C$15397=1,H15349,IF(AND(H15251=MIN($G$15251:$K$15251),SUM($G$15396:G15396)=0),1,0))</f>
        <v>0</v>
      </c>
      <c r="I15396" s="20" t="n">
        <f aca="false">IF($C$15397=1,I15349,IF(AND(I15251=MIN($G$15251:$K$15251),SUM($G$15396:H15396)=0),1,0))</f>
        <v>1</v>
      </c>
      <c r="J15396" s="20" t="n">
        <f aca="false">IF($C$15397=1,J15349,IF(AND(J15251=MIN($G$15251:$K$15251),SUM($G$15396:I15396)=0),1,0))</f>
        <v>0</v>
      </c>
      <c r="K15396" s="20" t="n">
        <f aca="false">IF($C$15397=1,K15349,IF(AND(K15251=MIN($G$15251:$K$15251),SUM($G$15396:J15396)=0),1,0))</f>
        <v>0</v>
      </c>
    </row>
    <row r="15397" customFormat="false" ht="15" hidden="false" customHeight="false" outlineLevel="0" collapsed="false">
      <c r="A15397" s="3" t="s">
        <v>488</v>
      </c>
      <c r="C15397" s="20" t="n">
        <f aca="false">IF(SUM($G$15349:$K$15349)&gt;0,1,0)</f>
        <v>1</v>
      </c>
    </row>
    <row r="15398" customFormat="false" ht="15" hidden="false" customHeight="false" outlineLevel="0" collapsed="false">
      <c r="A15398" s="3" t="s">
        <v>489</v>
      </c>
      <c r="C15398" s="20" t="n">
        <f aca="false">SUMPRODUCT($G$15396:$K$15396,$G$15241:$K$15241)</f>
        <v>2029</v>
      </c>
    </row>
    <row r="15399" customFormat="false" ht="15" hidden="false" customHeight="false" outlineLevel="0" collapsed="false">
      <c r="A15399" s="3" t="s">
        <v>490</v>
      </c>
      <c r="C15399" s="25" t="n">
        <f aca="false">SUMPRODUCT($G$15396:$K$15396,$G$15251:$K$15251)</f>
        <v>107.0936010144</v>
      </c>
    </row>
    <row r="15400" customFormat="false" ht="15" hidden="false" customHeight="false" outlineLevel="0" collapsed="false">
      <c r="A15400" s="3" t="s">
        <v>491</v>
      </c>
      <c r="C15400" s="25" t="n">
        <f aca="false">MAX(0,SUMPRODUCT($G$15396:$K$15396,$G$15346:$K$15346))</f>
        <v>0</v>
      </c>
    </row>
    <row r="15401" customFormat="false" ht="15" hidden="false" customHeight="false" outlineLevel="0" collapsed="false">
      <c r="A15401" s="3" t="s">
        <v>492</v>
      </c>
      <c r="C15401" s="25" t="n">
        <f aca="false">(CHOOSE($C$15234,Assumptions!$C$84,Assumptions!$C$103,Assumptions!$C$122)+$C$15238)*C15399</f>
        <v>428.3744040576</v>
      </c>
    </row>
    <row r="15402" customFormat="false" ht="15" hidden="false" customHeight="false" outlineLevel="0" collapsed="false">
      <c r="A15402" s="3" t="s">
        <v>493</v>
      </c>
      <c r="C15402" s="25" t="n">
        <f aca="false">Assumptions!$C$30*(1-CHOOSE($C$15234,Assumptions!$C$85,Assumptions!$C$104,Assumptions!$C$123))*CHOOSE($C$15234,Assumptions!$C$86,Assumptions!$C$105,Assumptions!$C$124)</f>
        <v>478.719345</v>
      </c>
    </row>
    <row r="15403" customFormat="false" ht="15" hidden="false" customHeight="false" outlineLevel="0" collapsed="false">
      <c r="A15403" s="3" t="s">
        <v>494</v>
      </c>
      <c r="C15403" s="25" t="n">
        <f aca="false">MAX(C15401,C15402)+C15400</f>
        <v>478.719345</v>
      </c>
    </row>
    <row r="15404" customFormat="false" ht="15" hidden="false" customHeight="false" outlineLevel="0" collapsed="false">
      <c r="A15404" s="2" t="s">
        <v>495</v>
      </c>
      <c r="C15404" s="16" t="n">
        <f aca="false">IF(ISNUMBER(Assumptions!$C$14),Assumptions!$C$14,C15403)</f>
        <v>478.719345</v>
      </c>
    </row>
    <row r="15405" customFormat="false" ht="15" hidden="false" customHeight="false" outlineLevel="0" collapsed="false">
      <c r="A15405" s="3" t="s">
        <v>496</v>
      </c>
      <c r="C15405" s="25" t="n">
        <f aca="false">C15404*Assumptions!$C$15</f>
        <v>19.1487738</v>
      </c>
    </row>
    <row r="15406" customFormat="false" ht="15" hidden="false" customHeight="false" outlineLevel="0" collapsed="false">
      <c r="A15406" s="2" t="s">
        <v>497</v>
      </c>
      <c r="C15406" s="16" t="n">
        <f aca="false">C15404-C15405</f>
        <v>459.5705712</v>
      </c>
    </row>
    <row r="15407" customFormat="false" ht="15" hidden="false" customHeight="false" outlineLevel="0" collapsed="false">
      <c r="A15407" s="23" t="s">
        <v>498</v>
      </c>
      <c r="B15407" s="24"/>
      <c r="C15407" s="24"/>
      <c r="D15407" s="24"/>
      <c r="E15407" s="24"/>
      <c r="F15407" s="24"/>
      <c r="G15407" s="24"/>
      <c r="H15407" s="24"/>
      <c r="I15407" s="24"/>
      <c r="J15407" s="24"/>
      <c r="K15407" s="24"/>
    </row>
    <row r="15408" customFormat="false" ht="15" hidden="false" customHeight="false" outlineLevel="0" collapsed="false">
      <c r="A15408" s="3" t="s">
        <v>499</v>
      </c>
      <c r="C15408" s="25" t="n">
        <f aca="false">SUMPRODUCT($G$15396:$K$15396,$G$15288:$K$15288)*(1+SUMPRODUCT($G$15396:$K$15396,$G$15280:$K$15280)*Assumptions!$C$16/12)</f>
        <v>1349.6193225</v>
      </c>
    </row>
    <row r="15409" customFormat="false" ht="15" hidden="false" customHeight="false" outlineLevel="0" collapsed="false">
      <c r="A15409" s="3" t="s">
        <v>500</v>
      </c>
      <c r="C15409" s="25" t="n">
        <f aca="false">SUMPRODUCT($G$15396:$K$15396,$G$15301:$K$15301)*(1+SUMPRODUCT($G$15396:$K$15396,$G$15293:$K$15293)*Assumptions!$C$16/12)</f>
        <v>6.40133166435848</v>
      </c>
    </row>
    <row r="15410" customFormat="false" ht="15" hidden="false" customHeight="false" outlineLevel="0" collapsed="false">
      <c r="A15410" s="3" t="s">
        <v>501</v>
      </c>
      <c r="C15410" s="25" t="n">
        <f aca="false">SUMPRODUCT($G$15396:$K$15396,$G$15314:$K$15314)*(1+SUMPRODUCT($G$15396:$K$15396,$G$15306:$K$15306)*Assumptions!$C$16/12)</f>
        <v>145.27734375</v>
      </c>
    </row>
    <row r="15411" customFormat="false" ht="15" hidden="false" customHeight="false" outlineLevel="0" collapsed="false">
      <c r="A15411" s="23" t="s">
        <v>502</v>
      </c>
      <c r="B15411" s="24"/>
      <c r="C15411" s="24"/>
      <c r="D15411" s="24"/>
      <c r="E15411" s="24"/>
      <c r="F15411" s="24"/>
      <c r="G15411" s="24"/>
      <c r="H15411" s="24"/>
      <c r="I15411" s="24"/>
      <c r="J15411" s="24"/>
      <c r="K15411" s="24"/>
    </row>
    <row r="15412" customFormat="false" ht="15" hidden="false" customHeight="false" outlineLevel="0" collapsed="false">
      <c r="A15412" s="3" t="s">
        <v>499</v>
      </c>
      <c r="C15412" s="27" t="n">
        <f aca="false">Assumptions!$M$56</f>
        <v>1</v>
      </c>
    </row>
    <row r="15413" customFormat="false" ht="15" hidden="false" customHeight="false" outlineLevel="0" collapsed="false">
      <c r="A15413" s="3" t="s">
        <v>500</v>
      </c>
      <c r="C15413" s="27" t="n">
        <f aca="false">Assumptions!$M$57</f>
        <v>2</v>
      </c>
    </row>
    <row r="15414" customFormat="false" ht="15" hidden="false" customHeight="false" outlineLevel="0" collapsed="false">
      <c r="A15414" s="3" t="s">
        <v>501</v>
      </c>
      <c r="C15414" s="27" t="n">
        <f aca="false">Assumptions!$M$58</f>
        <v>2</v>
      </c>
    </row>
    <row r="15415" customFormat="false" ht="15" hidden="false" customHeight="false" outlineLevel="0" collapsed="false">
      <c r="A15415" s="23" t="s">
        <v>503</v>
      </c>
      <c r="B15415" s="24"/>
      <c r="C15415" s="24"/>
      <c r="D15415" s="24"/>
      <c r="E15415" s="24"/>
      <c r="F15415" s="24"/>
      <c r="G15415" s="24"/>
      <c r="H15415" s="24"/>
      <c r="I15415" s="24"/>
      <c r="J15415" s="24"/>
      <c r="K15415" s="24"/>
    </row>
    <row r="15416" customFormat="false" ht="15" hidden="false" customHeight="false" outlineLevel="0" collapsed="false">
      <c r="A15416" s="3" t="s">
        <v>499</v>
      </c>
      <c r="C15416" s="35" t="n">
        <f aca="false">Assumptions!$Q$56</f>
        <v>0</v>
      </c>
    </row>
    <row r="15417" customFormat="false" ht="15" hidden="false" customHeight="false" outlineLevel="0" collapsed="false">
      <c r="A15417" s="3" t="s">
        <v>500</v>
      </c>
      <c r="C15417" s="35" t="n">
        <f aca="false">Assumptions!$Q$57</f>
        <v>0</v>
      </c>
    </row>
    <row r="15418" customFormat="false" ht="15" hidden="false" customHeight="false" outlineLevel="0" collapsed="false">
      <c r="A15418" s="3" t="s">
        <v>501</v>
      </c>
      <c r="C15418" s="35" t="n">
        <f aca="false">Assumptions!$Q$58</f>
        <v>0</v>
      </c>
    </row>
    <row r="15419" customFormat="false" ht="15" hidden="false" customHeight="false" outlineLevel="0" collapsed="false">
      <c r="A15419" s="23" t="s">
        <v>504</v>
      </c>
      <c r="B15419" s="24"/>
      <c r="C15419" s="24"/>
      <c r="D15419" s="24"/>
      <c r="E15419" s="24"/>
      <c r="F15419" s="24"/>
      <c r="G15419" s="24"/>
      <c r="H15419" s="24"/>
      <c r="I15419" s="24"/>
      <c r="J15419" s="24"/>
      <c r="K15419" s="24"/>
    </row>
    <row r="15420" customFormat="false" ht="15" hidden="false" customHeight="false" outlineLevel="0" collapsed="false">
      <c r="A15420" s="3" t="s">
        <v>499</v>
      </c>
      <c r="C15420" s="25" t="n">
        <f aca="false">IF(C15416&gt;0,MIN(C15408,C15416*$C$15406),0)</f>
        <v>0</v>
      </c>
    </row>
    <row r="15421" customFormat="false" ht="15" hidden="false" customHeight="false" outlineLevel="0" collapsed="false">
      <c r="A15421" s="3" t="s">
        <v>500</v>
      </c>
      <c r="C15421" s="25" t="n">
        <f aca="false">IF(C15417&gt;0,MIN(C15409,C15417*$C$15406),0)</f>
        <v>0</v>
      </c>
    </row>
    <row r="15422" customFormat="false" ht="15" hidden="false" customHeight="false" outlineLevel="0" collapsed="false">
      <c r="A15422" s="3" t="s">
        <v>501</v>
      </c>
      <c r="C15422" s="25" t="n">
        <f aca="false">IF(C15418&gt;0,MIN(C15410,C15418*$C$15406),0)</f>
        <v>0</v>
      </c>
    </row>
    <row r="15423" customFormat="false" ht="15" hidden="false" customHeight="false" outlineLevel="0" collapsed="false">
      <c r="A15423" s="23" t="s">
        <v>505</v>
      </c>
      <c r="B15423" s="24"/>
      <c r="C15423" s="24"/>
      <c r="D15423" s="24"/>
      <c r="E15423" s="24"/>
      <c r="F15423" s="24"/>
      <c r="G15423" s="24"/>
      <c r="H15423" s="24"/>
      <c r="I15423" s="24"/>
      <c r="J15423" s="24"/>
      <c r="K15423" s="24"/>
    </row>
    <row r="15424" customFormat="false" ht="15" hidden="false" customHeight="false" outlineLevel="0" collapsed="false">
      <c r="A15424" s="3" t="s">
        <v>499</v>
      </c>
      <c r="C15424" s="25" t="n">
        <f aca="false">IF(C15416&gt;0,C15408-C15420,0)</f>
        <v>0</v>
      </c>
      <c r="G15424" s="20" t="n">
        <f aca="false">IF(AND(G15278=1,G15275=1),1,0)</f>
        <v>0</v>
      </c>
      <c r="H15424" s="20" t="n">
        <f aca="false">IF(G15424=1,1,IF(AND(H15278=1,H15275=1),1,0))</f>
        <v>0</v>
      </c>
      <c r="I15424" s="20" t="n">
        <f aca="false">IF(H15424=1,1,IF(AND(I15278=1,I15275=1),1,0))</f>
        <v>0</v>
      </c>
      <c r="J15424" s="20" t="n">
        <f aca="false">IF(I15424=1,1,IF(AND(J15278=1,J15275=1),1,0))</f>
        <v>0</v>
      </c>
      <c r="K15424" s="20" t="n">
        <f aca="false">IF(J15424=1,1,IF(AND(K15278=1,K15275=1),1,0))</f>
        <v>0</v>
      </c>
    </row>
    <row r="15425" customFormat="false" ht="15" hidden="false" customHeight="false" outlineLevel="0" collapsed="false">
      <c r="A15425" s="3" t="s">
        <v>500</v>
      </c>
      <c r="C15425" s="25" t="n">
        <f aca="false">IF(C15417&gt;0,C15409-C15421,0)</f>
        <v>0</v>
      </c>
      <c r="G15425" s="20" t="n">
        <f aca="false">IF(AND(G15291=1,G15275=1),1,0)</f>
        <v>0</v>
      </c>
      <c r="H15425" s="20" t="n">
        <f aca="false">IF(G15425=1,1,IF(AND(H15291=1,H15275=1),1,0))</f>
        <v>0</v>
      </c>
      <c r="I15425" s="20" t="n">
        <f aca="false">IF(H15425=1,1,IF(AND(I15291=1,I15275=1),1,0))</f>
        <v>0</v>
      </c>
      <c r="J15425" s="20" t="n">
        <f aca="false">IF(I15425=1,1,IF(AND(J15291=1,J15275=1),1,0))</f>
        <v>0</v>
      </c>
      <c r="K15425" s="20" t="n">
        <f aca="false">IF(J15425=1,1,IF(AND(K15291=1,K15275=1),1,0))</f>
        <v>0</v>
      </c>
    </row>
    <row r="15426" customFormat="false" ht="15" hidden="false" customHeight="false" outlineLevel="0" collapsed="false">
      <c r="A15426" s="3" t="s">
        <v>501</v>
      </c>
      <c r="C15426" s="25" t="n">
        <f aca="false">IF(C15418&gt;0,C15410-C15422,0)</f>
        <v>0</v>
      </c>
      <c r="G15426" s="20" t="n">
        <f aca="false">IF(AND(G15304=1,G15275=1),1,0)</f>
        <v>0</v>
      </c>
      <c r="H15426" s="20" t="n">
        <f aca="false">IF(G15426=1,1,IF(AND(H15304=1,H15275=1),1,0))</f>
        <v>0</v>
      </c>
      <c r="I15426" s="20" t="n">
        <f aca="false">IF(H15426=1,1,IF(AND(I15304=1,I15275=1),1,0))</f>
        <v>0</v>
      </c>
      <c r="J15426" s="20" t="n">
        <f aca="false">IF(I15426=1,1,IF(AND(J15304=1,J15275=1),1,0))</f>
        <v>0</v>
      </c>
      <c r="K15426" s="20" t="n">
        <f aca="false">IF(J15426=1,1,IF(AND(K15304=1,K15275=1),1,0))</f>
        <v>0</v>
      </c>
    </row>
    <row r="15427" customFormat="false" ht="15" hidden="false" customHeight="false" outlineLevel="0" collapsed="false">
      <c r="A15427" s="23" t="s">
        <v>506</v>
      </c>
      <c r="B15427" s="24"/>
      <c r="C15427" s="24"/>
      <c r="D15427" s="24"/>
      <c r="E15427" s="24"/>
      <c r="F15427" s="24"/>
      <c r="G15427" s="24"/>
      <c r="H15427" s="24"/>
      <c r="I15427" s="24"/>
      <c r="J15427" s="24"/>
      <c r="K15427" s="24"/>
    </row>
    <row r="15428" customFormat="false" ht="15" hidden="false" customHeight="false" outlineLevel="0" collapsed="false">
      <c r="A15428" s="3" t="s">
        <v>499</v>
      </c>
      <c r="C15428" s="25" t="n">
        <f aca="false">IF(C15416&gt;0,C15424,C15408)</f>
        <v>1349.6193225</v>
      </c>
    </row>
    <row r="15429" customFormat="false" ht="15" hidden="false" customHeight="false" outlineLevel="0" collapsed="false">
      <c r="A15429" s="3" t="s">
        <v>500</v>
      </c>
      <c r="C15429" s="25" t="n">
        <f aca="false">IF(C15417&gt;0,C15425,C15409)</f>
        <v>6.40133166435848</v>
      </c>
    </row>
    <row r="15430" customFormat="false" ht="15" hidden="false" customHeight="false" outlineLevel="0" collapsed="false">
      <c r="A15430" s="3" t="s">
        <v>501</v>
      </c>
      <c r="C15430" s="25" t="n">
        <f aca="false">IF(C15418&gt;0,C15426,C15410)</f>
        <v>145.27734375</v>
      </c>
    </row>
    <row r="15431" customFormat="false" ht="15" hidden="false" customHeight="false" outlineLevel="0" collapsed="false">
      <c r="A15431" s="23" t="s">
        <v>507</v>
      </c>
      <c r="B15431" s="24"/>
      <c r="C15431" s="24"/>
      <c r="D15431" s="24"/>
      <c r="E15431" s="24"/>
      <c r="F15431" s="24"/>
      <c r="G15431" s="24"/>
      <c r="H15431" s="24"/>
      <c r="I15431" s="24"/>
      <c r="J15431" s="24"/>
      <c r="K15431" s="24"/>
    </row>
    <row r="15432" customFormat="false" ht="15" hidden="false" customHeight="false" outlineLevel="0" collapsed="false">
      <c r="A15432" s="3" t="s">
        <v>499</v>
      </c>
      <c r="C15432" s="20" t="n">
        <f aca="false">IF(C15416&gt;0,Assumptions!$C$17,C15412)</f>
        <v>1</v>
      </c>
    </row>
    <row r="15433" customFormat="false" ht="15" hidden="false" customHeight="false" outlineLevel="0" collapsed="false">
      <c r="A15433" s="3" t="s">
        <v>500</v>
      </c>
      <c r="C15433" s="20" t="n">
        <f aca="false">IF(C15417&gt;0,Assumptions!$C$17,C15413)</f>
        <v>2</v>
      </c>
    </row>
    <row r="15434" customFormat="false" ht="15" hidden="false" customHeight="false" outlineLevel="0" collapsed="false">
      <c r="A15434" s="3" t="s">
        <v>501</v>
      </c>
      <c r="C15434" s="20" t="n">
        <f aca="false">IF(C15418&gt;0,Assumptions!$C$17,C15414)</f>
        <v>2</v>
      </c>
    </row>
    <row r="15435" customFormat="false" ht="15" hidden="false" customHeight="false" outlineLevel="0" collapsed="false">
      <c r="A15435" s="23" t="s">
        <v>508</v>
      </c>
      <c r="B15435" s="24"/>
      <c r="C15435" s="24"/>
      <c r="D15435" s="24"/>
      <c r="E15435" s="24"/>
      <c r="F15435" s="24"/>
      <c r="G15435" s="24"/>
      <c r="H15435" s="24"/>
      <c r="I15435" s="24"/>
      <c r="J15435" s="24"/>
      <c r="K15435" s="24"/>
    </row>
    <row r="15436" customFormat="false" ht="15" hidden="false" customHeight="false" outlineLevel="0" collapsed="false">
      <c r="A15436" s="3" t="s">
        <v>499</v>
      </c>
      <c r="C15436" s="25" t="n">
        <f aca="false">SUMPRODUCT(($C$15432:$C$15434&lt;C15432)*$C$15428:$C$15430)</f>
        <v>0</v>
      </c>
    </row>
    <row r="15437" customFormat="false" ht="15" hidden="false" customHeight="false" outlineLevel="0" collapsed="false">
      <c r="A15437" s="3" t="s">
        <v>500</v>
      </c>
      <c r="C15437" s="25" t="n">
        <f aca="false">SUMPRODUCT(($C$15432:$C$15434&lt;C15433)*$C$15428:$C$15430)</f>
        <v>1349.6193225</v>
      </c>
    </row>
    <row r="15438" customFormat="false" ht="15" hidden="false" customHeight="false" outlineLevel="0" collapsed="false">
      <c r="A15438" s="3" t="s">
        <v>501</v>
      </c>
      <c r="C15438" s="25" t="n">
        <f aca="false">SUMPRODUCT(($C$15432:$C$15434&lt;C15434)*$C$15428:$C$15430)</f>
        <v>1349.6193225</v>
      </c>
    </row>
    <row r="15439" customFormat="false" ht="15" hidden="false" customHeight="false" outlineLevel="0" collapsed="false">
      <c r="A15439" s="23" t="s">
        <v>509</v>
      </c>
      <c r="B15439" s="24"/>
      <c r="C15439" s="24"/>
      <c r="D15439" s="24"/>
      <c r="E15439" s="24"/>
      <c r="F15439" s="24"/>
      <c r="G15439" s="24"/>
      <c r="H15439" s="24"/>
      <c r="I15439" s="24"/>
      <c r="J15439" s="24"/>
      <c r="K15439" s="24"/>
    </row>
    <row r="15440" customFormat="false" ht="15" hidden="false" customHeight="false" outlineLevel="0" collapsed="false">
      <c r="A15440" s="3" t="s">
        <v>499</v>
      </c>
      <c r="C15440" s="25" t="n">
        <f aca="false">SUMPRODUCT(($C$15432:$C$15434=C15432)*$C$15428:$C$15430)</f>
        <v>1349.6193225</v>
      </c>
    </row>
    <row r="15441" customFormat="false" ht="15" hidden="false" customHeight="false" outlineLevel="0" collapsed="false">
      <c r="A15441" s="3" t="s">
        <v>500</v>
      </c>
      <c r="C15441" s="25" t="n">
        <f aca="false">SUMPRODUCT(($C$15432:$C$15434=C15433)*$C$15428:$C$15430)</f>
        <v>151.678675414359</v>
      </c>
    </row>
    <row r="15442" customFormat="false" ht="15" hidden="false" customHeight="false" outlineLevel="0" collapsed="false">
      <c r="A15442" s="3" t="s">
        <v>501</v>
      </c>
      <c r="C15442" s="25" t="n">
        <f aca="false">SUMPRODUCT(($C$15432:$C$15434=C15434)*$C$15428:$C$15430)</f>
        <v>151.678675414359</v>
      </c>
    </row>
    <row r="15443" customFormat="false" ht="15" hidden="false" customHeight="false" outlineLevel="0" collapsed="false">
      <c r="A15443" s="23" t="s">
        <v>510</v>
      </c>
      <c r="B15443" s="24"/>
      <c r="C15443" s="24"/>
      <c r="D15443" s="24"/>
      <c r="E15443" s="24"/>
      <c r="F15443" s="24"/>
      <c r="G15443" s="24"/>
      <c r="H15443" s="24"/>
      <c r="I15443" s="24"/>
      <c r="J15443" s="24"/>
      <c r="K15443" s="24"/>
    </row>
    <row r="15444" customFormat="false" ht="15" hidden="false" customHeight="false" outlineLevel="0" collapsed="false">
      <c r="A15444" s="3" t="s">
        <v>499</v>
      </c>
      <c r="C15444" s="25" t="n">
        <f aca="false">IF(C15440=0,0,C15428/C15440*MAX(0,MIN(C15440,$C$15406-SUM($C$15420:$C$15422)-C15436)))</f>
        <v>459.5705712</v>
      </c>
    </row>
    <row r="15445" customFormat="false" ht="15" hidden="false" customHeight="false" outlineLevel="0" collapsed="false">
      <c r="A15445" s="3" t="s">
        <v>500</v>
      </c>
      <c r="C15445" s="25" t="n">
        <f aca="false">IF(C15441=0,0,C15429/C15441*MAX(0,MIN(C15441,$C$15406-SUM($C$15420:$C$15422)-C15437)))</f>
        <v>0</v>
      </c>
    </row>
    <row r="15446" customFormat="false" ht="15" hidden="false" customHeight="false" outlineLevel="0" collapsed="false">
      <c r="A15446" s="3" t="s">
        <v>501</v>
      </c>
      <c r="C15446" s="25" t="n">
        <f aca="false">IF(C15442=0,0,C15430/C15442*MAX(0,MIN(C15442,$C$15406-SUM($C$15420:$C$15422)-C15438)))</f>
        <v>0</v>
      </c>
    </row>
    <row r="15447" customFormat="false" ht="15" hidden="false" customHeight="false" outlineLevel="0" collapsed="false">
      <c r="A15447" s="23" t="s">
        <v>511</v>
      </c>
      <c r="B15447" s="24"/>
      <c r="C15447" s="24"/>
      <c r="D15447" s="24"/>
      <c r="E15447" s="24"/>
      <c r="F15447" s="24"/>
      <c r="G15447" s="24"/>
      <c r="H15447" s="24"/>
      <c r="I15447" s="24"/>
      <c r="J15447" s="24"/>
      <c r="K15447" s="24"/>
    </row>
    <row r="15448" customFormat="false" ht="15" hidden="false" customHeight="false" outlineLevel="0" collapsed="false">
      <c r="A15448" s="2" t="s">
        <v>499</v>
      </c>
      <c r="C15448" s="16" t="n">
        <f aca="false">C15420+C15444</f>
        <v>459.5705712</v>
      </c>
    </row>
    <row r="15449" customFormat="false" ht="15" hidden="false" customHeight="false" outlineLevel="0" collapsed="false">
      <c r="A15449" s="2" t="s">
        <v>500</v>
      </c>
      <c r="C15449" s="16" t="n">
        <f aca="false">C15421+C15445</f>
        <v>0</v>
      </c>
    </row>
    <row r="15450" customFormat="false" ht="15" hidden="false" customHeight="false" outlineLevel="0" collapsed="false">
      <c r="A15450" s="2" t="s">
        <v>501</v>
      </c>
      <c r="C15450" s="16" t="n">
        <f aca="false">C15422+C15446</f>
        <v>0</v>
      </c>
    </row>
    <row r="15451" customFormat="false" ht="15" hidden="false" customHeight="false" outlineLevel="0" collapsed="false">
      <c r="A15451" s="23" t="s">
        <v>512</v>
      </c>
      <c r="B15451" s="24"/>
      <c r="C15451" s="24"/>
      <c r="D15451" s="24"/>
      <c r="E15451" s="24"/>
      <c r="F15451" s="24"/>
      <c r="G15451" s="24"/>
      <c r="H15451" s="24"/>
      <c r="I15451" s="24"/>
      <c r="J15451" s="24"/>
      <c r="K15451" s="24"/>
    </row>
    <row r="15452" customFormat="false" ht="15" hidden="false" customHeight="false" outlineLevel="0" collapsed="false">
      <c r="A15452" s="3" t="s">
        <v>499</v>
      </c>
      <c r="C15452" s="21" t="n">
        <f aca="false">IF(C15408=0,1,C15448/C15408)</f>
        <v>0.340518665921812</v>
      </c>
    </row>
    <row r="15453" customFormat="false" ht="15" hidden="false" customHeight="false" outlineLevel="0" collapsed="false">
      <c r="A15453" s="3" t="s">
        <v>500</v>
      </c>
      <c r="C15453" s="21" t="n">
        <f aca="false">IF(C15409=0,1,C15449/C15409)</f>
        <v>0</v>
      </c>
    </row>
    <row r="15454" customFormat="false" ht="15" hidden="false" customHeight="false" outlineLevel="0" collapsed="false">
      <c r="A15454" s="3" t="s">
        <v>501</v>
      </c>
      <c r="C15454" s="21" t="n">
        <f aca="false">IF(C15410=0,1,C15450/C15410)</f>
        <v>0</v>
      </c>
    </row>
    <row r="15455" customFormat="false" ht="15" hidden="false" customHeight="false" outlineLevel="0" collapsed="false">
      <c r="A15455" s="23" t="s">
        <v>513</v>
      </c>
      <c r="B15455" s="24"/>
      <c r="C15455" s="24"/>
      <c r="D15455" s="24"/>
      <c r="E15455" s="24"/>
      <c r="F15455" s="24"/>
      <c r="G15455" s="24"/>
      <c r="H15455" s="24"/>
      <c r="I15455" s="24"/>
      <c r="J15455" s="24"/>
      <c r="K15455" s="24"/>
    </row>
    <row r="15456" customFormat="false" ht="15" hidden="false" customHeight="false" outlineLevel="0" collapsed="false">
      <c r="A15456" s="3" t="s">
        <v>499</v>
      </c>
      <c r="C15456" s="25" t="n">
        <f aca="false">C15408-C15448</f>
        <v>890.0487513</v>
      </c>
    </row>
    <row r="15457" customFormat="false" ht="15" hidden="false" customHeight="false" outlineLevel="0" collapsed="false">
      <c r="A15457" s="3" t="s">
        <v>500</v>
      </c>
      <c r="C15457" s="25" t="n">
        <f aca="false">C15409-C15449</f>
        <v>6.40133166435848</v>
      </c>
    </row>
    <row r="15458" customFormat="false" ht="15" hidden="false" customHeight="false" outlineLevel="0" collapsed="false">
      <c r="A15458" s="3" t="s">
        <v>501</v>
      </c>
      <c r="C15458" s="25" t="n">
        <f aca="false">C15410-C15450</f>
        <v>145.27734375</v>
      </c>
    </row>
    <row r="15459" customFormat="false" ht="15" hidden="false" customHeight="false" outlineLevel="0" collapsed="false">
      <c r="A15459" s="23" t="s">
        <v>514</v>
      </c>
      <c r="B15459" s="24"/>
      <c r="C15459" s="24"/>
      <c r="D15459" s="24"/>
      <c r="E15459" s="24"/>
      <c r="F15459" s="24"/>
      <c r="G15459" s="24"/>
      <c r="H15459" s="24"/>
      <c r="I15459" s="24"/>
      <c r="J15459" s="24"/>
      <c r="K15459" s="24"/>
    </row>
    <row r="15460" customFormat="false" ht="15" hidden="false" customHeight="false" outlineLevel="0" collapsed="false">
      <c r="A15460" s="3" t="s">
        <v>499</v>
      </c>
      <c r="C15460" s="21" t="n">
        <f aca="false">IF(C15408=0,0,C15456/C15408)</f>
        <v>0.659481334078188</v>
      </c>
    </row>
    <row r="15461" customFormat="false" ht="15" hidden="false" customHeight="false" outlineLevel="0" collapsed="false">
      <c r="A15461" s="3" t="s">
        <v>500</v>
      </c>
      <c r="C15461" s="21" t="n">
        <f aca="false">IF(C15409=0,0,C15457/C15409)</f>
        <v>1</v>
      </c>
    </row>
    <row r="15462" customFormat="false" ht="15" hidden="false" customHeight="false" outlineLevel="0" collapsed="false">
      <c r="A15462" s="3" t="s">
        <v>501</v>
      </c>
      <c r="C15462" s="21" t="n">
        <f aca="false">IF(C15410=0,0,C15458/C15410)</f>
        <v>1</v>
      </c>
    </row>
    <row r="15463" customFormat="false" ht="15" hidden="false" customHeight="false" outlineLevel="0" collapsed="false">
      <c r="A15463" s="2" t="s">
        <v>515</v>
      </c>
      <c r="C15463" s="16" t="n">
        <f aca="false">MAX(0,$C$15406-SUM($C$15420:$C$15422)-SUM($C$15428:$C$15430))</f>
        <v>0</v>
      </c>
    </row>
    <row r="15464" customFormat="false" ht="15" hidden="false" customHeight="false" outlineLevel="0" collapsed="false">
      <c r="A15464" s="3" t="s">
        <v>516</v>
      </c>
      <c r="C15464" s="25" t="n">
        <f aca="false">SUM($C$15448:$C$15450)+C15463+C15405-C15404</f>
        <v>0</v>
      </c>
    </row>
    <row r="15466" customFormat="false" ht="15" hidden="false" customHeight="false" outlineLevel="0" collapsed="false">
      <c r="A15466" s="23" t="s">
        <v>519</v>
      </c>
      <c r="B15466" s="24"/>
      <c r="C15466" s="24"/>
      <c r="D15466" s="24"/>
      <c r="E15466" s="24"/>
      <c r="F15466" s="24"/>
      <c r="G15466" s="24"/>
      <c r="H15466" s="24"/>
      <c r="I15466" s="24"/>
      <c r="J15466" s="24"/>
      <c r="K15466" s="24"/>
    </row>
    <row r="15467" customFormat="false" ht="15" hidden="false" customHeight="false" outlineLevel="0" collapsed="false">
      <c r="A15467" s="3" t="s">
        <v>520</v>
      </c>
      <c r="C15467" s="27" t="n">
        <f aca="false">Assumptions!$C$33</f>
        <v>1</v>
      </c>
    </row>
    <row r="15468" customFormat="false" ht="15" hidden="false" customHeight="false" outlineLevel="0" collapsed="false">
      <c r="A15468" s="3" t="s">
        <v>521</v>
      </c>
      <c r="C15468" s="29" t="n">
        <f aca="false">Assumptions!$C$34</f>
        <v>100</v>
      </c>
    </row>
    <row r="15469" customFormat="false" ht="15" hidden="false" customHeight="false" outlineLevel="0" collapsed="false">
      <c r="A15469" s="3" t="s">
        <v>522</v>
      </c>
      <c r="C15469" s="40" t="n">
        <f aca="false">Assumptions!$C$35</f>
        <v>95</v>
      </c>
    </row>
    <row r="15470" customFormat="false" ht="15" hidden="false" customHeight="false" outlineLevel="0" collapsed="false">
      <c r="A15470" s="3" t="s">
        <v>523</v>
      </c>
      <c r="C15470" s="25" t="n">
        <f aca="false">C15468*C15469/100*(1+Assumptions!$C$36)</f>
        <v>95</v>
      </c>
    </row>
    <row r="15471" customFormat="false" ht="15" hidden="false" customHeight="false" outlineLevel="0" collapsed="false">
      <c r="A15471" s="3" t="s">
        <v>524</v>
      </c>
      <c r="C15471" s="27" t="n">
        <f aca="false">Assumptions!$C$37</f>
        <v>3</v>
      </c>
    </row>
    <row r="15472" customFormat="false" ht="15" hidden="false" customHeight="false" outlineLevel="0" collapsed="false">
      <c r="A15472" s="3" t="s">
        <v>525</v>
      </c>
      <c r="C15472" s="20" t="n">
        <f aca="false">IF(C15397=1,SUMPRODUCT($G$15349:$K$15349,$G$15242:$K$15242),0)</f>
        <v>3</v>
      </c>
    </row>
    <row r="15473" customFormat="false" ht="15" hidden="false" customHeight="false" outlineLevel="0" collapsed="false">
      <c r="A15473" s="3" t="s">
        <v>526</v>
      </c>
      <c r="C15473" s="21" t="n">
        <f aca="false">IFERROR(C15468/CHOOSE(C15467,SUMPRODUCT($G$15396:$K$15396,$G$15288:$K$15288),SUMPRODUCT($G$15396:$K$15396,$G$15301:$K$15301),SUMPRODUCT($G$15396:$K$15396,$G$15314:$K$15314)),0)</f>
        <v>0.0760399605200525</v>
      </c>
    </row>
    <row r="15474" customFormat="false" ht="15" hidden="false" customHeight="false" outlineLevel="0" collapsed="false">
      <c r="A15474" s="3" t="s">
        <v>527</v>
      </c>
      <c r="C15474" s="25" t="n">
        <f aca="false">CHOOSE(C15467,C15448,C15449,C15450)*C15473</f>
        <v>34.945728090226</v>
      </c>
    </row>
    <row r="15475" customFormat="false" ht="15" hidden="false" customHeight="false" outlineLevel="0" collapsed="false">
      <c r="A15475" s="3" t="s">
        <v>528</v>
      </c>
      <c r="C15475" s="21" t="n">
        <f aca="false">CHOOSE(C15467,C15452,C15453,C15454)</f>
        <v>0.340518665921812</v>
      </c>
    </row>
    <row r="15476" customFormat="false" ht="15" hidden="false" customHeight="false" outlineLevel="0" collapsed="false">
      <c r="A15476" s="3" t="s">
        <v>529</v>
      </c>
      <c r="C15476" s="20" t="n">
        <f aca="false">IF(C15397=1,C15472,C15471)</f>
        <v>3</v>
      </c>
    </row>
    <row r="15477" customFormat="false" ht="15" hidden="false" customHeight="false" outlineLevel="0" collapsed="false">
      <c r="A15477" s="3" t="s">
        <v>530</v>
      </c>
      <c r="C15477" s="34" t="n">
        <f aca="false">CHOOSE($C$15234,Assumptions!$C$83,Assumptions!$C$102,Assumptions!$C$121)</f>
        <v>80</v>
      </c>
    </row>
    <row r="15478" customFormat="false" ht="15" hidden="false" customHeight="false" outlineLevel="0" collapsed="false">
      <c r="A15478" s="3" t="s">
        <v>531</v>
      </c>
      <c r="C15478" s="25" t="n">
        <f aca="false">INDEX($G$15251:$K$15251,C15471)*CHOOSE($C$15234,Assumptions!$C$82,Assumptions!$C$101,Assumptions!$C$120)+MAX(0,INDEX($G$15346:$K$15346,C15471))</f>
        <v>428.3744040576</v>
      </c>
    </row>
    <row r="15479" customFormat="false" ht="15" hidden="false" customHeight="false" outlineLevel="0" collapsed="false">
      <c r="A15479" s="23" t="s">
        <v>532</v>
      </c>
      <c r="B15479" s="24"/>
      <c r="C15479" s="24"/>
      <c r="D15479" s="24"/>
      <c r="E15479" s="24"/>
      <c r="F15479" s="24"/>
      <c r="G15479" s="24"/>
      <c r="H15479" s="24"/>
      <c r="I15479" s="24"/>
      <c r="J15479" s="24"/>
      <c r="K15479" s="24"/>
    </row>
    <row r="15480" customFormat="false" ht="15" hidden="false" customHeight="false" outlineLevel="0" collapsed="false">
      <c r="A15480" s="3" t="s">
        <v>499</v>
      </c>
      <c r="C15480" s="25" t="n">
        <f aca="false">INDEX($G$15288:$K$15288,C15471)</f>
        <v>1315.098</v>
      </c>
    </row>
    <row r="15481" customFormat="false" ht="15" hidden="false" customHeight="false" outlineLevel="0" collapsed="false">
      <c r="A15481" s="3" t="s">
        <v>500</v>
      </c>
      <c r="C15481" s="25" t="n">
        <f aca="false">INDEX($G$15301:$K$15301,C15471)</f>
        <v>6.33403256832008</v>
      </c>
    </row>
    <row r="15482" customFormat="false" ht="15" hidden="false" customHeight="false" outlineLevel="0" collapsed="false">
      <c r="A15482" s="3" t="s">
        <v>501</v>
      </c>
      <c r="C15482" s="25" t="n">
        <f aca="false">INDEX($G$15314:$K$15314,C15471)</f>
        <v>143.75</v>
      </c>
    </row>
    <row r="15483" customFormat="false" ht="15" hidden="false" customHeight="false" outlineLevel="0" collapsed="false">
      <c r="A15483" s="23" t="s">
        <v>502</v>
      </c>
      <c r="B15483" s="24"/>
      <c r="C15483" s="24"/>
      <c r="D15483" s="24"/>
      <c r="E15483" s="24"/>
      <c r="F15483" s="24"/>
      <c r="G15483" s="24"/>
      <c r="H15483" s="24"/>
      <c r="I15483" s="24"/>
      <c r="J15483" s="24"/>
      <c r="K15483" s="24"/>
    </row>
    <row r="15484" customFormat="false" ht="15" hidden="false" customHeight="false" outlineLevel="0" collapsed="false">
      <c r="A15484" s="3" t="s">
        <v>499</v>
      </c>
      <c r="C15484" s="27" t="n">
        <f aca="false">Assumptions!$M$56</f>
        <v>1</v>
      </c>
    </row>
    <row r="15485" customFormat="false" ht="15" hidden="false" customHeight="false" outlineLevel="0" collapsed="false">
      <c r="A15485" s="3" t="s">
        <v>500</v>
      </c>
      <c r="C15485" s="27" t="n">
        <f aca="false">Assumptions!$M$57</f>
        <v>2</v>
      </c>
    </row>
    <row r="15486" customFormat="false" ht="15" hidden="false" customHeight="false" outlineLevel="0" collapsed="false">
      <c r="A15486" s="3" t="s">
        <v>501</v>
      </c>
      <c r="C15486" s="27" t="n">
        <f aca="false">Assumptions!$M$58</f>
        <v>2</v>
      </c>
    </row>
    <row r="15487" customFormat="false" ht="15" hidden="false" customHeight="false" outlineLevel="0" collapsed="false">
      <c r="A15487" s="23" t="s">
        <v>503</v>
      </c>
      <c r="B15487" s="24"/>
      <c r="C15487" s="24"/>
      <c r="D15487" s="24"/>
      <c r="E15487" s="24"/>
      <c r="F15487" s="24"/>
      <c r="G15487" s="24"/>
      <c r="H15487" s="24"/>
      <c r="I15487" s="24"/>
      <c r="J15487" s="24"/>
      <c r="K15487" s="24"/>
    </row>
    <row r="15488" customFormat="false" ht="15" hidden="false" customHeight="false" outlineLevel="0" collapsed="false">
      <c r="A15488" s="3" t="s">
        <v>499</v>
      </c>
      <c r="C15488" s="35" t="n">
        <f aca="false">Assumptions!$Q$56</f>
        <v>0</v>
      </c>
    </row>
    <row r="15489" customFormat="false" ht="15" hidden="false" customHeight="false" outlineLevel="0" collapsed="false">
      <c r="A15489" s="3" t="s">
        <v>500</v>
      </c>
      <c r="C15489" s="35" t="n">
        <f aca="false">Assumptions!$Q$57</f>
        <v>0</v>
      </c>
    </row>
    <row r="15490" customFormat="false" ht="15" hidden="false" customHeight="false" outlineLevel="0" collapsed="false">
      <c r="A15490" s="3" t="s">
        <v>501</v>
      </c>
      <c r="C15490" s="35" t="n">
        <f aca="false">Assumptions!$Q$58</f>
        <v>0</v>
      </c>
    </row>
    <row r="15491" customFormat="false" ht="15" hidden="false" customHeight="false" outlineLevel="0" collapsed="false">
      <c r="A15491" s="23" t="s">
        <v>504</v>
      </c>
      <c r="B15491" s="24"/>
      <c r="C15491" s="24"/>
      <c r="D15491" s="24"/>
      <c r="E15491" s="24"/>
      <c r="F15491" s="24"/>
      <c r="G15491" s="24"/>
      <c r="H15491" s="24"/>
      <c r="I15491" s="24"/>
      <c r="J15491" s="24"/>
      <c r="K15491" s="24"/>
    </row>
    <row r="15492" customFormat="false" ht="15" hidden="false" customHeight="false" outlineLevel="0" collapsed="false">
      <c r="A15492" s="3" t="s">
        <v>499</v>
      </c>
      <c r="C15492" s="25" t="n">
        <f aca="false">IF(C15488&gt;0,MIN(C15480,C15488*$C$15478),0)</f>
        <v>0</v>
      </c>
    </row>
    <row r="15493" customFormat="false" ht="15" hidden="false" customHeight="false" outlineLevel="0" collapsed="false">
      <c r="A15493" s="3" t="s">
        <v>500</v>
      </c>
      <c r="C15493" s="25" t="n">
        <f aca="false">IF(C15489&gt;0,MIN(C15481,C15489*$C$15478),0)</f>
        <v>0</v>
      </c>
    </row>
    <row r="15494" customFormat="false" ht="15" hidden="false" customHeight="false" outlineLevel="0" collapsed="false">
      <c r="A15494" s="3" t="s">
        <v>501</v>
      </c>
      <c r="C15494" s="25" t="n">
        <f aca="false">IF(C15490&gt;0,MIN(C15482,C15490*$C$15478),0)</f>
        <v>0</v>
      </c>
    </row>
    <row r="15495" customFormat="false" ht="15" hidden="false" customHeight="false" outlineLevel="0" collapsed="false">
      <c r="A15495" s="23" t="s">
        <v>505</v>
      </c>
      <c r="B15495" s="24"/>
      <c r="C15495" s="24"/>
      <c r="D15495" s="24"/>
      <c r="E15495" s="24"/>
      <c r="F15495" s="24"/>
      <c r="G15495" s="24"/>
      <c r="H15495" s="24"/>
      <c r="I15495" s="24"/>
      <c r="J15495" s="24"/>
      <c r="K15495" s="24"/>
    </row>
    <row r="15496" customFormat="false" ht="15" hidden="false" customHeight="false" outlineLevel="0" collapsed="false">
      <c r="A15496" s="3" t="s">
        <v>499</v>
      </c>
      <c r="C15496" s="25" t="n">
        <f aca="false">IF(C15488&gt;0,C15480-C15492,0)</f>
        <v>0</v>
      </c>
    </row>
    <row r="15497" customFormat="false" ht="15" hidden="false" customHeight="false" outlineLevel="0" collapsed="false">
      <c r="A15497" s="3" t="s">
        <v>500</v>
      </c>
      <c r="C15497" s="25" t="n">
        <f aca="false">IF(C15489&gt;0,C15481-C15493,0)</f>
        <v>0</v>
      </c>
    </row>
    <row r="15498" customFormat="false" ht="15" hidden="false" customHeight="false" outlineLevel="0" collapsed="false">
      <c r="A15498" s="3" t="s">
        <v>501</v>
      </c>
      <c r="C15498" s="25" t="n">
        <f aca="false">IF(C15490&gt;0,C15482-C15494,0)</f>
        <v>0</v>
      </c>
    </row>
    <row r="15499" customFormat="false" ht="15" hidden="false" customHeight="false" outlineLevel="0" collapsed="false">
      <c r="A15499" s="23" t="s">
        <v>506</v>
      </c>
      <c r="B15499" s="24"/>
      <c r="C15499" s="24"/>
      <c r="D15499" s="24"/>
      <c r="E15499" s="24"/>
      <c r="F15499" s="24"/>
      <c r="G15499" s="24"/>
      <c r="H15499" s="24"/>
      <c r="I15499" s="24"/>
      <c r="J15499" s="24"/>
      <c r="K15499" s="24"/>
    </row>
    <row r="15500" customFormat="false" ht="15" hidden="false" customHeight="false" outlineLevel="0" collapsed="false">
      <c r="A15500" s="3" t="s">
        <v>499</v>
      </c>
      <c r="C15500" s="25" t="n">
        <f aca="false">IF(C15488&gt;0,C15496,C15480)</f>
        <v>1315.098</v>
      </c>
    </row>
    <row r="15501" customFormat="false" ht="15" hidden="false" customHeight="false" outlineLevel="0" collapsed="false">
      <c r="A15501" s="3" t="s">
        <v>500</v>
      </c>
      <c r="C15501" s="25" t="n">
        <f aca="false">IF(C15489&gt;0,C15497,C15481)</f>
        <v>6.33403256832008</v>
      </c>
    </row>
    <row r="15502" customFormat="false" ht="15" hidden="false" customHeight="false" outlineLevel="0" collapsed="false">
      <c r="A15502" s="3" t="s">
        <v>501</v>
      </c>
      <c r="C15502" s="25" t="n">
        <f aca="false">IF(C15490&gt;0,C15498,C15482)</f>
        <v>143.75</v>
      </c>
    </row>
    <row r="15503" customFormat="false" ht="15" hidden="false" customHeight="false" outlineLevel="0" collapsed="false">
      <c r="A15503" s="23" t="s">
        <v>507</v>
      </c>
      <c r="B15503" s="24"/>
      <c r="C15503" s="24"/>
      <c r="D15503" s="24"/>
      <c r="E15503" s="24"/>
      <c r="F15503" s="24"/>
      <c r="G15503" s="24"/>
      <c r="H15503" s="24"/>
      <c r="I15503" s="24"/>
      <c r="J15503" s="24"/>
      <c r="K15503" s="24"/>
    </row>
    <row r="15504" customFormat="false" ht="15" hidden="false" customHeight="false" outlineLevel="0" collapsed="false">
      <c r="A15504" s="3" t="s">
        <v>499</v>
      </c>
      <c r="C15504" s="20" t="n">
        <f aca="false">IF(C15488&gt;0,Assumptions!$C$17,C15484)</f>
        <v>1</v>
      </c>
    </row>
    <row r="15505" customFormat="false" ht="15" hidden="false" customHeight="false" outlineLevel="0" collapsed="false">
      <c r="A15505" s="3" t="s">
        <v>500</v>
      </c>
      <c r="C15505" s="20" t="n">
        <f aca="false">IF(C15489&gt;0,Assumptions!$C$17,C15485)</f>
        <v>2</v>
      </c>
    </row>
    <row r="15506" customFormat="false" ht="15" hidden="false" customHeight="false" outlineLevel="0" collapsed="false">
      <c r="A15506" s="3" t="s">
        <v>501</v>
      </c>
      <c r="C15506" s="20" t="n">
        <f aca="false">IF(C15490&gt;0,Assumptions!$C$17,C15486)</f>
        <v>2</v>
      </c>
    </row>
    <row r="15507" customFormat="false" ht="15" hidden="false" customHeight="false" outlineLevel="0" collapsed="false">
      <c r="A15507" s="23" t="s">
        <v>508</v>
      </c>
      <c r="B15507" s="24"/>
      <c r="C15507" s="24"/>
      <c r="D15507" s="24"/>
      <c r="E15507" s="24"/>
      <c r="F15507" s="24"/>
      <c r="G15507" s="24"/>
      <c r="H15507" s="24"/>
      <c r="I15507" s="24"/>
      <c r="J15507" s="24"/>
      <c r="K15507" s="24"/>
    </row>
    <row r="15508" customFormat="false" ht="15" hidden="false" customHeight="false" outlineLevel="0" collapsed="false">
      <c r="A15508" s="3" t="s">
        <v>499</v>
      </c>
      <c r="C15508" s="25" t="n">
        <f aca="false">SUMPRODUCT(($C$15504:$C$15506&lt;C15504)*$C$15500:$C$15502)</f>
        <v>0</v>
      </c>
    </row>
    <row r="15509" customFormat="false" ht="15" hidden="false" customHeight="false" outlineLevel="0" collapsed="false">
      <c r="A15509" s="3" t="s">
        <v>500</v>
      </c>
      <c r="C15509" s="25" t="n">
        <f aca="false">SUMPRODUCT(($C$15504:$C$15506&lt;C15505)*$C$15500:$C$15502)</f>
        <v>1315.098</v>
      </c>
    </row>
    <row r="15510" customFormat="false" ht="15" hidden="false" customHeight="false" outlineLevel="0" collapsed="false">
      <c r="A15510" s="3" t="s">
        <v>501</v>
      </c>
      <c r="C15510" s="25" t="n">
        <f aca="false">SUMPRODUCT(($C$15504:$C$15506&lt;C15506)*$C$15500:$C$15502)</f>
        <v>1315.098</v>
      </c>
    </row>
    <row r="15511" customFormat="false" ht="15" hidden="false" customHeight="false" outlineLevel="0" collapsed="false">
      <c r="A15511" s="23" t="s">
        <v>509</v>
      </c>
      <c r="B15511" s="24"/>
      <c r="C15511" s="24"/>
      <c r="D15511" s="24"/>
      <c r="E15511" s="24"/>
      <c r="F15511" s="24"/>
      <c r="G15511" s="24"/>
      <c r="H15511" s="24"/>
      <c r="I15511" s="24"/>
      <c r="J15511" s="24"/>
      <c r="K15511" s="24"/>
    </row>
    <row r="15512" customFormat="false" ht="15" hidden="false" customHeight="false" outlineLevel="0" collapsed="false">
      <c r="A15512" s="3" t="s">
        <v>499</v>
      </c>
      <c r="C15512" s="25" t="n">
        <f aca="false">SUMPRODUCT(($C$15504:$C$15506=C15504)*$C$15500:$C$15502)</f>
        <v>1315.098</v>
      </c>
    </row>
    <row r="15513" customFormat="false" ht="15" hidden="false" customHeight="false" outlineLevel="0" collapsed="false">
      <c r="A15513" s="3" t="s">
        <v>500</v>
      </c>
      <c r="C15513" s="25" t="n">
        <f aca="false">SUMPRODUCT(($C$15504:$C$15506=C15505)*$C$15500:$C$15502)</f>
        <v>150.08403256832</v>
      </c>
    </row>
    <row r="15514" customFormat="false" ht="15" hidden="false" customHeight="false" outlineLevel="0" collapsed="false">
      <c r="A15514" s="3" t="s">
        <v>501</v>
      </c>
      <c r="C15514" s="25" t="n">
        <f aca="false">SUMPRODUCT(($C$15504:$C$15506=C15506)*$C$15500:$C$15502)</f>
        <v>150.08403256832</v>
      </c>
    </row>
    <row r="15515" customFormat="false" ht="15" hidden="false" customHeight="false" outlineLevel="0" collapsed="false">
      <c r="A15515" s="23" t="s">
        <v>510</v>
      </c>
      <c r="B15515" s="24"/>
      <c r="C15515" s="24"/>
      <c r="D15515" s="24"/>
      <c r="E15515" s="24"/>
      <c r="F15515" s="24"/>
      <c r="G15515" s="24"/>
      <c r="H15515" s="24"/>
      <c r="I15515" s="24"/>
      <c r="J15515" s="24"/>
      <c r="K15515" s="24"/>
    </row>
    <row r="15516" customFormat="false" ht="15" hidden="false" customHeight="false" outlineLevel="0" collapsed="false">
      <c r="A15516" s="3" t="s">
        <v>499</v>
      </c>
      <c r="C15516" s="25" t="n">
        <f aca="false">IF(C15512=0,0,C15500/C15512*MAX(0,MIN(C15512,$C$15478-SUM($C$15492:$C$15494)-C15508)))</f>
        <v>428.3744040576</v>
      </c>
    </row>
    <row r="15517" customFormat="false" ht="15" hidden="false" customHeight="false" outlineLevel="0" collapsed="false">
      <c r="A15517" s="3" t="s">
        <v>500</v>
      </c>
      <c r="C15517" s="25" t="n">
        <f aca="false">IF(C15513=0,0,C15501/C15513*MAX(0,MIN(C15513,$C$15478-SUM($C$15492:$C$15494)-C15509)))</f>
        <v>0</v>
      </c>
    </row>
    <row r="15518" customFormat="false" ht="15" hidden="false" customHeight="false" outlineLevel="0" collapsed="false">
      <c r="A15518" s="3" t="s">
        <v>501</v>
      </c>
      <c r="C15518" s="25" t="n">
        <f aca="false">IF(C15514=0,0,C15502/C15514*MAX(0,MIN(C15514,$C$15478-SUM($C$15492:$C$15494)-C15510)))</f>
        <v>0</v>
      </c>
    </row>
    <row r="15519" customFormat="false" ht="15" hidden="false" customHeight="false" outlineLevel="0" collapsed="false">
      <c r="A15519" s="23" t="s">
        <v>511</v>
      </c>
      <c r="B15519" s="24"/>
      <c r="C15519" s="24"/>
      <c r="D15519" s="24"/>
      <c r="E15519" s="24"/>
      <c r="F15519" s="24"/>
      <c r="G15519" s="24"/>
      <c r="H15519" s="24"/>
      <c r="I15519" s="24"/>
      <c r="J15519" s="24"/>
      <c r="K15519" s="24"/>
    </row>
    <row r="15520" customFormat="false" ht="15" hidden="false" customHeight="false" outlineLevel="0" collapsed="false">
      <c r="A15520" s="2" t="s">
        <v>499</v>
      </c>
      <c r="C15520" s="16" t="n">
        <f aca="false">C15492+C15516</f>
        <v>428.3744040576</v>
      </c>
    </row>
    <row r="15521" customFormat="false" ht="15" hidden="false" customHeight="false" outlineLevel="0" collapsed="false">
      <c r="A15521" s="2" t="s">
        <v>500</v>
      </c>
      <c r="C15521" s="16" t="n">
        <f aca="false">C15493+C15517</f>
        <v>0</v>
      </c>
    </row>
    <row r="15522" customFormat="false" ht="15" hidden="false" customHeight="false" outlineLevel="0" collapsed="false">
      <c r="A15522" s="2" t="s">
        <v>501</v>
      </c>
      <c r="C15522" s="16" t="n">
        <f aca="false">C15494+C15518</f>
        <v>0</v>
      </c>
    </row>
    <row r="15523" customFormat="false" ht="15" hidden="false" customHeight="false" outlineLevel="0" collapsed="false">
      <c r="A15523" s="23" t="s">
        <v>512</v>
      </c>
      <c r="B15523" s="24"/>
      <c r="C15523" s="24"/>
      <c r="D15523" s="24"/>
      <c r="E15523" s="24"/>
      <c r="F15523" s="24"/>
      <c r="G15523" s="24"/>
      <c r="H15523" s="24"/>
      <c r="I15523" s="24"/>
      <c r="J15523" s="24"/>
      <c r="K15523" s="24"/>
    </row>
    <row r="15524" customFormat="false" ht="15" hidden="false" customHeight="false" outlineLevel="0" collapsed="false">
      <c r="A15524" s="3" t="s">
        <v>499</v>
      </c>
      <c r="C15524" s="21" t="n">
        <f aca="false">IF(C15480=0,1,C15520/C15480)</f>
        <v>0.325735727723409</v>
      </c>
    </row>
    <row r="15525" customFormat="false" ht="15" hidden="false" customHeight="false" outlineLevel="0" collapsed="false">
      <c r="A15525" s="3" t="s">
        <v>500</v>
      </c>
      <c r="C15525" s="21" t="n">
        <f aca="false">IF(C15481=0,1,C15521/C15481)</f>
        <v>0</v>
      </c>
    </row>
    <row r="15526" customFormat="false" ht="15" hidden="false" customHeight="false" outlineLevel="0" collapsed="false">
      <c r="A15526" s="3" t="s">
        <v>501</v>
      </c>
      <c r="C15526" s="21" t="n">
        <f aca="false">IF(C15482=0,1,C15522/C15482)</f>
        <v>0</v>
      </c>
    </row>
    <row r="15527" customFormat="false" ht="15" hidden="false" customHeight="false" outlineLevel="0" collapsed="false">
      <c r="A15527" s="23" t="s">
        <v>513</v>
      </c>
      <c r="B15527" s="24"/>
      <c r="C15527" s="24"/>
      <c r="D15527" s="24"/>
      <c r="E15527" s="24"/>
      <c r="F15527" s="24"/>
      <c r="G15527" s="24"/>
      <c r="H15527" s="24"/>
      <c r="I15527" s="24"/>
      <c r="J15527" s="24"/>
      <c r="K15527" s="24"/>
    </row>
    <row r="15528" customFormat="false" ht="15" hidden="false" customHeight="false" outlineLevel="0" collapsed="false">
      <c r="A15528" s="3" t="s">
        <v>499</v>
      </c>
      <c r="C15528" s="25" t="n">
        <f aca="false">C15480-C15520</f>
        <v>886.7235959424</v>
      </c>
    </row>
    <row r="15529" customFormat="false" ht="15" hidden="false" customHeight="false" outlineLevel="0" collapsed="false">
      <c r="A15529" s="3" t="s">
        <v>500</v>
      </c>
      <c r="C15529" s="25" t="n">
        <f aca="false">C15481-C15521</f>
        <v>6.33403256832008</v>
      </c>
    </row>
    <row r="15530" customFormat="false" ht="15" hidden="false" customHeight="false" outlineLevel="0" collapsed="false">
      <c r="A15530" s="3" t="s">
        <v>501</v>
      </c>
      <c r="C15530" s="25" t="n">
        <f aca="false">C15482-C15522</f>
        <v>143.75</v>
      </c>
    </row>
    <row r="15531" customFormat="false" ht="15" hidden="false" customHeight="false" outlineLevel="0" collapsed="false">
      <c r="A15531" s="23" t="s">
        <v>514</v>
      </c>
      <c r="B15531" s="24"/>
      <c r="C15531" s="24"/>
      <c r="D15531" s="24"/>
      <c r="E15531" s="24"/>
      <c r="F15531" s="24"/>
      <c r="G15531" s="24"/>
      <c r="H15531" s="24"/>
      <c r="I15531" s="24"/>
      <c r="J15531" s="24"/>
      <c r="K15531" s="24"/>
    </row>
    <row r="15532" customFormat="false" ht="15" hidden="false" customHeight="false" outlineLevel="0" collapsed="false">
      <c r="A15532" s="3" t="s">
        <v>499</v>
      </c>
      <c r="C15532" s="21" t="n">
        <f aca="false">IF(C15480=0,0,C15528/C15480)</f>
        <v>0.674264272276591</v>
      </c>
    </row>
    <row r="15533" customFormat="false" ht="15" hidden="false" customHeight="false" outlineLevel="0" collapsed="false">
      <c r="A15533" s="3" t="s">
        <v>500</v>
      </c>
      <c r="C15533" s="21" t="n">
        <f aca="false">IF(C15481=0,0,C15529/C15481)</f>
        <v>1</v>
      </c>
    </row>
    <row r="15534" customFormat="false" ht="15" hidden="false" customHeight="false" outlineLevel="0" collapsed="false">
      <c r="A15534" s="3" t="s">
        <v>501</v>
      </c>
      <c r="C15534" s="21" t="n">
        <f aca="false">IF(C15482=0,0,C15530/C15482)</f>
        <v>1</v>
      </c>
    </row>
    <row r="15535" customFormat="false" ht="15" hidden="false" customHeight="false" outlineLevel="0" collapsed="false">
      <c r="A15535" s="2" t="s">
        <v>515</v>
      </c>
      <c r="C15535" s="16" t="n">
        <f aca="false">MAX(0,$C$15478-SUM($C$15492:$C$15494)-SUM($C$15500:$C$15502))</f>
        <v>0</v>
      </c>
    </row>
    <row r="15536" customFormat="false" ht="15" hidden="false" customHeight="false" outlineLevel="0" collapsed="false">
      <c r="A15536" s="3" t="s">
        <v>533</v>
      </c>
      <c r="C15536" s="34" t="n">
        <f aca="false">MIN(C15477,100*CHOOSE(C15467,C15524,C15525,C15526))</f>
        <v>32.5735727723409</v>
      </c>
    </row>
    <row r="15537" customFormat="false" ht="15" hidden="false" customHeight="false" outlineLevel="0" collapsed="false">
      <c r="A15537" s="3" t="s">
        <v>534</v>
      </c>
      <c r="C15537" s="20" t="n">
        <f aca="false">IF(C15397=1,C15472+Assumptions!$C$39,C15471)</f>
        <v>4</v>
      </c>
    </row>
    <row r="15538" customFormat="false" ht="15" hidden="false" customHeight="false" outlineLevel="0" collapsed="false">
      <c r="A15538" s="23" t="s">
        <v>535</v>
      </c>
      <c r="B15538" s="24"/>
      <c r="C15538" s="24"/>
      <c r="D15538" s="24"/>
      <c r="E15538" s="24"/>
      <c r="F15538" s="24"/>
      <c r="G15538" s="24"/>
      <c r="H15538" s="24"/>
      <c r="I15538" s="24"/>
      <c r="J15538" s="24"/>
      <c r="K15538" s="24"/>
    </row>
    <row r="15539" customFormat="false" ht="15" hidden="false" customHeight="false" outlineLevel="0" collapsed="false">
      <c r="A15539" s="3" t="s">
        <v>536</v>
      </c>
      <c r="C15539" s="20" t="n">
        <f aca="false">COLUMN()-COLUMN($C$1)</f>
        <v>0</v>
      </c>
      <c r="D15539" s="20" t="n">
        <f aca="false">COLUMN()-COLUMN($C$1)</f>
        <v>1</v>
      </c>
      <c r="E15539" s="20" t="n">
        <f aca="false">COLUMN()-COLUMN($C$1)</f>
        <v>2</v>
      </c>
      <c r="F15539" s="20" t="n">
        <f aca="false">COLUMN()-COLUMN($C$1)</f>
        <v>3</v>
      </c>
      <c r="G15539" s="20" t="n">
        <f aca="false">COLUMN()-COLUMN($C$1)</f>
        <v>4</v>
      </c>
      <c r="H15539" s="20" t="n">
        <f aca="false">COLUMN()-COLUMN($C$1)</f>
        <v>5</v>
      </c>
      <c r="I15539" s="20" t="n">
        <f aca="false">COLUMN()-COLUMN($C$1)</f>
        <v>6</v>
      </c>
    </row>
    <row r="15540" customFormat="false" ht="15" hidden="false" customHeight="false" outlineLevel="0" collapsed="false">
      <c r="A15540" s="3" t="s">
        <v>537</v>
      </c>
      <c r="D15540" s="31" t="n">
        <f aca="false">CHOOSE($C$15467,G15280,G15293,G15306)</f>
        <v>0.105</v>
      </c>
      <c r="E15540" s="31" t="n">
        <f aca="false">CHOOSE($C$15467,H15280,H15293,H15306)</f>
        <v>0.105</v>
      </c>
      <c r="F15540" s="31" t="n">
        <f aca="false">CHOOSE($C$15467,I15280,I15293,I15306)</f>
        <v>0.105</v>
      </c>
      <c r="G15540" s="31" t="n">
        <f aca="false">CHOOSE($C$15467,J15280,J15293,J15306)</f>
        <v>0.105</v>
      </c>
      <c r="H15540" s="31" t="n">
        <f aca="false">CHOOSE($C$15467,K15280,K15293,K15306)</f>
        <v>0.105</v>
      </c>
    </row>
    <row r="15541" customFormat="false" ht="15" hidden="false" customHeight="false" outlineLevel="0" collapsed="false">
      <c r="A15541" s="3" t="s">
        <v>538</v>
      </c>
      <c r="D15541" s="25" t="n">
        <f aca="false">IF(D15539&lt;=$C$15476,$C$15468*D15540,0)</f>
        <v>10.5</v>
      </c>
      <c r="E15541" s="25" t="n">
        <f aca="false">IF(E15539&lt;=$C$15476,$C$15468*E15540,0)</f>
        <v>10.5</v>
      </c>
      <c r="F15541" s="25" t="n">
        <f aca="false">IF(F15539&lt;=$C$15476,$C$15468*F15540,0)</f>
        <v>10.5</v>
      </c>
      <c r="G15541" s="25" t="n">
        <f aca="false">IF(G15539&lt;=$C$15476,$C$15468*G15540,0)</f>
        <v>0</v>
      </c>
      <c r="H15541" s="25" t="n">
        <f aca="false">IF(H15539&lt;=$C$15476,$C$15468*H15540,0)</f>
        <v>0</v>
      </c>
    </row>
    <row r="15542" customFormat="false" ht="15" hidden="false" customHeight="false" outlineLevel="0" collapsed="false">
      <c r="A15542" s="3" t="s">
        <v>539</v>
      </c>
      <c r="D15542" s="25" t="n">
        <f aca="false">IF(AND($C$15397=0,D15539=$C$15471),$C$15468*$C$15536/100,0)+IF(AND($C$15397=1,D15539=$C$15537),$C$15474,0)</f>
        <v>0</v>
      </c>
      <c r="E15542" s="25" t="n">
        <f aca="false">IF(AND($C$15397=0,E15539=$C$15471),$C$15468*$C$15536/100,0)+IF(AND($C$15397=1,E15539=$C$15537),$C$15474,0)</f>
        <v>0</v>
      </c>
      <c r="F15542" s="25" t="n">
        <f aca="false">IF(AND($C$15397=0,F15539=$C$15471),$C$15468*$C$15536/100,0)+IF(AND($C$15397=1,F15539=$C$15537),$C$15474,0)</f>
        <v>0</v>
      </c>
      <c r="G15542" s="25" t="n">
        <f aca="false">IF(AND($C$15397=0,G15539=$C$15471),$C$15468*$C$15536/100,0)+IF(AND($C$15397=1,G15539=$C$15537),$C$15474,0)</f>
        <v>34.945728090226</v>
      </c>
      <c r="H15542" s="25" t="n">
        <f aca="false">IF(AND($C$15397=0,H15539=$C$15471),$C$15468*$C$15536/100,0)+IF(AND($C$15397=1,H15539=$C$15537),$C$15474,0)</f>
        <v>0</v>
      </c>
      <c r="I15542" s="25" t="n">
        <f aca="false">IF(AND($C$15397=0,I15539=$C$15471),$C$15468*$C$15536/100,0)+IF(AND($C$15397=1,I15539=$C$15537),$C$15474,0)</f>
        <v>0</v>
      </c>
    </row>
    <row r="15543" customFormat="false" ht="15" hidden="false" customHeight="false" outlineLevel="0" collapsed="false">
      <c r="A15543" s="2" t="s">
        <v>540</v>
      </c>
      <c r="C15543" s="16" t="n">
        <f aca="false">-$C$15470</f>
        <v>-95</v>
      </c>
      <c r="D15543" s="16" t="n">
        <f aca="false">D15541+D15542</f>
        <v>10.5</v>
      </c>
      <c r="E15543" s="16" t="n">
        <f aca="false">E15541+E15542</f>
        <v>10.5</v>
      </c>
      <c r="F15543" s="16" t="n">
        <f aca="false">F15541+F15542</f>
        <v>10.5</v>
      </c>
      <c r="G15543" s="16" t="n">
        <f aca="false">G15541+G15542</f>
        <v>34.945728090226</v>
      </c>
      <c r="H15543" s="16" t="n">
        <f aca="false">H15541+H15542</f>
        <v>0</v>
      </c>
      <c r="I15543" s="16" t="n">
        <f aca="false">I15541+I15542</f>
        <v>0</v>
      </c>
    </row>
    <row r="15544" customFormat="false" ht="15" hidden="false" customHeight="false" outlineLevel="0" collapsed="false">
      <c r="A15544" s="3" t="s">
        <v>541</v>
      </c>
      <c r="C15544" s="25" t="n">
        <f aca="false">SUM($C$15541:$I$15541)</f>
        <v>31.5</v>
      </c>
    </row>
    <row r="15545" customFormat="false" ht="15" hidden="false" customHeight="false" outlineLevel="0" collapsed="false">
      <c r="A15545" s="3" t="s">
        <v>542</v>
      </c>
      <c r="C15545" s="25" t="n">
        <f aca="false">SUM($C$15542:$I$15542)</f>
        <v>34.945728090226</v>
      </c>
    </row>
    <row r="15546" customFormat="false" ht="15" hidden="false" customHeight="false" outlineLevel="0" collapsed="false">
      <c r="A15546" s="3" t="s">
        <v>543</v>
      </c>
      <c r="C15546" s="25" t="n">
        <f aca="false">C15544+C15545</f>
        <v>66.445728090226</v>
      </c>
    </row>
    <row r="15547" customFormat="false" ht="15" hidden="false" customHeight="false" outlineLevel="0" collapsed="false">
      <c r="A15547" s="3" t="s">
        <v>544</v>
      </c>
      <c r="C15547" s="25" t="n">
        <f aca="false">C15545-C15468*C15469/100</f>
        <v>-60.054271909774</v>
      </c>
    </row>
    <row r="15548" customFormat="false" ht="15" hidden="false" customHeight="false" outlineLevel="0" collapsed="false">
      <c r="A15548" s="3" t="s">
        <v>545</v>
      </c>
      <c r="C15548" s="25" t="n">
        <f aca="false">C15546-C15470</f>
        <v>-28.554271909774</v>
      </c>
    </row>
    <row r="15549" customFormat="false" ht="15" hidden="false" customHeight="false" outlineLevel="0" collapsed="false">
      <c r="A15549" s="2" t="s">
        <v>427</v>
      </c>
      <c r="C15549" s="44" t="n">
        <f aca="false">C15546/C15470</f>
        <v>0.699428716739221</v>
      </c>
    </row>
    <row r="15550" customFormat="false" ht="15" hidden="false" customHeight="false" outlineLevel="0" collapsed="false">
      <c r="A15550" s="2" t="s">
        <v>426</v>
      </c>
      <c r="C15550" s="42" t="n">
        <f aca="false">IF(C15546&lt;=0,-1,IFERROR(IRR($C$15543:$I$15543,MAX(-0.9,C15549^(1/C15537)-1)),IRR($C$15543:$I$15543,0.1)))</f>
        <v>-0.10811295237651</v>
      </c>
    </row>
    <row r="15551" customFormat="false" ht="15" hidden="false" customHeight="false" outlineLevel="0" collapsed="false">
      <c r="A15551" s="3" t="s">
        <v>546</v>
      </c>
      <c r="C15551" s="32" t="n">
        <f aca="false">MAX($G$15357:$K$15357)</f>
        <v>17.6426302993449</v>
      </c>
    </row>
    <row r="15552" customFormat="false" ht="15" hidden="false" customHeight="false" outlineLevel="0" collapsed="false">
      <c r="A15552" s="3" t="s">
        <v>547</v>
      </c>
      <c r="C15552" s="32" t="n">
        <f aca="false">MIN($G$15358:$K$15358)</f>
        <v>0.641091448545568</v>
      </c>
    </row>
    <row r="15553" customFormat="false" ht="15" hidden="false" customHeight="false" outlineLevel="0" collapsed="false">
      <c r="A15553" s="3" t="s">
        <v>548</v>
      </c>
      <c r="C15553" s="25" t="n">
        <f aca="false">SUM($G$15264:$K$15264)</f>
        <v>-362.406198194027</v>
      </c>
    </row>
    <row r="15557" customFormat="false" ht="15" hidden="false" customHeight="false" outlineLevel="0" collapsed="false">
      <c r="A15557" s="9" t="s">
        <v>1062</v>
      </c>
      <c r="B15557" s="10"/>
      <c r="C15557" s="10"/>
      <c r="D15557" s="10"/>
      <c r="E15557" s="10"/>
      <c r="F15557" s="10"/>
      <c r="G15557" s="10"/>
      <c r="H15557" s="10"/>
      <c r="I15557" s="10"/>
      <c r="J15557" s="10"/>
      <c r="K15557" s="10"/>
    </row>
    <row r="15558" customFormat="false" ht="15" hidden="false" customHeight="false" outlineLevel="0" collapsed="false">
      <c r="A15558" s="3" t="s">
        <v>1010</v>
      </c>
      <c r="C15558" s="11" t="n">
        <v>1</v>
      </c>
    </row>
    <row r="15559" customFormat="false" ht="15" hidden="false" customHeight="false" outlineLevel="0" collapsed="false">
      <c r="A15559" s="3" t="s">
        <v>1011</v>
      </c>
      <c r="C15559" s="18" t="n">
        <v>0</v>
      </c>
    </row>
    <row r="15560" customFormat="false" ht="15" hidden="false" customHeight="false" outlineLevel="0" collapsed="false">
      <c r="A15560" s="3" t="s">
        <v>1012</v>
      </c>
      <c r="C15560" s="18" t="n">
        <v>0</v>
      </c>
    </row>
    <row r="15561" customFormat="false" ht="15" hidden="false" customHeight="false" outlineLevel="0" collapsed="false">
      <c r="A15561" s="3" t="s">
        <v>1013</v>
      </c>
      <c r="C15561" s="18" t="n">
        <v>0</v>
      </c>
    </row>
    <row r="15562" customFormat="false" ht="15" hidden="false" customHeight="false" outlineLevel="0" collapsed="false">
      <c r="A15562" s="3" t="s">
        <v>1014</v>
      </c>
      <c r="C15562" s="33" t="n">
        <f aca="false">Sensitivities!$A$60</f>
        <v>-2</v>
      </c>
    </row>
    <row r="15564" customFormat="false" ht="15" hidden="false" customHeight="false" outlineLevel="0" collapsed="false">
      <c r="A15564" s="23" t="s">
        <v>281</v>
      </c>
      <c r="B15564" s="24"/>
      <c r="C15564" s="24"/>
      <c r="D15564" s="24"/>
      <c r="E15564" s="24"/>
      <c r="F15564" s="24"/>
      <c r="G15564" s="24"/>
      <c r="H15564" s="24"/>
      <c r="I15564" s="24"/>
      <c r="J15564" s="24"/>
      <c r="K15564" s="24"/>
    </row>
    <row r="15565" customFormat="false" ht="15" hidden="false" customHeight="false" outlineLevel="0" collapsed="false">
      <c r="A15565" s="3" t="s">
        <v>282</v>
      </c>
      <c r="F15565" s="27" t="n">
        <f aca="false">Assumptions!$C$6</f>
        <v>2026</v>
      </c>
      <c r="G15565" s="20" t="n">
        <f aca="false">F15565+1</f>
        <v>2027</v>
      </c>
      <c r="H15565" s="20" t="n">
        <f aca="false">G15565+1</f>
        <v>2028</v>
      </c>
      <c r="I15565" s="20" t="n">
        <f aca="false">H15565+1</f>
        <v>2029</v>
      </c>
      <c r="J15565" s="20" t="n">
        <f aca="false">I15565+1</f>
        <v>2030</v>
      </c>
      <c r="K15565" s="20" t="n">
        <f aca="false">J15565+1</f>
        <v>2031</v>
      </c>
    </row>
    <row r="15566" customFormat="false" ht="15" hidden="false" customHeight="false" outlineLevel="0" collapsed="false">
      <c r="A15566" s="3" t="s">
        <v>283</v>
      </c>
      <c r="G15566" s="20" t="n">
        <f aca="false">G15565-Assumptions!$C$6</f>
        <v>1</v>
      </c>
      <c r="H15566" s="20" t="n">
        <f aca="false">H15565-Assumptions!$C$6</f>
        <v>2</v>
      </c>
      <c r="I15566" s="20" t="n">
        <f aca="false">I15565-Assumptions!$C$6</f>
        <v>3</v>
      </c>
      <c r="J15566" s="20" t="n">
        <f aca="false">J15565-Assumptions!$C$6</f>
        <v>4</v>
      </c>
      <c r="K15566" s="20" t="n">
        <f aca="false">K15565-Assumptions!$C$6</f>
        <v>5</v>
      </c>
    </row>
    <row r="15567" customFormat="false" ht="15" hidden="false" customHeight="false" outlineLevel="0" collapsed="false">
      <c r="A15567" s="3" t="s">
        <v>165</v>
      </c>
      <c r="G15567" s="21" t="n">
        <f aca="false">CHOOSE($C$15558,Assumptions!$G$71,Assumptions!$G$90,Assumptions!$G$109)+$C$15559</f>
        <v>-0.045</v>
      </c>
      <c r="H15567" s="21" t="n">
        <f aca="false">CHOOSE($C$15558,Assumptions!$H$71,Assumptions!$H$90,Assumptions!$H$109)+$C$15559</f>
        <v>-0.04</v>
      </c>
      <c r="I15567" s="21" t="n">
        <f aca="false">CHOOSE($C$15558,Assumptions!$I$71,Assumptions!$I$90,Assumptions!$I$109)+$C$15559</f>
        <v>-0.035</v>
      </c>
      <c r="J15567" s="21" t="n">
        <f aca="false">CHOOSE($C$15558,Assumptions!$J$71,Assumptions!$J$90,Assumptions!$J$109)+$C$15559</f>
        <v>-0.03</v>
      </c>
      <c r="K15567" s="21" t="n">
        <f aca="false">CHOOSE($C$15558,Assumptions!$K$71,Assumptions!$K$90,Assumptions!$K$109)+$C$15559</f>
        <v>-0.03</v>
      </c>
    </row>
    <row r="15568" customFormat="false" ht="15" hidden="false" customHeight="false" outlineLevel="0" collapsed="false">
      <c r="A15568" s="3" t="s">
        <v>166</v>
      </c>
      <c r="G15568" s="21" t="n">
        <f aca="false">CHOOSE($C$15558,Assumptions!$G$72,Assumptions!$G$91,Assumptions!$G$110)</f>
        <v>0.483246670103635</v>
      </c>
      <c r="H15568" s="21" t="n">
        <f aca="false">CHOOSE($C$15558,Assumptions!$H$72,Assumptions!$H$91,Assumptions!$H$110)</f>
        <v>0.483246670103635</v>
      </c>
      <c r="I15568" s="21" t="n">
        <f aca="false">CHOOSE($C$15558,Assumptions!$I$72,Assumptions!$I$91,Assumptions!$I$110)</f>
        <v>0.481246670103635</v>
      </c>
      <c r="J15568" s="21" t="n">
        <f aca="false">CHOOSE($C$15558,Assumptions!$J$72,Assumptions!$J$91,Assumptions!$J$110)</f>
        <v>0.479246670103635</v>
      </c>
      <c r="K15568" s="21" t="n">
        <f aca="false">CHOOSE($C$15558,Assumptions!$K$72,Assumptions!$K$91,Assumptions!$K$110)</f>
        <v>0.477246670103635</v>
      </c>
    </row>
    <row r="15569" customFormat="false" ht="15" hidden="false" customHeight="false" outlineLevel="0" collapsed="false">
      <c r="A15569" s="3" t="s">
        <v>167</v>
      </c>
      <c r="G15569" s="21" t="n">
        <f aca="false">CHOOSE($C$15558,Assumptions!$G$73,Assumptions!$G$92,Assumptions!$G$111)+$C$15560</f>
        <v>0.14</v>
      </c>
      <c r="H15569" s="21" t="n">
        <f aca="false">CHOOSE($C$15558,Assumptions!$H$73,Assumptions!$H$92,Assumptions!$H$111)+$C$15560</f>
        <v>0.14</v>
      </c>
      <c r="I15569" s="21" t="n">
        <f aca="false">CHOOSE($C$15558,Assumptions!$I$73,Assumptions!$I$92,Assumptions!$I$111)+$C$15560</f>
        <v>0.138</v>
      </c>
      <c r="J15569" s="21" t="n">
        <f aca="false">CHOOSE($C$15558,Assumptions!$J$73,Assumptions!$J$92,Assumptions!$J$111)+$C$15560</f>
        <v>0.136</v>
      </c>
      <c r="K15569" s="21" t="n">
        <f aca="false">CHOOSE($C$15558,Assumptions!$K$73,Assumptions!$K$92,Assumptions!$K$111)+$C$15560</f>
        <v>0.134</v>
      </c>
    </row>
    <row r="15570" customFormat="false" ht="15" hidden="false" customHeight="false" outlineLevel="0" collapsed="false">
      <c r="A15570" s="23" t="s">
        <v>284</v>
      </c>
      <c r="B15570" s="24"/>
      <c r="C15570" s="24"/>
      <c r="D15570" s="24"/>
      <c r="E15570" s="24"/>
      <c r="F15570" s="24"/>
      <c r="G15570" s="24"/>
      <c r="H15570" s="24"/>
      <c r="I15570" s="24"/>
      <c r="J15570" s="24"/>
      <c r="K15570" s="24"/>
    </row>
    <row r="15571" customFormat="false" ht="15" hidden="false" customHeight="false" outlineLevel="0" collapsed="false">
      <c r="A15571" s="2" t="s">
        <v>256</v>
      </c>
      <c r="F15571" s="28" t="n">
        <f aca="false">'Historical Financials'!G23</f>
        <v>2246.166</v>
      </c>
      <c r="G15571" s="16" t="n">
        <f aca="false">F15571*(1+G15567)</f>
        <v>2145.08853</v>
      </c>
      <c r="H15571" s="16" t="n">
        <f aca="false">G15571*(1+H15567)</f>
        <v>2059.2849888</v>
      </c>
      <c r="I15571" s="16" t="n">
        <f aca="false">H15571*(1+I15567)</f>
        <v>1987.210014192</v>
      </c>
      <c r="J15571" s="16" t="n">
        <f aca="false">I15571*(1+J15567)</f>
        <v>1927.59371376624</v>
      </c>
      <c r="K15571" s="16" t="n">
        <f aca="false">J15571*(1+K15567)</f>
        <v>1869.76590235325</v>
      </c>
    </row>
    <row r="15572" customFormat="false" ht="15" hidden="false" customHeight="false" outlineLevel="0" collapsed="false">
      <c r="A15572" s="3" t="s">
        <v>257</v>
      </c>
      <c r="G15572" s="25" t="n">
        <f aca="false">G15571*(1-G15568)</f>
        <v>1108.4816408</v>
      </c>
      <c r="H15572" s="25" t="n">
        <f aca="false">H15571*(1-H15568)</f>
        <v>1064.142375168</v>
      </c>
      <c r="I15572" s="25" t="n">
        <f aca="false">I15571*(1-I15568)</f>
        <v>1030.8718120655</v>
      </c>
      <c r="J15572" s="25" t="n">
        <f aca="false">J15571*(1-J15568)</f>
        <v>1003.80084513107</v>
      </c>
      <c r="K15572" s="25" t="n">
        <f aca="false">K15571*(1-K15568)</f>
        <v>977.426351581845</v>
      </c>
    </row>
    <row r="15573" customFormat="false" ht="15" hidden="false" customHeight="false" outlineLevel="0" collapsed="false">
      <c r="A15573" s="2" t="s">
        <v>258</v>
      </c>
      <c r="G15573" s="16" t="n">
        <f aca="false">G15571-G15572</f>
        <v>1036.6068892</v>
      </c>
      <c r="H15573" s="16" t="n">
        <f aca="false">H15571-H15572</f>
        <v>995.142613632</v>
      </c>
      <c r="I15573" s="16" t="n">
        <f aca="false">I15571-I15572</f>
        <v>956.338202126496</v>
      </c>
      <c r="J15573" s="16" t="n">
        <f aca="false">J15571-J15572</f>
        <v>923.792868635169</v>
      </c>
      <c r="K15573" s="16" t="n">
        <f aca="false">K15571-K15572</f>
        <v>892.339550771407</v>
      </c>
    </row>
    <row r="15574" customFormat="false" ht="15" hidden="false" customHeight="false" outlineLevel="0" collapsed="false">
      <c r="A15574" s="3" t="s">
        <v>285</v>
      </c>
      <c r="G15574" s="25" t="n">
        <f aca="false">G15573-G15575</f>
        <v>736.294495</v>
      </c>
      <c r="H15574" s="25" t="n">
        <f aca="false">H15573-H15575</f>
        <v>706.8427152</v>
      </c>
      <c r="I15574" s="25" t="n">
        <f aca="false">I15573-I15575</f>
        <v>682.103220168</v>
      </c>
      <c r="J15574" s="25" t="n">
        <f aca="false">J15573-J15575</f>
        <v>661.64012356296</v>
      </c>
      <c r="K15574" s="25" t="n">
        <f aca="false">K15573-K15575</f>
        <v>641.790919856071</v>
      </c>
    </row>
    <row r="15575" customFormat="false" ht="15" hidden="false" customHeight="false" outlineLevel="0" collapsed="false">
      <c r="A15575" s="2" t="s">
        <v>286</v>
      </c>
      <c r="G15575" s="16" t="n">
        <f aca="false">G15571*G15569</f>
        <v>300.3123942</v>
      </c>
      <c r="H15575" s="16" t="n">
        <f aca="false">H15571*H15569</f>
        <v>288.299898432</v>
      </c>
      <c r="I15575" s="16" t="n">
        <f aca="false">I15571*I15569</f>
        <v>274.234981958496</v>
      </c>
      <c r="J15575" s="16" t="n">
        <f aca="false">J15571*J15569</f>
        <v>262.152745072209</v>
      </c>
      <c r="K15575" s="16" t="n">
        <f aca="false">K15571*K15569</f>
        <v>250.548630915336</v>
      </c>
    </row>
    <row r="15576" customFormat="false" ht="15" hidden="false" customHeight="false" outlineLevel="0" collapsed="false">
      <c r="A15576" s="3" t="s">
        <v>287</v>
      </c>
      <c r="G15576" s="25" t="n">
        <f aca="false">G15571*'Historical Financials'!G28/'Historical Financials'!G23</f>
        <v>81.45768</v>
      </c>
      <c r="H15576" s="25" t="n">
        <f aca="false">H15571*'Historical Financials'!G28/'Historical Financials'!G23</f>
        <v>78.1993728</v>
      </c>
      <c r="I15576" s="25" t="n">
        <f aca="false">I15571*'Historical Financials'!G28/'Historical Financials'!G23</f>
        <v>75.462394752</v>
      </c>
      <c r="J15576" s="25" t="n">
        <f aca="false">J15571*'Historical Financials'!G28/'Historical Financials'!G23</f>
        <v>73.19852290944</v>
      </c>
      <c r="K15576" s="25" t="n">
        <f aca="false">K15571*'Historical Financials'!G28/'Historical Financials'!G23</f>
        <v>71.0025672221568</v>
      </c>
    </row>
    <row r="15577" customFormat="false" ht="15" hidden="false" customHeight="false" outlineLevel="0" collapsed="false">
      <c r="A15577" s="3" t="s">
        <v>288</v>
      </c>
      <c r="G15577" s="25" t="n">
        <f aca="false">G15571*'Historical Financials'!G29/'Historical Financials'!G23</f>
        <v>23.25998</v>
      </c>
      <c r="H15577" s="25" t="n">
        <f aca="false">H15571*'Historical Financials'!G29/'Historical Financials'!G23</f>
        <v>22.3295808</v>
      </c>
      <c r="I15577" s="25" t="n">
        <f aca="false">I15571*'Historical Financials'!G29/'Historical Financials'!G23</f>
        <v>21.548045472</v>
      </c>
      <c r="J15577" s="25" t="n">
        <f aca="false">J15571*'Historical Financials'!G29/'Historical Financials'!G23</f>
        <v>20.90160410784</v>
      </c>
      <c r="K15577" s="25" t="n">
        <f aca="false">K15571*'Historical Financials'!G29/'Historical Financials'!G23</f>
        <v>20.2745559846048</v>
      </c>
    </row>
    <row r="15578" customFormat="false" ht="15" hidden="false" customHeight="false" outlineLevel="0" collapsed="false">
      <c r="A15578" s="2" t="s">
        <v>289</v>
      </c>
      <c r="G15578" s="16" t="n">
        <f aca="false">G15575-G15576-G15577</f>
        <v>195.5947342</v>
      </c>
      <c r="H15578" s="16" t="n">
        <f aca="false">H15575-H15576-H15577</f>
        <v>187.770944832</v>
      </c>
      <c r="I15578" s="16" t="n">
        <f aca="false">I15575-I15576-I15577</f>
        <v>177.224541734496</v>
      </c>
      <c r="J15578" s="16" t="n">
        <f aca="false">J15575-J15576-J15577</f>
        <v>168.052618054929</v>
      </c>
      <c r="K15578" s="16" t="n">
        <f aca="false">K15575-K15576-K15577</f>
        <v>159.271507708574</v>
      </c>
    </row>
    <row r="15579" customFormat="false" ht="15" hidden="false" customHeight="false" outlineLevel="0" collapsed="false">
      <c r="A15579" s="3" t="s">
        <v>290</v>
      </c>
      <c r="G15579" s="25" t="n">
        <f aca="false">G15605+G15618+G15631</f>
        <v>155.95467</v>
      </c>
      <c r="H15579" s="25" t="n">
        <f aca="false">H15605+H15618+H15631</f>
        <v>155.95467</v>
      </c>
      <c r="I15579" s="25" t="n">
        <f aca="false">I15605+I15618+I15631</f>
        <v>155.95467</v>
      </c>
      <c r="J15579" s="25" t="n">
        <f aca="false">J15605+J15618+J15631</f>
        <v>138.08529</v>
      </c>
      <c r="K15579" s="25" t="n">
        <f aca="false">K15605+K15618+K15631</f>
        <v>138.08529</v>
      </c>
    </row>
    <row r="15580" customFormat="false" ht="15" hidden="false" customHeight="false" outlineLevel="0" collapsed="false">
      <c r="A15580" s="3" t="s">
        <v>291</v>
      </c>
      <c r="G15580" s="25" t="n">
        <f aca="false">G15606+G15619+G15632</f>
        <v>0</v>
      </c>
      <c r="H15580" s="25" t="n">
        <f aca="false">H15606+H15619+H15632</f>
        <v>0</v>
      </c>
      <c r="I15580" s="25" t="n">
        <f aca="false">I15606+I15619+I15632</f>
        <v>0</v>
      </c>
      <c r="J15580" s="25" t="n">
        <f aca="false">J15606+J15619+J15632</f>
        <v>0</v>
      </c>
      <c r="K15580" s="25" t="n">
        <f aca="false">K15606+K15619+K15632</f>
        <v>0</v>
      </c>
    </row>
    <row r="15581" customFormat="false" ht="15" hidden="false" customHeight="false" outlineLevel="0" collapsed="false">
      <c r="A15581" s="3" t="s">
        <v>239</v>
      </c>
      <c r="G15581" s="25" t="n">
        <f aca="false">G15579+G15580</f>
        <v>155.95467</v>
      </c>
      <c r="H15581" s="25" t="n">
        <f aca="false">H15579+H15580</f>
        <v>155.95467</v>
      </c>
      <c r="I15581" s="25" t="n">
        <f aca="false">I15579+I15580</f>
        <v>155.95467</v>
      </c>
      <c r="J15581" s="25" t="n">
        <f aca="false">J15579+J15580</f>
        <v>138.08529</v>
      </c>
      <c r="K15581" s="25" t="n">
        <f aca="false">K15579+K15580</f>
        <v>138.08529</v>
      </c>
    </row>
    <row r="15582" customFormat="false" ht="15" hidden="false" customHeight="false" outlineLevel="0" collapsed="false">
      <c r="A15582" s="2" t="s">
        <v>264</v>
      </c>
      <c r="G15582" s="16" t="n">
        <f aca="false">G15578-G15581</f>
        <v>39.6400642</v>
      </c>
      <c r="H15582" s="16" t="n">
        <f aca="false">H15578-H15581</f>
        <v>31.816274832</v>
      </c>
      <c r="I15582" s="16" t="n">
        <f aca="false">I15578-I15581</f>
        <v>21.269871734496</v>
      </c>
      <c r="J15582" s="16" t="n">
        <f aca="false">J15578-J15581</f>
        <v>29.9673280549286</v>
      </c>
      <c r="K15582" s="16" t="n">
        <f aca="false">K15578-K15581</f>
        <v>21.1862177085742</v>
      </c>
    </row>
    <row r="15583" customFormat="false" ht="15" hidden="false" customHeight="false" outlineLevel="0" collapsed="false">
      <c r="A15583" s="3" t="s">
        <v>292</v>
      </c>
      <c r="G15583" s="25" t="n">
        <f aca="false">MAX(0,G15582)*Assumptions!$C$9</f>
        <v>9.91001604999999</v>
      </c>
      <c r="H15583" s="25" t="n">
        <f aca="false">MAX(0,H15582)*Assumptions!$C$9</f>
        <v>7.95406870799999</v>
      </c>
      <c r="I15583" s="25" t="n">
        <f aca="false">MAX(0,I15582)*Assumptions!$C$9</f>
        <v>5.317467933624</v>
      </c>
      <c r="J15583" s="25" t="n">
        <f aca="false">MAX(0,J15582)*Assumptions!$C$9</f>
        <v>7.49183201373215</v>
      </c>
      <c r="K15583" s="25" t="n">
        <f aca="false">MAX(0,K15582)*Assumptions!$C$9</f>
        <v>5.29655442714356</v>
      </c>
    </row>
    <row r="15584" customFormat="false" ht="15" hidden="false" customHeight="false" outlineLevel="0" collapsed="false">
      <c r="A15584" s="2" t="s">
        <v>293</v>
      </c>
      <c r="G15584" s="16" t="n">
        <f aca="false">G15582-G15583</f>
        <v>29.73004815</v>
      </c>
      <c r="H15584" s="16" t="n">
        <f aca="false">H15582-H15583</f>
        <v>23.862206124</v>
      </c>
      <c r="I15584" s="16" t="n">
        <f aca="false">I15582-I15583</f>
        <v>15.952403800872</v>
      </c>
      <c r="J15584" s="16" t="n">
        <f aca="false">J15582-J15583</f>
        <v>22.4754960411965</v>
      </c>
      <c r="K15584" s="16" t="n">
        <f aca="false">K15582-K15583</f>
        <v>15.8896632814307</v>
      </c>
    </row>
    <row r="15585" customFormat="false" ht="15" hidden="false" customHeight="false" outlineLevel="0" collapsed="false">
      <c r="A15585" s="23" t="s">
        <v>294</v>
      </c>
      <c r="B15585" s="24"/>
      <c r="C15585" s="24"/>
      <c r="D15585" s="24"/>
      <c r="E15585" s="24"/>
      <c r="F15585" s="24"/>
      <c r="G15585" s="24"/>
      <c r="H15585" s="24"/>
      <c r="I15585" s="24"/>
      <c r="J15585" s="24"/>
      <c r="K15585" s="24"/>
    </row>
    <row r="15586" customFormat="false" ht="15" hidden="false" customHeight="false" outlineLevel="0" collapsed="false">
      <c r="A15586" s="3" t="s">
        <v>169</v>
      </c>
      <c r="G15586" s="25" t="n">
        <f aca="false">G15571*CHOOSE($C$15558,Assumptions!$C$75,Assumptions!$C$94,Assumptions!$C$113)</f>
        <v>30.03123942</v>
      </c>
      <c r="H15586" s="25" t="n">
        <f aca="false">H15571*CHOOSE($C$15558,Assumptions!$C$75,Assumptions!$C$94,Assumptions!$C$113)</f>
        <v>28.8299898432</v>
      </c>
      <c r="I15586" s="25" t="n">
        <f aca="false">I15571*CHOOSE($C$15558,Assumptions!$C$75,Assumptions!$C$94,Assumptions!$C$113)</f>
        <v>27.820940198688</v>
      </c>
      <c r="J15586" s="25" t="n">
        <f aca="false">J15571*CHOOSE($C$15558,Assumptions!$C$75,Assumptions!$C$94,Assumptions!$C$113)</f>
        <v>26.9863119927274</v>
      </c>
      <c r="K15586" s="25" t="n">
        <f aca="false">K15571*CHOOSE($C$15558,Assumptions!$C$75,Assumptions!$C$94,Assumptions!$C$113)</f>
        <v>26.1767226329455</v>
      </c>
    </row>
    <row r="15587" customFormat="false" ht="15" hidden="false" customHeight="false" outlineLevel="0" collapsed="false">
      <c r="A15587" s="3" t="s">
        <v>295</v>
      </c>
      <c r="G15587" s="25" t="n">
        <f aca="false">CHOOSE($C$15558,Assumptions!$C$76,Assumptions!$C$95,Assumptions!$C$114)*(G15571-F15571)+CHOOSE($C$15558,Assumptions!$C$77,Assumptions!$C$96,Assumptions!$C$115)*G15571</f>
        <v>-21.4508853</v>
      </c>
      <c r="H15587" s="25" t="n">
        <f aca="false">CHOOSE($C$15558,Assumptions!$C$76,Assumptions!$C$95,Assumptions!$C$114)*(H15571-G15571)+CHOOSE($C$15558,Assumptions!$C$77,Assumptions!$C$96,Assumptions!$C$115)*H15571</f>
        <v>-20.592849888</v>
      </c>
      <c r="I15587" s="25" t="n">
        <f aca="false">CHOOSE($C$15558,Assumptions!$C$76,Assumptions!$C$95,Assumptions!$C$114)*(I15571-H15571)+CHOOSE($C$15558,Assumptions!$C$77,Assumptions!$C$96,Assumptions!$C$115)*I15571</f>
        <v>-19.87210014192</v>
      </c>
      <c r="J15587" s="25" t="n">
        <f aca="false">CHOOSE($C$15558,Assumptions!$C$76,Assumptions!$C$95,Assumptions!$C$114)*(J15571-I15571)+CHOOSE($C$15558,Assumptions!$C$77,Assumptions!$C$96,Assumptions!$C$115)*J15571</f>
        <v>-19.2759371376624</v>
      </c>
      <c r="K15587" s="25" t="n">
        <f aca="false">CHOOSE($C$15558,Assumptions!$C$76,Assumptions!$C$95,Assumptions!$C$114)*(K15571-J15571)+CHOOSE($C$15558,Assumptions!$C$77,Assumptions!$C$96,Assumptions!$C$115)*K15571</f>
        <v>-18.6976590235325</v>
      </c>
    </row>
    <row r="15588" customFormat="false" ht="15" hidden="false" customHeight="false" outlineLevel="0" collapsed="false">
      <c r="A15588" s="2" t="s">
        <v>296</v>
      </c>
      <c r="G15588" s="16" t="n">
        <f aca="false">G15584+G15576+G15577+G15580-G15586-G15587</f>
        <v>125.86735403</v>
      </c>
      <c r="H15588" s="16" t="n">
        <f aca="false">H15584+H15576+H15577+H15580-H15586-H15587</f>
        <v>116.1540197688</v>
      </c>
      <c r="I15588" s="16" t="n">
        <f aca="false">I15584+I15576+I15577+I15580-I15586-I15587</f>
        <v>105.014003968104</v>
      </c>
      <c r="J15588" s="16" t="n">
        <f aca="false">J15584+J15576+J15577+J15580-J15586-J15587</f>
        <v>108.865248203412</v>
      </c>
      <c r="K15588" s="16" t="n">
        <f aca="false">K15584+K15576+K15577+K15580-K15586-K15587</f>
        <v>99.6877228787792</v>
      </c>
    </row>
    <row r="15590" customFormat="false" ht="15" hidden="false" customHeight="false" outlineLevel="0" collapsed="false">
      <c r="A15590" s="23" t="s">
        <v>298</v>
      </c>
      <c r="B15590" s="24"/>
      <c r="C15590" s="24"/>
      <c r="D15590" s="24"/>
      <c r="E15590" s="24"/>
      <c r="F15590" s="24"/>
      <c r="G15590" s="24"/>
      <c r="H15590" s="24"/>
      <c r="I15590" s="24"/>
      <c r="J15590" s="24"/>
      <c r="K15590" s="24"/>
    </row>
    <row r="15591" customFormat="false" ht="15" hidden="false" customHeight="false" outlineLevel="0" collapsed="false">
      <c r="A15591" s="3" t="s">
        <v>299</v>
      </c>
      <c r="G15591" s="30" t="n">
        <f aca="false">Assumptions!$G$52</f>
        <v>0.039</v>
      </c>
      <c r="H15591" s="30" t="n">
        <f aca="false">Assumptions!$H$52</f>
        <v>0.0375</v>
      </c>
      <c r="I15591" s="30" t="n">
        <f aca="false">Assumptions!$I$52</f>
        <v>0.035</v>
      </c>
      <c r="J15591" s="30" t="n">
        <f aca="false">Assumptions!$J$52</f>
        <v>0.035</v>
      </c>
      <c r="K15591" s="30" t="n">
        <f aca="false">Assumptions!$K$52</f>
        <v>0.035</v>
      </c>
    </row>
    <row r="15592" customFormat="false" ht="15" hidden="false" customHeight="false" outlineLevel="0" collapsed="false">
      <c r="A15592" s="3" t="s">
        <v>300</v>
      </c>
      <c r="C15592" s="31" t="n">
        <f aca="false">CHOOSE($C$15558,Assumptions!$C$78,Assumptions!$C$97,Assumptions!$C$116)+$C$15561</f>
        <v>0</v>
      </c>
    </row>
    <row r="15593" customFormat="false" ht="15" hidden="false" customHeight="false" outlineLevel="0" collapsed="false">
      <c r="A15593" s="3" t="s">
        <v>301</v>
      </c>
      <c r="C15593" s="31" t="n">
        <f aca="false">CHOOSE($C$15558,Assumptions!$C$79,Assumptions!$C$98,Assumptions!$C$117)</f>
        <v>0.11</v>
      </c>
    </row>
    <row r="15594" customFormat="false" ht="15" hidden="false" customHeight="false" outlineLevel="0" collapsed="false">
      <c r="A15594" s="3" t="s">
        <v>302</v>
      </c>
      <c r="C15594" s="32" t="n">
        <f aca="false">CHOOSE($C$15558,Assumptions!$C$80,Assumptions!$C$99,Assumptions!$C$118)</f>
        <v>6</v>
      </c>
    </row>
    <row r="15595" customFormat="false" ht="15" hidden="false" customHeight="false" outlineLevel="0" collapsed="false">
      <c r="A15595" s="3" t="s">
        <v>303</v>
      </c>
      <c r="C15595" s="32" t="n">
        <f aca="false">CHOOSE($C$15558,Assumptions!$C$81,Assumptions!$C$100,Assumptions!$C$119)</f>
        <v>1.25</v>
      </c>
    </row>
    <row r="15596" customFormat="false" ht="15" hidden="false" customHeight="false" outlineLevel="0" collapsed="false">
      <c r="A15596" s="3" t="s">
        <v>304</v>
      </c>
      <c r="G15596" s="25" t="n">
        <f aca="false">G15601+G15614+G15627</f>
        <v>1735.554</v>
      </c>
      <c r="H15596" s="25" t="n">
        <f aca="false">H15601+H15614+H15627</f>
        <v>1735.554</v>
      </c>
      <c r="I15596" s="25" t="n">
        <f aca="false">I15601+I15614+I15627</f>
        <v>1735.554</v>
      </c>
      <c r="J15596" s="25" t="n">
        <f aca="false">J15601+J15614+J15627</f>
        <v>1315.098</v>
      </c>
      <c r="K15596" s="25" t="n">
        <f aca="false">K15601+K15614+K15627</f>
        <v>1315.098</v>
      </c>
    </row>
    <row r="15597" customFormat="false" ht="15" hidden="false" customHeight="false" outlineLevel="0" collapsed="false">
      <c r="A15597" s="3" t="s">
        <v>305</v>
      </c>
      <c r="G15597" s="25" t="n">
        <f aca="false">F15670</f>
        <v>463.996</v>
      </c>
      <c r="H15597" s="25" t="n">
        <f aca="false">G15670</f>
        <v>589.86335403</v>
      </c>
      <c r="I15597" s="25" t="n">
        <f aca="false">H15670</f>
        <v>706.0173737988</v>
      </c>
      <c r="J15597" s="25" t="n">
        <f aca="false">I15670</f>
        <v>390.575377766904</v>
      </c>
      <c r="K15597" s="25" t="n">
        <f aca="false">J15670</f>
        <v>499.440625970316</v>
      </c>
    </row>
    <row r="15598" customFormat="false" ht="15" hidden="false" customHeight="false" outlineLevel="0" collapsed="false">
      <c r="A15598" s="3" t="s">
        <v>306</v>
      </c>
      <c r="G15598" s="25" t="n">
        <f aca="false">G15601*IF(G15602=1,$C$15593,IF(Assumptions!$I$56=1,MAX(G15591,Assumptions!$G$56)+Assumptions!$F$56+$C$15592,Assumptions!$E$56))+G15614*IF(G15615=1,$C$15593,IF(Assumptions!$I$57=1,MAX(G15591,Assumptions!$G$57)+Assumptions!$F$57+$C$15592,Assumptions!$E$57))+G15627*IF(G15628=1,$C$15593,IF(Assumptions!$I$58=1,MAX(G15591,Assumptions!$G$58)+Assumptions!$F$58+$C$15592,Assumptions!$E$58))</f>
        <v>155.95467</v>
      </c>
      <c r="H15598" s="25" t="n">
        <f aca="false">H15601*IF(OR(H15602=1,G15748=1),$C$15593,IF(Assumptions!$I$56=1,MAX(H15591,Assumptions!$G$56)+Assumptions!$F$56+$C$15592,Assumptions!$E$56))+H15614*IF(OR(H15615=1,G15749=1),$C$15593,IF(Assumptions!$I$57=1,MAX(H15591,Assumptions!$G$57)+Assumptions!$F$57+$C$15592,Assumptions!$E$57))+H15627*IF(OR(H15628=1,G15750=1),$C$15593,IF(Assumptions!$I$58=1,MAX(H15591,Assumptions!$G$58)+Assumptions!$F$58+$C$15592,Assumptions!$E$58))</f>
        <v>155.95467</v>
      </c>
      <c r="I15598" s="25" t="n">
        <f aca="false">I15601*IF(OR(I15602=1,H15748=1),$C$15593,IF(Assumptions!$I$56=1,MAX(I15591,Assumptions!$G$56)+Assumptions!$F$56+$C$15592,Assumptions!$E$56))+I15614*IF(OR(I15615=1,H15749=1),$C$15593,IF(Assumptions!$I$57=1,MAX(I15591,Assumptions!$G$57)+Assumptions!$F$57+$C$15592,Assumptions!$E$57))+I15627*IF(OR(I15628=1,H15750=1),$C$15593,IF(Assumptions!$I$58=1,MAX(I15591,Assumptions!$G$58)+Assumptions!$F$58+$C$15592,Assumptions!$E$58))</f>
        <v>184.33545</v>
      </c>
      <c r="J15598" s="25" t="n">
        <f aca="false">J15601*IF(OR(J15602=1,I15748=1),$C$15593,IF(Assumptions!$I$56=1,MAX(J15591,Assumptions!$G$56)+Assumptions!$F$56+$C$15592,Assumptions!$E$56))+J15614*IF(OR(J15615=1,I15749=1),$C$15593,IF(Assumptions!$I$57=1,MAX(J15591,Assumptions!$G$57)+Assumptions!$F$57+$C$15592,Assumptions!$E$57))+J15627*IF(OR(J15628=1,I15750=1),$C$15593,IF(Assumptions!$I$58=1,MAX(J15591,Assumptions!$G$58)+Assumptions!$F$58+$C$15592,Assumptions!$E$58))</f>
        <v>138.08529</v>
      </c>
      <c r="K15598" s="25" t="n">
        <f aca="false">K15601*IF(OR(K15602=1,J15748=1),$C$15593,IF(Assumptions!$I$56=1,MAX(K15591,Assumptions!$G$56)+Assumptions!$F$56+$C$15592,Assumptions!$E$56))+K15614*IF(OR(K15615=1,J15749=1),$C$15593,IF(Assumptions!$I$57=1,MAX(K15591,Assumptions!$G$57)+Assumptions!$F$57+$C$15592,Assumptions!$E$57))+K15627*IF(OR(K15628=1,J15750=1),$C$15593,IF(Assumptions!$I$58=1,MAX(K15591,Assumptions!$G$58)+Assumptions!$F$58+$C$15592,Assumptions!$E$58))</f>
        <v>138.08529</v>
      </c>
    </row>
    <row r="15599" customFormat="false" ht="15" hidden="false" customHeight="false" outlineLevel="0" collapsed="false">
      <c r="A15599" s="3" t="s">
        <v>307</v>
      </c>
      <c r="G15599" s="20" t="n">
        <f aca="false">IF(G15575&lt;=0,0,IF(AND((G15596-G15597)/G15575&lt;=$C$15594,G15575/G15598&gt;=$C$15595),1,0))</f>
        <v>1</v>
      </c>
      <c r="H15599" s="20" t="n">
        <f aca="false">IF(H15575&lt;=0,0,IF(AND((H15596-H15597)/H15575&lt;=$C$15594,H15575/H15598&gt;=$C$15595),1,0))</f>
        <v>1</v>
      </c>
      <c r="I15599" s="20" t="n">
        <f aca="false">IF(I15575&lt;=0,0,IF(AND((I15596-I15597)/I15575&lt;=$C$15594,I15575/I15598&gt;=$C$15595),1,0))</f>
        <v>1</v>
      </c>
      <c r="J15599" s="20" t="n">
        <f aca="false">IF(J15575&lt;=0,0,IF(AND((J15596-J15597)/J15575&lt;=$C$15594,J15575/J15598&gt;=$C$15595),1,0))</f>
        <v>1</v>
      </c>
      <c r="K15599" s="20" t="n">
        <f aca="false">IF(K15575&lt;=0,0,IF(AND((K15596-K15597)/K15575&lt;=$C$15594,K15575/K15598&gt;=$C$15595),1,0))</f>
        <v>1</v>
      </c>
    </row>
    <row r="15600" customFormat="false" ht="15" hidden="false" customHeight="false" outlineLevel="0" collapsed="false">
      <c r="A15600" s="23" t="s">
        <v>308</v>
      </c>
      <c r="B15600" s="24"/>
      <c r="C15600" s="24"/>
      <c r="D15600" s="24"/>
      <c r="E15600" s="24"/>
      <c r="F15600" s="24"/>
      <c r="G15600" s="24"/>
      <c r="H15600" s="24"/>
      <c r="I15600" s="24"/>
      <c r="J15600" s="24"/>
      <c r="K15600" s="24"/>
    </row>
    <row r="15601" customFormat="false" ht="15" hidden="false" customHeight="false" outlineLevel="0" collapsed="false">
      <c r="A15601" s="3" t="s">
        <v>309</v>
      </c>
      <c r="G15601" s="25" t="n">
        <f aca="false">F15612</f>
        <v>1315.098</v>
      </c>
      <c r="H15601" s="25" t="n">
        <f aca="false">G15612</f>
        <v>1315.098</v>
      </c>
      <c r="I15601" s="25" t="n">
        <f aca="false">H15612</f>
        <v>1315.098</v>
      </c>
      <c r="J15601" s="25" t="n">
        <f aca="false">I15612</f>
        <v>1315.098</v>
      </c>
      <c r="K15601" s="25" t="n">
        <f aca="false">J15612</f>
        <v>1315.098</v>
      </c>
    </row>
    <row r="15602" customFormat="false" ht="15" hidden="false" customHeight="false" outlineLevel="0" collapsed="false">
      <c r="A15602" s="3" t="s">
        <v>310</v>
      </c>
      <c r="G15602" s="20" t="n">
        <f aca="false">IF(G15565=Assumptions!$K$56,1,0)</f>
        <v>0</v>
      </c>
      <c r="H15602" s="20" t="n">
        <f aca="false">IF(H15565=Assumptions!$K$56,1,0)</f>
        <v>0</v>
      </c>
      <c r="I15602" s="20" t="n">
        <f aca="false">IF(I15565=Assumptions!$K$56,1,0)</f>
        <v>0</v>
      </c>
      <c r="J15602" s="20" t="n">
        <f aca="false">IF(J15565=Assumptions!$K$56,1,0)</f>
        <v>0</v>
      </c>
      <c r="K15602" s="20" t="n">
        <f aca="false">IF(K15565=Assumptions!$K$56,1,0)</f>
        <v>0</v>
      </c>
    </row>
    <row r="15604" customFormat="false" ht="15" hidden="false" customHeight="false" outlineLevel="0" collapsed="false">
      <c r="A15604" s="3" t="s">
        <v>311</v>
      </c>
      <c r="G15604" s="31" t="n">
        <f aca="false">IF(Assumptions!$I$56=1,MAX(G15591,Assumptions!$G$56)+Assumptions!$F$56+$C$15592,Assumptions!$E$56)</f>
        <v>0.105</v>
      </c>
      <c r="H15604" s="31" t="n">
        <f aca="false">IF(G15748=1,$C$15593,IF(Assumptions!$I$56=1,MAX(H15591,Assumptions!$G$56)+Assumptions!$F$56+$C$15592,Assumptions!$E$56))</f>
        <v>0.105</v>
      </c>
      <c r="I15604" s="31" t="n">
        <f aca="false">IF(H15748=1,$C$15593,IF(Assumptions!$I$56=1,MAX(I15591,Assumptions!$G$56)+Assumptions!$F$56+$C$15592,Assumptions!$E$56))</f>
        <v>0.105</v>
      </c>
      <c r="J15604" s="31" t="n">
        <f aca="false">IF(I15748=1,$C$15593,IF(Assumptions!$I$56=1,MAX(J15591,Assumptions!$G$56)+Assumptions!$F$56+$C$15592,Assumptions!$E$56))</f>
        <v>0.105</v>
      </c>
      <c r="K15604" s="31" t="n">
        <f aca="false">IF(J15748=1,$C$15593,IF(Assumptions!$I$56=1,MAX(K15591,Assumptions!$G$56)+Assumptions!$F$56+$C$15592,Assumptions!$E$56))</f>
        <v>0.105</v>
      </c>
    </row>
    <row r="15605" customFormat="false" ht="15" hidden="false" customHeight="false" outlineLevel="0" collapsed="false">
      <c r="A15605" s="3" t="s">
        <v>312</v>
      </c>
      <c r="G15605" s="25" t="n">
        <f aca="false">G15601*G15604</f>
        <v>138.08529</v>
      </c>
      <c r="H15605" s="25" t="n">
        <f aca="false">H15601*H15604</f>
        <v>138.08529</v>
      </c>
      <c r="I15605" s="25" t="n">
        <f aca="false">I15601*I15604</f>
        <v>138.08529</v>
      </c>
      <c r="J15605" s="25" t="n">
        <f aca="false">J15601*J15604</f>
        <v>138.08529</v>
      </c>
      <c r="K15605" s="25" t="n">
        <f aca="false">K15601*K15604</f>
        <v>138.08529</v>
      </c>
    </row>
    <row r="15606" customFormat="false" ht="15" hidden="false" customHeight="false" outlineLevel="0" collapsed="false">
      <c r="A15606" s="3" t="s">
        <v>313</v>
      </c>
      <c r="G15606" s="25" t="n">
        <f aca="false">G15601*Assumptions!$H$56</f>
        <v>0</v>
      </c>
      <c r="H15606" s="25" t="n">
        <f aca="false">H15601*Assumptions!$H$56</f>
        <v>0</v>
      </c>
      <c r="I15606" s="25" t="n">
        <f aca="false">I15601*Assumptions!$H$56</f>
        <v>0</v>
      </c>
      <c r="J15606" s="25" t="n">
        <f aca="false">J15601*Assumptions!$H$56</f>
        <v>0</v>
      </c>
      <c r="K15606" s="25" t="n">
        <f aca="false">K15601*Assumptions!$H$56</f>
        <v>0</v>
      </c>
    </row>
    <row r="15607" customFormat="false" ht="15" hidden="false" customHeight="false" outlineLevel="0" collapsed="false">
      <c r="A15607" s="3" t="s">
        <v>314</v>
      </c>
      <c r="G15607" s="25" t="n">
        <f aca="false">MIN(G15601,Assumptions!$L$56*Assumptions!$C$56)</f>
        <v>0</v>
      </c>
      <c r="H15607" s="25" t="n">
        <f aca="false">MIN(H15601,Assumptions!$L$56*Assumptions!$C$56)</f>
        <v>0</v>
      </c>
      <c r="I15607" s="25" t="n">
        <f aca="false">MIN(I15601,Assumptions!$L$56*Assumptions!$C$56)</f>
        <v>0</v>
      </c>
      <c r="J15607" s="25" t="n">
        <f aca="false">MIN(J15601,Assumptions!$L$56*Assumptions!$C$56)</f>
        <v>0</v>
      </c>
      <c r="K15607" s="25" t="n">
        <f aca="false">MIN(K15601,Assumptions!$L$56*Assumptions!$C$56)</f>
        <v>0</v>
      </c>
    </row>
    <row r="15608" customFormat="false" ht="15" hidden="false" customHeight="false" outlineLevel="0" collapsed="false">
      <c r="A15608" s="3" t="s">
        <v>315</v>
      </c>
      <c r="G15608" s="25" t="n">
        <f aca="false">IF(AND(Assumptions!$P$56=1,G15565&lt;Assumptions!$K$56),MIN(MAX(0,-G15662),MAX(0,Assumptions!$D$56-G15601)),0)</f>
        <v>0</v>
      </c>
      <c r="H15608" s="25" t="n">
        <f aca="false">IF(AND(Assumptions!$P$56=1,OR(H15565&lt;Assumptions!$K$56,G15748=1)),MIN(MAX(0,-H15662),MAX(0,Assumptions!$D$56-H15601)),0)</f>
        <v>0</v>
      </c>
      <c r="I15608" s="25" t="n">
        <f aca="false">IF(AND(Assumptions!$P$56=1,OR(I15565&lt;Assumptions!$K$56,H15748=1)),MIN(MAX(0,-I15662),MAX(0,Assumptions!$D$56-I15601)),0)</f>
        <v>0</v>
      </c>
      <c r="J15608" s="25" t="n">
        <f aca="false">IF(AND(Assumptions!$P$56=1,OR(J15565&lt;Assumptions!$K$56,I15748=1)),MIN(MAX(0,-J15662),MAX(0,Assumptions!$D$56-J15601)),0)</f>
        <v>0</v>
      </c>
      <c r="K15608" s="25" t="n">
        <f aca="false">IF(AND(Assumptions!$P$56=1,OR(K15565&lt;Assumptions!$K$56,J15748=1)),MIN(MAX(0,-K15662),MAX(0,Assumptions!$D$56-K15601)),0)</f>
        <v>0</v>
      </c>
    </row>
    <row r="15609" customFormat="false" ht="15" hidden="false" customHeight="false" outlineLevel="0" collapsed="false">
      <c r="A15609" s="3" t="s">
        <v>316</v>
      </c>
      <c r="G15609" s="25" t="n">
        <f aca="false">G15602*MIN(G15601-G15607+G15606,MAX(0,G15664-Assumptions!$C$12*G15599))</f>
        <v>0</v>
      </c>
      <c r="H15609" s="25" t="n">
        <f aca="false">H15602*MIN(H15601-H15607+H15606,MAX(0,H15664-Assumptions!$C$12*H15599))</f>
        <v>0</v>
      </c>
      <c r="I15609" s="25" t="n">
        <f aca="false">I15602*MIN(I15601-I15607+I15606,MAX(0,I15664-Assumptions!$C$12*I15599))</f>
        <v>0</v>
      </c>
      <c r="J15609" s="25" t="n">
        <f aca="false">J15602*MIN(J15601-J15607+J15606,MAX(0,J15664-Assumptions!$C$12*J15599))</f>
        <v>0</v>
      </c>
      <c r="K15609" s="25" t="n">
        <f aca="false">K15602*MIN(K15601-K15607+K15606,MAX(0,K15664-Assumptions!$C$12*K15599))</f>
        <v>0</v>
      </c>
    </row>
    <row r="15610" customFormat="false" ht="15" hidden="false" customHeight="false" outlineLevel="0" collapsed="false">
      <c r="A15610" s="3" t="s">
        <v>317</v>
      </c>
      <c r="G15610" s="25" t="n">
        <f aca="false">Assumptions!$N$56*MIN(G15601+G15608+G15606-G15607-G15609,MAX(0,G15668))</f>
        <v>0</v>
      </c>
      <c r="H15610" s="25" t="n">
        <f aca="false">Assumptions!$N$56*MIN(H15601+H15608+H15606-H15607-H15609,MAX(0,H15668))</f>
        <v>0</v>
      </c>
      <c r="I15610" s="25" t="n">
        <f aca="false">Assumptions!$N$56*MIN(I15601+I15608+I15606-I15607-I15609,MAX(0,I15668))</f>
        <v>0</v>
      </c>
      <c r="J15610" s="25" t="n">
        <f aca="false">Assumptions!$N$56*MIN(J15601+J15608+J15606-J15607-J15609,MAX(0,J15668))</f>
        <v>0</v>
      </c>
      <c r="K15610" s="25" t="n">
        <f aca="false">Assumptions!$N$56*MIN(K15601+K15608+K15606-K15607-K15609,MAX(0,K15668))</f>
        <v>0</v>
      </c>
    </row>
    <row r="15611" customFormat="false" ht="15" hidden="false" customHeight="false" outlineLevel="0" collapsed="false">
      <c r="A15611" s="3" t="s">
        <v>318</v>
      </c>
      <c r="G15611" s="25" t="n">
        <f aca="false">G15602*(1-G15599)*(G15601-G15607+G15606-G15609)</f>
        <v>0</v>
      </c>
      <c r="H15611" s="25" t="n">
        <f aca="false">H15602*(1-H15599)*(H15601-H15607+H15606-H15609)</f>
        <v>0</v>
      </c>
      <c r="I15611" s="25" t="n">
        <f aca="false">I15602*(1-I15599)*(I15601-I15607+I15606-I15609)</f>
        <v>0</v>
      </c>
      <c r="J15611" s="25" t="n">
        <f aca="false">J15602*(1-J15599)*(J15601-J15607+J15606-J15609)</f>
        <v>0</v>
      </c>
      <c r="K15611" s="25" t="n">
        <f aca="false">K15602*(1-K15599)*(K15601-K15607+K15606-K15609)</f>
        <v>0</v>
      </c>
    </row>
    <row r="15612" customFormat="false" ht="15" hidden="false" customHeight="false" outlineLevel="0" collapsed="false">
      <c r="A15612" s="2" t="s">
        <v>319</v>
      </c>
      <c r="F15612" s="28" t="n">
        <f aca="false">Assumptions!$C$56</f>
        <v>1315.098</v>
      </c>
      <c r="G15612" s="16" t="n">
        <f aca="false">G15601+G15608+G15606-G15607-G15609-G15610</f>
        <v>1315.098</v>
      </c>
      <c r="H15612" s="16" t="n">
        <f aca="false">H15601+H15608+H15606-H15607-H15609-H15610</f>
        <v>1315.098</v>
      </c>
      <c r="I15612" s="16" t="n">
        <f aca="false">I15601+I15608+I15606-I15607-I15609-I15610</f>
        <v>1315.098</v>
      </c>
      <c r="J15612" s="16" t="n">
        <f aca="false">J15601+J15608+J15606-J15607-J15609-J15610</f>
        <v>1315.098</v>
      </c>
      <c r="K15612" s="16" t="n">
        <f aca="false">K15601+K15608+K15606-K15607-K15609-K15610</f>
        <v>1315.098</v>
      </c>
    </row>
    <row r="15613" customFormat="false" ht="15" hidden="false" customHeight="false" outlineLevel="0" collapsed="false">
      <c r="A15613" s="23" t="s">
        <v>320</v>
      </c>
      <c r="B15613" s="24"/>
      <c r="C15613" s="24"/>
      <c r="D15613" s="24"/>
      <c r="E15613" s="24"/>
      <c r="F15613" s="24"/>
      <c r="G15613" s="24"/>
      <c r="H15613" s="24"/>
      <c r="I15613" s="24"/>
      <c r="J15613" s="24"/>
      <c r="K15613" s="24"/>
    </row>
    <row r="15614" customFormat="false" ht="15" hidden="false" customHeight="false" outlineLevel="0" collapsed="false">
      <c r="A15614" s="3" t="s">
        <v>309</v>
      </c>
      <c r="G15614" s="25" t="n">
        <f aca="false">F15625</f>
        <v>276.706</v>
      </c>
      <c r="H15614" s="25" t="n">
        <f aca="false">G15625</f>
        <v>276.706</v>
      </c>
      <c r="I15614" s="25" t="n">
        <f aca="false">H15625</f>
        <v>276.706</v>
      </c>
      <c r="J15614" s="25" t="n">
        <f aca="false">I15625</f>
        <v>0</v>
      </c>
      <c r="K15614" s="25" t="n">
        <f aca="false">J15625</f>
        <v>0</v>
      </c>
    </row>
    <row r="15615" customFormat="false" ht="15" hidden="false" customHeight="false" outlineLevel="0" collapsed="false">
      <c r="A15615" s="3" t="s">
        <v>310</v>
      </c>
      <c r="G15615" s="20" t="n">
        <f aca="false">IF(G15565=Assumptions!$K$57,1,0)</f>
        <v>0</v>
      </c>
      <c r="H15615" s="20" t="n">
        <f aca="false">IF(H15565=Assumptions!$K$57,1,0)</f>
        <v>0</v>
      </c>
      <c r="I15615" s="20" t="n">
        <f aca="false">IF(I15565=Assumptions!$K$57,1,0)</f>
        <v>1</v>
      </c>
      <c r="J15615" s="20" t="n">
        <f aca="false">IF(J15565=Assumptions!$K$57,1,0)</f>
        <v>0</v>
      </c>
      <c r="K15615" s="20" t="n">
        <f aca="false">IF(K15565=Assumptions!$K$57,1,0)</f>
        <v>0</v>
      </c>
    </row>
    <row r="15617" customFormat="false" ht="15" hidden="false" customHeight="false" outlineLevel="0" collapsed="false">
      <c r="A15617" s="3" t="s">
        <v>311</v>
      </c>
      <c r="G15617" s="31" t="n">
        <f aca="false">IF(Assumptions!$I$57=1,MAX(G15591,Assumptions!$G$57)+Assumptions!$F$57+$C$15592,Assumptions!$E$57)</f>
        <v>0.0425</v>
      </c>
      <c r="H15617" s="31" t="n">
        <f aca="false">IF(G15749=1,$C$15593,IF(Assumptions!$I$57=1,MAX(H15591,Assumptions!$G$57)+Assumptions!$F$57+$C$15592,Assumptions!$E$57))</f>
        <v>0.0425</v>
      </c>
      <c r="I15617" s="31" t="n">
        <f aca="false">IF(H15749=1,$C$15593,IF(Assumptions!$I$57=1,MAX(I15591,Assumptions!$G$57)+Assumptions!$F$57+$C$15592,Assumptions!$E$57))</f>
        <v>0.0425</v>
      </c>
      <c r="J15617" s="31" t="n">
        <f aca="false">IF(I15749=1,$C$15593,IF(Assumptions!$I$57=1,MAX(J15591,Assumptions!$G$57)+Assumptions!$F$57+$C$15592,Assumptions!$E$57))</f>
        <v>0.11</v>
      </c>
      <c r="K15617" s="31" t="n">
        <f aca="false">IF(J15749=1,$C$15593,IF(Assumptions!$I$57=1,MAX(K15591,Assumptions!$G$57)+Assumptions!$F$57+$C$15592,Assumptions!$E$57))</f>
        <v>0.11</v>
      </c>
    </row>
    <row r="15618" customFormat="false" ht="15" hidden="false" customHeight="false" outlineLevel="0" collapsed="false">
      <c r="A15618" s="3" t="s">
        <v>312</v>
      </c>
      <c r="G15618" s="25" t="n">
        <f aca="false">G15614*G15617</f>
        <v>11.760005</v>
      </c>
      <c r="H15618" s="25" t="n">
        <f aca="false">H15614*H15617</f>
        <v>11.760005</v>
      </c>
      <c r="I15618" s="25" t="n">
        <f aca="false">I15614*I15617</f>
        <v>11.760005</v>
      </c>
      <c r="J15618" s="25" t="n">
        <f aca="false">J15614*J15617</f>
        <v>0</v>
      </c>
      <c r="K15618" s="25" t="n">
        <f aca="false">K15614*K15617</f>
        <v>0</v>
      </c>
    </row>
    <row r="15619" customFormat="false" ht="15" hidden="false" customHeight="false" outlineLevel="0" collapsed="false">
      <c r="A15619" s="3" t="s">
        <v>313</v>
      </c>
      <c r="G15619" s="25" t="n">
        <f aca="false">G15614*Assumptions!$H$57</f>
        <v>0</v>
      </c>
      <c r="H15619" s="25" t="n">
        <f aca="false">H15614*Assumptions!$H$57</f>
        <v>0</v>
      </c>
      <c r="I15619" s="25" t="n">
        <f aca="false">I15614*Assumptions!$H$57</f>
        <v>0</v>
      </c>
      <c r="J15619" s="25" t="n">
        <f aca="false">J15614*Assumptions!$H$57</f>
        <v>0</v>
      </c>
      <c r="K15619" s="25" t="n">
        <f aca="false">K15614*Assumptions!$H$57</f>
        <v>0</v>
      </c>
    </row>
    <row r="15620" customFormat="false" ht="15" hidden="false" customHeight="false" outlineLevel="0" collapsed="false">
      <c r="A15620" s="3" t="s">
        <v>314</v>
      </c>
      <c r="G15620" s="25" t="n">
        <f aca="false">MIN(G15614,Assumptions!$L$57*Assumptions!$C$57)</f>
        <v>0</v>
      </c>
      <c r="H15620" s="25" t="n">
        <f aca="false">MIN(H15614,Assumptions!$L$57*Assumptions!$C$57)</f>
        <v>0</v>
      </c>
      <c r="I15620" s="25" t="n">
        <f aca="false">MIN(I15614,Assumptions!$L$57*Assumptions!$C$57)</f>
        <v>0</v>
      </c>
      <c r="J15620" s="25" t="n">
        <f aca="false">MIN(J15614,Assumptions!$L$57*Assumptions!$C$57)</f>
        <v>0</v>
      </c>
      <c r="K15620" s="25" t="n">
        <f aca="false">MIN(K15614,Assumptions!$L$57*Assumptions!$C$57)</f>
        <v>0</v>
      </c>
    </row>
    <row r="15621" customFormat="false" ht="15" hidden="false" customHeight="false" outlineLevel="0" collapsed="false">
      <c r="A15621" s="3" t="s">
        <v>315</v>
      </c>
      <c r="G15621" s="25" t="n">
        <f aca="false">IF(AND(Assumptions!$P$57=1,G15565&lt;Assumptions!$K$57),MIN(MAX(0,-G15662),MAX(0,Assumptions!$D$57-G15614)),0)</f>
        <v>0</v>
      </c>
      <c r="H15621" s="25" t="n">
        <f aca="false">IF(AND(Assumptions!$P$57=1,OR(H15565&lt;Assumptions!$K$57,G15749=1)),MIN(MAX(0,-H15662),MAX(0,Assumptions!$D$57-H15614)),0)</f>
        <v>0</v>
      </c>
      <c r="I15621" s="25" t="n">
        <f aca="false">IF(AND(Assumptions!$P$57=1,OR(I15565&lt;Assumptions!$K$57,H15749=1)),MIN(MAX(0,-I15662),MAX(0,Assumptions!$D$57-I15614)),0)</f>
        <v>0</v>
      </c>
      <c r="J15621" s="25" t="n">
        <f aca="false">IF(AND(Assumptions!$P$57=1,OR(J15565&lt;Assumptions!$K$57,I15749=1)),MIN(MAX(0,-J15662),MAX(0,Assumptions!$D$57-J15614)),0)</f>
        <v>0</v>
      </c>
      <c r="K15621" s="25" t="n">
        <f aca="false">IF(AND(Assumptions!$P$57=1,OR(K15565&lt;Assumptions!$K$57,J15749=1)),MIN(MAX(0,-K15662),MAX(0,Assumptions!$D$57-K15614)),0)</f>
        <v>0</v>
      </c>
    </row>
    <row r="15622" customFormat="false" ht="15" hidden="false" customHeight="false" outlineLevel="0" collapsed="false">
      <c r="A15622" s="3" t="s">
        <v>316</v>
      </c>
      <c r="G15622" s="25" t="n">
        <f aca="false">G15615*MIN(G15614-G15620+G15619,MAX(0,G15664-Assumptions!$C$12*G15599-G15609))</f>
        <v>0</v>
      </c>
      <c r="H15622" s="25" t="n">
        <f aca="false">H15615*MIN(H15614-H15620+H15619,MAX(0,H15664-Assumptions!$C$12*H15599-H15609))</f>
        <v>0</v>
      </c>
      <c r="I15622" s="25" t="n">
        <f aca="false">I15615*MIN(I15614-I15620+I15619,MAX(0,I15664-Assumptions!$C$12*I15599-I15609))</f>
        <v>276.706</v>
      </c>
      <c r="J15622" s="25" t="n">
        <f aca="false">J15615*MIN(J15614-J15620+J15619,MAX(0,J15664-Assumptions!$C$12*J15599-J15609))</f>
        <v>0</v>
      </c>
      <c r="K15622" s="25" t="n">
        <f aca="false">K15615*MIN(K15614-K15620+K15619,MAX(0,K15664-Assumptions!$C$12*K15599-K15609))</f>
        <v>0</v>
      </c>
    </row>
    <row r="15623" customFormat="false" ht="15" hidden="false" customHeight="false" outlineLevel="0" collapsed="false">
      <c r="A15623" s="3" t="s">
        <v>317</v>
      </c>
      <c r="G15623" s="25" t="n">
        <f aca="false">Assumptions!$N$57*MIN(G15614+G15621+G15619-G15620-G15622,MAX(0,G15668-G15610))</f>
        <v>0</v>
      </c>
      <c r="H15623" s="25" t="n">
        <f aca="false">Assumptions!$N$57*MIN(H15614+H15621+H15619-H15620-H15622,MAX(0,H15668-H15610))</f>
        <v>0</v>
      </c>
      <c r="I15623" s="25" t="n">
        <f aca="false">Assumptions!$N$57*MIN(I15614+I15621+I15619-I15620-I15622,MAX(0,I15668-I15610))</f>
        <v>0</v>
      </c>
      <c r="J15623" s="25" t="n">
        <f aca="false">Assumptions!$N$57*MIN(J15614+J15621+J15619-J15620-J15622,MAX(0,J15668-J15610))</f>
        <v>0</v>
      </c>
      <c r="K15623" s="25" t="n">
        <f aca="false">Assumptions!$N$57*MIN(K15614+K15621+K15619-K15620-K15622,MAX(0,K15668-K15610))</f>
        <v>0</v>
      </c>
    </row>
    <row r="15624" customFormat="false" ht="15" hidden="false" customHeight="false" outlineLevel="0" collapsed="false">
      <c r="A15624" s="3" t="s">
        <v>318</v>
      </c>
      <c r="G15624" s="25" t="n">
        <f aca="false">G15615*(1-G15599)*(G15614-G15620+G15619-G15622)</f>
        <v>0</v>
      </c>
      <c r="H15624" s="25" t="n">
        <f aca="false">H15615*(1-H15599)*(H15614-H15620+H15619-H15622)</f>
        <v>0</v>
      </c>
      <c r="I15624" s="25" t="n">
        <f aca="false">I15615*(1-I15599)*(I15614-I15620+I15619-I15622)</f>
        <v>0</v>
      </c>
      <c r="J15624" s="25" t="n">
        <f aca="false">J15615*(1-J15599)*(J15614-J15620+J15619-J15622)</f>
        <v>0</v>
      </c>
      <c r="K15624" s="25" t="n">
        <f aca="false">K15615*(1-K15599)*(K15614-K15620+K15619-K15622)</f>
        <v>0</v>
      </c>
    </row>
    <row r="15625" customFormat="false" ht="15" hidden="false" customHeight="false" outlineLevel="0" collapsed="false">
      <c r="A15625" s="2" t="s">
        <v>319</v>
      </c>
      <c r="F15625" s="28" t="n">
        <f aca="false">Assumptions!$C$57</f>
        <v>276.706</v>
      </c>
      <c r="G15625" s="16" t="n">
        <f aca="false">G15614+G15621+G15619-G15620-G15622-G15623</f>
        <v>276.706</v>
      </c>
      <c r="H15625" s="16" t="n">
        <f aca="false">H15614+H15621+H15619-H15620-H15622-H15623</f>
        <v>276.706</v>
      </c>
      <c r="I15625" s="16" t="n">
        <f aca="false">I15614+I15621+I15619-I15620-I15622-I15623</f>
        <v>0</v>
      </c>
      <c r="J15625" s="16" t="n">
        <f aca="false">J15614+J15621+J15619-J15620-J15622-J15623</f>
        <v>0</v>
      </c>
      <c r="K15625" s="16" t="n">
        <f aca="false">K15614+K15621+K15619-K15620-K15622-K15623</f>
        <v>0</v>
      </c>
    </row>
    <row r="15626" customFormat="false" ht="15" hidden="false" customHeight="false" outlineLevel="0" collapsed="false">
      <c r="A15626" s="23" t="s">
        <v>321</v>
      </c>
      <c r="B15626" s="24"/>
      <c r="C15626" s="24"/>
      <c r="D15626" s="24"/>
      <c r="E15626" s="24"/>
      <c r="F15626" s="24"/>
      <c r="G15626" s="24"/>
      <c r="H15626" s="24"/>
      <c r="I15626" s="24"/>
      <c r="J15626" s="24"/>
      <c r="K15626" s="24"/>
    </row>
    <row r="15627" customFormat="false" ht="15" hidden="false" customHeight="false" outlineLevel="0" collapsed="false">
      <c r="A15627" s="3" t="s">
        <v>309</v>
      </c>
      <c r="G15627" s="25" t="n">
        <f aca="false">F15638</f>
        <v>143.75</v>
      </c>
      <c r="H15627" s="25" t="n">
        <f aca="false">G15638</f>
        <v>143.75</v>
      </c>
      <c r="I15627" s="25" t="n">
        <f aca="false">H15638</f>
        <v>143.75</v>
      </c>
      <c r="J15627" s="25" t="n">
        <f aca="false">I15638</f>
        <v>0</v>
      </c>
      <c r="K15627" s="25" t="n">
        <f aca="false">J15638</f>
        <v>0</v>
      </c>
    </row>
    <row r="15628" customFormat="false" ht="15" hidden="false" customHeight="false" outlineLevel="0" collapsed="false">
      <c r="A15628" s="3" t="s">
        <v>310</v>
      </c>
      <c r="G15628" s="20" t="n">
        <f aca="false">IF(G15565=Assumptions!$K$58,1,0)</f>
        <v>0</v>
      </c>
      <c r="H15628" s="20" t="n">
        <f aca="false">IF(H15565=Assumptions!$K$58,1,0)</f>
        <v>0</v>
      </c>
      <c r="I15628" s="20" t="n">
        <f aca="false">IF(I15565=Assumptions!$K$58,1,0)</f>
        <v>1</v>
      </c>
      <c r="J15628" s="20" t="n">
        <f aca="false">IF(J15565=Assumptions!$K$58,1,0)</f>
        <v>0</v>
      </c>
      <c r="K15628" s="20" t="n">
        <f aca="false">IF(K15565=Assumptions!$K$58,1,0)</f>
        <v>0</v>
      </c>
    </row>
    <row r="15630" customFormat="false" ht="15" hidden="false" customHeight="false" outlineLevel="0" collapsed="false">
      <c r="A15630" s="3" t="s">
        <v>311</v>
      </c>
      <c r="G15630" s="31" t="n">
        <f aca="false">IF(Assumptions!$I$58=1,MAX(G15591,Assumptions!$G$58)+Assumptions!$F$58+$C$15592,Assumptions!$E$58)</f>
        <v>0.0425</v>
      </c>
      <c r="H15630" s="31" t="n">
        <f aca="false">IF(G15750=1,$C$15593,IF(Assumptions!$I$58=1,MAX(H15591,Assumptions!$G$58)+Assumptions!$F$58+$C$15592,Assumptions!$E$58))</f>
        <v>0.0425</v>
      </c>
      <c r="I15630" s="31" t="n">
        <f aca="false">IF(H15750=1,$C$15593,IF(Assumptions!$I$58=1,MAX(I15591,Assumptions!$G$58)+Assumptions!$F$58+$C$15592,Assumptions!$E$58))</f>
        <v>0.0425</v>
      </c>
      <c r="J15630" s="31" t="n">
        <f aca="false">IF(I15750=1,$C$15593,IF(Assumptions!$I$58=1,MAX(J15591,Assumptions!$G$58)+Assumptions!$F$58+$C$15592,Assumptions!$E$58))</f>
        <v>0.11</v>
      </c>
      <c r="K15630" s="31" t="n">
        <f aca="false">IF(J15750=1,$C$15593,IF(Assumptions!$I$58=1,MAX(K15591,Assumptions!$G$58)+Assumptions!$F$58+$C$15592,Assumptions!$E$58))</f>
        <v>0.11</v>
      </c>
    </row>
    <row r="15631" customFormat="false" ht="15" hidden="false" customHeight="false" outlineLevel="0" collapsed="false">
      <c r="A15631" s="3" t="s">
        <v>312</v>
      </c>
      <c r="G15631" s="25" t="n">
        <f aca="false">G15627*G15630</f>
        <v>6.109375</v>
      </c>
      <c r="H15631" s="25" t="n">
        <f aca="false">H15627*H15630</f>
        <v>6.109375</v>
      </c>
      <c r="I15631" s="25" t="n">
        <f aca="false">I15627*I15630</f>
        <v>6.109375</v>
      </c>
      <c r="J15631" s="25" t="n">
        <f aca="false">J15627*J15630</f>
        <v>0</v>
      </c>
      <c r="K15631" s="25" t="n">
        <f aca="false">K15627*K15630</f>
        <v>0</v>
      </c>
    </row>
    <row r="15632" customFormat="false" ht="15" hidden="false" customHeight="false" outlineLevel="0" collapsed="false">
      <c r="A15632" s="3" t="s">
        <v>313</v>
      </c>
      <c r="G15632" s="25" t="n">
        <f aca="false">G15627*Assumptions!$H$58</f>
        <v>0</v>
      </c>
      <c r="H15632" s="25" t="n">
        <f aca="false">H15627*Assumptions!$H$58</f>
        <v>0</v>
      </c>
      <c r="I15632" s="25" t="n">
        <f aca="false">I15627*Assumptions!$H$58</f>
        <v>0</v>
      </c>
      <c r="J15632" s="25" t="n">
        <f aca="false">J15627*Assumptions!$H$58</f>
        <v>0</v>
      </c>
      <c r="K15632" s="25" t="n">
        <f aca="false">K15627*Assumptions!$H$58</f>
        <v>0</v>
      </c>
    </row>
    <row r="15633" customFormat="false" ht="15" hidden="false" customHeight="false" outlineLevel="0" collapsed="false">
      <c r="A15633" s="3" t="s">
        <v>314</v>
      </c>
      <c r="G15633" s="25" t="n">
        <f aca="false">MIN(G15627,Assumptions!$L$58*Assumptions!$C$58)</f>
        <v>0</v>
      </c>
      <c r="H15633" s="25" t="n">
        <f aca="false">MIN(H15627,Assumptions!$L$58*Assumptions!$C$58)</f>
        <v>0</v>
      </c>
      <c r="I15633" s="25" t="n">
        <f aca="false">MIN(I15627,Assumptions!$L$58*Assumptions!$C$58)</f>
        <v>0</v>
      </c>
      <c r="J15633" s="25" t="n">
        <f aca="false">MIN(J15627,Assumptions!$L$58*Assumptions!$C$58)</f>
        <v>0</v>
      </c>
      <c r="K15633" s="25" t="n">
        <f aca="false">MIN(K15627,Assumptions!$L$58*Assumptions!$C$58)</f>
        <v>0</v>
      </c>
    </row>
    <row r="15634" customFormat="false" ht="15" hidden="false" customHeight="false" outlineLevel="0" collapsed="false">
      <c r="A15634" s="3" t="s">
        <v>315</v>
      </c>
      <c r="G15634" s="25" t="n">
        <f aca="false">IF(AND(Assumptions!$P$58=1,G15565&lt;Assumptions!$K$58),MIN(MAX(0,-G15662),MAX(0,Assumptions!$D$58-G15627)),0)</f>
        <v>0</v>
      </c>
      <c r="H15634" s="25" t="n">
        <f aca="false">IF(AND(Assumptions!$P$58=1,OR(H15565&lt;Assumptions!$K$58,G15750=1)),MIN(MAX(0,-H15662),MAX(0,Assumptions!$D$58-H15627)),0)</f>
        <v>0</v>
      </c>
      <c r="I15634" s="25" t="n">
        <f aca="false">IF(AND(Assumptions!$P$58=1,OR(I15565&lt;Assumptions!$K$58,H15750=1)),MIN(MAX(0,-I15662),MAX(0,Assumptions!$D$58-I15627)),0)</f>
        <v>0</v>
      </c>
      <c r="J15634" s="25" t="n">
        <f aca="false">IF(AND(Assumptions!$P$58=1,OR(J15565&lt;Assumptions!$K$58,I15750=1)),MIN(MAX(0,-J15662),MAX(0,Assumptions!$D$58-J15627)),0)</f>
        <v>0</v>
      </c>
      <c r="K15634" s="25" t="n">
        <f aca="false">IF(AND(Assumptions!$P$58=1,OR(K15565&lt;Assumptions!$K$58,J15750=1)),MIN(MAX(0,-K15662),MAX(0,Assumptions!$D$58-K15627)),0)</f>
        <v>0</v>
      </c>
    </row>
    <row r="15635" customFormat="false" ht="15" hidden="false" customHeight="false" outlineLevel="0" collapsed="false">
      <c r="A15635" s="3" t="s">
        <v>316</v>
      </c>
      <c r="G15635" s="25" t="n">
        <f aca="false">G15628*MIN(G15627-G15633+G15632,MAX(0,G15664-Assumptions!$C$12*G15599-G15609-G15622))</f>
        <v>0</v>
      </c>
      <c r="H15635" s="25" t="n">
        <f aca="false">H15628*MIN(H15627-H15633+H15632,MAX(0,H15664-Assumptions!$C$12*H15599-H15609-H15622))</f>
        <v>0</v>
      </c>
      <c r="I15635" s="25" t="n">
        <f aca="false">I15628*MIN(I15627-I15633+I15632,MAX(0,I15664-Assumptions!$C$12*I15599-I15609-I15622))</f>
        <v>143.75</v>
      </c>
      <c r="J15635" s="25" t="n">
        <f aca="false">J15628*MIN(J15627-J15633+J15632,MAX(0,J15664-Assumptions!$C$12*J15599-J15609-J15622))</f>
        <v>0</v>
      </c>
      <c r="K15635" s="25" t="n">
        <f aca="false">K15628*MIN(K15627-K15633+K15632,MAX(0,K15664-Assumptions!$C$12*K15599-K15609-K15622))</f>
        <v>0</v>
      </c>
    </row>
    <row r="15636" customFormat="false" ht="15" hidden="false" customHeight="false" outlineLevel="0" collapsed="false">
      <c r="A15636" s="3" t="s">
        <v>317</v>
      </c>
      <c r="G15636" s="25" t="n">
        <f aca="false">Assumptions!$N$58*MIN(G15627+G15634+G15632-G15633-G15635,MAX(0,G15668-G15610-G15623))</f>
        <v>0</v>
      </c>
      <c r="H15636" s="25" t="n">
        <f aca="false">Assumptions!$N$58*MIN(H15627+H15634+H15632-H15633-H15635,MAX(0,H15668-H15610-H15623))</f>
        <v>0</v>
      </c>
      <c r="I15636" s="25" t="n">
        <f aca="false">Assumptions!$N$58*MIN(I15627+I15634+I15632-I15633-I15635,MAX(0,I15668-I15610-I15623))</f>
        <v>0</v>
      </c>
      <c r="J15636" s="25" t="n">
        <f aca="false">Assumptions!$N$58*MIN(J15627+J15634+J15632-J15633-J15635,MAX(0,J15668-J15610-J15623))</f>
        <v>0</v>
      </c>
      <c r="K15636" s="25" t="n">
        <f aca="false">Assumptions!$N$58*MIN(K15627+K15634+K15632-K15633-K15635,MAX(0,K15668-K15610-K15623))</f>
        <v>0</v>
      </c>
    </row>
    <row r="15637" customFormat="false" ht="15" hidden="false" customHeight="false" outlineLevel="0" collapsed="false">
      <c r="A15637" s="3" t="s">
        <v>318</v>
      </c>
      <c r="G15637" s="25" t="n">
        <f aca="false">G15628*(1-G15599)*(G15627-G15633+G15632-G15635)</f>
        <v>0</v>
      </c>
      <c r="H15637" s="25" t="n">
        <f aca="false">H15628*(1-H15599)*(H15627-H15633+H15632-H15635)</f>
        <v>0</v>
      </c>
      <c r="I15637" s="25" t="n">
        <f aca="false">I15628*(1-I15599)*(I15627-I15633+I15632-I15635)</f>
        <v>0</v>
      </c>
      <c r="J15637" s="25" t="n">
        <f aca="false">J15628*(1-J15599)*(J15627-J15633+J15632-J15635)</f>
        <v>0</v>
      </c>
      <c r="K15637" s="25" t="n">
        <f aca="false">K15628*(1-K15599)*(K15627-K15633+K15632-K15635)</f>
        <v>0</v>
      </c>
    </row>
    <row r="15638" customFormat="false" ht="15" hidden="false" customHeight="false" outlineLevel="0" collapsed="false">
      <c r="A15638" s="2" t="s">
        <v>319</v>
      </c>
      <c r="F15638" s="28" t="n">
        <f aca="false">Assumptions!$C$58</f>
        <v>143.75</v>
      </c>
      <c r="G15638" s="16" t="n">
        <f aca="false">G15627+G15634+G15632-G15633-G15635-G15636</f>
        <v>143.75</v>
      </c>
      <c r="H15638" s="16" t="n">
        <f aca="false">H15627+H15634+H15632-H15633-H15635-H15636</f>
        <v>143.75</v>
      </c>
      <c r="I15638" s="16" t="n">
        <f aca="false">I15627+I15634+I15632-I15633-I15635-I15636</f>
        <v>0</v>
      </c>
      <c r="J15638" s="16" t="n">
        <f aca="false">J15627+J15634+J15632-J15633-J15635-J15636</f>
        <v>0</v>
      </c>
      <c r="K15638" s="16" t="n">
        <f aca="false">K15627+K15634+K15632-K15633-K15635-K15636</f>
        <v>0</v>
      </c>
    </row>
    <row r="15639" customFormat="false" ht="15" hidden="false" customHeight="false" outlineLevel="0" collapsed="false">
      <c r="A15639" s="23" t="s">
        <v>322</v>
      </c>
      <c r="B15639" s="24"/>
      <c r="C15639" s="24"/>
      <c r="D15639" s="24"/>
      <c r="E15639" s="24"/>
      <c r="F15639" s="24"/>
      <c r="G15639" s="24"/>
      <c r="H15639" s="24"/>
      <c r="I15639" s="24"/>
      <c r="J15639" s="24"/>
      <c r="K15639" s="24"/>
    </row>
    <row r="15640" customFormat="false" ht="15" hidden="false" customHeight="false" outlineLevel="0" collapsed="false">
      <c r="A15640" s="2" t="s">
        <v>323</v>
      </c>
      <c r="F15640" s="16" t="n">
        <f aca="false">F15612+F15625+F15638</f>
        <v>1735.554</v>
      </c>
      <c r="G15640" s="16" t="n">
        <f aca="false">G15612+G15625+G15638</f>
        <v>1735.554</v>
      </c>
      <c r="H15640" s="16" t="n">
        <f aca="false">H15612+H15625+H15638</f>
        <v>1735.554</v>
      </c>
      <c r="I15640" s="16" t="n">
        <f aca="false">I15612+I15625+I15638</f>
        <v>1315.098</v>
      </c>
      <c r="J15640" s="16" t="n">
        <f aca="false">J15612+J15625+J15638</f>
        <v>1315.098</v>
      </c>
      <c r="K15640" s="16" t="n">
        <f aca="false">K15612+K15625+K15638</f>
        <v>1315.098</v>
      </c>
    </row>
    <row r="15641" customFormat="false" ht="15" hidden="false" customHeight="false" outlineLevel="0" collapsed="false">
      <c r="A15641" s="3" t="s">
        <v>324</v>
      </c>
      <c r="G15641" s="25" t="n">
        <f aca="false">G15602*Assumptions!$C$56+G15615*Assumptions!$C$57+G15628*Assumptions!$C$58</f>
        <v>0</v>
      </c>
      <c r="H15641" s="25" t="n">
        <f aca="false">H15602*Assumptions!$C$56+H15615*Assumptions!$C$57+H15628*Assumptions!$C$58</f>
        <v>0</v>
      </c>
      <c r="I15641" s="25" t="n">
        <f aca="false">I15602*Assumptions!$C$56+I15615*Assumptions!$C$57+I15628*Assumptions!$C$58</f>
        <v>420.456</v>
      </c>
      <c r="J15641" s="25" t="n">
        <f aca="false">J15602*Assumptions!$C$56+J15615*Assumptions!$C$57+J15628*Assumptions!$C$58</f>
        <v>0</v>
      </c>
      <c r="K15641" s="25" t="n">
        <f aca="false">K15602*Assumptions!$C$56+K15615*Assumptions!$C$57+K15628*Assumptions!$C$58</f>
        <v>0</v>
      </c>
    </row>
    <row r="15642" customFormat="false" ht="15" hidden="false" customHeight="false" outlineLevel="0" collapsed="false">
      <c r="A15642" s="23" t="s">
        <v>325</v>
      </c>
      <c r="B15642" s="24"/>
      <c r="C15642" s="24"/>
      <c r="D15642" s="24"/>
      <c r="E15642" s="24"/>
      <c r="F15642" s="24"/>
      <c r="G15642" s="24"/>
      <c r="H15642" s="24"/>
      <c r="I15642" s="24"/>
      <c r="J15642" s="24"/>
      <c r="K15642" s="24"/>
    </row>
    <row r="15643" customFormat="false" ht="15" hidden="false" customHeight="false" outlineLevel="0" collapsed="false">
      <c r="A15643" s="3" t="s">
        <v>326</v>
      </c>
      <c r="C15643" s="25" t="n">
        <f aca="false">SUMPRODUCT($G$15602:$K$15602,$G$15601:$K$15601-$G$15607:$K$15607+$G$15606:$K$15606)</f>
        <v>0</v>
      </c>
    </row>
    <row r="15644" customFormat="false" ht="15" hidden="false" customHeight="false" outlineLevel="0" collapsed="false">
      <c r="A15644" s="3" t="s">
        <v>327</v>
      </c>
      <c r="C15644" s="25" t="n">
        <f aca="false">SUMPRODUCT($G$15602:$K$15602,$G$15609:$K$15609)</f>
        <v>0</v>
      </c>
    </row>
    <row r="15645" customFormat="false" ht="15" hidden="false" customHeight="false" outlineLevel="0" collapsed="false">
      <c r="A15645" s="3" t="s">
        <v>328</v>
      </c>
      <c r="C15645" s="3" t="str">
        <f aca="false">IF(SUM($G$15602:$K$15602)=0,"n/a (beyond horizon)",IF(SUMPRODUCT($G$15602:$K$15602,$G$15599:$K$15599)&gt;0,"REFINANCING PASS","REFINANCING FAILURE"))</f>
        <v>n/a (beyond horizon)</v>
      </c>
    </row>
    <row r="15646" customFormat="false" ht="15" hidden="false" customHeight="false" outlineLevel="0" collapsed="false">
      <c r="A15646" s="3" t="s">
        <v>329</v>
      </c>
      <c r="C15646" s="3" t="str">
        <f aca="false">IF(SUM($G$15602:$K$15602)=0,"n/a",IF(C15644&gt;=C15643-0.001,"Repaid from cash",IF(SUMPRODUCT($G$15602:$K$15602,$G$15599:$K$15599)&gt;0,IF(C15644&gt;0,"Partly repaid; remainder refinanced","Refinanced"),IF(SUM($G$15611:$K$15611)&gt;0.001,IF(C15644&gt;0,"Partial repayment; PAYMENT DEFAULT","PAYMENT DEFAULT"),"Repaid from cash"))))</f>
        <v>n/a</v>
      </c>
    </row>
    <row r="15647" customFormat="false" ht="15" hidden="false" customHeight="false" outlineLevel="0" collapsed="false">
      <c r="A15647" s="3" t="s">
        <v>330</v>
      </c>
      <c r="C15647" s="25" t="n">
        <f aca="false">SUMPRODUCT($G$15615:$K$15615,$G$15614:$K$15614-$G$15620:$K$15620+$G$15619:$K$15619)</f>
        <v>276.706</v>
      </c>
    </row>
    <row r="15648" customFormat="false" ht="15" hidden="false" customHeight="false" outlineLevel="0" collapsed="false">
      <c r="A15648" s="3" t="s">
        <v>331</v>
      </c>
      <c r="C15648" s="25" t="n">
        <f aca="false">SUMPRODUCT($G$15615:$K$15615,$G$15622:$K$15622)</f>
        <v>276.706</v>
      </c>
    </row>
    <row r="15649" customFormat="false" ht="15" hidden="false" customHeight="false" outlineLevel="0" collapsed="false">
      <c r="A15649" s="3" t="s">
        <v>332</v>
      </c>
      <c r="C15649" s="3" t="str">
        <f aca="false">IF(SUM($G$15615:$K$15615)=0,"n/a (beyond horizon)",IF(SUMPRODUCT($G$15615:$K$15615,$G$15599:$K$15599)&gt;0,"REFINANCING PASS","REFINANCING FAILURE"))</f>
        <v>REFINANCING PASS</v>
      </c>
    </row>
    <row r="15650" customFormat="false" ht="15" hidden="false" customHeight="false" outlineLevel="0" collapsed="false">
      <c r="A15650" s="3" t="s">
        <v>333</v>
      </c>
      <c r="C15650" s="3" t="str">
        <f aca="false">IF(SUM($G$15615:$K$15615)=0,"n/a",IF(C15648&gt;=C15647-0.001,"Repaid from cash",IF(SUMPRODUCT($G$15615:$K$15615,$G$15599:$K$15599)&gt;0,IF(C15648&gt;0,"Partly repaid; remainder refinanced","Refinanced"),IF(SUM($G$15624:$K$15624)&gt;0.001,IF(C15648&gt;0,"Partial repayment; PAYMENT DEFAULT","PAYMENT DEFAULT"),"Repaid from cash"))))</f>
        <v>Repaid from cash</v>
      </c>
    </row>
    <row r="15651" customFormat="false" ht="15" hidden="false" customHeight="false" outlineLevel="0" collapsed="false">
      <c r="A15651" s="3" t="s">
        <v>334</v>
      </c>
      <c r="C15651" s="25" t="n">
        <f aca="false">SUMPRODUCT($G$15628:$K$15628,$G$15627:$K$15627-$G$15633:$K$15633+$G$15632:$K$15632)</f>
        <v>143.75</v>
      </c>
    </row>
    <row r="15652" customFormat="false" ht="15" hidden="false" customHeight="false" outlineLevel="0" collapsed="false">
      <c r="A15652" s="3" t="s">
        <v>335</v>
      </c>
      <c r="C15652" s="25" t="n">
        <f aca="false">SUMPRODUCT($G$15628:$K$15628,$G$15635:$K$15635)</f>
        <v>143.75</v>
      </c>
    </row>
    <row r="15653" customFormat="false" ht="15" hidden="false" customHeight="false" outlineLevel="0" collapsed="false">
      <c r="A15653" s="3" t="s">
        <v>336</v>
      </c>
      <c r="C15653" s="3" t="str">
        <f aca="false">IF(SUM($G$15628:$K$15628)=0,"n/a (beyond horizon)",IF(SUMPRODUCT($G$15628:$K$15628,$G$15599:$K$15599)&gt;0,"REFINANCING PASS","REFINANCING FAILURE"))</f>
        <v>REFINANCING PASS</v>
      </c>
    </row>
    <row r="15654" customFormat="false" ht="15" hidden="false" customHeight="false" outlineLevel="0" collapsed="false">
      <c r="A15654" s="3" t="s">
        <v>337</v>
      </c>
      <c r="C15654" s="3" t="str">
        <f aca="false">IF(SUM($G$15628:$K$15628)=0,"n/a",IF(C15652&gt;=C15651-0.001,"Repaid from cash",IF(SUMPRODUCT($G$15628:$K$15628,$G$15599:$K$15599)&gt;0,IF(C15652&gt;0,"Partly repaid; remainder refinanced","Refinanced"),IF(SUM($G$15637:$K$15637)&gt;0.001,IF(C15652&gt;0,"Partial repayment; PAYMENT DEFAULT","PAYMENT DEFAULT"),"Repaid from cash"))))</f>
        <v>Repaid from cash</v>
      </c>
    </row>
    <row r="15655" customFormat="false" ht="15" hidden="false" customHeight="false" outlineLevel="0" collapsed="false">
      <c r="A15655" s="3" t="s">
        <v>338</v>
      </c>
      <c r="C15655" s="20" t="n">
        <f aca="false">IF(C15645="REFINANCING FAILURE",1,0)+IF(C15649="REFINANCING FAILURE",1,0)+IF(C15653="REFINANCING FAILURE",1,0)</f>
        <v>0</v>
      </c>
    </row>
    <row r="15657" customFormat="false" ht="15" hidden="false" customHeight="false" outlineLevel="0" collapsed="false">
      <c r="A15657" s="23" t="s">
        <v>340</v>
      </c>
      <c r="B15657" s="24"/>
      <c r="C15657" s="24"/>
      <c r="D15657" s="24"/>
      <c r="E15657" s="24"/>
      <c r="F15657" s="24"/>
      <c r="G15657" s="24"/>
      <c r="H15657" s="24"/>
      <c r="I15657" s="24"/>
      <c r="J15657" s="24"/>
      <c r="K15657" s="24"/>
    </row>
    <row r="15658" customFormat="false" ht="15" hidden="false" customHeight="false" outlineLevel="0" collapsed="false">
      <c r="A15658" s="3" t="s">
        <v>305</v>
      </c>
      <c r="G15658" s="25" t="n">
        <f aca="false">F15670</f>
        <v>463.996</v>
      </c>
      <c r="H15658" s="25" t="n">
        <f aca="false">G15670</f>
        <v>589.86335403</v>
      </c>
      <c r="I15658" s="25" t="n">
        <f aca="false">H15670</f>
        <v>706.0173737988</v>
      </c>
      <c r="J15658" s="25" t="n">
        <f aca="false">I15670</f>
        <v>390.575377766904</v>
      </c>
      <c r="K15658" s="25" t="n">
        <f aca="false">J15670</f>
        <v>499.440625970316</v>
      </c>
    </row>
    <row r="15659" customFormat="false" ht="15" hidden="false" customHeight="false" outlineLevel="0" collapsed="false">
      <c r="A15659" s="3" t="s">
        <v>341</v>
      </c>
      <c r="G15659" s="25" t="n">
        <f aca="false">G15588</f>
        <v>125.86735403</v>
      </c>
      <c r="H15659" s="25" t="n">
        <f aca="false">H15588</f>
        <v>116.1540197688</v>
      </c>
      <c r="I15659" s="25" t="n">
        <f aca="false">I15588</f>
        <v>105.014003968104</v>
      </c>
      <c r="J15659" s="25" t="n">
        <f aca="false">J15588</f>
        <v>108.865248203412</v>
      </c>
      <c r="K15659" s="25" t="n">
        <f aca="false">K15588</f>
        <v>99.6877228787792</v>
      </c>
    </row>
    <row r="15660" customFormat="false" ht="15" hidden="false" customHeight="false" outlineLevel="0" collapsed="false">
      <c r="A15660" s="3" t="s">
        <v>342</v>
      </c>
      <c r="G15660" s="25" t="n">
        <f aca="false">CHOOSE($C$15558,Assumptions!$G$74,Assumptions!$G$93,Assumptions!$G$112)</f>
        <v>0</v>
      </c>
      <c r="H15660" s="25" t="n">
        <f aca="false">CHOOSE($C$15558,Assumptions!$H$74,Assumptions!$H$93,Assumptions!$H$112)</f>
        <v>0</v>
      </c>
      <c r="I15660" s="25" t="n">
        <f aca="false">CHOOSE($C$15558,Assumptions!$I$74,Assumptions!$I$93,Assumptions!$I$112)</f>
        <v>0</v>
      </c>
      <c r="J15660" s="25" t="n">
        <f aca="false">CHOOSE($C$15558,Assumptions!$J$74,Assumptions!$J$93,Assumptions!$J$112)</f>
        <v>0</v>
      </c>
      <c r="K15660" s="25" t="n">
        <f aca="false">CHOOSE($C$15558,Assumptions!$K$74,Assumptions!$K$93,Assumptions!$K$112)</f>
        <v>0</v>
      </c>
    </row>
    <row r="15661" customFormat="false" ht="15" hidden="false" customHeight="false" outlineLevel="0" collapsed="false">
      <c r="A15661" s="3" t="s">
        <v>343</v>
      </c>
      <c r="G15661" s="25" t="n">
        <f aca="false">G15607+G15620+G15633</f>
        <v>0</v>
      </c>
      <c r="H15661" s="25" t="n">
        <f aca="false">H15607+H15620+H15633</f>
        <v>0</v>
      </c>
      <c r="I15661" s="25" t="n">
        <f aca="false">I15607+I15620+I15633</f>
        <v>0</v>
      </c>
      <c r="J15661" s="25" t="n">
        <f aca="false">J15607+J15620+J15633</f>
        <v>0</v>
      </c>
      <c r="K15661" s="25" t="n">
        <f aca="false">K15607+K15620+K15633</f>
        <v>0</v>
      </c>
    </row>
    <row r="15662" customFormat="false" ht="15" hidden="false" customHeight="false" outlineLevel="0" collapsed="false">
      <c r="A15662" s="2" t="s">
        <v>344</v>
      </c>
      <c r="G15662" s="16" t="n">
        <f aca="false">G15658+G15659+G15660-G15661</f>
        <v>589.86335403</v>
      </c>
      <c r="H15662" s="16" t="n">
        <f aca="false">H15658+H15659+H15660-H15661</f>
        <v>706.0173737988</v>
      </c>
      <c r="I15662" s="16" t="n">
        <f aca="false">I15658+I15659+I15660-I15661</f>
        <v>811.031377766904</v>
      </c>
      <c r="J15662" s="16" t="n">
        <f aca="false">J15658+J15659+J15660-J15661</f>
        <v>499.440625970316</v>
      </c>
      <c r="K15662" s="16" t="n">
        <f aca="false">K15658+K15659+K15660-K15661</f>
        <v>599.128348849095</v>
      </c>
    </row>
    <row r="15663" customFormat="false" ht="15" hidden="false" customHeight="false" outlineLevel="0" collapsed="false">
      <c r="A15663" s="3" t="s">
        <v>345</v>
      </c>
      <c r="G15663" s="25" t="n">
        <f aca="false">G15608+G15621+G15634</f>
        <v>0</v>
      </c>
      <c r="H15663" s="25" t="n">
        <f aca="false">H15608+H15621+H15634</f>
        <v>0</v>
      </c>
      <c r="I15663" s="25" t="n">
        <f aca="false">I15608+I15621+I15634</f>
        <v>0</v>
      </c>
      <c r="J15663" s="25" t="n">
        <f aca="false">J15608+J15621+J15634</f>
        <v>0</v>
      </c>
      <c r="K15663" s="25" t="n">
        <f aca="false">K15608+K15621+K15634</f>
        <v>0</v>
      </c>
    </row>
    <row r="15664" customFormat="false" ht="15" hidden="false" customHeight="false" outlineLevel="0" collapsed="false">
      <c r="A15664" s="2" t="s">
        <v>346</v>
      </c>
      <c r="G15664" s="16" t="n">
        <f aca="false">G15662+G15663</f>
        <v>589.86335403</v>
      </c>
      <c r="H15664" s="16" t="n">
        <f aca="false">H15662+H15663</f>
        <v>706.0173737988</v>
      </c>
      <c r="I15664" s="16" t="n">
        <f aca="false">I15662+I15663</f>
        <v>811.031377766904</v>
      </c>
      <c r="J15664" s="16" t="n">
        <f aca="false">J15662+J15663</f>
        <v>499.440625970316</v>
      </c>
      <c r="K15664" s="16" t="n">
        <f aca="false">K15662+K15663</f>
        <v>599.128348849095</v>
      </c>
    </row>
    <row r="15665" customFormat="false" ht="15" hidden="false" customHeight="false" outlineLevel="0" collapsed="false">
      <c r="A15665" s="3" t="s">
        <v>347</v>
      </c>
      <c r="G15665" s="25" t="n">
        <f aca="false">G15609+G15622+G15635</f>
        <v>0</v>
      </c>
      <c r="H15665" s="25" t="n">
        <f aca="false">H15609+H15622+H15635</f>
        <v>0</v>
      </c>
      <c r="I15665" s="25" t="n">
        <f aca="false">I15609+I15622+I15635</f>
        <v>420.456</v>
      </c>
      <c r="J15665" s="25" t="n">
        <f aca="false">J15609+J15622+J15635</f>
        <v>0</v>
      </c>
      <c r="K15665" s="25" t="n">
        <f aca="false">K15609+K15622+K15635</f>
        <v>0</v>
      </c>
    </row>
    <row r="15666" customFormat="false" ht="15" hidden="false" customHeight="false" outlineLevel="0" collapsed="false">
      <c r="A15666" s="2" t="s">
        <v>348</v>
      </c>
      <c r="G15666" s="16" t="n">
        <f aca="false">G15664-G15665</f>
        <v>589.86335403</v>
      </c>
      <c r="H15666" s="16" t="n">
        <f aca="false">H15664-H15665</f>
        <v>706.0173737988</v>
      </c>
      <c r="I15666" s="16" t="n">
        <f aca="false">I15664-I15665</f>
        <v>390.575377766904</v>
      </c>
      <c r="J15666" s="16" t="n">
        <f aca="false">J15664-J15665</f>
        <v>499.440625970316</v>
      </c>
      <c r="K15666" s="16" t="n">
        <f aca="false">K15664-K15665</f>
        <v>599.128348849095</v>
      </c>
    </row>
    <row r="15667" customFormat="false" ht="15" hidden="false" customHeight="false" outlineLevel="0" collapsed="false">
      <c r="A15667" s="3" t="s">
        <v>349</v>
      </c>
      <c r="G15667" s="25" t="n">
        <f aca="false">MAX(0,-G15666)</f>
        <v>0</v>
      </c>
      <c r="H15667" s="25" t="n">
        <f aca="false">MAX(0,-H15666)</f>
        <v>0</v>
      </c>
      <c r="I15667" s="25" t="n">
        <f aca="false">MAX(0,-I15666)</f>
        <v>0</v>
      </c>
      <c r="J15667" s="25" t="n">
        <f aca="false">MAX(0,-J15666)</f>
        <v>0</v>
      </c>
      <c r="K15667" s="25" t="n">
        <f aca="false">MAX(0,-K15666)</f>
        <v>0</v>
      </c>
    </row>
    <row r="15668" customFormat="false" ht="15" hidden="false" customHeight="false" outlineLevel="0" collapsed="false">
      <c r="A15668" s="3" t="s">
        <v>350</v>
      </c>
      <c r="G15668" s="25" t="n">
        <f aca="false">MAX(0,G15666-Assumptions!$C$12)*Assumptions!$C$13</f>
        <v>0</v>
      </c>
      <c r="H15668" s="25" t="n">
        <f aca="false">MAX(0,H15666-Assumptions!$C$12)*Assumptions!$C$13</f>
        <v>0</v>
      </c>
      <c r="I15668" s="25" t="n">
        <f aca="false">MAX(0,I15666-Assumptions!$C$12)*Assumptions!$C$13</f>
        <v>0</v>
      </c>
      <c r="J15668" s="25" t="n">
        <f aca="false">MAX(0,J15666-Assumptions!$C$12)*Assumptions!$C$13</f>
        <v>0</v>
      </c>
      <c r="K15668" s="25" t="n">
        <f aca="false">MAX(0,K15666-Assumptions!$C$12)*Assumptions!$C$13</f>
        <v>0</v>
      </c>
    </row>
    <row r="15669" customFormat="false" ht="15" hidden="false" customHeight="false" outlineLevel="0" collapsed="false">
      <c r="A15669" s="3" t="s">
        <v>351</v>
      </c>
      <c r="G15669" s="25" t="n">
        <f aca="false">G15610+G15623+G15636</f>
        <v>0</v>
      </c>
      <c r="H15669" s="25" t="n">
        <f aca="false">H15610+H15623+H15636</f>
        <v>0</v>
      </c>
      <c r="I15669" s="25" t="n">
        <f aca="false">I15610+I15623+I15636</f>
        <v>0</v>
      </c>
      <c r="J15669" s="25" t="n">
        <f aca="false">J15610+J15623+J15636</f>
        <v>0</v>
      </c>
      <c r="K15669" s="25" t="n">
        <f aca="false">K15610+K15623+K15636</f>
        <v>0</v>
      </c>
    </row>
    <row r="15670" customFormat="false" ht="15" hidden="false" customHeight="false" outlineLevel="0" collapsed="false">
      <c r="A15670" s="2" t="s">
        <v>352</v>
      </c>
      <c r="F15670" s="28" t="n">
        <f aca="false">Assumptions!$C$11</f>
        <v>463.996</v>
      </c>
      <c r="G15670" s="16" t="n">
        <f aca="false">G15666-G15669</f>
        <v>589.86335403</v>
      </c>
      <c r="H15670" s="16" t="n">
        <f aca="false">H15666-H15669</f>
        <v>706.0173737988</v>
      </c>
      <c r="I15670" s="16" t="n">
        <f aca="false">I15666-I15669</f>
        <v>390.575377766904</v>
      </c>
      <c r="J15670" s="16" t="n">
        <f aca="false">J15666-J15669</f>
        <v>499.440625970316</v>
      </c>
      <c r="K15670" s="16" t="n">
        <f aca="false">K15666-K15669</f>
        <v>599.128348849095</v>
      </c>
    </row>
    <row r="15671" customFormat="false" ht="15" hidden="false" customHeight="false" outlineLevel="0" collapsed="false">
      <c r="A15671" s="3" t="s">
        <v>353</v>
      </c>
      <c r="G15671" s="25" t="n">
        <f aca="false">G15611+G15624+G15637</f>
        <v>0</v>
      </c>
      <c r="H15671" s="25" t="n">
        <f aca="false">H15611+H15624+H15637</f>
        <v>0</v>
      </c>
      <c r="I15671" s="25" t="n">
        <f aca="false">I15611+I15624+I15637</f>
        <v>0</v>
      </c>
      <c r="J15671" s="25" t="n">
        <f aca="false">J15611+J15624+J15637</f>
        <v>0</v>
      </c>
      <c r="K15671" s="25" t="n">
        <f aca="false">K15611+K15624+K15637</f>
        <v>0</v>
      </c>
    </row>
    <row r="15672" customFormat="false" ht="15" hidden="false" customHeight="false" outlineLevel="0" collapsed="false">
      <c r="A15672" s="3" t="s">
        <v>354</v>
      </c>
      <c r="G15672" s="20" t="n">
        <f aca="false">IF(OR(G15667&gt;0.001,G15671&gt;0.001),1,0)</f>
        <v>0</v>
      </c>
      <c r="H15672" s="20" t="n">
        <f aca="false">IF(OR(H15667&gt;0.001,H15671&gt;0.001),1,0)</f>
        <v>0</v>
      </c>
      <c r="I15672" s="20" t="n">
        <f aca="false">IF(OR(I15667&gt;0.001,I15671&gt;0.001),1,0)</f>
        <v>0</v>
      </c>
      <c r="J15672" s="20" t="n">
        <f aca="false">IF(OR(J15667&gt;0.001,J15671&gt;0.001),1,0)</f>
        <v>0</v>
      </c>
      <c r="K15672" s="20" t="n">
        <f aca="false">IF(OR(K15667&gt;0.001,K15671&gt;0.001),1,0)</f>
        <v>0</v>
      </c>
    </row>
    <row r="15673" customFormat="false" ht="15" hidden="false" customHeight="false" outlineLevel="0" collapsed="false">
      <c r="A15673" s="3" t="s">
        <v>355</v>
      </c>
      <c r="G15673" s="20" t="n">
        <f aca="false">IF(G15672=1,1,0)</f>
        <v>0</v>
      </c>
      <c r="H15673" s="20" t="n">
        <f aca="false">IF(AND(H15672=1,SUM($G$15672:G15672)=0),1,0)</f>
        <v>0</v>
      </c>
      <c r="I15673" s="20" t="n">
        <f aca="false">IF(AND(I15672=1,SUM($G$15672:H15672)=0),1,0)</f>
        <v>0</v>
      </c>
      <c r="J15673" s="20" t="n">
        <f aca="false">IF(AND(J15672=1,SUM($G$15672:I15672)=0),1,0)</f>
        <v>0</v>
      </c>
      <c r="K15673" s="20" t="n">
        <f aca="false">IF(AND(K15672=1,SUM($G$15672:J15672)=0),1,0)</f>
        <v>0</v>
      </c>
    </row>
    <row r="15674" customFormat="false" ht="15" hidden="false" customHeight="false" outlineLevel="0" collapsed="false">
      <c r="A15674" s="3" t="s">
        <v>356</v>
      </c>
      <c r="G15674" s="25" t="n">
        <f aca="false">(G15640-F15640)-(G15663+G15580-G15661-G15665-G15669)</f>
        <v>0</v>
      </c>
      <c r="H15674" s="25" t="n">
        <f aca="false">(H15640-G15640)-(H15663+H15580-H15661-H15665-H15669)</f>
        <v>0</v>
      </c>
      <c r="I15674" s="25" t="n">
        <f aca="false">(I15640-H15640)-(I15663+I15580-I15661-I15665-I15669)</f>
        <v>0</v>
      </c>
      <c r="J15674" s="25" t="n">
        <f aca="false">(J15640-I15640)-(J15663+J15580-J15661-J15665-J15669)</f>
        <v>0</v>
      </c>
      <c r="K15674" s="25" t="n">
        <f aca="false">(K15640-J15640)-(K15663+K15580-K15661-K15665-K15669)</f>
        <v>0</v>
      </c>
    </row>
    <row r="15676" customFormat="false" ht="15" hidden="false" customHeight="false" outlineLevel="0" collapsed="false">
      <c r="A15676" s="23" t="s">
        <v>358</v>
      </c>
      <c r="B15676" s="24"/>
      <c r="C15676" s="24"/>
      <c r="D15676" s="24"/>
      <c r="E15676" s="24"/>
      <c r="F15676" s="24"/>
      <c r="G15676" s="24"/>
      <c r="H15676" s="24"/>
      <c r="I15676" s="24"/>
      <c r="J15676" s="24"/>
      <c r="K15676" s="24"/>
    </row>
    <row r="15677" customFormat="false" ht="15" hidden="false" customHeight="false" outlineLevel="0" collapsed="false">
      <c r="A15677" s="3" t="s">
        <v>359</v>
      </c>
      <c r="G15677" s="25" t="n">
        <f aca="false">G15640</f>
        <v>1735.554</v>
      </c>
      <c r="H15677" s="25" t="n">
        <f aca="false">H15640</f>
        <v>1735.554</v>
      </c>
      <c r="I15677" s="25" t="n">
        <f aca="false">I15640</f>
        <v>1315.098</v>
      </c>
      <c r="J15677" s="25" t="n">
        <f aca="false">J15640</f>
        <v>1315.098</v>
      </c>
      <c r="K15677" s="25" t="n">
        <f aca="false">K15640</f>
        <v>1315.098</v>
      </c>
    </row>
    <row r="15678" customFormat="false" ht="15" hidden="false" customHeight="false" outlineLevel="0" collapsed="false">
      <c r="A15678" s="3" t="s">
        <v>360</v>
      </c>
      <c r="G15678" s="25" t="n">
        <f aca="false">Assumptions!$O$56*G15612+Assumptions!$O$57*G15625+Assumptions!$O$58*G15638</f>
        <v>1315.098</v>
      </c>
      <c r="H15678" s="25" t="n">
        <f aca="false">Assumptions!$O$56*H15612+Assumptions!$O$57*H15625+Assumptions!$O$58*H15638</f>
        <v>1315.098</v>
      </c>
      <c r="I15678" s="25" t="n">
        <f aca="false">Assumptions!$O$56*I15612+Assumptions!$O$57*I15625+Assumptions!$O$58*I15638</f>
        <v>1315.098</v>
      </c>
      <c r="J15678" s="25" t="n">
        <f aca="false">Assumptions!$O$56*J15612+Assumptions!$O$57*J15625+Assumptions!$O$58*J15638</f>
        <v>1315.098</v>
      </c>
      <c r="K15678" s="25" t="n">
        <f aca="false">Assumptions!$O$56*K15612+Assumptions!$O$57*K15625+Assumptions!$O$58*K15638</f>
        <v>1315.098</v>
      </c>
    </row>
    <row r="15679" customFormat="false" ht="15" hidden="false" customHeight="false" outlineLevel="0" collapsed="false">
      <c r="A15679" s="3" t="s">
        <v>361</v>
      </c>
      <c r="G15679" s="25" t="n">
        <f aca="false">G15677-G15670</f>
        <v>1145.69064597</v>
      </c>
      <c r="H15679" s="25" t="n">
        <f aca="false">H15677-H15670</f>
        <v>1029.5366262012</v>
      </c>
      <c r="I15679" s="25" t="n">
        <f aca="false">I15677-I15670</f>
        <v>924.522622233096</v>
      </c>
      <c r="J15679" s="25" t="n">
        <f aca="false">J15677-J15670</f>
        <v>815.657374029684</v>
      </c>
      <c r="K15679" s="25" t="n">
        <f aca="false">K15677-K15670</f>
        <v>715.969651150905</v>
      </c>
    </row>
    <row r="15680" customFormat="false" ht="15" hidden="false" customHeight="false" outlineLevel="0" collapsed="false">
      <c r="A15680" s="3" t="s">
        <v>362</v>
      </c>
      <c r="G15680" s="32" t="n">
        <f aca="false">IF(G15575&gt;0,G15677/G15575,0)</f>
        <v>5.77916207762031</v>
      </c>
      <c r="H15680" s="32" t="n">
        <f aca="false">IF(H15575&gt;0,H15677/H15575,0)</f>
        <v>6.01996049752115</v>
      </c>
      <c r="I15680" s="32" t="n">
        <f aca="false">IF(I15575&gt;0,I15677/I15575,0)</f>
        <v>4.79551511119407</v>
      </c>
      <c r="J15680" s="32" t="n">
        <f aca="false">IF(J15575&gt;0,J15677/J15575,0)</f>
        <v>5.01653339406293</v>
      </c>
      <c r="K15680" s="32" t="n">
        <f aca="false">IF(K15575&gt;0,K15677/K15575,0)</f>
        <v>5.2488732235156</v>
      </c>
    </row>
    <row r="15681" customFormat="false" ht="15" hidden="false" customHeight="false" outlineLevel="0" collapsed="false">
      <c r="A15681" s="3" t="s">
        <v>363</v>
      </c>
      <c r="G15681" s="32" t="n">
        <f aca="false">IF(G15575&gt;0,G15679/G15575,0)</f>
        <v>3.81499621093561</v>
      </c>
      <c r="H15681" s="32" t="n">
        <f aca="false">IF(H15575&gt;0,H15679/H15575,0)</f>
        <v>3.57106135590274</v>
      </c>
      <c r="I15681" s="32" t="n">
        <f aca="false">IF(I15575&gt;0,I15679/I15575,0)</f>
        <v>3.37127895073947</v>
      </c>
      <c r="J15681" s="32" t="n">
        <f aca="false">IF(J15575&gt;0,J15679/J15575,0)</f>
        <v>3.11138215930188</v>
      </c>
      <c r="K15681" s="32" t="n">
        <f aca="false">IF(K15575&gt;0,K15679/K15575,0)</f>
        <v>2.85760751729209</v>
      </c>
    </row>
    <row r="15682" customFormat="false" ht="15" hidden="false" customHeight="false" outlineLevel="0" collapsed="false">
      <c r="A15682" s="3" t="s">
        <v>364</v>
      </c>
      <c r="G15682" s="32" t="n">
        <f aca="false">IF(G15579&gt;0,G15575/G15579,0)</f>
        <v>1.92563899625449</v>
      </c>
      <c r="H15682" s="32" t="n">
        <f aca="false">IF(H15579&gt;0,H15575/H15579,0)</f>
        <v>1.84861343640431</v>
      </c>
      <c r="I15682" s="32" t="n">
        <f aca="false">IF(I15579&gt;0,I15575/I15579,0)</f>
        <v>1.75842750947116</v>
      </c>
      <c r="J15682" s="32" t="n">
        <f aca="false">IF(J15579&gt;0,J15575/J15579,0)</f>
        <v>1.89848422719182</v>
      </c>
      <c r="K15682" s="32" t="n">
        <f aca="false">IF(K15579&gt;0,K15575/K15579,0)</f>
        <v>1.81444838125289</v>
      </c>
    </row>
    <row r="15683" customFormat="false" ht="15" hidden="false" customHeight="false" outlineLevel="0" collapsed="false">
      <c r="A15683" s="3" t="s">
        <v>365</v>
      </c>
      <c r="G15683" s="32" t="n">
        <f aca="false">IF(G15579&gt;0,G15578/G15579,0)</f>
        <v>1.25417683356324</v>
      </c>
      <c r="H15683" s="32" t="n">
        <f aca="false">IF(H15579&gt;0,H15578/H15579,0)</f>
        <v>1.20400976022071</v>
      </c>
      <c r="I15683" s="32" t="n">
        <f aca="false">IF(I15579&gt;0,I15578/I15579,0)</f>
        <v>1.13638496195398</v>
      </c>
      <c r="J15683" s="32" t="n">
        <f aca="false">IF(J15579&gt;0,J15578/J15579,0)</f>
        <v>1.21702042306555</v>
      </c>
      <c r="K15683" s="32" t="n">
        <f aca="false">IF(K15579&gt;0,K15578/K15579,0)</f>
        <v>1.1534284912504</v>
      </c>
    </row>
    <row r="15684" customFormat="false" ht="15" hidden="false" customHeight="false" outlineLevel="0" collapsed="false">
      <c r="A15684" s="3" t="s">
        <v>198</v>
      </c>
      <c r="G15684" s="21" t="n">
        <f aca="false">IF(G15677&gt;0,G15588/G15677,0)</f>
        <v>0.0725228682196002</v>
      </c>
      <c r="H15684" s="21" t="n">
        <f aca="false">IF(H15677&gt;0,H15588/H15677,0)</f>
        <v>0.0669261917340515</v>
      </c>
      <c r="I15684" s="21" t="n">
        <f aca="false">IF(I15677&gt;0,I15588/I15677,0)</f>
        <v>0.0798526071578726</v>
      </c>
      <c r="J15684" s="21" t="n">
        <f aca="false">IF(J15677&gt;0,J15588/J15677,0)</f>
        <v>0.0827810917539313</v>
      </c>
      <c r="K15684" s="21" t="n">
        <f aca="false">IF(K15677&gt;0,K15588/K15677,0)</f>
        <v>0.0758025051203631</v>
      </c>
    </row>
    <row r="15685" customFormat="false" ht="15" hidden="false" customHeight="false" outlineLevel="0" collapsed="false">
      <c r="A15685" s="3" t="s">
        <v>366</v>
      </c>
      <c r="G15685" s="32" t="n">
        <f aca="false">IF(G15579+G15661&gt;0,(G15575-G15586-G15583)/(G15579+G15661),0)</f>
        <v>1.66953088823823</v>
      </c>
      <c r="H15685" s="32" t="n">
        <f aca="false">IF(H15579+H15661&gt;0,(H15575-H15586-H15583)/(H15579+H15661),0)</f>
        <v>1.6127496527087</v>
      </c>
      <c r="I15685" s="32" t="n">
        <f aca="false">IF(I15579+I15661&gt;0,(I15575-I15586-I15583)/(I15579+I15661),0)</f>
        <v>1.54594007236964</v>
      </c>
      <c r="J15685" s="32" t="n">
        <f aca="false">IF(J15579+J15661&gt;0,(J15575-J15586-J15583)/(J15579+J15661),0)</f>
        <v>1.64879692156745</v>
      </c>
      <c r="K15685" s="32" t="n">
        <f aca="false">IF(K15579+K15661&gt;0,(K15575-K15586-K15583)/(K15579+K15661),0)</f>
        <v>1.58652202457805</v>
      </c>
    </row>
    <row r="15686" customFormat="false" ht="15" hidden="false" customHeight="false" outlineLevel="0" collapsed="false">
      <c r="A15686" s="3" t="s">
        <v>367</v>
      </c>
      <c r="G15686" s="25" t="n">
        <f aca="false">MAX(0,G15670)+Assumptions!$P$56*MAX(0,Assumptions!$D$56-G15612)+Assumptions!$P$57*MAX(0,Assumptions!$D$57-G15625)+Assumptions!$P$58*MAX(0,Assumptions!$D$58-G15638)</f>
        <v>589.86335403</v>
      </c>
      <c r="H15686" s="25" t="n">
        <f aca="false">MAX(0,H15670)+Assumptions!$P$56*MAX(0,Assumptions!$D$56-H15612)+Assumptions!$P$57*MAX(0,Assumptions!$D$57-H15625)+Assumptions!$P$58*MAX(0,Assumptions!$D$58-H15638)</f>
        <v>706.0173737988</v>
      </c>
      <c r="I15686" s="25" t="n">
        <f aca="false">MAX(0,I15670)+Assumptions!$P$56*MAX(0,Assumptions!$D$56-I15612)+Assumptions!$P$57*MAX(0,Assumptions!$D$57-I15625)+Assumptions!$P$58*MAX(0,Assumptions!$D$58-I15638)</f>
        <v>390.575377766904</v>
      </c>
      <c r="J15686" s="25" t="n">
        <f aca="false">MAX(0,J15670)+Assumptions!$P$56*MAX(0,Assumptions!$D$56-J15612)+Assumptions!$P$57*MAX(0,Assumptions!$D$57-J15625)+Assumptions!$P$58*MAX(0,Assumptions!$D$58-J15638)</f>
        <v>499.440625970316</v>
      </c>
      <c r="K15686" s="25" t="n">
        <f aca="false">MAX(0,K15670)+Assumptions!$P$56*MAX(0,Assumptions!$D$56-K15612)+Assumptions!$P$57*MAX(0,Assumptions!$D$57-K15625)+Assumptions!$P$58*MAX(0,Assumptions!$D$58-K15638)</f>
        <v>599.128348849095</v>
      </c>
    </row>
    <row r="15687" customFormat="false" ht="15" hidden="false" customHeight="false" outlineLevel="0" collapsed="false">
      <c r="A15687" s="3" t="s">
        <v>368</v>
      </c>
      <c r="G15687" s="21" t="n">
        <f aca="false">IF(G15677&gt;0,G15677/(G15677+MAX(0,G15575*CHOOSE($C$15558,Assumptions!$C$82,Assumptions!$C$101,Assumptions!$C$120)-G15679)),0)</f>
        <v>0.774254240974845</v>
      </c>
      <c r="H15687" s="21" t="n">
        <f aca="false">IF(H15677&gt;0,H15677/(H15677+MAX(0,H15575*CHOOSE($C$15558,Assumptions!$C$82,Assumptions!$C$101,Assumptions!$C$120)-H15679)),0)</f>
        <v>0.757332605467614</v>
      </c>
      <c r="I15687" s="21" t="n">
        <f aca="false">IF(I15677&gt;0,I15677/(I15677+MAX(0,I15575*CHOOSE($C$15558,Assumptions!$C$82,Assumptions!$C$101,Assumptions!$C$120)-I15679)),0)</f>
        <v>0.692569548476987</v>
      </c>
      <c r="J15687" s="21" t="n">
        <f aca="false">IF(J15677&gt;0,J15677/(J15677+MAX(0,J15575*CHOOSE($C$15558,Assumptions!$C$82,Assumptions!$C$101,Assumptions!$C$120)-J15679)),0)</f>
        <v>0.677438344609961</v>
      </c>
      <c r="K15687" s="21" t="n">
        <f aca="false">IF(K15677&gt;0,K15677/(K15677+MAX(0,K15575*CHOOSE($C$15558,Assumptions!$C$82,Assumptions!$C$101,Assumptions!$C$120)-K15679)),0)</f>
        <v>0.665149726155595</v>
      </c>
    </row>
    <row r="15688" customFormat="false" ht="15" hidden="false" customHeight="false" outlineLevel="0" collapsed="false">
      <c r="A15688" s="3" t="s">
        <v>369</v>
      </c>
      <c r="G15688" s="21" t="n">
        <f aca="false">IF(G15677&gt;0,MAX(0,G15670)/G15677,0)</f>
        <v>0.339870354958705</v>
      </c>
      <c r="H15688" s="21" t="n">
        <f aca="false">IF(H15677&gt;0,MAX(0,H15670)/H15677,0)</f>
        <v>0.406796546692756</v>
      </c>
      <c r="I15688" s="21" t="n">
        <f aca="false">IF(I15677&gt;0,MAX(0,I15670)/I15677,0)</f>
        <v>0.296993363055</v>
      </c>
      <c r="J15688" s="21" t="n">
        <f aca="false">IF(J15677&gt;0,MAX(0,J15670)/J15677,0)</f>
        <v>0.379774454808931</v>
      </c>
      <c r="K15688" s="21" t="n">
        <f aca="false">IF(K15677&gt;0,MAX(0,K15670)/K15677,0)</f>
        <v>0.455576959929294</v>
      </c>
    </row>
    <row r="15689" customFormat="false" ht="15" hidden="false" customHeight="false" outlineLevel="0" collapsed="false">
      <c r="A15689" s="3" t="s">
        <v>370</v>
      </c>
      <c r="G15689" s="25" t="n">
        <f aca="false">Assumptions!$C$30*(1-CHOOSE($C$15558,Assumptions!$C$85,Assumptions!$C$104,Assumptions!$C$123))</f>
        <v>2454.971</v>
      </c>
      <c r="H15689" s="25" t="n">
        <f aca="false">Assumptions!$C$30*(1-CHOOSE($C$15558,Assumptions!$C$85,Assumptions!$C$104,Assumptions!$C$123))</f>
        <v>2454.971</v>
      </c>
      <c r="I15689" s="25" t="n">
        <f aca="false">Assumptions!$C$30*(1-CHOOSE($C$15558,Assumptions!$C$85,Assumptions!$C$104,Assumptions!$C$123))</f>
        <v>2454.971</v>
      </c>
      <c r="J15689" s="25" t="n">
        <f aca="false">Assumptions!$C$30*(1-CHOOSE($C$15558,Assumptions!$C$85,Assumptions!$C$104,Assumptions!$C$123))</f>
        <v>2454.971</v>
      </c>
      <c r="K15689" s="25" t="n">
        <f aca="false">Assumptions!$C$30*(1-CHOOSE($C$15558,Assumptions!$C$85,Assumptions!$C$104,Assumptions!$C$123))</f>
        <v>2454.971</v>
      </c>
    </row>
    <row r="15690" customFormat="false" ht="15" hidden="false" customHeight="false" outlineLevel="0" collapsed="false">
      <c r="A15690" s="23" t="s">
        <v>371</v>
      </c>
      <c r="B15690" s="24"/>
      <c r="C15690" s="24"/>
      <c r="D15690" s="24"/>
      <c r="E15690" s="24"/>
      <c r="F15690" s="24"/>
      <c r="G15690" s="24"/>
      <c r="H15690" s="24"/>
      <c r="I15690" s="24"/>
      <c r="J15690" s="24"/>
      <c r="K15690" s="24"/>
    </row>
    <row r="15691" customFormat="false" ht="15" hidden="false" customHeight="false" outlineLevel="0" collapsed="false">
      <c r="A15691" s="23" t="s">
        <v>372</v>
      </c>
      <c r="B15691" s="24"/>
      <c r="C15691" s="24"/>
      <c r="D15691" s="24"/>
      <c r="E15691" s="24"/>
      <c r="F15691" s="24"/>
      <c r="G15691" s="24"/>
      <c r="H15691" s="24"/>
      <c r="I15691" s="24"/>
      <c r="J15691" s="24"/>
      <c r="K15691" s="24"/>
    </row>
    <row r="15692" customFormat="false" ht="15" hidden="false" customHeight="false" outlineLevel="0" collapsed="false">
      <c r="A15692" s="3" t="s">
        <v>373</v>
      </c>
      <c r="G15692" s="32" t="n">
        <f aca="false">IF(G15575&gt;0,G15679/G15575,99)</f>
        <v>3.81499621093561</v>
      </c>
      <c r="H15692" s="32" t="n">
        <f aca="false">IF(H15575&gt;0,H15679/H15575,99)</f>
        <v>3.57106135590274</v>
      </c>
      <c r="I15692" s="32" t="n">
        <f aca="false">IF(I15575&gt;0,I15679/I15575,99)</f>
        <v>3.37127895073947</v>
      </c>
      <c r="J15692" s="32" t="n">
        <f aca="false">IF(J15575&gt;0,J15679/J15575,99)</f>
        <v>3.11138215930188</v>
      </c>
      <c r="K15692" s="32" t="n">
        <f aca="false">IF(K15575&gt;0,K15679/K15575,99)</f>
        <v>2.85760751729209</v>
      </c>
    </row>
    <row r="15693" customFormat="false" ht="15" hidden="false" customHeight="false" outlineLevel="0" collapsed="false">
      <c r="A15693" s="3" t="s">
        <v>374</v>
      </c>
      <c r="G15693" s="33" t="n">
        <f aca="false">Assumptions!$G$65</f>
        <v>5.25</v>
      </c>
      <c r="H15693" s="33" t="n">
        <f aca="false">Assumptions!$H$65</f>
        <v>5.25</v>
      </c>
      <c r="I15693" s="33" t="n">
        <f aca="false">Assumptions!$I$65</f>
        <v>5</v>
      </c>
      <c r="J15693" s="33" t="n">
        <f aca="false">Assumptions!$J$65</f>
        <v>5</v>
      </c>
      <c r="K15693" s="33" t="n">
        <f aca="false">Assumptions!$K$65</f>
        <v>5</v>
      </c>
    </row>
    <row r="15694" customFormat="false" ht="15" hidden="false" customHeight="false" outlineLevel="0" collapsed="false">
      <c r="A15694" s="3" t="s">
        <v>375</v>
      </c>
      <c r="G15694" s="32" t="n">
        <f aca="false">G15693-G15692</f>
        <v>1.43500378906439</v>
      </c>
      <c r="H15694" s="32" t="n">
        <f aca="false">H15693-H15692</f>
        <v>1.67893864409726</v>
      </c>
      <c r="I15694" s="32" t="n">
        <f aca="false">I15693-I15692</f>
        <v>1.62872104926053</v>
      </c>
      <c r="J15694" s="32" t="n">
        <f aca="false">J15693-J15692</f>
        <v>1.88861784069812</v>
      </c>
      <c r="K15694" s="32" t="n">
        <f aca="false">K15693-K15692</f>
        <v>2.14239248270791</v>
      </c>
    </row>
    <row r="15695" customFormat="false" ht="15" hidden="false" customHeight="false" outlineLevel="0" collapsed="false">
      <c r="A15695" s="3" t="s">
        <v>376</v>
      </c>
      <c r="G15695" s="21" t="n">
        <f aca="false">IF(G15693=0,0,G15694/ABS(G15693))</f>
        <v>0.273334055059884</v>
      </c>
      <c r="H15695" s="21" t="n">
        <f aca="false">IF(H15693=0,0,H15694/ABS(H15693))</f>
        <v>0.319797836970907</v>
      </c>
      <c r="I15695" s="21" t="n">
        <f aca="false">IF(I15693=0,0,I15694/ABS(I15693))</f>
        <v>0.325744209852106</v>
      </c>
      <c r="J15695" s="21" t="n">
        <f aca="false">IF(J15693=0,0,J15694/ABS(J15693))</f>
        <v>0.377723568139623</v>
      </c>
      <c r="K15695" s="21" t="n">
        <f aca="false">IF(K15693=0,0,K15694/ABS(K15693))</f>
        <v>0.428478496541582</v>
      </c>
    </row>
    <row r="15696" customFormat="false" ht="15" hidden="false" customHeight="false" outlineLevel="0" collapsed="false">
      <c r="A15696" s="3" t="s">
        <v>377</v>
      </c>
      <c r="G15696" s="20" t="n">
        <f aca="false">IF(G15694&lt;0,1,0)</f>
        <v>0</v>
      </c>
      <c r="H15696" s="20" t="n">
        <f aca="false">IF(H15694&lt;0,1,0)</f>
        <v>0</v>
      </c>
      <c r="I15696" s="20" t="n">
        <f aca="false">IF(I15694&lt;0,1,0)</f>
        <v>0</v>
      </c>
      <c r="J15696" s="20" t="n">
        <f aca="false">IF(J15694&lt;0,1,0)</f>
        <v>0</v>
      </c>
      <c r="K15696" s="20" t="n">
        <f aca="false">IF(K15694&lt;0,1,0)</f>
        <v>0</v>
      </c>
    </row>
    <row r="15697" customFormat="false" ht="15" hidden="false" customHeight="false" outlineLevel="0" collapsed="false">
      <c r="A15697" s="3" t="s">
        <v>378</v>
      </c>
      <c r="C15697" s="20" t="n">
        <f aca="false">IFERROR(INDEX($G$15565:$K$15565,MATCH(1,$G$15696:$K$15696,0)),0)</f>
        <v>0</v>
      </c>
    </row>
    <row r="15698" customFormat="false" ht="15" hidden="false" customHeight="false" outlineLevel="0" collapsed="false">
      <c r="A15698" s="3" t="s">
        <v>379</v>
      </c>
      <c r="C15698" s="21" t="n">
        <f aca="false">MIN($G$15695:$K$15695)</f>
        <v>0.273334055059884</v>
      </c>
    </row>
    <row r="15699" customFormat="false" ht="15" hidden="false" customHeight="false" outlineLevel="0" collapsed="false">
      <c r="A15699" s="23" t="s">
        <v>380</v>
      </c>
      <c r="B15699" s="24"/>
      <c r="C15699" s="24"/>
      <c r="D15699" s="24"/>
      <c r="E15699" s="24"/>
      <c r="F15699" s="24"/>
      <c r="G15699" s="24"/>
      <c r="H15699" s="24"/>
      <c r="I15699" s="24"/>
      <c r="J15699" s="24"/>
      <c r="K15699" s="24"/>
    </row>
    <row r="15700" customFormat="false" ht="15" hidden="false" customHeight="false" outlineLevel="0" collapsed="false">
      <c r="A15700" s="3" t="s">
        <v>373</v>
      </c>
      <c r="G15700" s="32" t="n">
        <f aca="false">IF(G15579&gt;0,G15575/G15579,99)</f>
        <v>1.92563899625449</v>
      </c>
      <c r="H15700" s="32" t="n">
        <f aca="false">IF(H15579&gt;0,H15575/H15579,99)</f>
        <v>1.84861343640431</v>
      </c>
      <c r="I15700" s="32" t="n">
        <f aca="false">IF(I15579&gt;0,I15575/I15579,99)</f>
        <v>1.75842750947116</v>
      </c>
      <c r="J15700" s="32" t="n">
        <f aca="false">IF(J15579&gt;0,J15575/J15579,99)</f>
        <v>1.89848422719182</v>
      </c>
      <c r="K15700" s="32" t="n">
        <f aca="false">IF(K15579&gt;0,K15575/K15579,99)</f>
        <v>1.81444838125289</v>
      </c>
    </row>
    <row r="15701" customFormat="false" ht="15" hidden="false" customHeight="false" outlineLevel="0" collapsed="false">
      <c r="A15701" s="3" t="s">
        <v>374</v>
      </c>
      <c r="G15701" s="33" t="n">
        <f aca="false">Assumptions!$G$66</f>
        <v>1.4</v>
      </c>
      <c r="H15701" s="33" t="n">
        <f aca="false">Assumptions!$H$66</f>
        <v>1.4</v>
      </c>
      <c r="I15701" s="33" t="n">
        <f aca="false">Assumptions!$I$66</f>
        <v>1.4</v>
      </c>
      <c r="J15701" s="33" t="n">
        <f aca="false">Assumptions!$J$66</f>
        <v>1.5</v>
      </c>
      <c r="K15701" s="33" t="n">
        <f aca="false">Assumptions!$K$66</f>
        <v>1.5</v>
      </c>
    </row>
    <row r="15702" customFormat="false" ht="15" hidden="false" customHeight="false" outlineLevel="0" collapsed="false">
      <c r="A15702" s="3" t="s">
        <v>375</v>
      </c>
      <c r="G15702" s="32" t="n">
        <f aca="false">G15700-G15701</f>
        <v>0.525638996254489</v>
      </c>
      <c r="H15702" s="32" t="n">
        <f aca="false">H15700-H15701</f>
        <v>0.448613436404309</v>
      </c>
      <c r="I15702" s="32" t="n">
        <f aca="false">I15700-I15701</f>
        <v>0.358427509471156</v>
      </c>
      <c r="J15702" s="32" t="n">
        <f aca="false">J15700-J15701</f>
        <v>0.398484227191822</v>
      </c>
      <c r="K15702" s="32" t="n">
        <f aca="false">K15700-K15701</f>
        <v>0.31444838125289</v>
      </c>
    </row>
    <row r="15703" customFormat="false" ht="15" hidden="false" customHeight="false" outlineLevel="0" collapsed="false">
      <c r="A15703" s="3" t="s">
        <v>376</v>
      </c>
      <c r="G15703" s="21" t="n">
        <f aca="false">IF(G15701=0,0,G15702/ABS(G15701))</f>
        <v>0.375456425896063</v>
      </c>
      <c r="H15703" s="21" t="n">
        <f aca="false">IF(H15701=0,0,H15702/ABS(H15701))</f>
        <v>0.320438168860221</v>
      </c>
      <c r="I15703" s="21" t="n">
        <f aca="false">IF(I15701=0,0,I15702/ABS(I15701))</f>
        <v>0.256019649622254</v>
      </c>
      <c r="J15703" s="21" t="n">
        <f aca="false">IF(J15701=0,0,J15702/ABS(J15701))</f>
        <v>0.265656151461215</v>
      </c>
      <c r="K15703" s="21" t="n">
        <f aca="false">IF(K15701=0,0,K15702/ABS(K15701))</f>
        <v>0.209632254168593</v>
      </c>
    </row>
    <row r="15704" customFormat="false" ht="15" hidden="false" customHeight="false" outlineLevel="0" collapsed="false">
      <c r="A15704" s="3" t="s">
        <v>377</v>
      </c>
      <c r="G15704" s="20" t="n">
        <f aca="false">IF(G15702&lt;0,1,0)</f>
        <v>0</v>
      </c>
      <c r="H15704" s="20" t="n">
        <f aca="false">IF(H15702&lt;0,1,0)</f>
        <v>0</v>
      </c>
      <c r="I15704" s="20" t="n">
        <f aca="false">IF(I15702&lt;0,1,0)</f>
        <v>0</v>
      </c>
      <c r="J15704" s="20" t="n">
        <f aca="false">IF(J15702&lt;0,1,0)</f>
        <v>0</v>
      </c>
      <c r="K15704" s="20" t="n">
        <f aca="false">IF(K15702&lt;0,1,0)</f>
        <v>0</v>
      </c>
    </row>
    <row r="15705" customFormat="false" ht="15" hidden="false" customHeight="false" outlineLevel="0" collapsed="false">
      <c r="A15705" s="3" t="s">
        <v>378</v>
      </c>
      <c r="C15705" s="20" t="n">
        <f aca="false">IFERROR(INDEX($G$15565:$K$15565,MATCH(1,$G$15704:$K$15704,0)),0)</f>
        <v>0</v>
      </c>
    </row>
    <row r="15706" customFormat="false" ht="15" hidden="false" customHeight="false" outlineLevel="0" collapsed="false">
      <c r="A15706" s="3" t="s">
        <v>379</v>
      </c>
      <c r="C15706" s="21" t="n">
        <f aca="false">MIN($G$15703:$K$15703)</f>
        <v>0.209632254168593</v>
      </c>
    </row>
    <row r="15707" customFormat="false" ht="15" hidden="false" customHeight="false" outlineLevel="0" collapsed="false">
      <c r="A15707" s="23" t="s">
        <v>381</v>
      </c>
      <c r="B15707" s="24"/>
      <c r="C15707" s="24"/>
      <c r="D15707" s="24"/>
      <c r="E15707" s="24"/>
      <c r="F15707" s="24"/>
      <c r="G15707" s="24"/>
      <c r="H15707" s="24"/>
      <c r="I15707" s="24"/>
      <c r="J15707" s="24"/>
      <c r="K15707" s="24"/>
    </row>
    <row r="15708" customFormat="false" ht="15" hidden="false" customHeight="false" outlineLevel="0" collapsed="false">
      <c r="A15708" s="3" t="s">
        <v>373</v>
      </c>
      <c r="G15708" s="25" t="n">
        <f aca="false">G15686</f>
        <v>589.86335403</v>
      </c>
      <c r="H15708" s="25" t="n">
        <f aca="false">H15686</f>
        <v>706.0173737988</v>
      </c>
      <c r="I15708" s="25" t="n">
        <f aca="false">I15686</f>
        <v>390.575377766904</v>
      </c>
      <c r="J15708" s="25" t="n">
        <f aca="false">J15686</f>
        <v>499.440625970316</v>
      </c>
      <c r="K15708" s="25" t="n">
        <f aca="false">K15686</f>
        <v>599.128348849095</v>
      </c>
    </row>
    <row r="15709" customFormat="false" ht="15" hidden="false" customHeight="false" outlineLevel="0" collapsed="false">
      <c r="A15709" s="3" t="s">
        <v>374</v>
      </c>
      <c r="G15709" s="29" t="n">
        <f aca="false">Assumptions!$G$67</f>
        <v>200</v>
      </c>
      <c r="H15709" s="29" t="n">
        <f aca="false">Assumptions!$H$67</f>
        <v>200</v>
      </c>
      <c r="I15709" s="29" t="n">
        <f aca="false">Assumptions!$I$67</f>
        <v>200</v>
      </c>
      <c r="J15709" s="29" t="n">
        <f aca="false">Assumptions!$J$67</f>
        <v>200</v>
      </c>
      <c r="K15709" s="29" t="n">
        <f aca="false">Assumptions!$K$67</f>
        <v>200</v>
      </c>
    </row>
    <row r="15710" customFormat="false" ht="15" hidden="false" customHeight="false" outlineLevel="0" collapsed="false">
      <c r="A15710" s="3" t="s">
        <v>375</v>
      </c>
      <c r="G15710" s="25" t="n">
        <f aca="false">G15708-G15709</f>
        <v>389.86335403</v>
      </c>
      <c r="H15710" s="25" t="n">
        <f aca="false">H15708-H15709</f>
        <v>506.0173737988</v>
      </c>
      <c r="I15710" s="25" t="n">
        <f aca="false">I15708-I15709</f>
        <v>190.575377766904</v>
      </c>
      <c r="J15710" s="25" t="n">
        <f aca="false">J15708-J15709</f>
        <v>299.440625970316</v>
      </c>
      <c r="K15710" s="25" t="n">
        <f aca="false">K15708-K15709</f>
        <v>399.128348849095</v>
      </c>
    </row>
    <row r="15711" customFormat="false" ht="15" hidden="false" customHeight="false" outlineLevel="0" collapsed="false">
      <c r="A15711" s="3" t="s">
        <v>376</v>
      </c>
      <c r="G15711" s="21" t="n">
        <f aca="false">IF(G15709=0,0,G15710/ABS(G15709))</f>
        <v>1.94931677015</v>
      </c>
      <c r="H15711" s="21" t="n">
        <f aca="false">IF(H15709=0,0,H15710/ABS(H15709))</f>
        <v>2.530086868994</v>
      </c>
      <c r="I15711" s="21" t="n">
        <f aca="false">IF(I15709=0,0,I15710/ABS(I15709))</f>
        <v>0.95287688883452</v>
      </c>
      <c r="J15711" s="21" t="n">
        <f aca="false">IF(J15709=0,0,J15710/ABS(J15709))</f>
        <v>1.49720312985158</v>
      </c>
      <c r="K15711" s="21" t="n">
        <f aca="false">IF(K15709=0,0,K15710/ABS(K15709))</f>
        <v>1.99564174424547</v>
      </c>
    </row>
    <row r="15712" customFormat="false" ht="15" hidden="false" customHeight="false" outlineLevel="0" collapsed="false">
      <c r="A15712" s="3" t="s">
        <v>377</v>
      </c>
      <c r="G15712" s="20" t="n">
        <f aca="false">IF(G15710&lt;0,1,0)</f>
        <v>0</v>
      </c>
      <c r="H15712" s="20" t="n">
        <f aca="false">IF(H15710&lt;0,1,0)</f>
        <v>0</v>
      </c>
      <c r="I15712" s="20" t="n">
        <f aca="false">IF(I15710&lt;0,1,0)</f>
        <v>0</v>
      </c>
      <c r="J15712" s="20" t="n">
        <f aca="false">IF(J15710&lt;0,1,0)</f>
        <v>0</v>
      </c>
      <c r="K15712" s="20" t="n">
        <f aca="false">IF(K15710&lt;0,1,0)</f>
        <v>0</v>
      </c>
    </row>
    <row r="15713" customFormat="false" ht="15" hidden="false" customHeight="false" outlineLevel="0" collapsed="false">
      <c r="A15713" s="3" t="s">
        <v>378</v>
      </c>
      <c r="C15713" s="20" t="n">
        <f aca="false">IFERROR(INDEX($G$15565:$K$15565,MATCH(1,$G$15712:$K$15712,0)),0)</f>
        <v>0</v>
      </c>
    </row>
    <row r="15714" customFormat="false" ht="15" hidden="false" customHeight="false" outlineLevel="0" collapsed="false">
      <c r="A15714" s="3" t="s">
        <v>379</v>
      </c>
      <c r="C15714" s="21" t="n">
        <f aca="false">MIN($G$15711:$K$15711)</f>
        <v>0.95287688883452</v>
      </c>
    </row>
    <row r="15715" customFormat="false" ht="15" hidden="false" customHeight="false" outlineLevel="0" collapsed="false">
      <c r="A15715" s="3" t="s">
        <v>382</v>
      </c>
      <c r="G15715" s="20" t="n">
        <f aca="false">G15696+G15704+G15712</f>
        <v>0</v>
      </c>
      <c r="H15715" s="20" t="n">
        <f aca="false">H15696+H15704+H15712</f>
        <v>0</v>
      </c>
      <c r="I15715" s="20" t="n">
        <f aca="false">I15696+I15704+I15712</f>
        <v>0</v>
      </c>
      <c r="J15715" s="20" t="n">
        <f aca="false">J15696+J15704+J15712</f>
        <v>0</v>
      </c>
      <c r="K15715" s="20" t="n">
        <f aca="false">K15696+K15704+K15712</f>
        <v>0</v>
      </c>
    </row>
    <row r="15716" customFormat="false" ht="15" hidden="false" customHeight="false" outlineLevel="0" collapsed="false">
      <c r="A15716" s="3" t="s">
        <v>383</v>
      </c>
      <c r="C15716" s="20" t="n">
        <f aca="false">SUM($G$15715:$K$15715)</f>
        <v>0</v>
      </c>
    </row>
    <row r="15717" customFormat="false" ht="15" hidden="false" customHeight="false" outlineLevel="0" collapsed="false">
      <c r="A15717" s="3" t="s">
        <v>384</v>
      </c>
      <c r="C15717" s="21" t="n">
        <f aca="false">MIN(C15698,C15706,C15714)</f>
        <v>0.209632254168593</v>
      </c>
    </row>
    <row r="15719" customFormat="false" ht="15" hidden="false" customHeight="false" outlineLevel="0" collapsed="false">
      <c r="A15719" s="23" t="s">
        <v>486</v>
      </c>
      <c r="B15719" s="24"/>
      <c r="C15719" s="24"/>
      <c r="D15719" s="24"/>
      <c r="E15719" s="24"/>
      <c r="F15719" s="24"/>
      <c r="G15719" s="24"/>
      <c r="H15719" s="24"/>
      <c r="I15719" s="24"/>
      <c r="J15719" s="24"/>
      <c r="K15719" s="24"/>
    </row>
    <row r="15720" customFormat="false" ht="15" hidden="false" customHeight="false" outlineLevel="0" collapsed="false">
      <c r="A15720" s="3" t="s">
        <v>487</v>
      </c>
      <c r="G15720" s="20" t="n">
        <f aca="false">IF($C$15721=1,G15673,IF(G15575=MIN($G$15575:$K$15575),1,0))</f>
        <v>0</v>
      </c>
      <c r="H15720" s="20" t="n">
        <f aca="false">IF($C$15721=1,H15673,IF(AND(H15575=MIN($G$15575:$K$15575),SUM($G$15720:G15720)=0),1,0))</f>
        <v>0</v>
      </c>
      <c r="I15720" s="20" t="n">
        <f aca="false">IF($C$15721=1,I15673,IF(AND(I15575=MIN($G$15575:$K$15575),SUM($G$15720:H15720)=0),1,0))</f>
        <v>0</v>
      </c>
      <c r="J15720" s="20" t="n">
        <f aca="false">IF($C$15721=1,J15673,IF(AND(J15575=MIN($G$15575:$K$15575),SUM($G$15720:I15720)=0),1,0))</f>
        <v>0</v>
      </c>
      <c r="K15720" s="20" t="n">
        <f aca="false">IF($C$15721=1,K15673,IF(AND(K15575=MIN($G$15575:$K$15575),SUM($G$15720:J15720)=0),1,0))</f>
        <v>1</v>
      </c>
    </row>
    <row r="15721" customFormat="false" ht="15" hidden="false" customHeight="false" outlineLevel="0" collapsed="false">
      <c r="A15721" s="3" t="s">
        <v>488</v>
      </c>
      <c r="C15721" s="20" t="n">
        <f aca="false">IF(SUM($G$15673:$K$15673)&gt;0,1,0)</f>
        <v>0</v>
      </c>
    </row>
    <row r="15722" customFormat="false" ht="15" hidden="false" customHeight="false" outlineLevel="0" collapsed="false">
      <c r="A15722" s="3" t="s">
        <v>489</v>
      </c>
      <c r="C15722" s="20" t="n">
        <f aca="false">SUMPRODUCT($G$15720:$K$15720,$G$15565:$K$15565)</f>
        <v>2031</v>
      </c>
    </row>
    <row r="15723" customFormat="false" ht="15" hidden="false" customHeight="false" outlineLevel="0" collapsed="false">
      <c r="A15723" s="3" t="s">
        <v>490</v>
      </c>
      <c r="C15723" s="25" t="n">
        <f aca="false">SUMPRODUCT($G$15720:$K$15720,$G$15575:$K$15575)</f>
        <v>250.548630915336</v>
      </c>
    </row>
    <row r="15724" customFormat="false" ht="15" hidden="false" customHeight="false" outlineLevel="0" collapsed="false">
      <c r="A15724" s="3" t="s">
        <v>491</v>
      </c>
      <c r="C15724" s="25" t="n">
        <f aca="false">MAX(0,SUMPRODUCT($G$15720:$K$15720,$G$15670:$K$15670))</f>
        <v>599.128348849095</v>
      </c>
    </row>
    <row r="15725" customFormat="false" ht="15" hidden="false" customHeight="false" outlineLevel="0" collapsed="false">
      <c r="A15725" s="3" t="s">
        <v>492</v>
      </c>
      <c r="C15725" s="25" t="n">
        <f aca="false">(CHOOSE($C$15558,Assumptions!$C$84,Assumptions!$C$103,Assumptions!$C$122)+$C$15562)*C15723</f>
        <v>751.645892746007</v>
      </c>
    </row>
    <row r="15726" customFormat="false" ht="15" hidden="false" customHeight="false" outlineLevel="0" collapsed="false">
      <c r="A15726" s="3" t="s">
        <v>493</v>
      </c>
      <c r="C15726" s="25" t="n">
        <f aca="false">Assumptions!$C$30*(1-CHOOSE($C$15558,Assumptions!$C$85,Assumptions!$C$104,Assumptions!$C$123))*CHOOSE($C$15558,Assumptions!$C$86,Assumptions!$C$105,Assumptions!$C$124)</f>
        <v>736.4913</v>
      </c>
    </row>
    <row r="15727" customFormat="false" ht="15" hidden="false" customHeight="false" outlineLevel="0" collapsed="false">
      <c r="A15727" s="3" t="s">
        <v>494</v>
      </c>
      <c r="C15727" s="25" t="n">
        <f aca="false">MAX(C15725,C15726)+C15724</f>
        <v>1350.7742415951</v>
      </c>
    </row>
    <row r="15728" customFormat="false" ht="15" hidden="false" customHeight="false" outlineLevel="0" collapsed="false">
      <c r="A15728" s="2" t="s">
        <v>495</v>
      </c>
      <c r="C15728" s="16" t="n">
        <f aca="false">IF(ISNUMBER(Assumptions!$C$14),Assumptions!$C$14,C15727)</f>
        <v>1350.7742415951</v>
      </c>
    </row>
    <row r="15729" customFormat="false" ht="15" hidden="false" customHeight="false" outlineLevel="0" collapsed="false">
      <c r="A15729" s="3" t="s">
        <v>496</v>
      </c>
      <c r="C15729" s="25" t="n">
        <f aca="false">C15728*Assumptions!$C$15</f>
        <v>54.0309696638041</v>
      </c>
    </row>
    <row r="15730" customFormat="false" ht="15" hidden="false" customHeight="false" outlineLevel="0" collapsed="false">
      <c r="A15730" s="2" t="s">
        <v>497</v>
      </c>
      <c r="C15730" s="16" t="n">
        <f aca="false">C15728-C15729</f>
        <v>1296.7432719313</v>
      </c>
    </row>
    <row r="15731" customFormat="false" ht="15" hidden="false" customHeight="false" outlineLevel="0" collapsed="false">
      <c r="A15731" s="23" t="s">
        <v>498</v>
      </c>
      <c r="B15731" s="24"/>
      <c r="C15731" s="24"/>
      <c r="D15731" s="24"/>
      <c r="E15731" s="24"/>
      <c r="F15731" s="24"/>
      <c r="G15731" s="24"/>
      <c r="H15731" s="24"/>
      <c r="I15731" s="24"/>
      <c r="J15731" s="24"/>
      <c r="K15731" s="24"/>
    </row>
    <row r="15732" customFormat="false" ht="15" hidden="false" customHeight="false" outlineLevel="0" collapsed="false">
      <c r="A15732" s="3" t="s">
        <v>499</v>
      </c>
      <c r="C15732" s="25" t="n">
        <f aca="false">SUMPRODUCT($G$15720:$K$15720,$G$15612:$K$15612)*(1+SUMPRODUCT($G$15720:$K$15720,$G$15604:$K$15604)*Assumptions!$C$16/12)</f>
        <v>1349.6193225</v>
      </c>
    </row>
    <row r="15733" customFormat="false" ht="15" hidden="false" customHeight="false" outlineLevel="0" collapsed="false">
      <c r="A15733" s="3" t="s">
        <v>500</v>
      </c>
      <c r="C15733" s="25" t="n">
        <f aca="false">SUMPRODUCT($G$15720:$K$15720,$G$15625:$K$15625)*(1+SUMPRODUCT($G$15720:$K$15720,$G$15617:$K$15617)*Assumptions!$C$16/12)</f>
        <v>0</v>
      </c>
    </row>
    <row r="15734" customFormat="false" ht="15" hidden="false" customHeight="false" outlineLevel="0" collapsed="false">
      <c r="A15734" s="3" t="s">
        <v>501</v>
      </c>
      <c r="C15734" s="25" t="n">
        <f aca="false">SUMPRODUCT($G$15720:$K$15720,$G$15638:$K$15638)*(1+SUMPRODUCT($G$15720:$K$15720,$G$15630:$K$15630)*Assumptions!$C$16/12)</f>
        <v>0</v>
      </c>
    </row>
    <row r="15735" customFormat="false" ht="15" hidden="false" customHeight="false" outlineLevel="0" collapsed="false">
      <c r="A15735" s="23" t="s">
        <v>502</v>
      </c>
      <c r="B15735" s="24"/>
      <c r="C15735" s="24"/>
      <c r="D15735" s="24"/>
      <c r="E15735" s="24"/>
      <c r="F15735" s="24"/>
      <c r="G15735" s="24"/>
      <c r="H15735" s="24"/>
      <c r="I15735" s="24"/>
      <c r="J15735" s="24"/>
      <c r="K15735" s="24"/>
    </row>
    <row r="15736" customFormat="false" ht="15" hidden="false" customHeight="false" outlineLevel="0" collapsed="false">
      <c r="A15736" s="3" t="s">
        <v>499</v>
      </c>
      <c r="C15736" s="27" t="n">
        <f aca="false">Assumptions!$M$56</f>
        <v>1</v>
      </c>
    </row>
    <row r="15737" customFormat="false" ht="15" hidden="false" customHeight="false" outlineLevel="0" collapsed="false">
      <c r="A15737" s="3" t="s">
        <v>500</v>
      </c>
      <c r="C15737" s="27" t="n">
        <f aca="false">Assumptions!$M$57</f>
        <v>2</v>
      </c>
    </row>
    <row r="15738" customFormat="false" ht="15" hidden="false" customHeight="false" outlineLevel="0" collapsed="false">
      <c r="A15738" s="3" t="s">
        <v>501</v>
      </c>
      <c r="C15738" s="27" t="n">
        <f aca="false">Assumptions!$M$58</f>
        <v>2</v>
      </c>
    </row>
    <row r="15739" customFormat="false" ht="15" hidden="false" customHeight="false" outlineLevel="0" collapsed="false">
      <c r="A15739" s="23" t="s">
        <v>503</v>
      </c>
      <c r="B15739" s="24"/>
      <c r="C15739" s="24"/>
      <c r="D15739" s="24"/>
      <c r="E15739" s="24"/>
      <c r="F15739" s="24"/>
      <c r="G15739" s="24"/>
      <c r="H15739" s="24"/>
      <c r="I15739" s="24"/>
      <c r="J15739" s="24"/>
      <c r="K15739" s="24"/>
    </row>
    <row r="15740" customFormat="false" ht="15" hidden="false" customHeight="false" outlineLevel="0" collapsed="false">
      <c r="A15740" s="3" t="s">
        <v>499</v>
      </c>
      <c r="C15740" s="35" t="n">
        <f aca="false">Assumptions!$Q$56</f>
        <v>0</v>
      </c>
    </row>
    <row r="15741" customFormat="false" ht="15" hidden="false" customHeight="false" outlineLevel="0" collapsed="false">
      <c r="A15741" s="3" t="s">
        <v>500</v>
      </c>
      <c r="C15741" s="35" t="n">
        <f aca="false">Assumptions!$Q$57</f>
        <v>0</v>
      </c>
    </row>
    <row r="15742" customFormat="false" ht="15" hidden="false" customHeight="false" outlineLevel="0" collapsed="false">
      <c r="A15742" s="3" t="s">
        <v>501</v>
      </c>
      <c r="C15742" s="35" t="n">
        <f aca="false">Assumptions!$Q$58</f>
        <v>0</v>
      </c>
    </row>
    <row r="15743" customFormat="false" ht="15" hidden="false" customHeight="false" outlineLevel="0" collapsed="false">
      <c r="A15743" s="23" t="s">
        <v>504</v>
      </c>
      <c r="B15743" s="24"/>
      <c r="C15743" s="24"/>
      <c r="D15743" s="24"/>
      <c r="E15743" s="24"/>
      <c r="F15743" s="24"/>
      <c r="G15743" s="24"/>
      <c r="H15743" s="24"/>
      <c r="I15743" s="24"/>
      <c r="J15743" s="24"/>
      <c r="K15743" s="24"/>
    </row>
    <row r="15744" customFormat="false" ht="15" hidden="false" customHeight="false" outlineLevel="0" collapsed="false">
      <c r="A15744" s="3" t="s">
        <v>499</v>
      </c>
      <c r="C15744" s="25" t="n">
        <f aca="false">IF(C15740&gt;0,MIN(C15732,C15740*$C$15730),0)</f>
        <v>0</v>
      </c>
    </row>
    <row r="15745" customFormat="false" ht="15" hidden="false" customHeight="false" outlineLevel="0" collapsed="false">
      <c r="A15745" s="3" t="s">
        <v>500</v>
      </c>
      <c r="C15745" s="25" t="n">
        <f aca="false">IF(C15741&gt;0,MIN(C15733,C15741*$C$15730),0)</f>
        <v>0</v>
      </c>
    </row>
    <row r="15746" customFormat="false" ht="15" hidden="false" customHeight="false" outlineLevel="0" collapsed="false">
      <c r="A15746" s="3" t="s">
        <v>501</v>
      </c>
      <c r="C15746" s="25" t="n">
        <f aca="false">IF(C15742&gt;0,MIN(C15734,C15742*$C$15730),0)</f>
        <v>0</v>
      </c>
    </row>
    <row r="15747" customFormat="false" ht="15" hidden="false" customHeight="false" outlineLevel="0" collapsed="false">
      <c r="A15747" s="23" t="s">
        <v>505</v>
      </c>
      <c r="B15747" s="24"/>
      <c r="C15747" s="24"/>
      <c r="D15747" s="24"/>
      <c r="E15747" s="24"/>
      <c r="F15747" s="24"/>
      <c r="G15747" s="24"/>
      <c r="H15747" s="24"/>
      <c r="I15747" s="24"/>
      <c r="J15747" s="24"/>
      <c r="K15747" s="24"/>
    </row>
    <row r="15748" customFormat="false" ht="15" hidden="false" customHeight="false" outlineLevel="0" collapsed="false">
      <c r="A15748" s="3" t="s">
        <v>499</v>
      </c>
      <c r="C15748" s="25" t="n">
        <f aca="false">IF(C15740&gt;0,C15732-C15744,0)</f>
        <v>0</v>
      </c>
      <c r="G15748" s="20" t="n">
        <f aca="false">IF(AND(G15602=1,G15599=1),1,0)</f>
        <v>0</v>
      </c>
      <c r="H15748" s="20" t="n">
        <f aca="false">IF(G15748=1,1,IF(AND(H15602=1,H15599=1),1,0))</f>
        <v>0</v>
      </c>
      <c r="I15748" s="20" t="n">
        <f aca="false">IF(H15748=1,1,IF(AND(I15602=1,I15599=1),1,0))</f>
        <v>0</v>
      </c>
      <c r="J15748" s="20" t="n">
        <f aca="false">IF(I15748=1,1,IF(AND(J15602=1,J15599=1),1,0))</f>
        <v>0</v>
      </c>
      <c r="K15748" s="20" t="n">
        <f aca="false">IF(J15748=1,1,IF(AND(K15602=1,K15599=1),1,0))</f>
        <v>0</v>
      </c>
    </row>
    <row r="15749" customFormat="false" ht="15" hidden="false" customHeight="false" outlineLevel="0" collapsed="false">
      <c r="A15749" s="3" t="s">
        <v>500</v>
      </c>
      <c r="C15749" s="25" t="n">
        <f aca="false">IF(C15741&gt;0,C15733-C15745,0)</f>
        <v>0</v>
      </c>
      <c r="G15749" s="20" t="n">
        <f aca="false">IF(AND(G15615=1,G15599=1),1,0)</f>
        <v>0</v>
      </c>
      <c r="H15749" s="20" t="n">
        <f aca="false">IF(G15749=1,1,IF(AND(H15615=1,H15599=1),1,0))</f>
        <v>0</v>
      </c>
      <c r="I15749" s="20" t="n">
        <f aca="false">IF(H15749=1,1,IF(AND(I15615=1,I15599=1),1,0))</f>
        <v>1</v>
      </c>
      <c r="J15749" s="20" t="n">
        <f aca="false">IF(I15749=1,1,IF(AND(J15615=1,J15599=1),1,0))</f>
        <v>1</v>
      </c>
      <c r="K15749" s="20" t="n">
        <f aca="false">IF(J15749=1,1,IF(AND(K15615=1,K15599=1),1,0))</f>
        <v>1</v>
      </c>
    </row>
    <row r="15750" customFormat="false" ht="15" hidden="false" customHeight="false" outlineLevel="0" collapsed="false">
      <c r="A15750" s="3" t="s">
        <v>501</v>
      </c>
      <c r="C15750" s="25" t="n">
        <f aca="false">IF(C15742&gt;0,C15734-C15746,0)</f>
        <v>0</v>
      </c>
      <c r="G15750" s="20" t="n">
        <f aca="false">IF(AND(G15628=1,G15599=1),1,0)</f>
        <v>0</v>
      </c>
      <c r="H15750" s="20" t="n">
        <f aca="false">IF(G15750=1,1,IF(AND(H15628=1,H15599=1),1,0))</f>
        <v>0</v>
      </c>
      <c r="I15750" s="20" t="n">
        <f aca="false">IF(H15750=1,1,IF(AND(I15628=1,I15599=1),1,0))</f>
        <v>1</v>
      </c>
      <c r="J15750" s="20" t="n">
        <f aca="false">IF(I15750=1,1,IF(AND(J15628=1,J15599=1),1,0))</f>
        <v>1</v>
      </c>
      <c r="K15750" s="20" t="n">
        <f aca="false">IF(J15750=1,1,IF(AND(K15628=1,K15599=1),1,0))</f>
        <v>1</v>
      </c>
    </row>
    <row r="15751" customFormat="false" ht="15" hidden="false" customHeight="false" outlineLevel="0" collapsed="false">
      <c r="A15751" s="23" t="s">
        <v>506</v>
      </c>
      <c r="B15751" s="24"/>
      <c r="C15751" s="24"/>
      <c r="D15751" s="24"/>
      <c r="E15751" s="24"/>
      <c r="F15751" s="24"/>
      <c r="G15751" s="24"/>
      <c r="H15751" s="24"/>
      <c r="I15751" s="24"/>
      <c r="J15751" s="24"/>
      <c r="K15751" s="24"/>
    </row>
    <row r="15752" customFormat="false" ht="15" hidden="false" customHeight="false" outlineLevel="0" collapsed="false">
      <c r="A15752" s="3" t="s">
        <v>499</v>
      </c>
      <c r="C15752" s="25" t="n">
        <f aca="false">IF(C15740&gt;0,C15748,C15732)</f>
        <v>1349.6193225</v>
      </c>
    </row>
    <row r="15753" customFormat="false" ht="15" hidden="false" customHeight="false" outlineLevel="0" collapsed="false">
      <c r="A15753" s="3" t="s">
        <v>500</v>
      </c>
      <c r="C15753" s="25" t="n">
        <f aca="false">IF(C15741&gt;0,C15749,C15733)</f>
        <v>0</v>
      </c>
    </row>
    <row r="15754" customFormat="false" ht="15" hidden="false" customHeight="false" outlineLevel="0" collapsed="false">
      <c r="A15754" s="3" t="s">
        <v>501</v>
      </c>
      <c r="C15754" s="25" t="n">
        <f aca="false">IF(C15742&gt;0,C15750,C15734)</f>
        <v>0</v>
      </c>
    </row>
    <row r="15755" customFormat="false" ht="15" hidden="false" customHeight="false" outlineLevel="0" collapsed="false">
      <c r="A15755" s="23" t="s">
        <v>507</v>
      </c>
      <c r="B15755" s="24"/>
      <c r="C15755" s="24"/>
      <c r="D15755" s="24"/>
      <c r="E15755" s="24"/>
      <c r="F15755" s="24"/>
      <c r="G15755" s="24"/>
      <c r="H15755" s="24"/>
      <c r="I15755" s="24"/>
      <c r="J15755" s="24"/>
      <c r="K15755" s="24"/>
    </row>
    <row r="15756" customFormat="false" ht="15" hidden="false" customHeight="false" outlineLevel="0" collapsed="false">
      <c r="A15756" s="3" t="s">
        <v>499</v>
      </c>
      <c r="C15756" s="20" t="n">
        <f aca="false">IF(C15740&gt;0,Assumptions!$C$17,C15736)</f>
        <v>1</v>
      </c>
    </row>
    <row r="15757" customFormat="false" ht="15" hidden="false" customHeight="false" outlineLevel="0" collapsed="false">
      <c r="A15757" s="3" t="s">
        <v>500</v>
      </c>
      <c r="C15757" s="20" t="n">
        <f aca="false">IF(C15741&gt;0,Assumptions!$C$17,C15737)</f>
        <v>2</v>
      </c>
    </row>
    <row r="15758" customFormat="false" ht="15" hidden="false" customHeight="false" outlineLevel="0" collapsed="false">
      <c r="A15758" s="3" t="s">
        <v>501</v>
      </c>
      <c r="C15758" s="20" t="n">
        <f aca="false">IF(C15742&gt;0,Assumptions!$C$17,C15738)</f>
        <v>2</v>
      </c>
    </row>
    <row r="15759" customFormat="false" ht="15" hidden="false" customHeight="false" outlineLevel="0" collapsed="false">
      <c r="A15759" s="23" t="s">
        <v>508</v>
      </c>
      <c r="B15759" s="24"/>
      <c r="C15759" s="24"/>
      <c r="D15759" s="24"/>
      <c r="E15759" s="24"/>
      <c r="F15759" s="24"/>
      <c r="G15759" s="24"/>
      <c r="H15759" s="24"/>
      <c r="I15759" s="24"/>
      <c r="J15759" s="24"/>
      <c r="K15759" s="24"/>
    </row>
    <row r="15760" customFormat="false" ht="15" hidden="false" customHeight="false" outlineLevel="0" collapsed="false">
      <c r="A15760" s="3" t="s">
        <v>499</v>
      </c>
      <c r="C15760" s="25" t="n">
        <f aca="false">SUMPRODUCT(($C$15756:$C$15758&lt;C15756)*$C$15752:$C$15754)</f>
        <v>0</v>
      </c>
    </row>
    <row r="15761" customFormat="false" ht="15" hidden="false" customHeight="false" outlineLevel="0" collapsed="false">
      <c r="A15761" s="3" t="s">
        <v>500</v>
      </c>
      <c r="C15761" s="25" t="n">
        <f aca="false">SUMPRODUCT(($C$15756:$C$15758&lt;C15757)*$C$15752:$C$15754)</f>
        <v>1349.6193225</v>
      </c>
    </row>
    <row r="15762" customFormat="false" ht="15" hidden="false" customHeight="false" outlineLevel="0" collapsed="false">
      <c r="A15762" s="3" t="s">
        <v>501</v>
      </c>
      <c r="C15762" s="25" t="n">
        <f aca="false">SUMPRODUCT(($C$15756:$C$15758&lt;C15758)*$C$15752:$C$15754)</f>
        <v>1349.6193225</v>
      </c>
    </row>
    <row r="15763" customFormat="false" ht="15" hidden="false" customHeight="false" outlineLevel="0" collapsed="false">
      <c r="A15763" s="23" t="s">
        <v>509</v>
      </c>
      <c r="B15763" s="24"/>
      <c r="C15763" s="24"/>
      <c r="D15763" s="24"/>
      <c r="E15763" s="24"/>
      <c r="F15763" s="24"/>
      <c r="G15763" s="24"/>
      <c r="H15763" s="24"/>
      <c r="I15763" s="24"/>
      <c r="J15763" s="24"/>
      <c r="K15763" s="24"/>
    </row>
    <row r="15764" customFormat="false" ht="15" hidden="false" customHeight="false" outlineLevel="0" collapsed="false">
      <c r="A15764" s="3" t="s">
        <v>499</v>
      </c>
      <c r="C15764" s="25" t="n">
        <f aca="false">SUMPRODUCT(($C$15756:$C$15758=C15756)*$C$15752:$C$15754)</f>
        <v>1349.6193225</v>
      </c>
    </row>
    <row r="15765" customFormat="false" ht="15" hidden="false" customHeight="false" outlineLevel="0" collapsed="false">
      <c r="A15765" s="3" t="s">
        <v>500</v>
      </c>
      <c r="C15765" s="25" t="n">
        <f aca="false">SUMPRODUCT(($C$15756:$C$15758=C15757)*$C$15752:$C$15754)</f>
        <v>0</v>
      </c>
    </row>
    <row r="15766" customFormat="false" ht="15" hidden="false" customHeight="false" outlineLevel="0" collapsed="false">
      <c r="A15766" s="3" t="s">
        <v>501</v>
      </c>
      <c r="C15766" s="25" t="n">
        <f aca="false">SUMPRODUCT(($C$15756:$C$15758=C15758)*$C$15752:$C$15754)</f>
        <v>0</v>
      </c>
    </row>
    <row r="15767" customFormat="false" ht="15" hidden="false" customHeight="false" outlineLevel="0" collapsed="false">
      <c r="A15767" s="23" t="s">
        <v>510</v>
      </c>
      <c r="B15767" s="24"/>
      <c r="C15767" s="24"/>
      <c r="D15767" s="24"/>
      <c r="E15767" s="24"/>
      <c r="F15767" s="24"/>
      <c r="G15767" s="24"/>
      <c r="H15767" s="24"/>
      <c r="I15767" s="24"/>
      <c r="J15767" s="24"/>
      <c r="K15767" s="24"/>
    </row>
    <row r="15768" customFormat="false" ht="15" hidden="false" customHeight="false" outlineLevel="0" collapsed="false">
      <c r="A15768" s="3" t="s">
        <v>499</v>
      </c>
      <c r="C15768" s="25" t="n">
        <f aca="false">IF(C15764=0,0,C15752/C15764*MAX(0,MIN(C15764,$C$15730-SUM($C$15744:$C$15746)-C15760)))</f>
        <v>1296.7432719313</v>
      </c>
    </row>
    <row r="15769" customFormat="false" ht="15" hidden="false" customHeight="false" outlineLevel="0" collapsed="false">
      <c r="A15769" s="3" t="s">
        <v>500</v>
      </c>
      <c r="C15769" s="25" t="n">
        <f aca="false">IF(C15765=0,0,C15753/C15765*MAX(0,MIN(C15765,$C$15730-SUM($C$15744:$C$15746)-C15761)))</f>
        <v>0</v>
      </c>
    </row>
    <row r="15770" customFormat="false" ht="15" hidden="false" customHeight="false" outlineLevel="0" collapsed="false">
      <c r="A15770" s="3" t="s">
        <v>501</v>
      </c>
      <c r="C15770" s="25" t="n">
        <f aca="false">IF(C15766=0,0,C15754/C15766*MAX(0,MIN(C15766,$C$15730-SUM($C$15744:$C$15746)-C15762)))</f>
        <v>0</v>
      </c>
    </row>
    <row r="15771" customFormat="false" ht="15" hidden="false" customHeight="false" outlineLevel="0" collapsed="false">
      <c r="A15771" s="23" t="s">
        <v>511</v>
      </c>
      <c r="B15771" s="24"/>
      <c r="C15771" s="24"/>
      <c r="D15771" s="24"/>
      <c r="E15771" s="24"/>
      <c r="F15771" s="24"/>
      <c r="G15771" s="24"/>
      <c r="H15771" s="24"/>
      <c r="I15771" s="24"/>
      <c r="J15771" s="24"/>
      <c r="K15771" s="24"/>
    </row>
    <row r="15772" customFormat="false" ht="15" hidden="false" customHeight="false" outlineLevel="0" collapsed="false">
      <c r="A15772" s="2" t="s">
        <v>499</v>
      </c>
      <c r="C15772" s="16" t="n">
        <f aca="false">C15744+C15768</f>
        <v>1296.7432719313</v>
      </c>
    </row>
    <row r="15773" customFormat="false" ht="15" hidden="false" customHeight="false" outlineLevel="0" collapsed="false">
      <c r="A15773" s="2" t="s">
        <v>500</v>
      </c>
      <c r="C15773" s="16" t="n">
        <f aca="false">C15745+C15769</f>
        <v>0</v>
      </c>
    </row>
    <row r="15774" customFormat="false" ht="15" hidden="false" customHeight="false" outlineLevel="0" collapsed="false">
      <c r="A15774" s="2" t="s">
        <v>501</v>
      </c>
      <c r="C15774" s="16" t="n">
        <f aca="false">C15746+C15770</f>
        <v>0</v>
      </c>
    </row>
    <row r="15775" customFormat="false" ht="15" hidden="false" customHeight="false" outlineLevel="0" collapsed="false">
      <c r="A15775" s="23" t="s">
        <v>512</v>
      </c>
      <c r="B15775" s="24"/>
      <c r="C15775" s="24"/>
      <c r="D15775" s="24"/>
      <c r="E15775" s="24"/>
      <c r="F15775" s="24"/>
      <c r="G15775" s="24"/>
      <c r="H15775" s="24"/>
      <c r="I15775" s="24"/>
      <c r="J15775" s="24"/>
      <c r="K15775" s="24"/>
    </row>
    <row r="15776" customFormat="false" ht="15" hidden="false" customHeight="false" outlineLevel="0" collapsed="false">
      <c r="A15776" s="3" t="s">
        <v>499</v>
      </c>
      <c r="C15776" s="21" t="n">
        <f aca="false">IF(C15732=0,1,C15772/C15732)</f>
        <v>0.960821507452371</v>
      </c>
    </row>
    <row r="15777" customFormat="false" ht="15" hidden="false" customHeight="false" outlineLevel="0" collapsed="false">
      <c r="A15777" s="3" t="s">
        <v>500</v>
      </c>
      <c r="C15777" s="21" t="n">
        <f aca="false">IF(C15733=0,1,C15773/C15733)</f>
        <v>1</v>
      </c>
    </row>
    <row r="15778" customFormat="false" ht="15" hidden="false" customHeight="false" outlineLevel="0" collapsed="false">
      <c r="A15778" s="3" t="s">
        <v>501</v>
      </c>
      <c r="C15778" s="21" t="n">
        <f aca="false">IF(C15734=0,1,C15774/C15734)</f>
        <v>1</v>
      </c>
    </row>
    <row r="15779" customFormat="false" ht="15" hidden="false" customHeight="false" outlineLevel="0" collapsed="false">
      <c r="A15779" s="23" t="s">
        <v>513</v>
      </c>
      <c r="B15779" s="24"/>
      <c r="C15779" s="24"/>
      <c r="D15779" s="24"/>
      <c r="E15779" s="24"/>
      <c r="F15779" s="24"/>
      <c r="G15779" s="24"/>
      <c r="H15779" s="24"/>
      <c r="I15779" s="24"/>
      <c r="J15779" s="24"/>
      <c r="K15779" s="24"/>
    </row>
    <row r="15780" customFormat="false" ht="15" hidden="false" customHeight="false" outlineLevel="0" collapsed="false">
      <c r="A15780" s="3" t="s">
        <v>499</v>
      </c>
      <c r="C15780" s="25" t="n">
        <f aca="false">C15732-C15772</f>
        <v>52.8760505687023</v>
      </c>
    </row>
    <row r="15781" customFormat="false" ht="15" hidden="false" customHeight="false" outlineLevel="0" collapsed="false">
      <c r="A15781" s="3" t="s">
        <v>500</v>
      </c>
      <c r="C15781" s="25" t="n">
        <f aca="false">C15733-C15773</f>
        <v>0</v>
      </c>
    </row>
    <row r="15782" customFormat="false" ht="15" hidden="false" customHeight="false" outlineLevel="0" collapsed="false">
      <c r="A15782" s="3" t="s">
        <v>501</v>
      </c>
      <c r="C15782" s="25" t="n">
        <f aca="false">C15734-C15774</f>
        <v>0</v>
      </c>
    </row>
    <row r="15783" customFormat="false" ht="15" hidden="false" customHeight="false" outlineLevel="0" collapsed="false">
      <c r="A15783" s="23" t="s">
        <v>514</v>
      </c>
      <c r="B15783" s="24"/>
      <c r="C15783" s="24"/>
      <c r="D15783" s="24"/>
      <c r="E15783" s="24"/>
      <c r="F15783" s="24"/>
      <c r="G15783" s="24"/>
      <c r="H15783" s="24"/>
      <c r="I15783" s="24"/>
      <c r="J15783" s="24"/>
      <c r="K15783" s="24"/>
    </row>
    <row r="15784" customFormat="false" ht="15" hidden="false" customHeight="false" outlineLevel="0" collapsed="false">
      <c r="A15784" s="3" t="s">
        <v>499</v>
      </c>
      <c r="C15784" s="21" t="n">
        <f aca="false">IF(C15732=0,0,C15780/C15732)</f>
        <v>0.039178492547629</v>
      </c>
    </row>
    <row r="15785" customFormat="false" ht="15" hidden="false" customHeight="false" outlineLevel="0" collapsed="false">
      <c r="A15785" s="3" t="s">
        <v>500</v>
      </c>
      <c r="C15785" s="21" t="n">
        <f aca="false">IF(C15733=0,0,C15781/C15733)</f>
        <v>0</v>
      </c>
    </row>
    <row r="15786" customFormat="false" ht="15" hidden="false" customHeight="false" outlineLevel="0" collapsed="false">
      <c r="A15786" s="3" t="s">
        <v>501</v>
      </c>
      <c r="C15786" s="21" t="n">
        <f aca="false">IF(C15734=0,0,C15782/C15734)</f>
        <v>0</v>
      </c>
    </row>
    <row r="15787" customFormat="false" ht="15" hidden="false" customHeight="false" outlineLevel="0" collapsed="false">
      <c r="A15787" s="2" t="s">
        <v>515</v>
      </c>
      <c r="C15787" s="16" t="n">
        <f aca="false">MAX(0,$C$15730-SUM($C$15744:$C$15746)-SUM($C$15752:$C$15754))</f>
        <v>0</v>
      </c>
    </row>
    <row r="15788" customFormat="false" ht="15" hidden="false" customHeight="false" outlineLevel="0" collapsed="false">
      <c r="A15788" s="3" t="s">
        <v>516</v>
      </c>
      <c r="C15788" s="25" t="n">
        <f aca="false">SUM($C$15772:$C$15774)+C15787+C15729-C15728</f>
        <v>0</v>
      </c>
    </row>
    <row r="15790" customFormat="false" ht="15" hidden="false" customHeight="false" outlineLevel="0" collapsed="false">
      <c r="A15790" s="23" t="s">
        <v>519</v>
      </c>
      <c r="B15790" s="24"/>
      <c r="C15790" s="24"/>
      <c r="D15790" s="24"/>
      <c r="E15790" s="24"/>
      <c r="F15790" s="24"/>
      <c r="G15790" s="24"/>
      <c r="H15790" s="24"/>
      <c r="I15790" s="24"/>
      <c r="J15790" s="24"/>
      <c r="K15790" s="24"/>
    </row>
    <row r="15791" customFormat="false" ht="15" hidden="false" customHeight="false" outlineLevel="0" collapsed="false">
      <c r="A15791" s="3" t="s">
        <v>520</v>
      </c>
      <c r="C15791" s="27" t="n">
        <f aca="false">Assumptions!$C$33</f>
        <v>1</v>
      </c>
    </row>
    <row r="15792" customFormat="false" ht="15" hidden="false" customHeight="false" outlineLevel="0" collapsed="false">
      <c r="A15792" s="3" t="s">
        <v>521</v>
      </c>
      <c r="C15792" s="29" t="n">
        <f aca="false">Assumptions!$C$34</f>
        <v>100</v>
      </c>
    </row>
    <row r="15793" customFormat="false" ht="15" hidden="false" customHeight="false" outlineLevel="0" collapsed="false">
      <c r="A15793" s="3" t="s">
        <v>522</v>
      </c>
      <c r="C15793" s="40" t="n">
        <f aca="false">Assumptions!$C$35</f>
        <v>95</v>
      </c>
    </row>
    <row r="15794" customFormat="false" ht="15" hidden="false" customHeight="false" outlineLevel="0" collapsed="false">
      <c r="A15794" s="3" t="s">
        <v>523</v>
      </c>
      <c r="C15794" s="25" t="n">
        <f aca="false">C15792*C15793/100*(1+Assumptions!$C$36)</f>
        <v>95</v>
      </c>
    </row>
    <row r="15795" customFormat="false" ht="15" hidden="false" customHeight="false" outlineLevel="0" collapsed="false">
      <c r="A15795" s="3" t="s">
        <v>524</v>
      </c>
      <c r="C15795" s="27" t="n">
        <f aca="false">Assumptions!$C$37</f>
        <v>3</v>
      </c>
    </row>
    <row r="15796" customFormat="false" ht="15" hidden="false" customHeight="false" outlineLevel="0" collapsed="false">
      <c r="A15796" s="3" t="s">
        <v>525</v>
      </c>
      <c r="C15796" s="20" t="n">
        <f aca="false">IF(C15721=1,SUMPRODUCT($G$15673:$K$15673,$G$15566:$K$15566),0)</f>
        <v>0</v>
      </c>
    </row>
    <row r="15797" customFormat="false" ht="15" hidden="false" customHeight="false" outlineLevel="0" collapsed="false">
      <c r="A15797" s="3" t="s">
        <v>526</v>
      </c>
      <c r="C15797" s="21" t="n">
        <f aca="false">IFERROR(C15792/CHOOSE(C15791,SUMPRODUCT($G$15720:$K$15720,$G$15612:$K$15612),SUMPRODUCT($G$15720:$K$15720,$G$15625:$K$15625),SUMPRODUCT($G$15720:$K$15720,$G$15638:$K$15638)),0)</f>
        <v>0.0760399605200525</v>
      </c>
    </row>
    <row r="15798" customFormat="false" ht="15" hidden="false" customHeight="false" outlineLevel="0" collapsed="false">
      <c r="A15798" s="3" t="s">
        <v>527</v>
      </c>
      <c r="C15798" s="25" t="n">
        <f aca="false">CHOOSE(C15791,C15772,C15773,C15774)*C15797</f>
        <v>98.6043072022996</v>
      </c>
    </row>
    <row r="15799" customFormat="false" ht="15" hidden="false" customHeight="false" outlineLevel="0" collapsed="false">
      <c r="A15799" s="3" t="s">
        <v>528</v>
      </c>
      <c r="C15799" s="21" t="n">
        <f aca="false">CHOOSE(C15791,C15776,C15777,C15778)</f>
        <v>0.960821507452371</v>
      </c>
    </row>
    <row r="15800" customFormat="false" ht="15" hidden="false" customHeight="false" outlineLevel="0" collapsed="false">
      <c r="A15800" s="3" t="s">
        <v>529</v>
      </c>
      <c r="C15800" s="20" t="n">
        <f aca="false">IF(C15721=1,C15796,C15795)</f>
        <v>3</v>
      </c>
    </row>
    <row r="15801" customFormat="false" ht="15" hidden="false" customHeight="false" outlineLevel="0" collapsed="false">
      <c r="A15801" s="3" t="s">
        <v>530</v>
      </c>
      <c r="C15801" s="34" t="n">
        <f aca="false">CHOOSE($C$15558,Assumptions!$C$83,Assumptions!$C$102,Assumptions!$C$121)</f>
        <v>100</v>
      </c>
    </row>
    <row r="15802" customFormat="false" ht="15" hidden="false" customHeight="false" outlineLevel="0" collapsed="false">
      <c r="A15802" s="3" t="s">
        <v>531</v>
      </c>
      <c r="C15802" s="25" t="n">
        <f aca="false">INDEX($G$15575:$K$15575,C15795)*CHOOSE($C$15558,Assumptions!$C$82,Assumptions!$C$101,Assumptions!$C$120)+MAX(0,INDEX($G$15670:$K$15670,C15795))</f>
        <v>1898.86777853863</v>
      </c>
    </row>
    <row r="15803" customFormat="false" ht="15" hidden="false" customHeight="false" outlineLevel="0" collapsed="false">
      <c r="A15803" s="23" t="s">
        <v>532</v>
      </c>
      <c r="B15803" s="24"/>
      <c r="C15803" s="24"/>
      <c r="D15803" s="24"/>
      <c r="E15803" s="24"/>
      <c r="F15803" s="24"/>
      <c r="G15803" s="24"/>
      <c r="H15803" s="24"/>
      <c r="I15803" s="24"/>
      <c r="J15803" s="24"/>
      <c r="K15803" s="24"/>
    </row>
    <row r="15804" customFormat="false" ht="15" hidden="false" customHeight="false" outlineLevel="0" collapsed="false">
      <c r="A15804" s="3" t="s">
        <v>499</v>
      </c>
      <c r="C15804" s="25" t="n">
        <f aca="false">INDEX($G$15612:$K$15612,C15795)</f>
        <v>1315.098</v>
      </c>
    </row>
    <row r="15805" customFormat="false" ht="15" hidden="false" customHeight="false" outlineLevel="0" collapsed="false">
      <c r="A15805" s="3" t="s">
        <v>500</v>
      </c>
      <c r="C15805" s="25" t="n">
        <f aca="false">INDEX($G$15625:$K$15625,C15795)</f>
        <v>0</v>
      </c>
    </row>
    <row r="15806" customFormat="false" ht="15" hidden="false" customHeight="false" outlineLevel="0" collapsed="false">
      <c r="A15806" s="3" t="s">
        <v>501</v>
      </c>
      <c r="C15806" s="25" t="n">
        <f aca="false">INDEX($G$15638:$K$15638,C15795)</f>
        <v>0</v>
      </c>
    </row>
    <row r="15807" customFormat="false" ht="15" hidden="false" customHeight="false" outlineLevel="0" collapsed="false">
      <c r="A15807" s="23" t="s">
        <v>502</v>
      </c>
      <c r="B15807" s="24"/>
      <c r="C15807" s="24"/>
      <c r="D15807" s="24"/>
      <c r="E15807" s="24"/>
      <c r="F15807" s="24"/>
      <c r="G15807" s="24"/>
      <c r="H15807" s="24"/>
      <c r="I15807" s="24"/>
      <c r="J15807" s="24"/>
      <c r="K15807" s="24"/>
    </row>
    <row r="15808" customFormat="false" ht="15" hidden="false" customHeight="false" outlineLevel="0" collapsed="false">
      <c r="A15808" s="3" t="s">
        <v>499</v>
      </c>
      <c r="C15808" s="27" t="n">
        <f aca="false">Assumptions!$M$56</f>
        <v>1</v>
      </c>
    </row>
    <row r="15809" customFormat="false" ht="15" hidden="false" customHeight="false" outlineLevel="0" collapsed="false">
      <c r="A15809" s="3" t="s">
        <v>500</v>
      </c>
      <c r="C15809" s="27" t="n">
        <f aca="false">Assumptions!$M$57</f>
        <v>2</v>
      </c>
    </row>
    <row r="15810" customFormat="false" ht="15" hidden="false" customHeight="false" outlineLevel="0" collapsed="false">
      <c r="A15810" s="3" t="s">
        <v>501</v>
      </c>
      <c r="C15810" s="27" t="n">
        <f aca="false">Assumptions!$M$58</f>
        <v>2</v>
      </c>
    </row>
    <row r="15811" customFormat="false" ht="15" hidden="false" customHeight="false" outlineLevel="0" collapsed="false">
      <c r="A15811" s="23" t="s">
        <v>503</v>
      </c>
      <c r="B15811" s="24"/>
      <c r="C15811" s="24"/>
      <c r="D15811" s="24"/>
      <c r="E15811" s="24"/>
      <c r="F15811" s="24"/>
      <c r="G15811" s="24"/>
      <c r="H15811" s="24"/>
      <c r="I15811" s="24"/>
      <c r="J15811" s="24"/>
      <c r="K15811" s="24"/>
    </row>
    <row r="15812" customFormat="false" ht="15" hidden="false" customHeight="false" outlineLevel="0" collapsed="false">
      <c r="A15812" s="3" t="s">
        <v>499</v>
      </c>
      <c r="C15812" s="35" t="n">
        <f aca="false">Assumptions!$Q$56</f>
        <v>0</v>
      </c>
    </row>
    <row r="15813" customFormat="false" ht="15" hidden="false" customHeight="false" outlineLevel="0" collapsed="false">
      <c r="A15813" s="3" t="s">
        <v>500</v>
      </c>
      <c r="C15813" s="35" t="n">
        <f aca="false">Assumptions!$Q$57</f>
        <v>0</v>
      </c>
    </row>
    <row r="15814" customFormat="false" ht="15" hidden="false" customHeight="false" outlineLevel="0" collapsed="false">
      <c r="A15814" s="3" t="s">
        <v>501</v>
      </c>
      <c r="C15814" s="35" t="n">
        <f aca="false">Assumptions!$Q$58</f>
        <v>0</v>
      </c>
    </row>
    <row r="15815" customFormat="false" ht="15" hidden="false" customHeight="false" outlineLevel="0" collapsed="false">
      <c r="A15815" s="23" t="s">
        <v>504</v>
      </c>
      <c r="B15815" s="24"/>
      <c r="C15815" s="24"/>
      <c r="D15815" s="24"/>
      <c r="E15815" s="24"/>
      <c r="F15815" s="24"/>
      <c r="G15815" s="24"/>
      <c r="H15815" s="24"/>
      <c r="I15815" s="24"/>
      <c r="J15815" s="24"/>
      <c r="K15815" s="24"/>
    </row>
    <row r="15816" customFormat="false" ht="15" hidden="false" customHeight="false" outlineLevel="0" collapsed="false">
      <c r="A15816" s="3" t="s">
        <v>499</v>
      </c>
      <c r="C15816" s="25" t="n">
        <f aca="false">IF(C15812&gt;0,MIN(C15804,C15812*$C$15802),0)</f>
        <v>0</v>
      </c>
    </row>
    <row r="15817" customFormat="false" ht="15" hidden="false" customHeight="false" outlineLevel="0" collapsed="false">
      <c r="A15817" s="3" t="s">
        <v>500</v>
      </c>
      <c r="C15817" s="25" t="n">
        <f aca="false">IF(C15813&gt;0,MIN(C15805,C15813*$C$15802),0)</f>
        <v>0</v>
      </c>
    </row>
    <row r="15818" customFormat="false" ht="15" hidden="false" customHeight="false" outlineLevel="0" collapsed="false">
      <c r="A15818" s="3" t="s">
        <v>501</v>
      </c>
      <c r="C15818" s="25" t="n">
        <f aca="false">IF(C15814&gt;0,MIN(C15806,C15814*$C$15802),0)</f>
        <v>0</v>
      </c>
    </row>
    <row r="15819" customFormat="false" ht="15" hidden="false" customHeight="false" outlineLevel="0" collapsed="false">
      <c r="A15819" s="23" t="s">
        <v>505</v>
      </c>
      <c r="B15819" s="24"/>
      <c r="C15819" s="24"/>
      <c r="D15819" s="24"/>
      <c r="E15819" s="24"/>
      <c r="F15819" s="24"/>
      <c r="G15819" s="24"/>
      <c r="H15819" s="24"/>
      <c r="I15819" s="24"/>
      <c r="J15819" s="24"/>
      <c r="K15819" s="24"/>
    </row>
    <row r="15820" customFormat="false" ht="15" hidden="false" customHeight="false" outlineLevel="0" collapsed="false">
      <c r="A15820" s="3" t="s">
        <v>499</v>
      </c>
      <c r="C15820" s="25" t="n">
        <f aca="false">IF(C15812&gt;0,C15804-C15816,0)</f>
        <v>0</v>
      </c>
    </row>
    <row r="15821" customFormat="false" ht="15" hidden="false" customHeight="false" outlineLevel="0" collapsed="false">
      <c r="A15821" s="3" t="s">
        <v>500</v>
      </c>
      <c r="C15821" s="25" t="n">
        <f aca="false">IF(C15813&gt;0,C15805-C15817,0)</f>
        <v>0</v>
      </c>
    </row>
    <row r="15822" customFormat="false" ht="15" hidden="false" customHeight="false" outlineLevel="0" collapsed="false">
      <c r="A15822" s="3" t="s">
        <v>501</v>
      </c>
      <c r="C15822" s="25" t="n">
        <f aca="false">IF(C15814&gt;0,C15806-C15818,0)</f>
        <v>0</v>
      </c>
    </row>
    <row r="15823" customFormat="false" ht="15" hidden="false" customHeight="false" outlineLevel="0" collapsed="false">
      <c r="A15823" s="23" t="s">
        <v>506</v>
      </c>
      <c r="B15823" s="24"/>
      <c r="C15823" s="24"/>
      <c r="D15823" s="24"/>
      <c r="E15823" s="24"/>
      <c r="F15823" s="24"/>
      <c r="G15823" s="24"/>
      <c r="H15823" s="24"/>
      <c r="I15823" s="24"/>
      <c r="J15823" s="24"/>
      <c r="K15823" s="24"/>
    </row>
    <row r="15824" customFormat="false" ht="15" hidden="false" customHeight="false" outlineLevel="0" collapsed="false">
      <c r="A15824" s="3" t="s">
        <v>499</v>
      </c>
      <c r="C15824" s="25" t="n">
        <f aca="false">IF(C15812&gt;0,C15820,C15804)</f>
        <v>1315.098</v>
      </c>
    </row>
    <row r="15825" customFormat="false" ht="15" hidden="false" customHeight="false" outlineLevel="0" collapsed="false">
      <c r="A15825" s="3" t="s">
        <v>500</v>
      </c>
      <c r="C15825" s="25" t="n">
        <f aca="false">IF(C15813&gt;0,C15821,C15805)</f>
        <v>0</v>
      </c>
    </row>
    <row r="15826" customFormat="false" ht="15" hidden="false" customHeight="false" outlineLevel="0" collapsed="false">
      <c r="A15826" s="3" t="s">
        <v>501</v>
      </c>
      <c r="C15826" s="25" t="n">
        <f aca="false">IF(C15814&gt;0,C15822,C15806)</f>
        <v>0</v>
      </c>
    </row>
    <row r="15827" customFormat="false" ht="15" hidden="false" customHeight="false" outlineLevel="0" collapsed="false">
      <c r="A15827" s="23" t="s">
        <v>507</v>
      </c>
      <c r="B15827" s="24"/>
      <c r="C15827" s="24"/>
      <c r="D15827" s="24"/>
      <c r="E15827" s="24"/>
      <c r="F15827" s="24"/>
      <c r="G15827" s="24"/>
      <c r="H15827" s="24"/>
      <c r="I15827" s="24"/>
      <c r="J15827" s="24"/>
      <c r="K15827" s="24"/>
    </row>
    <row r="15828" customFormat="false" ht="15" hidden="false" customHeight="false" outlineLevel="0" collapsed="false">
      <c r="A15828" s="3" t="s">
        <v>499</v>
      </c>
      <c r="C15828" s="20" t="n">
        <f aca="false">IF(C15812&gt;0,Assumptions!$C$17,C15808)</f>
        <v>1</v>
      </c>
    </row>
    <row r="15829" customFormat="false" ht="15" hidden="false" customHeight="false" outlineLevel="0" collapsed="false">
      <c r="A15829" s="3" t="s">
        <v>500</v>
      </c>
      <c r="C15829" s="20" t="n">
        <f aca="false">IF(C15813&gt;0,Assumptions!$C$17,C15809)</f>
        <v>2</v>
      </c>
    </row>
    <row r="15830" customFormat="false" ht="15" hidden="false" customHeight="false" outlineLevel="0" collapsed="false">
      <c r="A15830" s="3" t="s">
        <v>501</v>
      </c>
      <c r="C15830" s="20" t="n">
        <f aca="false">IF(C15814&gt;0,Assumptions!$C$17,C15810)</f>
        <v>2</v>
      </c>
    </row>
    <row r="15831" customFormat="false" ht="15" hidden="false" customHeight="false" outlineLevel="0" collapsed="false">
      <c r="A15831" s="23" t="s">
        <v>508</v>
      </c>
      <c r="B15831" s="24"/>
      <c r="C15831" s="24"/>
      <c r="D15831" s="24"/>
      <c r="E15831" s="24"/>
      <c r="F15831" s="24"/>
      <c r="G15831" s="24"/>
      <c r="H15831" s="24"/>
      <c r="I15831" s="24"/>
      <c r="J15831" s="24"/>
      <c r="K15831" s="24"/>
    </row>
    <row r="15832" customFormat="false" ht="15" hidden="false" customHeight="false" outlineLevel="0" collapsed="false">
      <c r="A15832" s="3" t="s">
        <v>499</v>
      </c>
      <c r="C15832" s="25" t="n">
        <f aca="false">SUMPRODUCT(($C$15828:$C$15830&lt;C15828)*$C$15824:$C$15826)</f>
        <v>0</v>
      </c>
    </row>
    <row r="15833" customFormat="false" ht="15" hidden="false" customHeight="false" outlineLevel="0" collapsed="false">
      <c r="A15833" s="3" t="s">
        <v>500</v>
      </c>
      <c r="C15833" s="25" t="n">
        <f aca="false">SUMPRODUCT(($C$15828:$C$15830&lt;C15829)*$C$15824:$C$15826)</f>
        <v>1315.098</v>
      </c>
    </row>
    <row r="15834" customFormat="false" ht="15" hidden="false" customHeight="false" outlineLevel="0" collapsed="false">
      <c r="A15834" s="3" t="s">
        <v>501</v>
      </c>
      <c r="C15834" s="25" t="n">
        <f aca="false">SUMPRODUCT(($C$15828:$C$15830&lt;C15830)*$C$15824:$C$15826)</f>
        <v>1315.098</v>
      </c>
    </row>
    <row r="15835" customFormat="false" ht="15" hidden="false" customHeight="false" outlineLevel="0" collapsed="false">
      <c r="A15835" s="23" t="s">
        <v>509</v>
      </c>
      <c r="B15835" s="24"/>
      <c r="C15835" s="24"/>
      <c r="D15835" s="24"/>
      <c r="E15835" s="24"/>
      <c r="F15835" s="24"/>
      <c r="G15835" s="24"/>
      <c r="H15835" s="24"/>
      <c r="I15835" s="24"/>
      <c r="J15835" s="24"/>
      <c r="K15835" s="24"/>
    </row>
    <row r="15836" customFormat="false" ht="15" hidden="false" customHeight="false" outlineLevel="0" collapsed="false">
      <c r="A15836" s="3" t="s">
        <v>499</v>
      </c>
      <c r="C15836" s="25" t="n">
        <f aca="false">SUMPRODUCT(($C$15828:$C$15830=C15828)*$C$15824:$C$15826)</f>
        <v>1315.098</v>
      </c>
    </row>
    <row r="15837" customFormat="false" ht="15" hidden="false" customHeight="false" outlineLevel="0" collapsed="false">
      <c r="A15837" s="3" t="s">
        <v>500</v>
      </c>
      <c r="C15837" s="25" t="n">
        <f aca="false">SUMPRODUCT(($C$15828:$C$15830=C15829)*$C$15824:$C$15826)</f>
        <v>0</v>
      </c>
    </row>
    <row r="15838" customFormat="false" ht="15" hidden="false" customHeight="false" outlineLevel="0" collapsed="false">
      <c r="A15838" s="3" t="s">
        <v>501</v>
      </c>
      <c r="C15838" s="25" t="n">
        <f aca="false">SUMPRODUCT(($C$15828:$C$15830=C15830)*$C$15824:$C$15826)</f>
        <v>0</v>
      </c>
    </row>
    <row r="15839" customFormat="false" ht="15" hidden="false" customHeight="false" outlineLevel="0" collapsed="false">
      <c r="A15839" s="23" t="s">
        <v>510</v>
      </c>
      <c r="B15839" s="24"/>
      <c r="C15839" s="24"/>
      <c r="D15839" s="24"/>
      <c r="E15839" s="24"/>
      <c r="F15839" s="24"/>
      <c r="G15839" s="24"/>
      <c r="H15839" s="24"/>
      <c r="I15839" s="24"/>
      <c r="J15839" s="24"/>
      <c r="K15839" s="24"/>
    </row>
    <row r="15840" customFormat="false" ht="15" hidden="false" customHeight="false" outlineLevel="0" collapsed="false">
      <c r="A15840" s="3" t="s">
        <v>499</v>
      </c>
      <c r="C15840" s="25" t="n">
        <f aca="false">IF(C15836=0,0,C15824/C15836*MAX(0,MIN(C15836,$C$15802-SUM($C$15816:$C$15818)-C15832)))</f>
        <v>1315.098</v>
      </c>
    </row>
    <row r="15841" customFormat="false" ht="15" hidden="false" customHeight="false" outlineLevel="0" collapsed="false">
      <c r="A15841" s="3" t="s">
        <v>500</v>
      </c>
      <c r="C15841" s="25" t="n">
        <f aca="false">IF(C15837=0,0,C15825/C15837*MAX(0,MIN(C15837,$C$15802-SUM($C$15816:$C$15818)-C15833)))</f>
        <v>0</v>
      </c>
    </row>
    <row r="15842" customFormat="false" ht="15" hidden="false" customHeight="false" outlineLevel="0" collapsed="false">
      <c r="A15842" s="3" t="s">
        <v>501</v>
      </c>
      <c r="C15842" s="25" t="n">
        <f aca="false">IF(C15838=0,0,C15826/C15838*MAX(0,MIN(C15838,$C$15802-SUM($C$15816:$C$15818)-C15834)))</f>
        <v>0</v>
      </c>
    </row>
    <row r="15843" customFormat="false" ht="15" hidden="false" customHeight="false" outlineLevel="0" collapsed="false">
      <c r="A15843" s="23" t="s">
        <v>511</v>
      </c>
      <c r="B15843" s="24"/>
      <c r="C15843" s="24"/>
      <c r="D15843" s="24"/>
      <c r="E15843" s="24"/>
      <c r="F15843" s="24"/>
      <c r="G15843" s="24"/>
      <c r="H15843" s="24"/>
      <c r="I15843" s="24"/>
      <c r="J15843" s="24"/>
      <c r="K15843" s="24"/>
    </row>
    <row r="15844" customFormat="false" ht="15" hidden="false" customHeight="false" outlineLevel="0" collapsed="false">
      <c r="A15844" s="2" t="s">
        <v>499</v>
      </c>
      <c r="C15844" s="16" t="n">
        <f aca="false">C15816+C15840</f>
        <v>1315.098</v>
      </c>
    </row>
    <row r="15845" customFormat="false" ht="15" hidden="false" customHeight="false" outlineLevel="0" collapsed="false">
      <c r="A15845" s="2" t="s">
        <v>500</v>
      </c>
      <c r="C15845" s="16" t="n">
        <f aca="false">C15817+C15841</f>
        <v>0</v>
      </c>
    </row>
    <row r="15846" customFormat="false" ht="15" hidden="false" customHeight="false" outlineLevel="0" collapsed="false">
      <c r="A15846" s="2" t="s">
        <v>501</v>
      </c>
      <c r="C15846" s="16" t="n">
        <f aca="false">C15818+C15842</f>
        <v>0</v>
      </c>
    </row>
    <row r="15847" customFormat="false" ht="15" hidden="false" customHeight="false" outlineLevel="0" collapsed="false">
      <c r="A15847" s="23" t="s">
        <v>512</v>
      </c>
      <c r="B15847" s="24"/>
      <c r="C15847" s="24"/>
      <c r="D15847" s="24"/>
      <c r="E15847" s="24"/>
      <c r="F15847" s="24"/>
      <c r="G15847" s="24"/>
      <c r="H15847" s="24"/>
      <c r="I15847" s="24"/>
      <c r="J15847" s="24"/>
      <c r="K15847" s="24"/>
    </row>
    <row r="15848" customFormat="false" ht="15" hidden="false" customHeight="false" outlineLevel="0" collapsed="false">
      <c r="A15848" s="3" t="s">
        <v>499</v>
      </c>
      <c r="C15848" s="21" t="n">
        <f aca="false">IF(C15804=0,1,C15844/C15804)</f>
        <v>1</v>
      </c>
    </row>
    <row r="15849" customFormat="false" ht="15" hidden="false" customHeight="false" outlineLevel="0" collapsed="false">
      <c r="A15849" s="3" t="s">
        <v>500</v>
      </c>
      <c r="C15849" s="21" t="n">
        <f aca="false">IF(C15805=0,1,C15845/C15805)</f>
        <v>1</v>
      </c>
    </row>
    <row r="15850" customFormat="false" ht="15" hidden="false" customHeight="false" outlineLevel="0" collapsed="false">
      <c r="A15850" s="3" t="s">
        <v>501</v>
      </c>
      <c r="C15850" s="21" t="n">
        <f aca="false">IF(C15806=0,1,C15846/C15806)</f>
        <v>1</v>
      </c>
    </row>
    <row r="15851" customFormat="false" ht="15" hidden="false" customHeight="false" outlineLevel="0" collapsed="false">
      <c r="A15851" s="23" t="s">
        <v>513</v>
      </c>
      <c r="B15851" s="24"/>
      <c r="C15851" s="24"/>
      <c r="D15851" s="24"/>
      <c r="E15851" s="24"/>
      <c r="F15851" s="24"/>
      <c r="G15851" s="24"/>
      <c r="H15851" s="24"/>
      <c r="I15851" s="24"/>
      <c r="J15851" s="24"/>
      <c r="K15851" s="24"/>
    </row>
    <row r="15852" customFormat="false" ht="15" hidden="false" customHeight="false" outlineLevel="0" collapsed="false">
      <c r="A15852" s="3" t="s">
        <v>499</v>
      </c>
      <c r="C15852" s="25" t="n">
        <f aca="false">C15804-C15844</f>
        <v>0</v>
      </c>
    </row>
    <row r="15853" customFormat="false" ht="15" hidden="false" customHeight="false" outlineLevel="0" collapsed="false">
      <c r="A15853" s="3" t="s">
        <v>500</v>
      </c>
      <c r="C15853" s="25" t="n">
        <f aca="false">C15805-C15845</f>
        <v>0</v>
      </c>
    </row>
    <row r="15854" customFormat="false" ht="15" hidden="false" customHeight="false" outlineLevel="0" collapsed="false">
      <c r="A15854" s="3" t="s">
        <v>501</v>
      </c>
      <c r="C15854" s="25" t="n">
        <f aca="false">C15806-C15846</f>
        <v>0</v>
      </c>
    </row>
    <row r="15855" customFormat="false" ht="15" hidden="false" customHeight="false" outlineLevel="0" collapsed="false">
      <c r="A15855" s="23" t="s">
        <v>514</v>
      </c>
      <c r="B15855" s="24"/>
      <c r="C15855" s="24"/>
      <c r="D15855" s="24"/>
      <c r="E15855" s="24"/>
      <c r="F15855" s="24"/>
      <c r="G15855" s="24"/>
      <c r="H15855" s="24"/>
      <c r="I15855" s="24"/>
      <c r="J15855" s="24"/>
      <c r="K15855" s="24"/>
    </row>
    <row r="15856" customFormat="false" ht="15" hidden="false" customHeight="false" outlineLevel="0" collapsed="false">
      <c r="A15856" s="3" t="s">
        <v>499</v>
      </c>
      <c r="C15856" s="21" t="n">
        <f aca="false">IF(C15804=0,0,C15852/C15804)</f>
        <v>0</v>
      </c>
    </row>
    <row r="15857" customFormat="false" ht="15" hidden="false" customHeight="false" outlineLevel="0" collapsed="false">
      <c r="A15857" s="3" t="s">
        <v>500</v>
      </c>
      <c r="C15857" s="21" t="n">
        <f aca="false">IF(C15805=0,0,C15853/C15805)</f>
        <v>0</v>
      </c>
    </row>
    <row r="15858" customFormat="false" ht="15" hidden="false" customHeight="false" outlineLevel="0" collapsed="false">
      <c r="A15858" s="3" t="s">
        <v>501</v>
      </c>
      <c r="C15858" s="21" t="n">
        <f aca="false">IF(C15806=0,0,C15854/C15806)</f>
        <v>0</v>
      </c>
    </row>
    <row r="15859" customFormat="false" ht="15" hidden="false" customHeight="false" outlineLevel="0" collapsed="false">
      <c r="A15859" s="2" t="s">
        <v>515</v>
      </c>
      <c r="C15859" s="16" t="n">
        <f aca="false">MAX(0,$C$15802-SUM($C$15816:$C$15818)-SUM($C$15824:$C$15826))</f>
        <v>583.769778538632</v>
      </c>
    </row>
    <row r="15860" customFormat="false" ht="15" hidden="false" customHeight="false" outlineLevel="0" collapsed="false">
      <c r="A15860" s="3" t="s">
        <v>533</v>
      </c>
      <c r="C15860" s="34" t="n">
        <f aca="false">MIN(C15801,100*CHOOSE(C15791,C15848,C15849,C15850))</f>
        <v>100</v>
      </c>
    </row>
    <row r="15861" customFormat="false" ht="15" hidden="false" customHeight="false" outlineLevel="0" collapsed="false">
      <c r="A15861" s="3" t="s">
        <v>534</v>
      </c>
      <c r="C15861" s="20" t="n">
        <f aca="false">IF(C15721=1,C15796+Assumptions!$C$39,C15795)</f>
        <v>3</v>
      </c>
    </row>
    <row r="15862" customFormat="false" ht="15" hidden="false" customHeight="false" outlineLevel="0" collapsed="false">
      <c r="A15862" s="23" t="s">
        <v>535</v>
      </c>
      <c r="B15862" s="24"/>
      <c r="C15862" s="24"/>
      <c r="D15862" s="24"/>
      <c r="E15862" s="24"/>
      <c r="F15862" s="24"/>
      <c r="G15862" s="24"/>
      <c r="H15862" s="24"/>
      <c r="I15862" s="24"/>
      <c r="J15862" s="24"/>
      <c r="K15862" s="24"/>
    </row>
    <row r="15863" customFormat="false" ht="15" hidden="false" customHeight="false" outlineLevel="0" collapsed="false">
      <c r="A15863" s="3" t="s">
        <v>536</v>
      </c>
      <c r="C15863" s="20" t="n">
        <f aca="false">COLUMN()-COLUMN($C$1)</f>
        <v>0</v>
      </c>
      <c r="D15863" s="20" t="n">
        <f aca="false">COLUMN()-COLUMN($C$1)</f>
        <v>1</v>
      </c>
      <c r="E15863" s="20" t="n">
        <f aca="false">COLUMN()-COLUMN($C$1)</f>
        <v>2</v>
      </c>
      <c r="F15863" s="20" t="n">
        <f aca="false">COLUMN()-COLUMN($C$1)</f>
        <v>3</v>
      </c>
      <c r="G15863" s="20" t="n">
        <f aca="false">COLUMN()-COLUMN($C$1)</f>
        <v>4</v>
      </c>
      <c r="H15863" s="20" t="n">
        <f aca="false">COLUMN()-COLUMN($C$1)</f>
        <v>5</v>
      </c>
      <c r="I15863" s="20" t="n">
        <f aca="false">COLUMN()-COLUMN($C$1)</f>
        <v>6</v>
      </c>
    </row>
    <row r="15864" customFormat="false" ht="15" hidden="false" customHeight="false" outlineLevel="0" collapsed="false">
      <c r="A15864" s="3" t="s">
        <v>537</v>
      </c>
      <c r="D15864" s="31" t="n">
        <f aca="false">CHOOSE($C$15791,G15604,G15617,G15630)</f>
        <v>0.105</v>
      </c>
      <c r="E15864" s="31" t="n">
        <f aca="false">CHOOSE($C$15791,H15604,H15617,H15630)</f>
        <v>0.105</v>
      </c>
      <c r="F15864" s="31" t="n">
        <f aca="false">CHOOSE($C$15791,I15604,I15617,I15630)</f>
        <v>0.105</v>
      </c>
      <c r="G15864" s="31" t="n">
        <f aca="false">CHOOSE($C$15791,J15604,J15617,J15630)</f>
        <v>0.105</v>
      </c>
      <c r="H15864" s="31" t="n">
        <f aca="false">CHOOSE($C$15791,K15604,K15617,K15630)</f>
        <v>0.105</v>
      </c>
    </row>
    <row r="15865" customFormat="false" ht="15" hidden="false" customHeight="false" outlineLevel="0" collapsed="false">
      <c r="A15865" s="3" t="s">
        <v>538</v>
      </c>
      <c r="D15865" s="25" t="n">
        <f aca="false">IF(D15863&lt;=$C$15800,$C$15792*D15864,0)</f>
        <v>10.5</v>
      </c>
      <c r="E15865" s="25" t="n">
        <f aca="false">IF(E15863&lt;=$C$15800,$C$15792*E15864,0)</f>
        <v>10.5</v>
      </c>
      <c r="F15865" s="25" t="n">
        <f aca="false">IF(F15863&lt;=$C$15800,$C$15792*F15864,0)</f>
        <v>10.5</v>
      </c>
      <c r="G15865" s="25" t="n">
        <f aca="false">IF(G15863&lt;=$C$15800,$C$15792*G15864,0)</f>
        <v>0</v>
      </c>
      <c r="H15865" s="25" t="n">
        <f aca="false">IF(H15863&lt;=$C$15800,$C$15792*H15864,0)</f>
        <v>0</v>
      </c>
    </row>
    <row r="15866" customFormat="false" ht="15" hidden="false" customHeight="false" outlineLevel="0" collapsed="false">
      <c r="A15866" s="3" t="s">
        <v>539</v>
      </c>
      <c r="D15866" s="25" t="n">
        <f aca="false">IF(AND($C$15721=0,D15863=$C$15795),$C$15792*$C$15860/100,0)+IF(AND($C$15721=1,D15863=$C$15861),$C$15798,0)</f>
        <v>0</v>
      </c>
      <c r="E15866" s="25" t="n">
        <f aca="false">IF(AND($C$15721=0,E15863=$C$15795),$C$15792*$C$15860/100,0)+IF(AND($C$15721=1,E15863=$C$15861),$C$15798,0)</f>
        <v>0</v>
      </c>
      <c r="F15866" s="25" t="n">
        <f aca="false">IF(AND($C$15721=0,F15863=$C$15795),$C$15792*$C$15860/100,0)+IF(AND($C$15721=1,F15863=$C$15861),$C$15798,0)</f>
        <v>100</v>
      </c>
      <c r="G15866" s="25" t="n">
        <f aca="false">IF(AND($C$15721=0,G15863=$C$15795),$C$15792*$C$15860/100,0)+IF(AND($C$15721=1,G15863=$C$15861),$C$15798,0)</f>
        <v>0</v>
      </c>
      <c r="H15866" s="25" t="n">
        <f aca="false">IF(AND($C$15721=0,H15863=$C$15795),$C$15792*$C$15860/100,0)+IF(AND($C$15721=1,H15863=$C$15861),$C$15798,0)</f>
        <v>0</v>
      </c>
      <c r="I15866" s="25" t="n">
        <f aca="false">IF(AND($C$15721=0,I15863=$C$15795),$C$15792*$C$15860/100,0)+IF(AND($C$15721=1,I15863=$C$15861),$C$15798,0)</f>
        <v>0</v>
      </c>
    </row>
    <row r="15867" customFormat="false" ht="15" hidden="false" customHeight="false" outlineLevel="0" collapsed="false">
      <c r="A15867" s="2" t="s">
        <v>540</v>
      </c>
      <c r="C15867" s="16" t="n">
        <f aca="false">-$C$15794</f>
        <v>-95</v>
      </c>
      <c r="D15867" s="16" t="n">
        <f aca="false">D15865+D15866</f>
        <v>10.5</v>
      </c>
      <c r="E15867" s="16" t="n">
        <f aca="false">E15865+E15866</f>
        <v>10.5</v>
      </c>
      <c r="F15867" s="16" t="n">
        <f aca="false">F15865+F15866</f>
        <v>110.5</v>
      </c>
      <c r="G15867" s="16" t="n">
        <f aca="false">G15865+G15866</f>
        <v>0</v>
      </c>
      <c r="H15867" s="16" t="n">
        <f aca="false">H15865+H15866</f>
        <v>0</v>
      </c>
      <c r="I15867" s="16" t="n">
        <f aca="false">I15865+I15866</f>
        <v>0</v>
      </c>
    </row>
    <row r="15868" customFormat="false" ht="15" hidden="false" customHeight="false" outlineLevel="0" collapsed="false">
      <c r="A15868" s="3" t="s">
        <v>541</v>
      </c>
      <c r="C15868" s="25" t="n">
        <f aca="false">SUM($C$15865:$I$15865)</f>
        <v>31.5</v>
      </c>
    </row>
    <row r="15869" customFormat="false" ht="15" hidden="false" customHeight="false" outlineLevel="0" collapsed="false">
      <c r="A15869" s="3" t="s">
        <v>542</v>
      </c>
      <c r="C15869" s="25" t="n">
        <f aca="false">SUM($C$15866:$I$15866)</f>
        <v>100</v>
      </c>
    </row>
    <row r="15870" customFormat="false" ht="15" hidden="false" customHeight="false" outlineLevel="0" collapsed="false">
      <c r="A15870" s="3" t="s">
        <v>543</v>
      </c>
      <c r="C15870" s="25" t="n">
        <f aca="false">C15868+C15869</f>
        <v>131.5</v>
      </c>
    </row>
    <row r="15871" customFormat="false" ht="15" hidden="false" customHeight="false" outlineLevel="0" collapsed="false">
      <c r="A15871" s="3" t="s">
        <v>544</v>
      </c>
      <c r="C15871" s="25" t="n">
        <f aca="false">C15869-C15792*C15793/100</f>
        <v>5</v>
      </c>
    </row>
    <row r="15872" customFormat="false" ht="15" hidden="false" customHeight="false" outlineLevel="0" collapsed="false">
      <c r="A15872" s="3" t="s">
        <v>545</v>
      </c>
      <c r="C15872" s="25" t="n">
        <f aca="false">C15870-C15794</f>
        <v>36.5</v>
      </c>
    </row>
    <row r="15873" customFormat="false" ht="15" hidden="false" customHeight="false" outlineLevel="0" collapsed="false">
      <c r="A15873" s="2" t="s">
        <v>427</v>
      </c>
      <c r="C15873" s="44" t="n">
        <f aca="false">C15870/C15794</f>
        <v>1.38421052631579</v>
      </c>
    </row>
    <row r="15874" customFormat="false" ht="15" hidden="false" customHeight="false" outlineLevel="0" collapsed="false">
      <c r="A15874" s="2" t="s">
        <v>426</v>
      </c>
      <c r="C15874" s="42" t="n">
        <f aca="false">IF(C15870&lt;=0,-1,IFERROR(IRR($C$15867:$I$15867,MAX(-0.9,C15873^(1/C15861)-1)),IRR($C$15867:$I$15867,0.1)))</f>
        <v>0.126033624615204</v>
      </c>
    </row>
    <row r="15875" customFormat="false" ht="15" hidden="false" customHeight="false" outlineLevel="0" collapsed="false">
      <c r="A15875" s="3" t="s">
        <v>546</v>
      </c>
      <c r="C15875" s="32" t="n">
        <f aca="false">MAX($G$15681:$K$15681)</f>
        <v>3.81499621093561</v>
      </c>
    </row>
    <row r="15876" customFormat="false" ht="15" hidden="false" customHeight="false" outlineLevel="0" collapsed="false">
      <c r="A15876" s="3" t="s">
        <v>547</v>
      </c>
      <c r="C15876" s="32" t="n">
        <f aca="false">MIN($G$15682:$K$15682)</f>
        <v>1.75842750947116</v>
      </c>
    </row>
    <row r="15877" customFormat="false" ht="15" hidden="false" customHeight="false" outlineLevel="0" collapsed="false">
      <c r="A15877" s="3" t="s">
        <v>548</v>
      </c>
      <c r="C15877" s="25" t="n">
        <f aca="false">SUM($G$15588:$K$15588)</f>
        <v>555.588348849095</v>
      </c>
    </row>
    <row r="15881" customFormat="false" ht="15" hidden="false" customHeight="false" outlineLevel="0" collapsed="false">
      <c r="A15881" s="9" t="s">
        <v>1063</v>
      </c>
      <c r="B15881" s="10"/>
      <c r="C15881" s="10"/>
      <c r="D15881" s="10"/>
      <c r="E15881" s="10"/>
      <c r="F15881" s="10"/>
      <c r="G15881" s="10"/>
      <c r="H15881" s="10"/>
      <c r="I15881" s="10"/>
      <c r="J15881" s="10"/>
      <c r="K15881" s="10"/>
    </row>
    <row r="15882" customFormat="false" ht="15" hidden="false" customHeight="false" outlineLevel="0" collapsed="false">
      <c r="A15882" s="3" t="s">
        <v>1010</v>
      </c>
      <c r="C15882" s="11" t="n">
        <v>1</v>
      </c>
    </row>
    <row r="15883" customFormat="false" ht="15" hidden="false" customHeight="false" outlineLevel="0" collapsed="false">
      <c r="A15883" s="3" t="s">
        <v>1011</v>
      </c>
      <c r="C15883" s="18" t="n">
        <v>0</v>
      </c>
    </row>
    <row r="15884" customFormat="false" ht="15" hidden="false" customHeight="false" outlineLevel="0" collapsed="false">
      <c r="A15884" s="3" t="s">
        <v>1012</v>
      </c>
      <c r="C15884" s="18" t="n">
        <v>0</v>
      </c>
    </row>
    <row r="15885" customFormat="false" ht="15" hidden="false" customHeight="false" outlineLevel="0" collapsed="false">
      <c r="A15885" s="3" t="s">
        <v>1013</v>
      </c>
      <c r="C15885" s="18" t="n">
        <v>0</v>
      </c>
    </row>
    <row r="15886" customFormat="false" ht="15" hidden="false" customHeight="false" outlineLevel="0" collapsed="false">
      <c r="A15886" s="3" t="s">
        <v>1014</v>
      </c>
      <c r="C15886" s="33" t="n">
        <f aca="false">Sensitivities!$A$61</f>
        <v>-1</v>
      </c>
    </row>
    <row r="15888" customFormat="false" ht="15" hidden="false" customHeight="false" outlineLevel="0" collapsed="false">
      <c r="A15888" s="23" t="s">
        <v>281</v>
      </c>
      <c r="B15888" s="24"/>
      <c r="C15888" s="24"/>
      <c r="D15888" s="24"/>
      <c r="E15888" s="24"/>
      <c r="F15888" s="24"/>
      <c r="G15888" s="24"/>
      <c r="H15888" s="24"/>
      <c r="I15888" s="24"/>
      <c r="J15888" s="24"/>
      <c r="K15888" s="24"/>
    </row>
    <row r="15889" customFormat="false" ht="15" hidden="false" customHeight="false" outlineLevel="0" collapsed="false">
      <c r="A15889" s="3" t="s">
        <v>282</v>
      </c>
      <c r="F15889" s="27" t="n">
        <f aca="false">Assumptions!$C$6</f>
        <v>2026</v>
      </c>
      <c r="G15889" s="20" t="n">
        <f aca="false">F15889+1</f>
        <v>2027</v>
      </c>
      <c r="H15889" s="20" t="n">
        <f aca="false">G15889+1</f>
        <v>2028</v>
      </c>
      <c r="I15889" s="20" t="n">
        <f aca="false">H15889+1</f>
        <v>2029</v>
      </c>
      <c r="J15889" s="20" t="n">
        <f aca="false">I15889+1</f>
        <v>2030</v>
      </c>
      <c r="K15889" s="20" t="n">
        <f aca="false">J15889+1</f>
        <v>2031</v>
      </c>
    </row>
    <row r="15890" customFormat="false" ht="15" hidden="false" customHeight="false" outlineLevel="0" collapsed="false">
      <c r="A15890" s="3" t="s">
        <v>283</v>
      </c>
      <c r="G15890" s="20" t="n">
        <f aca="false">G15889-Assumptions!$C$6</f>
        <v>1</v>
      </c>
      <c r="H15890" s="20" t="n">
        <f aca="false">H15889-Assumptions!$C$6</f>
        <v>2</v>
      </c>
      <c r="I15890" s="20" t="n">
        <f aca="false">I15889-Assumptions!$C$6</f>
        <v>3</v>
      </c>
      <c r="J15890" s="20" t="n">
        <f aca="false">J15889-Assumptions!$C$6</f>
        <v>4</v>
      </c>
      <c r="K15890" s="20" t="n">
        <f aca="false">K15889-Assumptions!$C$6</f>
        <v>5</v>
      </c>
    </row>
    <row r="15891" customFormat="false" ht="15" hidden="false" customHeight="false" outlineLevel="0" collapsed="false">
      <c r="A15891" s="3" t="s">
        <v>165</v>
      </c>
      <c r="G15891" s="21" t="n">
        <f aca="false">CHOOSE($C$15882,Assumptions!$G$71,Assumptions!$G$90,Assumptions!$G$109)+$C$15883</f>
        <v>-0.045</v>
      </c>
      <c r="H15891" s="21" t="n">
        <f aca="false">CHOOSE($C$15882,Assumptions!$H$71,Assumptions!$H$90,Assumptions!$H$109)+$C$15883</f>
        <v>-0.04</v>
      </c>
      <c r="I15891" s="21" t="n">
        <f aca="false">CHOOSE($C$15882,Assumptions!$I$71,Assumptions!$I$90,Assumptions!$I$109)+$C$15883</f>
        <v>-0.035</v>
      </c>
      <c r="J15891" s="21" t="n">
        <f aca="false">CHOOSE($C$15882,Assumptions!$J$71,Assumptions!$J$90,Assumptions!$J$109)+$C$15883</f>
        <v>-0.03</v>
      </c>
      <c r="K15891" s="21" t="n">
        <f aca="false">CHOOSE($C$15882,Assumptions!$K$71,Assumptions!$K$90,Assumptions!$K$109)+$C$15883</f>
        <v>-0.03</v>
      </c>
    </row>
    <row r="15892" customFormat="false" ht="15" hidden="false" customHeight="false" outlineLevel="0" collapsed="false">
      <c r="A15892" s="3" t="s">
        <v>166</v>
      </c>
      <c r="G15892" s="21" t="n">
        <f aca="false">CHOOSE($C$15882,Assumptions!$G$72,Assumptions!$G$91,Assumptions!$G$110)</f>
        <v>0.483246670103635</v>
      </c>
      <c r="H15892" s="21" t="n">
        <f aca="false">CHOOSE($C$15882,Assumptions!$H$72,Assumptions!$H$91,Assumptions!$H$110)</f>
        <v>0.483246670103635</v>
      </c>
      <c r="I15892" s="21" t="n">
        <f aca="false">CHOOSE($C$15882,Assumptions!$I$72,Assumptions!$I$91,Assumptions!$I$110)</f>
        <v>0.481246670103635</v>
      </c>
      <c r="J15892" s="21" t="n">
        <f aca="false">CHOOSE($C$15882,Assumptions!$J$72,Assumptions!$J$91,Assumptions!$J$110)</f>
        <v>0.479246670103635</v>
      </c>
      <c r="K15892" s="21" t="n">
        <f aca="false">CHOOSE($C$15882,Assumptions!$K$72,Assumptions!$K$91,Assumptions!$K$110)</f>
        <v>0.477246670103635</v>
      </c>
    </row>
    <row r="15893" customFormat="false" ht="15" hidden="false" customHeight="false" outlineLevel="0" collapsed="false">
      <c r="A15893" s="3" t="s">
        <v>167</v>
      </c>
      <c r="G15893" s="21" t="n">
        <f aca="false">CHOOSE($C$15882,Assumptions!$G$73,Assumptions!$G$92,Assumptions!$G$111)+$C$15884</f>
        <v>0.14</v>
      </c>
      <c r="H15893" s="21" t="n">
        <f aca="false">CHOOSE($C$15882,Assumptions!$H$73,Assumptions!$H$92,Assumptions!$H$111)+$C$15884</f>
        <v>0.14</v>
      </c>
      <c r="I15893" s="21" t="n">
        <f aca="false">CHOOSE($C$15882,Assumptions!$I$73,Assumptions!$I$92,Assumptions!$I$111)+$C$15884</f>
        <v>0.138</v>
      </c>
      <c r="J15893" s="21" t="n">
        <f aca="false">CHOOSE($C$15882,Assumptions!$J$73,Assumptions!$J$92,Assumptions!$J$111)+$C$15884</f>
        <v>0.136</v>
      </c>
      <c r="K15893" s="21" t="n">
        <f aca="false">CHOOSE($C$15882,Assumptions!$K$73,Assumptions!$K$92,Assumptions!$K$111)+$C$15884</f>
        <v>0.134</v>
      </c>
    </row>
    <row r="15894" customFormat="false" ht="15" hidden="false" customHeight="false" outlineLevel="0" collapsed="false">
      <c r="A15894" s="23" t="s">
        <v>284</v>
      </c>
      <c r="B15894" s="24"/>
      <c r="C15894" s="24"/>
      <c r="D15894" s="24"/>
      <c r="E15894" s="24"/>
      <c r="F15894" s="24"/>
      <c r="G15894" s="24"/>
      <c r="H15894" s="24"/>
      <c r="I15894" s="24"/>
      <c r="J15894" s="24"/>
      <c r="K15894" s="24"/>
    </row>
    <row r="15895" customFormat="false" ht="15" hidden="false" customHeight="false" outlineLevel="0" collapsed="false">
      <c r="A15895" s="2" t="s">
        <v>256</v>
      </c>
      <c r="F15895" s="28" t="n">
        <f aca="false">'Historical Financials'!G23</f>
        <v>2246.166</v>
      </c>
      <c r="G15895" s="16" t="n">
        <f aca="false">F15895*(1+G15891)</f>
        <v>2145.08853</v>
      </c>
      <c r="H15895" s="16" t="n">
        <f aca="false">G15895*(1+H15891)</f>
        <v>2059.2849888</v>
      </c>
      <c r="I15895" s="16" t="n">
        <f aca="false">H15895*(1+I15891)</f>
        <v>1987.210014192</v>
      </c>
      <c r="J15895" s="16" t="n">
        <f aca="false">I15895*(1+J15891)</f>
        <v>1927.59371376624</v>
      </c>
      <c r="K15895" s="16" t="n">
        <f aca="false">J15895*(1+K15891)</f>
        <v>1869.76590235325</v>
      </c>
    </row>
    <row r="15896" customFormat="false" ht="15" hidden="false" customHeight="false" outlineLevel="0" collapsed="false">
      <c r="A15896" s="3" t="s">
        <v>257</v>
      </c>
      <c r="G15896" s="25" t="n">
        <f aca="false">G15895*(1-G15892)</f>
        <v>1108.4816408</v>
      </c>
      <c r="H15896" s="25" t="n">
        <f aca="false">H15895*(1-H15892)</f>
        <v>1064.142375168</v>
      </c>
      <c r="I15896" s="25" t="n">
        <f aca="false">I15895*(1-I15892)</f>
        <v>1030.8718120655</v>
      </c>
      <c r="J15896" s="25" t="n">
        <f aca="false">J15895*(1-J15892)</f>
        <v>1003.80084513107</v>
      </c>
      <c r="K15896" s="25" t="n">
        <f aca="false">K15895*(1-K15892)</f>
        <v>977.426351581845</v>
      </c>
    </row>
    <row r="15897" customFormat="false" ht="15" hidden="false" customHeight="false" outlineLevel="0" collapsed="false">
      <c r="A15897" s="2" t="s">
        <v>258</v>
      </c>
      <c r="G15897" s="16" t="n">
        <f aca="false">G15895-G15896</f>
        <v>1036.6068892</v>
      </c>
      <c r="H15897" s="16" t="n">
        <f aca="false">H15895-H15896</f>
        <v>995.142613632</v>
      </c>
      <c r="I15897" s="16" t="n">
        <f aca="false">I15895-I15896</f>
        <v>956.338202126496</v>
      </c>
      <c r="J15897" s="16" t="n">
        <f aca="false">J15895-J15896</f>
        <v>923.792868635169</v>
      </c>
      <c r="K15897" s="16" t="n">
        <f aca="false">K15895-K15896</f>
        <v>892.339550771407</v>
      </c>
    </row>
    <row r="15898" customFormat="false" ht="15" hidden="false" customHeight="false" outlineLevel="0" collapsed="false">
      <c r="A15898" s="3" t="s">
        <v>285</v>
      </c>
      <c r="G15898" s="25" t="n">
        <f aca="false">G15897-G15899</f>
        <v>736.294495</v>
      </c>
      <c r="H15898" s="25" t="n">
        <f aca="false">H15897-H15899</f>
        <v>706.8427152</v>
      </c>
      <c r="I15898" s="25" t="n">
        <f aca="false">I15897-I15899</f>
        <v>682.103220168</v>
      </c>
      <c r="J15898" s="25" t="n">
        <f aca="false">J15897-J15899</f>
        <v>661.64012356296</v>
      </c>
      <c r="K15898" s="25" t="n">
        <f aca="false">K15897-K15899</f>
        <v>641.790919856071</v>
      </c>
    </row>
    <row r="15899" customFormat="false" ht="15" hidden="false" customHeight="false" outlineLevel="0" collapsed="false">
      <c r="A15899" s="2" t="s">
        <v>286</v>
      </c>
      <c r="G15899" s="16" t="n">
        <f aca="false">G15895*G15893</f>
        <v>300.3123942</v>
      </c>
      <c r="H15899" s="16" t="n">
        <f aca="false">H15895*H15893</f>
        <v>288.299898432</v>
      </c>
      <c r="I15899" s="16" t="n">
        <f aca="false">I15895*I15893</f>
        <v>274.234981958496</v>
      </c>
      <c r="J15899" s="16" t="n">
        <f aca="false">J15895*J15893</f>
        <v>262.152745072209</v>
      </c>
      <c r="K15899" s="16" t="n">
        <f aca="false">K15895*K15893</f>
        <v>250.548630915336</v>
      </c>
    </row>
    <row r="15900" customFormat="false" ht="15" hidden="false" customHeight="false" outlineLevel="0" collapsed="false">
      <c r="A15900" s="3" t="s">
        <v>287</v>
      </c>
      <c r="G15900" s="25" t="n">
        <f aca="false">G15895*'Historical Financials'!G28/'Historical Financials'!G23</f>
        <v>81.45768</v>
      </c>
      <c r="H15900" s="25" t="n">
        <f aca="false">H15895*'Historical Financials'!G28/'Historical Financials'!G23</f>
        <v>78.1993728</v>
      </c>
      <c r="I15900" s="25" t="n">
        <f aca="false">I15895*'Historical Financials'!G28/'Historical Financials'!G23</f>
        <v>75.462394752</v>
      </c>
      <c r="J15900" s="25" t="n">
        <f aca="false">J15895*'Historical Financials'!G28/'Historical Financials'!G23</f>
        <v>73.19852290944</v>
      </c>
      <c r="K15900" s="25" t="n">
        <f aca="false">K15895*'Historical Financials'!G28/'Historical Financials'!G23</f>
        <v>71.0025672221568</v>
      </c>
    </row>
    <row r="15901" customFormat="false" ht="15" hidden="false" customHeight="false" outlineLevel="0" collapsed="false">
      <c r="A15901" s="3" t="s">
        <v>288</v>
      </c>
      <c r="G15901" s="25" t="n">
        <f aca="false">G15895*'Historical Financials'!G29/'Historical Financials'!G23</f>
        <v>23.25998</v>
      </c>
      <c r="H15901" s="25" t="n">
        <f aca="false">H15895*'Historical Financials'!G29/'Historical Financials'!G23</f>
        <v>22.3295808</v>
      </c>
      <c r="I15901" s="25" t="n">
        <f aca="false">I15895*'Historical Financials'!G29/'Historical Financials'!G23</f>
        <v>21.548045472</v>
      </c>
      <c r="J15901" s="25" t="n">
        <f aca="false">J15895*'Historical Financials'!G29/'Historical Financials'!G23</f>
        <v>20.90160410784</v>
      </c>
      <c r="K15901" s="25" t="n">
        <f aca="false">K15895*'Historical Financials'!G29/'Historical Financials'!G23</f>
        <v>20.2745559846048</v>
      </c>
    </row>
    <row r="15902" customFormat="false" ht="15" hidden="false" customHeight="false" outlineLevel="0" collapsed="false">
      <c r="A15902" s="2" t="s">
        <v>289</v>
      </c>
      <c r="G15902" s="16" t="n">
        <f aca="false">G15899-G15900-G15901</f>
        <v>195.5947342</v>
      </c>
      <c r="H15902" s="16" t="n">
        <f aca="false">H15899-H15900-H15901</f>
        <v>187.770944832</v>
      </c>
      <c r="I15902" s="16" t="n">
        <f aca="false">I15899-I15900-I15901</f>
        <v>177.224541734496</v>
      </c>
      <c r="J15902" s="16" t="n">
        <f aca="false">J15899-J15900-J15901</f>
        <v>168.052618054929</v>
      </c>
      <c r="K15902" s="16" t="n">
        <f aca="false">K15899-K15900-K15901</f>
        <v>159.271507708574</v>
      </c>
    </row>
    <row r="15903" customFormat="false" ht="15" hidden="false" customHeight="false" outlineLevel="0" collapsed="false">
      <c r="A15903" s="3" t="s">
        <v>290</v>
      </c>
      <c r="G15903" s="25" t="n">
        <f aca="false">G15929+G15942+G15955</f>
        <v>155.95467</v>
      </c>
      <c r="H15903" s="25" t="n">
        <f aca="false">H15929+H15942+H15955</f>
        <v>155.95467</v>
      </c>
      <c r="I15903" s="25" t="n">
        <f aca="false">I15929+I15942+I15955</f>
        <v>155.95467</v>
      </c>
      <c r="J15903" s="25" t="n">
        <f aca="false">J15929+J15942+J15955</f>
        <v>138.08529</v>
      </c>
      <c r="K15903" s="25" t="n">
        <f aca="false">K15929+K15942+K15955</f>
        <v>138.08529</v>
      </c>
    </row>
    <row r="15904" customFormat="false" ht="15" hidden="false" customHeight="false" outlineLevel="0" collapsed="false">
      <c r="A15904" s="3" t="s">
        <v>291</v>
      </c>
      <c r="G15904" s="25" t="n">
        <f aca="false">G15930+G15943+G15956</f>
        <v>0</v>
      </c>
      <c r="H15904" s="25" t="n">
        <f aca="false">H15930+H15943+H15956</f>
        <v>0</v>
      </c>
      <c r="I15904" s="25" t="n">
        <f aca="false">I15930+I15943+I15956</f>
        <v>0</v>
      </c>
      <c r="J15904" s="25" t="n">
        <f aca="false">J15930+J15943+J15956</f>
        <v>0</v>
      </c>
      <c r="K15904" s="25" t="n">
        <f aca="false">K15930+K15943+K15956</f>
        <v>0</v>
      </c>
    </row>
    <row r="15905" customFormat="false" ht="15" hidden="false" customHeight="false" outlineLevel="0" collapsed="false">
      <c r="A15905" s="3" t="s">
        <v>239</v>
      </c>
      <c r="G15905" s="25" t="n">
        <f aca="false">G15903+G15904</f>
        <v>155.95467</v>
      </c>
      <c r="H15905" s="25" t="n">
        <f aca="false">H15903+H15904</f>
        <v>155.95467</v>
      </c>
      <c r="I15905" s="25" t="n">
        <f aca="false">I15903+I15904</f>
        <v>155.95467</v>
      </c>
      <c r="J15905" s="25" t="n">
        <f aca="false">J15903+J15904</f>
        <v>138.08529</v>
      </c>
      <c r="K15905" s="25" t="n">
        <f aca="false">K15903+K15904</f>
        <v>138.08529</v>
      </c>
    </row>
    <row r="15906" customFormat="false" ht="15" hidden="false" customHeight="false" outlineLevel="0" collapsed="false">
      <c r="A15906" s="2" t="s">
        <v>264</v>
      </c>
      <c r="G15906" s="16" t="n">
        <f aca="false">G15902-G15905</f>
        <v>39.6400642</v>
      </c>
      <c r="H15906" s="16" t="n">
        <f aca="false">H15902-H15905</f>
        <v>31.816274832</v>
      </c>
      <c r="I15906" s="16" t="n">
        <f aca="false">I15902-I15905</f>
        <v>21.269871734496</v>
      </c>
      <c r="J15906" s="16" t="n">
        <f aca="false">J15902-J15905</f>
        <v>29.9673280549286</v>
      </c>
      <c r="K15906" s="16" t="n">
        <f aca="false">K15902-K15905</f>
        <v>21.1862177085742</v>
      </c>
    </row>
    <row r="15907" customFormat="false" ht="15" hidden="false" customHeight="false" outlineLevel="0" collapsed="false">
      <c r="A15907" s="3" t="s">
        <v>292</v>
      </c>
      <c r="G15907" s="25" t="n">
        <f aca="false">MAX(0,G15906)*Assumptions!$C$9</f>
        <v>9.91001604999999</v>
      </c>
      <c r="H15907" s="25" t="n">
        <f aca="false">MAX(0,H15906)*Assumptions!$C$9</f>
        <v>7.95406870799999</v>
      </c>
      <c r="I15907" s="25" t="n">
        <f aca="false">MAX(0,I15906)*Assumptions!$C$9</f>
        <v>5.317467933624</v>
      </c>
      <c r="J15907" s="25" t="n">
        <f aca="false">MAX(0,J15906)*Assumptions!$C$9</f>
        <v>7.49183201373215</v>
      </c>
      <c r="K15907" s="25" t="n">
        <f aca="false">MAX(0,K15906)*Assumptions!$C$9</f>
        <v>5.29655442714356</v>
      </c>
    </row>
    <row r="15908" customFormat="false" ht="15" hidden="false" customHeight="false" outlineLevel="0" collapsed="false">
      <c r="A15908" s="2" t="s">
        <v>293</v>
      </c>
      <c r="G15908" s="16" t="n">
        <f aca="false">G15906-G15907</f>
        <v>29.73004815</v>
      </c>
      <c r="H15908" s="16" t="n">
        <f aca="false">H15906-H15907</f>
        <v>23.862206124</v>
      </c>
      <c r="I15908" s="16" t="n">
        <f aca="false">I15906-I15907</f>
        <v>15.952403800872</v>
      </c>
      <c r="J15908" s="16" t="n">
        <f aca="false">J15906-J15907</f>
        <v>22.4754960411965</v>
      </c>
      <c r="K15908" s="16" t="n">
        <f aca="false">K15906-K15907</f>
        <v>15.8896632814307</v>
      </c>
    </row>
    <row r="15909" customFormat="false" ht="15" hidden="false" customHeight="false" outlineLevel="0" collapsed="false">
      <c r="A15909" s="23" t="s">
        <v>294</v>
      </c>
      <c r="B15909" s="24"/>
      <c r="C15909" s="24"/>
      <c r="D15909" s="24"/>
      <c r="E15909" s="24"/>
      <c r="F15909" s="24"/>
      <c r="G15909" s="24"/>
      <c r="H15909" s="24"/>
      <c r="I15909" s="24"/>
      <c r="J15909" s="24"/>
      <c r="K15909" s="24"/>
    </row>
    <row r="15910" customFormat="false" ht="15" hidden="false" customHeight="false" outlineLevel="0" collapsed="false">
      <c r="A15910" s="3" t="s">
        <v>169</v>
      </c>
      <c r="G15910" s="25" t="n">
        <f aca="false">G15895*CHOOSE($C$15882,Assumptions!$C$75,Assumptions!$C$94,Assumptions!$C$113)</f>
        <v>30.03123942</v>
      </c>
      <c r="H15910" s="25" t="n">
        <f aca="false">H15895*CHOOSE($C$15882,Assumptions!$C$75,Assumptions!$C$94,Assumptions!$C$113)</f>
        <v>28.8299898432</v>
      </c>
      <c r="I15910" s="25" t="n">
        <f aca="false">I15895*CHOOSE($C$15882,Assumptions!$C$75,Assumptions!$C$94,Assumptions!$C$113)</f>
        <v>27.820940198688</v>
      </c>
      <c r="J15910" s="25" t="n">
        <f aca="false">J15895*CHOOSE($C$15882,Assumptions!$C$75,Assumptions!$C$94,Assumptions!$C$113)</f>
        <v>26.9863119927274</v>
      </c>
      <c r="K15910" s="25" t="n">
        <f aca="false">K15895*CHOOSE($C$15882,Assumptions!$C$75,Assumptions!$C$94,Assumptions!$C$113)</f>
        <v>26.1767226329455</v>
      </c>
    </row>
    <row r="15911" customFormat="false" ht="15" hidden="false" customHeight="false" outlineLevel="0" collapsed="false">
      <c r="A15911" s="3" t="s">
        <v>295</v>
      </c>
      <c r="G15911" s="25" t="n">
        <f aca="false">CHOOSE($C$15882,Assumptions!$C$76,Assumptions!$C$95,Assumptions!$C$114)*(G15895-F15895)+CHOOSE($C$15882,Assumptions!$C$77,Assumptions!$C$96,Assumptions!$C$115)*G15895</f>
        <v>-21.4508853</v>
      </c>
      <c r="H15911" s="25" t="n">
        <f aca="false">CHOOSE($C$15882,Assumptions!$C$76,Assumptions!$C$95,Assumptions!$C$114)*(H15895-G15895)+CHOOSE($C$15882,Assumptions!$C$77,Assumptions!$C$96,Assumptions!$C$115)*H15895</f>
        <v>-20.592849888</v>
      </c>
      <c r="I15911" s="25" t="n">
        <f aca="false">CHOOSE($C$15882,Assumptions!$C$76,Assumptions!$C$95,Assumptions!$C$114)*(I15895-H15895)+CHOOSE($C$15882,Assumptions!$C$77,Assumptions!$C$96,Assumptions!$C$115)*I15895</f>
        <v>-19.87210014192</v>
      </c>
      <c r="J15911" s="25" t="n">
        <f aca="false">CHOOSE($C$15882,Assumptions!$C$76,Assumptions!$C$95,Assumptions!$C$114)*(J15895-I15895)+CHOOSE($C$15882,Assumptions!$C$77,Assumptions!$C$96,Assumptions!$C$115)*J15895</f>
        <v>-19.2759371376624</v>
      </c>
      <c r="K15911" s="25" t="n">
        <f aca="false">CHOOSE($C$15882,Assumptions!$C$76,Assumptions!$C$95,Assumptions!$C$114)*(K15895-J15895)+CHOOSE($C$15882,Assumptions!$C$77,Assumptions!$C$96,Assumptions!$C$115)*K15895</f>
        <v>-18.6976590235325</v>
      </c>
    </row>
    <row r="15912" customFormat="false" ht="15" hidden="false" customHeight="false" outlineLevel="0" collapsed="false">
      <c r="A15912" s="2" t="s">
        <v>296</v>
      </c>
      <c r="G15912" s="16" t="n">
        <f aca="false">G15908+G15900+G15901+G15904-G15910-G15911</f>
        <v>125.86735403</v>
      </c>
      <c r="H15912" s="16" t="n">
        <f aca="false">H15908+H15900+H15901+H15904-H15910-H15911</f>
        <v>116.1540197688</v>
      </c>
      <c r="I15912" s="16" t="n">
        <f aca="false">I15908+I15900+I15901+I15904-I15910-I15911</f>
        <v>105.014003968104</v>
      </c>
      <c r="J15912" s="16" t="n">
        <f aca="false">J15908+J15900+J15901+J15904-J15910-J15911</f>
        <v>108.865248203412</v>
      </c>
      <c r="K15912" s="16" t="n">
        <f aca="false">K15908+K15900+K15901+K15904-K15910-K15911</f>
        <v>99.6877228787792</v>
      </c>
    </row>
    <row r="15914" customFormat="false" ht="15" hidden="false" customHeight="false" outlineLevel="0" collapsed="false">
      <c r="A15914" s="23" t="s">
        <v>298</v>
      </c>
      <c r="B15914" s="24"/>
      <c r="C15914" s="24"/>
      <c r="D15914" s="24"/>
      <c r="E15914" s="24"/>
      <c r="F15914" s="24"/>
      <c r="G15914" s="24"/>
      <c r="H15914" s="24"/>
      <c r="I15914" s="24"/>
      <c r="J15914" s="24"/>
      <c r="K15914" s="24"/>
    </row>
    <row r="15915" customFormat="false" ht="15" hidden="false" customHeight="false" outlineLevel="0" collapsed="false">
      <c r="A15915" s="3" t="s">
        <v>299</v>
      </c>
      <c r="G15915" s="30" t="n">
        <f aca="false">Assumptions!$G$52</f>
        <v>0.039</v>
      </c>
      <c r="H15915" s="30" t="n">
        <f aca="false">Assumptions!$H$52</f>
        <v>0.0375</v>
      </c>
      <c r="I15915" s="30" t="n">
        <f aca="false">Assumptions!$I$52</f>
        <v>0.035</v>
      </c>
      <c r="J15915" s="30" t="n">
        <f aca="false">Assumptions!$J$52</f>
        <v>0.035</v>
      </c>
      <c r="K15915" s="30" t="n">
        <f aca="false">Assumptions!$K$52</f>
        <v>0.035</v>
      </c>
    </row>
    <row r="15916" customFormat="false" ht="15" hidden="false" customHeight="false" outlineLevel="0" collapsed="false">
      <c r="A15916" s="3" t="s">
        <v>300</v>
      </c>
      <c r="C15916" s="31" t="n">
        <f aca="false">CHOOSE($C$15882,Assumptions!$C$78,Assumptions!$C$97,Assumptions!$C$116)+$C$15885</f>
        <v>0</v>
      </c>
    </row>
    <row r="15917" customFormat="false" ht="15" hidden="false" customHeight="false" outlineLevel="0" collapsed="false">
      <c r="A15917" s="3" t="s">
        <v>301</v>
      </c>
      <c r="C15917" s="31" t="n">
        <f aca="false">CHOOSE($C$15882,Assumptions!$C$79,Assumptions!$C$98,Assumptions!$C$117)</f>
        <v>0.11</v>
      </c>
    </row>
    <row r="15918" customFormat="false" ht="15" hidden="false" customHeight="false" outlineLevel="0" collapsed="false">
      <c r="A15918" s="3" t="s">
        <v>302</v>
      </c>
      <c r="C15918" s="32" t="n">
        <f aca="false">CHOOSE($C$15882,Assumptions!$C$80,Assumptions!$C$99,Assumptions!$C$118)</f>
        <v>6</v>
      </c>
    </row>
    <row r="15919" customFormat="false" ht="15" hidden="false" customHeight="false" outlineLevel="0" collapsed="false">
      <c r="A15919" s="3" t="s">
        <v>303</v>
      </c>
      <c r="C15919" s="32" t="n">
        <f aca="false">CHOOSE($C$15882,Assumptions!$C$81,Assumptions!$C$100,Assumptions!$C$119)</f>
        <v>1.25</v>
      </c>
    </row>
    <row r="15920" customFormat="false" ht="15" hidden="false" customHeight="false" outlineLevel="0" collapsed="false">
      <c r="A15920" s="3" t="s">
        <v>304</v>
      </c>
      <c r="G15920" s="25" t="n">
        <f aca="false">G15925+G15938+G15951</f>
        <v>1735.554</v>
      </c>
      <c r="H15920" s="25" t="n">
        <f aca="false">H15925+H15938+H15951</f>
        <v>1735.554</v>
      </c>
      <c r="I15920" s="25" t="n">
        <f aca="false">I15925+I15938+I15951</f>
        <v>1735.554</v>
      </c>
      <c r="J15920" s="25" t="n">
        <f aca="false">J15925+J15938+J15951</f>
        <v>1315.098</v>
      </c>
      <c r="K15920" s="25" t="n">
        <f aca="false">K15925+K15938+K15951</f>
        <v>1315.098</v>
      </c>
    </row>
    <row r="15921" customFormat="false" ht="15" hidden="false" customHeight="false" outlineLevel="0" collapsed="false">
      <c r="A15921" s="3" t="s">
        <v>305</v>
      </c>
      <c r="G15921" s="25" t="n">
        <f aca="false">F15994</f>
        <v>463.996</v>
      </c>
      <c r="H15921" s="25" t="n">
        <f aca="false">G15994</f>
        <v>589.86335403</v>
      </c>
      <c r="I15921" s="25" t="n">
        <f aca="false">H15994</f>
        <v>706.0173737988</v>
      </c>
      <c r="J15921" s="25" t="n">
        <f aca="false">I15994</f>
        <v>390.575377766904</v>
      </c>
      <c r="K15921" s="25" t="n">
        <f aca="false">J15994</f>
        <v>499.440625970316</v>
      </c>
    </row>
    <row r="15922" customFormat="false" ht="15" hidden="false" customHeight="false" outlineLevel="0" collapsed="false">
      <c r="A15922" s="3" t="s">
        <v>306</v>
      </c>
      <c r="G15922" s="25" t="n">
        <f aca="false">G15925*IF(G15926=1,$C$15917,IF(Assumptions!$I$56=1,MAX(G15915,Assumptions!$G$56)+Assumptions!$F$56+$C$15916,Assumptions!$E$56))+G15938*IF(G15939=1,$C$15917,IF(Assumptions!$I$57=1,MAX(G15915,Assumptions!$G$57)+Assumptions!$F$57+$C$15916,Assumptions!$E$57))+G15951*IF(G15952=1,$C$15917,IF(Assumptions!$I$58=1,MAX(G15915,Assumptions!$G$58)+Assumptions!$F$58+$C$15916,Assumptions!$E$58))</f>
        <v>155.95467</v>
      </c>
      <c r="H15922" s="25" t="n">
        <f aca="false">H15925*IF(OR(H15926=1,G16072=1),$C$15917,IF(Assumptions!$I$56=1,MAX(H15915,Assumptions!$G$56)+Assumptions!$F$56+$C$15916,Assumptions!$E$56))+H15938*IF(OR(H15939=1,G16073=1),$C$15917,IF(Assumptions!$I$57=1,MAX(H15915,Assumptions!$G$57)+Assumptions!$F$57+$C$15916,Assumptions!$E$57))+H15951*IF(OR(H15952=1,G16074=1),$C$15917,IF(Assumptions!$I$58=1,MAX(H15915,Assumptions!$G$58)+Assumptions!$F$58+$C$15916,Assumptions!$E$58))</f>
        <v>155.95467</v>
      </c>
      <c r="I15922" s="25" t="n">
        <f aca="false">I15925*IF(OR(I15926=1,H16072=1),$C$15917,IF(Assumptions!$I$56=1,MAX(I15915,Assumptions!$G$56)+Assumptions!$F$56+$C$15916,Assumptions!$E$56))+I15938*IF(OR(I15939=1,H16073=1),$C$15917,IF(Assumptions!$I$57=1,MAX(I15915,Assumptions!$G$57)+Assumptions!$F$57+$C$15916,Assumptions!$E$57))+I15951*IF(OR(I15952=1,H16074=1),$C$15917,IF(Assumptions!$I$58=1,MAX(I15915,Assumptions!$G$58)+Assumptions!$F$58+$C$15916,Assumptions!$E$58))</f>
        <v>184.33545</v>
      </c>
      <c r="J15922" s="25" t="n">
        <f aca="false">J15925*IF(OR(J15926=1,I16072=1),$C$15917,IF(Assumptions!$I$56=1,MAX(J15915,Assumptions!$G$56)+Assumptions!$F$56+$C$15916,Assumptions!$E$56))+J15938*IF(OR(J15939=1,I16073=1),$C$15917,IF(Assumptions!$I$57=1,MAX(J15915,Assumptions!$G$57)+Assumptions!$F$57+$C$15916,Assumptions!$E$57))+J15951*IF(OR(J15952=1,I16074=1),$C$15917,IF(Assumptions!$I$58=1,MAX(J15915,Assumptions!$G$58)+Assumptions!$F$58+$C$15916,Assumptions!$E$58))</f>
        <v>138.08529</v>
      </c>
      <c r="K15922" s="25" t="n">
        <f aca="false">K15925*IF(OR(K15926=1,J16072=1),$C$15917,IF(Assumptions!$I$56=1,MAX(K15915,Assumptions!$G$56)+Assumptions!$F$56+$C$15916,Assumptions!$E$56))+K15938*IF(OR(K15939=1,J16073=1),$C$15917,IF(Assumptions!$I$57=1,MAX(K15915,Assumptions!$G$57)+Assumptions!$F$57+$C$15916,Assumptions!$E$57))+K15951*IF(OR(K15952=1,J16074=1),$C$15917,IF(Assumptions!$I$58=1,MAX(K15915,Assumptions!$G$58)+Assumptions!$F$58+$C$15916,Assumptions!$E$58))</f>
        <v>138.08529</v>
      </c>
    </row>
    <row r="15923" customFormat="false" ht="15" hidden="false" customHeight="false" outlineLevel="0" collapsed="false">
      <c r="A15923" s="3" t="s">
        <v>307</v>
      </c>
      <c r="G15923" s="20" t="n">
        <f aca="false">IF(G15899&lt;=0,0,IF(AND((G15920-G15921)/G15899&lt;=$C$15918,G15899/G15922&gt;=$C$15919),1,0))</f>
        <v>1</v>
      </c>
      <c r="H15923" s="20" t="n">
        <f aca="false">IF(H15899&lt;=0,0,IF(AND((H15920-H15921)/H15899&lt;=$C$15918,H15899/H15922&gt;=$C$15919),1,0))</f>
        <v>1</v>
      </c>
      <c r="I15923" s="20" t="n">
        <f aca="false">IF(I15899&lt;=0,0,IF(AND((I15920-I15921)/I15899&lt;=$C$15918,I15899/I15922&gt;=$C$15919),1,0))</f>
        <v>1</v>
      </c>
      <c r="J15923" s="20" t="n">
        <f aca="false">IF(J15899&lt;=0,0,IF(AND((J15920-J15921)/J15899&lt;=$C$15918,J15899/J15922&gt;=$C$15919),1,0))</f>
        <v>1</v>
      </c>
      <c r="K15923" s="20" t="n">
        <f aca="false">IF(K15899&lt;=0,0,IF(AND((K15920-K15921)/K15899&lt;=$C$15918,K15899/K15922&gt;=$C$15919),1,0))</f>
        <v>1</v>
      </c>
    </row>
    <row r="15924" customFormat="false" ht="15" hidden="false" customHeight="false" outlineLevel="0" collapsed="false">
      <c r="A15924" s="23" t="s">
        <v>308</v>
      </c>
      <c r="B15924" s="24"/>
      <c r="C15924" s="24"/>
      <c r="D15924" s="24"/>
      <c r="E15924" s="24"/>
      <c r="F15924" s="24"/>
      <c r="G15924" s="24"/>
      <c r="H15924" s="24"/>
      <c r="I15924" s="24"/>
      <c r="J15924" s="24"/>
      <c r="K15924" s="24"/>
    </row>
    <row r="15925" customFormat="false" ht="15" hidden="false" customHeight="false" outlineLevel="0" collapsed="false">
      <c r="A15925" s="3" t="s">
        <v>309</v>
      </c>
      <c r="G15925" s="25" t="n">
        <f aca="false">F15936</f>
        <v>1315.098</v>
      </c>
      <c r="H15925" s="25" t="n">
        <f aca="false">G15936</f>
        <v>1315.098</v>
      </c>
      <c r="I15925" s="25" t="n">
        <f aca="false">H15936</f>
        <v>1315.098</v>
      </c>
      <c r="J15925" s="25" t="n">
        <f aca="false">I15936</f>
        <v>1315.098</v>
      </c>
      <c r="K15925" s="25" t="n">
        <f aca="false">J15936</f>
        <v>1315.098</v>
      </c>
    </row>
    <row r="15926" customFormat="false" ht="15" hidden="false" customHeight="false" outlineLevel="0" collapsed="false">
      <c r="A15926" s="3" t="s">
        <v>310</v>
      </c>
      <c r="G15926" s="20" t="n">
        <f aca="false">IF(G15889=Assumptions!$K$56,1,0)</f>
        <v>0</v>
      </c>
      <c r="H15926" s="20" t="n">
        <f aca="false">IF(H15889=Assumptions!$K$56,1,0)</f>
        <v>0</v>
      </c>
      <c r="I15926" s="20" t="n">
        <f aca="false">IF(I15889=Assumptions!$K$56,1,0)</f>
        <v>0</v>
      </c>
      <c r="J15926" s="20" t="n">
        <f aca="false">IF(J15889=Assumptions!$K$56,1,0)</f>
        <v>0</v>
      </c>
      <c r="K15926" s="20" t="n">
        <f aca="false">IF(K15889=Assumptions!$K$56,1,0)</f>
        <v>0</v>
      </c>
    </row>
    <row r="15928" customFormat="false" ht="15" hidden="false" customHeight="false" outlineLevel="0" collapsed="false">
      <c r="A15928" s="3" t="s">
        <v>311</v>
      </c>
      <c r="G15928" s="31" t="n">
        <f aca="false">IF(Assumptions!$I$56=1,MAX(G15915,Assumptions!$G$56)+Assumptions!$F$56+$C$15916,Assumptions!$E$56)</f>
        <v>0.105</v>
      </c>
      <c r="H15928" s="31" t="n">
        <f aca="false">IF(G16072=1,$C$15917,IF(Assumptions!$I$56=1,MAX(H15915,Assumptions!$G$56)+Assumptions!$F$56+$C$15916,Assumptions!$E$56))</f>
        <v>0.105</v>
      </c>
      <c r="I15928" s="31" t="n">
        <f aca="false">IF(H16072=1,$C$15917,IF(Assumptions!$I$56=1,MAX(I15915,Assumptions!$G$56)+Assumptions!$F$56+$C$15916,Assumptions!$E$56))</f>
        <v>0.105</v>
      </c>
      <c r="J15928" s="31" t="n">
        <f aca="false">IF(I16072=1,$C$15917,IF(Assumptions!$I$56=1,MAX(J15915,Assumptions!$G$56)+Assumptions!$F$56+$C$15916,Assumptions!$E$56))</f>
        <v>0.105</v>
      </c>
      <c r="K15928" s="31" t="n">
        <f aca="false">IF(J16072=1,$C$15917,IF(Assumptions!$I$56=1,MAX(K15915,Assumptions!$G$56)+Assumptions!$F$56+$C$15916,Assumptions!$E$56))</f>
        <v>0.105</v>
      </c>
    </row>
    <row r="15929" customFormat="false" ht="15" hidden="false" customHeight="false" outlineLevel="0" collapsed="false">
      <c r="A15929" s="3" t="s">
        <v>312</v>
      </c>
      <c r="G15929" s="25" t="n">
        <f aca="false">G15925*G15928</f>
        <v>138.08529</v>
      </c>
      <c r="H15929" s="25" t="n">
        <f aca="false">H15925*H15928</f>
        <v>138.08529</v>
      </c>
      <c r="I15929" s="25" t="n">
        <f aca="false">I15925*I15928</f>
        <v>138.08529</v>
      </c>
      <c r="J15929" s="25" t="n">
        <f aca="false">J15925*J15928</f>
        <v>138.08529</v>
      </c>
      <c r="K15929" s="25" t="n">
        <f aca="false">K15925*K15928</f>
        <v>138.08529</v>
      </c>
    </row>
    <row r="15930" customFormat="false" ht="15" hidden="false" customHeight="false" outlineLevel="0" collapsed="false">
      <c r="A15930" s="3" t="s">
        <v>313</v>
      </c>
      <c r="G15930" s="25" t="n">
        <f aca="false">G15925*Assumptions!$H$56</f>
        <v>0</v>
      </c>
      <c r="H15930" s="25" t="n">
        <f aca="false">H15925*Assumptions!$H$56</f>
        <v>0</v>
      </c>
      <c r="I15930" s="25" t="n">
        <f aca="false">I15925*Assumptions!$H$56</f>
        <v>0</v>
      </c>
      <c r="J15930" s="25" t="n">
        <f aca="false">J15925*Assumptions!$H$56</f>
        <v>0</v>
      </c>
      <c r="K15930" s="25" t="n">
        <f aca="false">K15925*Assumptions!$H$56</f>
        <v>0</v>
      </c>
    </row>
    <row r="15931" customFormat="false" ht="15" hidden="false" customHeight="false" outlineLevel="0" collapsed="false">
      <c r="A15931" s="3" t="s">
        <v>314</v>
      </c>
      <c r="G15931" s="25" t="n">
        <f aca="false">MIN(G15925,Assumptions!$L$56*Assumptions!$C$56)</f>
        <v>0</v>
      </c>
      <c r="H15931" s="25" t="n">
        <f aca="false">MIN(H15925,Assumptions!$L$56*Assumptions!$C$56)</f>
        <v>0</v>
      </c>
      <c r="I15931" s="25" t="n">
        <f aca="false">MIN(I15925,Assumptions!$L$56*Assumptions!$C$56)</f>
        <v>0</v>
      </c>
      <c r="J15931" s="25" t="n">
        <f aca="false">MIN(J15925,Assumptions!$L$56*Assumptions!$C$56)</f>
        <v>0</v>
      </c>
      <c r="K15931" s="25" t="n">
        <f aca="false">MIN(K15925,Assumptions!$L$56*Assumptions!$C$56)</f>
        <v>0</v>
      </c>
    </row>
    <row r="15932" customFormat="false" ht="15" hidden="false" customHeight="false" outlineLevel="0" collapsed="false">
      <c r="A15932" s="3" t="s">
        <v>315</v>
      </c>
      <c r="G15932" s="25" t="n">
        <f aca="false">IF(AND(Assumptions!$P$56=1,G15889&lt;Assumptions!$K$56),MIN(MAX(0,-G15986),MAX(0,Assumptions!$D$56-G15925)),0)</f>
        <v>0</v>
      </c>
      <c r="H15932" s="25" t="n">
        <f aca="false">IF(AND(Assumptions!$P$56=1,OR(H15889&lt;Assumptions!$K$56,G16072=1)),MIN(MAX(0,-H15986),MAX(0,Assumptions!$D$56-H15925)),0)</f>
        <v>0</v>
      </c>
      <c r="I15932" s="25" t="n">
        <f aca="false">IF(AND(Assumptions!$P$56=1,OR(I15889&lt;Assumptions!$K$56,H16072=1)),MIN(MAX(0,-I15986),MAX(0,Assumptions!$D$56-I15925)),0)</f>
        <v>0</v>
      </c>
      <c r="J15932" s="25" t="n">
        <f aca="false">IF(AND(Assumptions!$P$56=1,OR(J15889&lt;Assumptions!$K$56,I16072=1)),MIN(MAX(0,-J15986),MAX(0,Assumptions!$D$56-J15925)),0)</f>
        <v>0</v>
      </c>
      <c r="K15932" s="25" t="n">
        <f aca="false">IF(AND(Assumptions!$P$56=1,OR(K15889&lt;Assumptions!$K$56,J16072=1)),MIN(MAX(0,-K15986),MAX(0,Assumptions!$D$56-K15925)),0)</f>
        <v>0</v>
      </c>
    </row>
    <row r="15933" customFormat="false" ht="15" hidden="false" customHeight="false" outlineLevel="0" collapsed="false">
      <c r="A15933" s="3" t="s">
        <v>316</v>
      </c>
      <c r="G15933" s="25" t="n">
        <f aca="false">G15926*MIN(G15925-G15931+G15930,MAX(0,G15988-Assumptions!$C$12*G15923))</f>
        <v>0</v>
      </c>
      <c r="H15933" s="25" t="n">
        <f aca="false">H15926*MIN(H15925-H15931+H15930,MAX(0,H15988-Assumptions!$C$12*H15923))</f>
        <v>0</v>
      </c>
      <c r="I15933" s="25" t="n">
        <f aca="false">I15926*MIN(I15925-I15931+I15930,MAX(0,I15988-Assumptions!$C$12*I15923))</f>
        <v>0</v>
      </c>
      <c r="J15933" s="25" t="n">
        <f aca="false">J15926*MIN(J15925-J15931+J15930,MAX(0,J15988-Assumptions!$C$12*J15923))</f>
        <v>0</v>
      </c>
      <c r="K15933" s="25" t="n">
        <f aca="false">K15926*MIN(K15925-K15931+K15930,MAX(0,K15988-Assumptions!$C$12*K15923))</f>
        <v>0</v>
      </c>
    </row>
    <row r="15934" customFormat="false" ht="15" hidden="false" customHeight="false" outlineLevel="0" collapsed="false">
      <c r="A15934" s="3" t="s">
        <v>317</v>
      </c>
      <c r="G15934" s="25" t="n">
        <f aca="false">Assumptions!$N$56*MIN(G15925+G15932+G15930-G15931-G15933,MAX(0,G15992))</f>
        <v>0</v>
      </c>
      <c r="H15934" s="25" t="n">
        <f aca="false">Assumptions!$N$56*MIN(H15925+H15932+H15930-H15931-H15933,MAX(0,H15992))</f>
        <v>0</v>
      </c>
      <c r="I15934" s="25" t="n">
        <f aca="false">Assumptions!$N$56*MIN(I15925+I15932+I15930-I15931-I15933,MAX(0,I15992))</f>
        <v>0</v>
      </c>
      <c r="J15934" s="25" t="n">
        <f aca="false">Assumptions!$N$56*MIN(J15925+J15932+J15930-J15931-J15933,MAX(0,J15992))</f>
        <v>0</v>
      </c>
      <c r="K15934" s="25" t="n">
        <f aca="false">Assumptions!$N$56*MIN(K15925+K15932+K15930-K15931-K15933,MAX(0,K15992))</f>
        <v>0</v>
      </c>
    </row>
    <row r="15935" customFormat="false" ht="15" hidden="false" customHeight="false" outlineLevel="0" collapsed="false">
      <c r="A15935" s="3" t="s">
        <v>318</v>
      </c>
      <c r="G15935" s="25" t="n">
        <f aca="false">G15926*(1-G15923)*(G15925-G15931+G15930-G15933)</f>
        <v>0</v>
      </c>
      <c r="H15935" s="25" t="n">
        <f aca="false">H15926*(1-H15923)*(H15925-H15931+H15930-H15933)</f>
        <v>0</v>
      </c>
      <c r="I15935" s="25" t="n">
        <f aca="false">I15926*(1-I15923)*(I15925-I15931+I15930-I15933)</f>
        <v>0</v>
      </c>
      <c r="J15935" s="25" t="n">
        <f aca="false">J15926*(1-J15923)*(J15925-J15931+J15930-J15933)</f>
        <v>0</v>
      </c>
      <c r="K15935" s="25" t="n">
        <f aca="false">K15926*(1-K15923)*(K15925-K15931+K15930-K15933)</f>
        <v>0</v>
      </c>
    </row>
    <row r="15936" customFormat="false" ht="15" hidden="false" customHeight="false" outlineLevel="0" collapsed="false">
      <c r="A15936" s="2" t="s">
        <v>319</v>
      </c>
      <c r="F15936" s="28" t="n">
        <f aca="false">Assumptions!$C$56</f>
        <v>1315.098</v>
      </c>
      <c r="G15936" s="16" t="n">
        <f aca="false">G15925+G15932+G15930-G15931-G15933-G15934</f>
        <v>1315.098</v>
      </c>
      <c r="H15936" s="16" t="n">
        <f aca="false">H15925+H15932+H15930-H15931-H15933-H15934</f>
        <v>1315.098</v>
      </c>
      <c r="I15936" s="16" t="n">
        <f aca="false">I15925+I15932+I15930-I15931-I15933-I15934</f>
        <v>1315.098</v>
      </c>
      <c r="J15936" s="16" t="n">
        <f aca="false">J15925+J15932+J15930-J15931-J15933-J15934</f>
        <v>1315.098</v>
      </c>
      <c r="K15936" s="16" t="n">
        <f aca="false">K15925+K15932+K15930-K15931-K15933-K15934</f>
        <v>1315.098</v>
      </c>
    </row>
    <row r="15937" customFormat="false" ht="15" hidden="false" customHeight="false" outlineLevel="0" collapsed="false">
      <c r="A15937" s="23" t="s">
        <v>320</v>
      </c>
      <c r="B15937" s="24"/>
      <c r="C15937" s="24"/>
      <c r="D15937" s="24"/>
      <c r="E15937" s="24"/>
      <c r="F15937" s="24"/>
      <c r="G15937" s="24"/>
      <c r="H15937" s="24"/>
      <c r="I15937" s="24"/>
      <c r="J15937" s="24"/>
      <c r="K15937" s="24"/>
    </row>
    <row r="15938" customFormat="false" ht="15" hidden="false" customHeight="false" outlineLevel="0" collapsed="false">
      <c r="A15938" s="3" t="s">
        <v>309</v>
      </c>
      <c r="G15938" s="25" t="n">
        <f aca="false">F15949</f>
        <v>276.706</v>
      </c>
      <c r="H15938" s="25" t="n">
        <f aca="false">G15949</f>
        <v>276.706</v>
      </c>
      <c r="I15938" s="25" t="n">
        <f aca="false">H15949</f>
        <v>276.706</v>
      </c>
      <c r="J15938" s="25" t="n">
        <f aca="false">I15949</f>
        <v>0</v>
      </c>
      <c r="K15938" s="25" t="n">
        <f aca="false">J15949</f>
        <v>0</v>
      </c>
    </row>
    <row r="15939" customFormat="false" ht="15" hidden="false" customHeight="false" outlineLevel="0" collapsed="false">
      <c r="A15939" s="3" t="s">
        <v>310</v>
      </c>
      <c r="G15939" s="20" t="n">
        <f aca="false">IF(G15889=Assumptions!$K$57,1,0)</f>
        <v>0</v>
      </c>
      <c r="H15939" s="20" t="n">
        <f aca="false">IF(H15889=Assumptions!$K$57,1,0)</f>
        <v>0</v>
      </c>
      <c r="I15939" s="20" t="n">
        <f aca="false">IF(I15889=Assumptions!$K$57,1,0)</f>
        <v>1</v>
      </c>
      <c r="J15939" s="20" t="n">
        <f aca="false">IF(J15889=Assumptions!$K$57,1,0)</f>
        <v>0</v>
      </c>
      <c r="K15939" s="20" t="n">
        <f aca="false">IF(K15889=Assumptions!$K$57,1,0)</f>
        <v>0</v>
      </c>
    </row>
    <row r="15941" customFormat="false" ht="15" hidden="false" customHeight="false" outlineLevel="0" collapsed="false">
      <c r="A15941" s="3" t="s">
        <v>311</v>
      </c>
      <c r="G15941" s="31" t="n">
        <f aca="false">IF(Assumptions!$I$57=1,MAX(G15915,Assumptions!$G$57)+Assumptions!$F$57+$C$15916,Assumptions!$E$57)</f>
        <v>0.0425</v>
      </c>
      <c r="H15941" s="31" t="n">
        <f aca="false">IF(G16073=1,$C$15917,IF(Assumptions!$I$57=1,MAX(H15915,Assumptions!$G$57)+Assumptions!$F$57+$C$15916,Assumptions!$E$57))</f>
        <v>0.0425</v>
      </c>
      <c r="I15941" s="31" t="n">
        <f aca="false">IF(H16073=1,$C$15917,IF(Assumptions!$I$57=1,MAX(I15915,Assumptions!$G$57)+Assumptions!$F$57+$C$15916,Assumptions!$E$57))</f>
        <v>0.0425</v>
      </c>
      <c r="J15941" s="31" t="n">
        <f aca="false">IF(I16073=1,$C$15917,IF(Assumptions!$I$57=1,MAX(J15915,Assumptions!$G$57)+Assumptions!$F$57+$C$15916,Assumptions!$E$57))</f>
        <v>0.11</v>
      </c>
      <c r="K15941" s="31" t="n">
        <f aca="false">IF(J16073=1,$C$15917,IF(Assumptions!$I$57=1,MAX(K15915,Assumptions!$G$57)+Assumptions!$F$57+$C$15916,Assumptions!$E$57))</f>
        <v>0.11</v>
      </c>
    </row>
    <row r="15942" customFormat="false" ht="15" hidden="false" customHeight="false" outlineLevel="0" collapsed="false">
      <c r="A15942" s="3" t="s">
        <v>312</v>
      </c>
      <c r="G15942" s="25" t="n">
        <f aca="false">G15938*G15941</f>
        <v>11.760005</v>
      </c>
      <c r="H15942" s="25" t="n">
        <f aca="false">H15938*H15941</f>
        <v>11.760005</v>
      </c>
      <c r="I15942" s="25" t="n">
        <f aca="false">I15938*I15941</f>
        <v>11.760005</v>
      </c>
      <c r="J15942" s="25" t="n">
        <f aca="false">J15938*J15941</f>
        <v>0</v>
      </c>
      <c r="K15942" s="25" t="n">
        <f aca="false">K15938*K15941</f>
        <v>0</v>
      </c>
    </row>
    <row r="15943" customFormat="false" ht="15" hidden="false" customHeight="false" outlineLevel="0" collapsed="false">
      <c r="A15943" s="3" t="s">
        <v>313</v>
      </c>
      <c r="G15943" s="25" t="n">
        <f aca="false">G15938*Assumptions!$H$57</f>
        <v>0</v>
      </c>
      <c r="H15943" s="25" t="n">
        <f aca="false">H15938*Assumptions!$H$57</f>
        <v>0</v>
      </c>
      <c r="I15943" s="25" t="n">
        <f aca="false">I15938*Assumptions!$H$57</f>
        <v>0</v>
      </c>
      <c r="J15943" s="25" t="n">
        <f aca="false">J15938*Assumptions!$H$57</f>
        <v>0</v>
      </c>
      <c r="K15943" s="25" t="n">
        <f aca="false">K15938*Assumptions!$H$57</f>
        <v>0</v>
      </c>
    </row>
    <row r="15944" customFormat="false" ht="15" hidden="false" customHeight="false" outlineLevel="0" collapsed="false">
      <c r="A15944" s="3" t="s">
        <v>314</v>
      </c>
      <c r="G15944" s="25" t="n">
        <f aca="false">MIN(G15938,Assumptions!$L$57*Assumptions!$C$57)</f>
        <v>0</v>
      </c>
      <c r="H15944" s="25" t="n">
        <f aca="false">MIN(H15938,Assumptions!$L$57*Assumptions!$C$57)</f>
        <v>0</v>
      </c>
      <c r="I15944" s="25" t="n">
        <f aca="false">MIN(I15938,Assumptions!$L$57*Assumptions!$C$57)</f>
        <v>0</v>
      </c>
      <c r="J15944" s="25" t="n">
        <f aca="false">MIN(J15938,Assumptions!$L$57*Assumptions!$C$57)</f>
        <v>0</v>
      </c>
      <c r="K15944" s="25" t="n">
        <f aca="false">MIN(K15938,Assumptions!$L$57*Assumptions!$C$57)</f>
        <v>0</v>
      </c>
    </row>
    <row r="15945" customFormat="false" ht="15" hidden="false" customHeight="false" outlineLevel="0" collapsed="false">
      <c r="A15945" s="3" t="s">
        <v>315</v>
      </c>
      <c r="G15945" s="25" t="n">
        <f aca="false">IF(AND(Assumptions!$P$57=1,G15889&lt;Assumptions!$K$57),MIN(MAX(0,-G15986),MAX(0,Assumptions!$D$57-G15938)),0)</f>
        <v>0</v>
      </c>
      <c r="H15945" s="25" t="n">
        <f aca="false">IF(AND(Assumptions!$P$57=1,OR(H15889&lt;Assumptions!$K$57,G16073=1)),MIN(MAX(0,-H15986),MAX(0,Assumptions!$D$57-H15938)),0)</f>
        <v>0</v>
      </c>
      <c r="I15945" s="25" t="n">
        <f aca="false">IF(AND(Assumptions!$P$57=1,OR(I15889&lt;Assumptions!$K$57,H16073=1)),MIN(MAX(0,-I15986),MAX(0,Assumptions!$D$57-I15938)),0)</f>
        <v>0</v>
      </c>
      <c r="J15945" s="25" t="n">
        <f aca="false">IF(AND(Assumptions!$P$57=1,OR(J15889&lt;Assumptions!$K$57,I16073=1)),MIN(MAX(0,-J15986),MAX(0,Assumptions!$D$57-J15938)),0)</f>
        <v>0</v>
      </c>
      <c r="K15945" s="25" t="n">
        <f aca="false">IF(AND(Assumptions!$P$57=1,OR(K15889&lt;Assumptions!$K$57,J16073=1)),MIN(MAX(0,-K15986),MAX(0,Assumptions!$D$57-K15938)),0)</f>
        <v>0</v>
      </c>
    </row>
    <row r="15946" customFormat="false" ht="15" hidden="false" customHeight="false" outlineLevel="0" collapsed="false">
      <c r="A15946" s="3" t="s">
        <v>316</v>
      </c>
      <c r="G15946" s="25" t="n">
        <f aca="false">G15939*MIN(G15938-G15944+G15943,MAX(0,G15988-Assumptions!$C$12*G15923-G15933))</f>
        <v>0</v>
      </c>
      <c r="H15946" s="25" t="n">
        <f aca="false">H15939*MIN(H15938-H15944+H15943,MAX(0,H15988-Assumptions!$C$12*H15923-H15933))</f>
        <v>0</v>
      </c>
      <c r="I15946" s="25" t="n">
        <f aca="false">I15939*MIN(I15938-I15944+I15943,MAX(0,I15988-Assumptions!$C$12*I15923-I15933))</f>
        <v>276.706</v>
      </c>
      <c r="J15946" s="25" t="n">
        <f aca="false">J15939*MIN(J15938-J15944+J15943,MAX(0,J15988-Assumptions!$C$12*J15923-J15933))</f>
        <v>0</v>
      </c>
      <c r="K15946" s="25" t="n">
        <f aca="false">K15939*MIN(K15938-K15944+K15943,MAX(0,K15988-Assumptions!$C$12*K15923-K15933))</f>
        <v>0</v>
      </c>
    </row>
    <row r="15947" customFormat="false" ht="15" hidden="false" customHeight="false" outlineLevel="0" collapsed="false">
      <c r="A15947" s="3" t="s">
        <v>317</v>
      </c>
      <c r="G15947" s="25" t="n">
        <f aca="false">Assumptions!$N$57*MIN(G15938+G15945+G15943-G15944-G15946,MAX(0,G15992-G15934))</f>
        <v>0</v>
      </c>
      <c r="H15947" s="25" t="n">
        <f aca="false">Assumptions!$N$57*MIN(H15938+H15945+H15943-H15944-H15946,MAX(0,H15992-H15934))</f>
        <v>0</v>
      </c>
      <c r="I15947" s="25" t="n">
        <f aca="false">Assumptions!$N$57*MIN(I15938+I15945+I15943-I15944-I15946,MAX(0,I15992-I15934))</f>
        <v>0</v>
      </c>
      <c r="J15947" s="25" t="n">
        <f aca="false">Assumptions!$N$57*MIN(J15938+J15945+J15943-J15944-J15946,MAX(0,J15992-J15934))</f>
        <v>0</v>
      </c>
      <c r="K15947" s="25" t="n">
        <f aca="false">Assumptions!$N$57*MIN(K15938+K15945+K15943-K15944-K15946,MAX(0,K15992-K15934))</f>
        <v>0</v>
      </c>
    </row>
    <row r="15948" customFormat="false" ht="15" hidden="false" customHeight="false" outlineLevel="0" collapsed="false">
      <c r="A15948" s="3" t="s">
        <v>318</v>
      </c>
      <c r="G15948" s="25" t="n">
        <f aca="false">G15939*(1-G15923)*(G15938-G15944+G15943-G15946)</f>
        <v>0</v>
      </c>
      <c r="H15948" s="25" t="n">
        <f aca="false">H15939*(1-H15923)*(H15938-H15944+H15943-H15946)</f>
        <v>0</v>
      </c>
      <c r="I15948" s="25" t="n">
        <f aca="false">I15939*(1-I15923)*(I15938-I15944+I15943-I15946)</f>
        <v>0</v>
      </c>
      <c r="J15948" s="25" t="n">
        <f aca="false">J15939*(1-J15923)*(J15938-J15944+J15943-J15946)</f>
        <v>0</v>
      </c>
      <c r="K15948" s="25" t="n">
        <f aca="false">K15939*(1-K15923)*(K15938-K15944+K15943-K15946)</f>
        <v>0</v>
      </c>
    </row>
    <row r="15949" customFormat="false" ht="15" hidden="false" customHeight="false" outlineLevel="0" collapsed="false">
      <c r="A15949" s="2" t="s">
        <v>319</v>
      </c>
      <c r="F15949" s="28" t="n">
        <f aca="false">Assumptions!$C$57</f>
        <v>276.706</v>
      </c>
      <c r="G15949" s="16" t="n">
        <f aca="false">G15938+G15945+G15943-G15944-G15946-G15947</f>
        <v>276.706</v>
      </c>
      <c r="H15949" s="16" t="n">
        <f aca="false">H15938+H15945+H15943-H15944-H15946-H15947</f>
        <v>276.706</v>
      </c>
      <c r="I15949" s="16" t="n">
        <f aca="false">I15938+I15945+I15943-I15944-I15946-I15947</f>
        <v>0</v>
      </c>
      <c r="J15949" s="16" t="n">
        <f aca="false">J15938+J15945+J15943-J15944-J15946-J15947</f>
        <v>0</v>
      </c>
      <c r="K15949" s="16" t="n">
        <f aca="false">K15938+K15945+K15943-K15944-K15946-K15947</f>
        <v>0</v>
      </c>
    </row>
    <row r="15950" customFormat="false" ht="15" hidden="false" customHeight="false" outlineLevel="0" collapsed="false">
      <c r="A15950" s="23" t="s">
        <v>321</v>
      </c>
      <c r="B15950" s="24"/>
      <c r="C15950" s="24"/>
      <c r="D15950" s="24"/>
      <c r="E15950" s="24"/>
      <c r="F15950" s="24"/>
      <c r="G15950" s="24"/>
      <c r="H15950" s="24"/>
      <c r="I15950" s="24"/>
      <c r="J15950" s="24"/>
      <c r="K15950" s="24"/>
    </row>
    <row r="15951" customFormat="false" ht="15" hidden="false" customHeight="false" outlineLevel="0" collapsed="false">
      <c r="A15951" s="3" t="s">
        <v>309</v>
      </c>
      <c r="G15951" s="25" t="n">
        <f aca="false">F15962</f>
        <v>143.75</v>
      </c>
      <c r="H15951" s="25" t="n">
        <f aca="false">G15962</f>
        <v>143.75</v>
      </c>
      <c r="I15951" s="25" t="n">
        <f aca="false">H15962</f>
        <v>143.75</v>
      </c>
      <c r="J15951" s="25" t="n">
        <f aca="false">I15962</f>
        <v>0</v>
      </c>
      <c r="K15951" s="25" t="n">
        <f aca="false">J15962</f>
        <v>0</v>
      </c>
    </row>
    <row r="15952" customFormat="false" ht="15" hidden="false" customHeight="false" outlineLevel="0" collapsed="false">
      <c r="A15952" s="3" t="s">
        <v>310</v>
      </c>
      <c r="G15952" s="20" t="n">
        <f aca="false">IF(G15889=Assumptions!$K$58,1,0)</f>
        <v>0</v>
      </c>
      <c r="H15952" s="20" t="n">
        <f aca="false">IF(H15889=Assumptions!$K$58,1,0)</f>
        <v>0</v>
      </c>
      <c r="I15952" s="20" t="n">
        <f aca="false">IF(I15889=Assumptions!$K$58,1,0)</f>
        <v>1</v>
      </c>
      <c r="J15952" s="20" t="n">
        <f aca="false">IF(J15889=Assumptions!$K$58,1,0)</f>
        <v>0</v>
      </c>
      <c r="K15952" s="20" t="n">
        <f aca="false">IF(K15889=Assumptions!$K$58,1,0)</f>
        <v>0</v>
      </c>
    </row>
    <row r="15954" customFormat="false" ht="15" hidden="false" customHeight="false" outlineLevel="0" collapsed="false">
      <c r="A15954" s="3" t="s">
        <v>311</v>
      </c>
      <c r="G15954" s="31" t="n">
        <f aca="false">IF(Assumptions!$I$58=1,MAX(G15915,Assumptions!$G$58)+Assumptions!$F$58+$C$15916,Assumptions!$E$58)</f>
        <v>0.0425</v>
      </c>
      <c r="H15954" s="31" t="n">
        <f aca="false">IF(G16074=1,$C$15917,IF(Assumptions!$I$58=1,MAX(H15915,Assumptions!$G$58)+Assumptions!$F$58+$C$15916,Assumptions!$E$58))</f>
        <v>0.0425</v>
      </c>
      <c r="I15954" s="31" t="n">
        <f aca="false">IF(H16074=1,$C$15917,IF(Assumptions!$I$58=1,MAX(I15915,Assumptions!$G$58)+Assumptions!$F$58+$C$15916,Assumptions!$E$58))</f>
        <v>0.0425</v>
      </c>
      <c r="J15954" s="31" t="n">
        <f aca="false">IF(I16074=1,$C$15917,IF(Assumptions!$I$58=1,MAX(J15915,Assumptions!$G$58)+Assumptions!$F$58+$C$15916,Assumptions!$E$58))</f>
        <v>0.11</v>
      </c>
      <c r="K15954" s="31" t="n">
        <f aca="false">IF(J16074=1,$C$15917,IF(Assumptions!$I$58=1,MAX(K15915,Assumptions!$G$58)+Assumptions!$F$58+$C$15916,Assumptions!$E$58))</f>
        <v>0.11</v>
      </c>
    </row>
    <row r="15955" customFormat="false" ht="15" hidden="false" customHeight="false" outlineLevel="0" collapsed="false">
      <c r="A15955" s="3" t="s">
        <v>312</v>
      </c>
      <c r="G15955" s="25" t="n">
        <f aca="false">G15951*G15954</f>
        <v>6.109375</v>
      </c>
      <c r="H15955" s="25" t="n">
        <f aca="false">H15951*H15954</f>
        <v>6.109375</v>
      </c>
      <c r="I15955" s="25" t="n">
        <f aca="false">I15951*I15954</f>
        <v>6.109375</v>
      </c>
      <c r="J15955" s="25" t="n">
        <f aca="false">J15951*J15954</f>
        <v>0</v>
      </c>
      <c r="K15955" s="25" t="n">
        <f aca="false">K15951*K15954</f>
        <v>0</v>
      </c>
    </row>
    <row r="15956" customFormat="false" ht="15" hidden="false" customHeight="false" outlineLevel="0" collapsed="false">
      <c r="A15956" s="3" t="s">
        <v>313</v>
      </c>
      <c r="G15956" s="25" t="n">
        <f aca="false">G15951*Assumptions!$H$58</f>
        <v>0</v>
      </c>
      <c r="H15956" s="25" t="n">
        <f aca="false">H15951*Assumptions!$H$58</f>
        <v>0</v>
      </c>
      <c r="I15956" s="25" t="n">
        <f aca="false">I15951*Assumptions!$H$58</f>
        <v>0</v>
      </c>
      <c r="J15956" s="25" t="n">
        <f aca="false">J15951*Assumptions!$H$58</f>
        <v>0</v>
      </c>
      <c r="K15956" s="25" t="n">
        <f aca="false">K15951*Assumptions!$H$58</f>
        <v>0</v>
      </c>
    </row>
    <row r="15957" customFormat="false" ht="15" hidden="false" customHeight="false" outlineLevel="0" collapsed="false">
      <c r="A15957" s="3" t="s">
        <v>314</v>
      </c>
      <c r="G15957" s="25" t="n">
        <f aca="false">MIN(G15951,Assumptions!$L$58*Assumptions!$C$58)</f>
        <v>0</v>
      </c>
      <c r="H15957" s="25" t="n">
        <f aca="false">MIN(H15951,Assumptions!$L$58*Assumptions!$C$58)</f>
        <v>0</v>
      </c>
      <c r="I15957" s="25" t="n">
        <f aca="false">MIN(I15951,Assumptions!$L$58*Assumptions!$C$58)</f>
        <v>0</v>
      </c>
      <c r="J15957" s="25" t="n">
        <f aca="false">MIN(J15951,Assumptions!$L$58*Assumptions!$C$58)</f>
        <v>0</v>
      </c>
      <c r="K15957" s="25" t="n">
        <f aca="false">MIN(K15951,Assumptions!$L$58*Assumptions!$C$58)</f>
        <v>0</v>
      </c>
    </row>
    <row r="15958" customFormat="false" ht="15" hidden="false" customHeight="false" outlineLevel="0" collapsed="false">
      <c r="A15958" s="3" t="s">
        <v>315</v>
      </c>
      <c r="G15958" s="25" t="n">
        <f aca="false">IF(AND(Assumptions!$P$58=1,G15889&lt;Assumptions!$K$58),MIN(MAX(0,-G15986),MAX(0,Assumptions!$D$58-G15951)),0)</f>
        <v>0</v>
      </c>
      <c r="H15958" s="25" t="n">
        <f aca="false">IF(AND(Assumptions!$P$58=1,OR(H15889&lt;Assumptions!$K$58,G16074=1)),MIN(MAX(0,-H15986),MAX(0,Assumptions!$D$58-H15951)),0)</f>
        <v>0</v>
      </c>
      <c r="I15958" s="25" t="n">
        <f aca="false">IF(AND(Assumptions!$P$58=1,OR(I15889&lt;Assumptions!$K$58,H16074=1)),MIN(MAX(0,-I15986),MAX(0,Assumptions!$D$58-I15951)),0)</f>
        <v>0</v>
      </c>
      <c r="J15958" s="25" t="n">
        <f aca="false">IF(AND(Assumptions!$P$58=1,OR(J15889&lt;Assumptions!$K$58,I16074=1)),MIN(MAX(0,-J15986),MAX(0,Assumptions!$D$58-J15951)),0)</f>
        <v>0</v>
      </c>
      <c r="K15958" s="25" t="n">
        <f aca="false">IF(AND(Assumptions!$P$58=1,OR(K15889&lt;Assumptions!$K$58,J16074=1)),MIN(MAX(0,-K15986),MAX(0,Assumptions!$D$58-K15951)),0)</f>
        <v>0</v>
      </c>
    </row>
    <row r="15959" customFormat="false" ht="15" hidden="false" customHeight="false" outlineLevel="0" collapsed="false">
      <c r="A15959" s="3" t="s">
        <v>316</v>
      </c>
      <c r="G15959" s="25" t="n">
        <f aca="false">G15952*MIN(G15951-G15957+G15956,MAX(0,G15988-Assumptions!$C$12*G15923-G15933-G15946))</f>
        <v>0</v>
      </c>
      <c r="H15959" s="25" t="n">
        <f aca="false">H15952*MIN(H15951-H15957+H15956,MAX(0,H15988-Assumptions!$C$12*H15923-H15933-H15946))</f>
        <v>0</v>
      </c>
      <c r="I15959" s="25" t="n">
        <f aca="false">I15952*MIN(I15951-I15957+I15956,MAX(0,I15988-Assumptions!$C$12*I15923-I15933-I15946))</f>
        <v>143.75</v>
      </c>
      <c r="J15959" s="25" t="n">
        <f aca="false">J15952*MIN(J15951-J15957+J15956,MAX(0,J15988-Assumptions!$C$12*J15923-J15933-J15946))</f>
        <v>0</v>
      </c>
      <c r="K15959" s="25" t="n">
        <f aca="false">K15952*MIN(K15951-K15957+K15956,MAX(0,K15988-Assumptions!$C$12*K15923-K15933-K15946))</f>
        <v>0</v>
      </c>
    </row>
    <row r="15960" customFormat="false" ht="15" hidden="false" customHeight="false" outlineLevel="0" collapsed="false">
      <c r="A15960" s="3" t="s">
        <v>317</v>
      </c>
      <c r="G15960" s="25" t="n">
        <f aca="false">Assumptions!$N$58*MIN(G15951+G15958+G15956-G15957-G15959,MAX(0,G15992-G15934-G15947))</f>
        <v>0</v>
      </c>
      <c r="H15960" s="25" t="n">
        <f aca="false">Assumptions!$N$58*MIN(H15951+H15958+H15956-H15957-H15959,MAX(0,H15992-H15934-H15947))</f>
        <v>0</v>
      </c>
      <c r="I15960" s="25" t="n">
        <f aca="false">Assumptions!$N$58*MIN(I15951+I15958+I15956-I15957-I15959,MAX(0,I15992-I15934-I15947))</f>
        <v>0</v>
      </c>
      <c r="J15960" s="25" t="n">
        <f aca="false">Assumptions!$N$58*MIN(J15951+J15958+J15956-J15957-J15959,MAX(0,J15992-J15934-J15947))</f>
        <v>0</v>
      </c>
      <c r="K15960" s="25" t="n">
        <f aca="false">Assumptions!$N$58*MIN(K15951+K15958+K15956-K15957-K15959,MAX(0,K15992-K15934-K15947))</f>
        <v>0</v>
      </c>
    </row>
    <row r="15961" customFormat="false" ht="15" hidden="false" customHeight="false" outlineLevel="0" collapsed="false">
      <c r="A15961" s="3" t="s">
        <v>318</v>
      </c>
      <c r="G15961" s="25" t="n">
        <f aca="false">G15952*(1-G15923)*(G15951-G15957+G15956-G15959)</f>
        <v>0</v>
      </c>
      <c r="H15961" s="25" t="n">
        <f aca="false">H15952*(1-H15923)*(H15951-H15957+H15956-H15959)</f>
        <v>0</v>
      </c>
      <c r="I15961" s="25" t="n">
        <f aca="false">I15952*(1-I15923)*(I15951-I15957+I15956-I15959)</f>
        <v>0</v>
      </c>
      <c r="J15961" s="25" t="n">
        <f aca="false">J15952*(1-J15923)*(J15951-J15957+J15956-J15959)</f>
        <v>0</v>
      </c>
      <c r="K15961" s="25" t="n">
        <f aca="false">K15952*(1-K15923)*(K15951-K15957+K15956-K15959)</f>
        <v>0</v>
      </c>
    </row>
    <row r="15962" customFormat="false" ht="15" hidden="false" customHeight="false" outlineLevel="0" collapsed="false">
      <c r="A15962" s="2" t="s">
        <v>319</v>
      </c>
      <c r="F15962" s="28" t="n">
        <f aca="false">Assumptions!$C$58</f>
        <v>143.75</v>
      </c>
      <c r="G15962" s="16" t="n">
        <f aca="false">G15951+G15958+G15956-G15957-G15959-G15960</f>
        <v>143.75</v>
      </c>
      <c r="H15962" s="16" t="n">
        <f aca="false">H15951+H15958+H15956-H15957-H15959-H15960</f>
        <v>143.75</v>
      </c>
      <c r="I15962" s="16" t="n">
        <f aca="false">I15951+I15958+I15956-I15957-I15959-I15960</f>
        <v>0</v>
      </c>
      <c r="J15962" s="16" t="n">
        <f aca="false">J15951+J15958+J15956-J15957-J15959-J15960</f>
        <v>0</v>
      </c>
      <c r="K15962" s="16" t="n">
        <f aca="false">K15951+K15958+K15956-K15957-K15959-K15960</f>
        <v>0</v>
      </c>
    </row>
    <row r="15963" customFormat="false" ht="15" hidden="false" customHeight="false" outlineLevel="0" collapsed="false">
      <c r="A15963" s="23" t="s">
        <v>322</v>
      </c>
      <c r="B15963" s="24"/>
      <c r="C15963" s="24"/>
      <c r="D15963" s="24"/>
      <c r="E15963" s="24"/>
      <c r="F15963" s="24"/>
      <c r="G15963" s="24"/>
      <c r="H15963" s="24"/>
      <c r="I15963" s="24"/>
      <c r="J15963" s="24"/>
      <c r="K15963" s="24"/>
    </row>
    <row r="15964" customFormat="false" ht="15" hidden="false" customHeight="false" outlineLevel="0" collapsed="false">
      <c r="A15964" s="2" t="s">
        <v>323</v>
      </c>
      <c r="F15964" s="16" t="n">
        <f aca="false">F15936+F15949+F15962</f>
        <v>1735.554</v>
      </c>
      <c r="G15964" s="16" t="n">
        <f aca="false">G15936+G15949+G15962</f>
        <v>1735.554</v>
      </c>
      <c r="H15964" s="16" t="n">
        <f aca="false">H15936+H15949+H15962</f>
        <v>1735.554</v>
      </c>
      <c r="I15964" s="16" t="n">
        <f aca="false">I15936+I15949+I15962</f>
        <v>1315.098</v>
      </c>
      <c r="J15964" s="16" t="n">
        <f aca="false">J15936+J15949+J15962</f>
        <v>1315.098</v>
      </c>
      <c r="K15964" s="16" t="n">
        <f aca="false">K15936+K15949+K15962</f>
        <v>1315.098</v>
      </c>
    </row>
    <row r="15965" customFormat="false" ht="15" hidden="false" customHeight="false" outlineLevel="0" collapsed="false">
      <c r="A15965" s="3" t="s">
        <v>324</v>
      </c>
      <c r="G15965" s="25" t="n">
        <f aca="false">G15926*Assumptions!$C$56+G15939*Assumptions!$C$57+G15952*Assumptions!$C$58</f>
        <v>0</v>
      </c>
      <c r="H15965" s="25" t="n">
        <f aca="false">H15926*Assumptions!$C$56+H15939*Assumptions!$C$57+H15952*Assumptions!$C$58</f>
        <v>0</v>
      </c>
      <c r="I15965" s="25" t="n">
        <f aca="false">I15926*Assumptions!$C$56+I15939*Assumptions!$C$57+I15952*Assumptions!$C$58</f>
        <v>420.456</v>
      </c>
      <c r="J15965" s="25" t="n">
        <f aca="false">J15926*Assumptions!$C$56+J15939*Assumptions!$C$57+J15952*Assumptions!$C$58</f>
        <v>0</v>
      </c>
      <c r="K15965" s="25" t="n">
        <f aca="false">K15926*Assumptions!$C$56+K15939*Assumptions!$C$57+K15952*Assumptions!$C$58</f>
        <v>0</v>
      </c>
    </row>
    <row r="15966" customFormat="false" ht="15" hidden="false" customHeight="false" outlineLevel="0" collapsed="false">
      <c r="A15966" s="23" t="s">
        <v>325</v>
      </c>
      <c r="B15966" s="24"/>
      <c r="C15966" s="24"/>
      <c r="D15966" s="24"/>
      <c r="E15966" s="24"/>
      <c r="F15966" s="24"/>
      <c r="G15966" s="24"/>
      <c r="H15966" s="24"/>
      <c r="I15966" s="24"/>
      <c r="J15966" s="24"/>
      <c r="K15966" s="24"/>
    </row>
    <row r="15967" customFormat="false" ht="15" hidden="false" customHeight="false" outlineLevel="0" collapsed="false">
      <c r="A15967" s="3" t="s">
        <v>326</v>
      </c>
      <c r="C15967" s="25" t="n">
        <f aca="false">SUMPRODUCT($G$15926:$K$15926,$G$15925:$K$15925-$G$15931:$K$15931+$G$15930:$K$15930)</f>
        <v>0</v>
      </c>
    </row>
    <row r="15968" customFormat="false" ht="15" hidden="false" customHeight="false" outlineLevel="0" collapsed="false">
      <c r="A15968" s="3" t="s">
        <v>327</v>
      </c>
      <c r="C15968" s="25" t="n">
        <f aca="false">SUMPRODUCT($G$15926:$K$15926,$G$15933:$K$15933)</f>
        <v>0</v>
      </c>
    </row>
    <row r="15969" customFormat="false" ht="15" hidden="false" customHeight="false" outlineLevel="0" collapsed="false">
      <c r="A15969" s="3" t="s">
        <v>328</v>
      </c>
      <c r="C15969" s="3" t="str">
        <f aca="false">IF(SUM($G$15926:$K$15926)=0,"n/a (beyond horizon)",IF(SUMPRODUCT($G$15926:$K$15926,$G$15923:$K$15923)&gt;0,"REFINANCING PASS","REFINANCING FAILURE"))</f>
        <v>n/a (beyond horizon)</v>
      </c>
    </row>
    <row r="15970" customFormat="false" ht="15" hidden="false" customHeight="false" outlineLevel="0" collapsed="false">
      <c r="A15970" s="3" t="s">
        <v>329</v>
      </c>
      <c r="C15970" s="3" t="str">
        <f aca="false">IF(SUM($G$15926:$K$15926)=0,"n/a",IF(C15968&gt;=C15967-0.001,"Repaid from cash",IF(SUMPRODUCT($G$15926:$K$15926,$G$15923:$K$15923)&gt;0,IF(C15968&gt;0,"Partly repaid; remainder refinanced","Refinanced"),IF(SUM($G$15935:$K$15935)&gt;0.001,IF(C15968&gt;0,"Partial repayment; PAYMENT DEFAULT","PAYMENT DEFAULT"),"Repaid from cash"))))</f>
        <v>n/a</v>
      </c>
    </row>
    <row r="15971" customFormat="false" ht="15" hidden="false" customHeight="false" outlineLevel="0" collapsed="false">
      <c r="A15971" s="3" t="s">
        <v>330</v>
      </c>
      <c r="C15971" s="25" t="n">
        <f aca="false">SUMPRODUCT($G$15939:$K$15939,$G$15938:$K$15938-$G$15944:$K$15944+$G$15943:$K$15943)</f>
        <v>276.706</v>
      </c>
    </row>
    <row r="15972" customFormat="false" ht="15" hidden="false" customHeight="false" outlineLevel="0" collapsed="false">
      <c r="A15972" s="3" t="s">
        <v>331</v>
      </c>
      <c r="C15972" s="25" t="n">
        <f aca="false">SUMPRODUCT($G$15939:$K$15939,$G$15946:$K$15946)</f>
        <v>276.706</v>
      </c>
    </row>
    <row r="15973" customFormat="false" ht="15" hidden="false" customHeight="false" outlineLevel="0" collapsed="false">
      <c r="A15973" s="3" t="s">
        <v>332</v>
      </c>
      <c r="C15973" s="3" t="str">
        <f aca="false">IF(SUM($G$15939:$K$15939)=0,"n/a (beyond horizon)",IF(SUMPRODUCT($G$15939:$K$15939,$G$15923:$K$15923)&gt;0,"REFINANCING PASS","REFINANCING FAILURE"))</f>
        <v>REFINANCING PASS</v>
      </c>
    </row>
    <row r="15974" customFormat="false" ht="15" hidden="false" customHeight="false" outlineLevel="0" collapsed="false">
      <c r="A15974" s="3" t="s">
        <v>333</v>
      </c>
      <c r="C15974" s="3" t="str">
        <f aca="false">IF(SUM($G$15939:$K$15939)=0,"n/a",IF(C15972&gt;=C15971-0.001,"Repaid from cash",IF(SUMPRODUCT($G$15939:$K$15939,$G$15923:$K$15923)&gt;0,IF(C15972&gt;0,"Partly repaid; remainder refinanced","Refinanced"),IF(SUM($G$15948:$K$15948)&gt;0.001,IF(C15972&gt;0,"Partial repayment; PAYMENT DEFAULT","PAYMENT DEFAULT"),"Repaid from cash"))))</f>
        <v>Repaid from cash</v>
      </c>
    </row>
    <row r="15975" customFormat="false" ht="15" hidden="false" customHeight="false" outlineLevel="0" collapsed="false">
      <c r="A15975" s="3" t="s">
        <v>334</v>
      </c>
      <c r="C15975" s="25" t="n">
        <f aca="false">SUMPRODUCT($G$15952:$K$15952,$G$15951:$K$15951-$G$15957:$K$15957+$G$15956:$K$15956)</f>
        <v>143.75</v>
      </c>
    </row>
    <row r="15976" customFormat="false" ht="15" hidden="false" customHeight="false" outlineLevel="0" collapsed="false">
      <c r="A15976" s="3" t="s">
        <v>335</v>
      </c>
      <c r="C15976" s="25" t="n">
        <f aca="false">SUMPRODUCT($G$15952:$K$15952,$G$15959:$K$15959)</f>
        <v>143.75</v>
      </c>
    </row>
    <row r="15977" customFormat="false" ht="15" hidden="false" customHeight="false" outlineLevel="0" collapsed="false">
      <c r="A15977" s="3" t="s">
        <v>336</v>
      </c>
      <c r="C15977" s="3" t="str">
        <f aca="false">IF(SUM($G$15952:$K$15952)=0,"n/a (beyond horizon)",IF(SUMPRODUCT($G$15952:$K$15952,$G$15923:$K$15923)&gt;0,"REFINANCING PASS","REFINANCING FAILURE"))</f>
        <v>REFINANCING PASS</v>
      </c>
    </row>
    <row r="15978" customFormat="false" ht="15" hidden="false" customHeight="false" outlineLevel="0" collapsed="false">
      <c r="A15978" s="3" t="s">
        <v>337</v>
      </c>
      <c r="C15978" s="3" t="str">
        <f aca="false">IF(SUM($G$15952:$K$15952)=0,"n/a",IF(C15976&gt;=C15975-0.001,"Repaid from cash",IF(SUMPRODUCT($G$15952:$K$15952,$G$15923:$K$15923)&gt;0,IF(C15976&gt;0,"Partly repaid; remainder refinanced","Refinanced"),IF(SUM($G$15961:$K$15961)&gt;0.001,IF(C15976&gt;0,"Partial repayment; PAYMENT DEFAULT","PAYMENT DEFAULT"),"Repaid from cash"))))</f>
        <v>Repaid from cash</v>
      </c>
    </row>
    <row r="15979" customFormat="false" ht="15" hidden="false" customHeight="false" outlineLevel="0" collapsed="false">
      <c r="A15979" s="3" t="s">
        <v>338</v>
      </c>
      <c r="C15979" s="20" t="n">
        <f aca="false">IF(C15969="REFINANCING FAILURE",1,0)+IF(C15973="REFINANCING FAILURE",1,0)+IF(C15977="REFINANCING FAILURE",1,0)</f>
        <v>0</v>
      </c>
    </row>
    <row r="15981" customFormat="false" ht="15" hidden="false" customHeight="false" outlineLevel="0" collapsed="false">
      <c r="A15981" s="23" t="s">
        <v>340</v>
      </c>
      <c r="B15981" s="24"/>
      <c r="C15981" s="24"/>
      <c r="D15981" s="24"/>
      <c r="E15981" s="24"/>
      <c r="F15981" s="24"/>
      <c r="G15981" s="24"/>
      <c r="H15981" s="24"/>
      <c r="I15981" s="24"/>
      <c r="J15981" s="24"/>
      <c r="K15981" s="24"/>
    </row>
    <row r="15982" customFormat="false" ht="15" hidden="false" customHeight="false" outlineLevel="0" collapsed="false">
      <c r="A15982" s="3" t="s">
        <v>305</v>
      </c>
      <c r="G15982" s="25" t="n">
        <f aca="false">F15994</f>
        <v>463.996</v>
      </c>
      <c r="H15982" s="25" t="n">
        <f aca="false">G15994</f>
        <v>589.86335403</v>
      </c>
      <c r="I15982" s="25" t="n">
        <f aca="false">H15994</f>
        <v>706.0173737988</v>
      </c>
      <c r="J15982" s="25" t="n">
        <f aca="false">I15994</f>
        <v>390.575377766904</v>
      </c>
      <c r="K15982" s="25" t="n">
        <f aca="false">J15994</f>
        <v>499.440625970316</v>
      </c>
    </row>
    <row r="15983" customFormat="false" ht="15" hidden="false" customHeight="false" outlineLevel="0" collapsed="false">
      <c r="A15983" s="3" t="s">
        <v>341</v>
      </c>
      <c r="G15983" s="25" t="n">
        <f aca="false">G15912</f>
        <v>125.86735403</v>
      </c>
      <c r="H15983" s="25" t="n">
        <f aca="false">H15912</f>
        <v>116.1540197688</v>
      </c>
      <c r="I15983" s="25" t="n">
        <f aca="false">I15912</f>
        <v>105.014003968104</v>
      </c>
      <c r="J15983" s="25" t="n">
        <f aca="false">J15912</f>
        <v>108.865248203412</v>
      </c>
      <c r="K15983" s="25" t="n">
        <f aca="false">K15912</f>
        <v>99.6877228787792</v>
      </c>
    </row>
    <row r="15984" customFormat="false" ht="15" hidden="false" customHeight="false" outlineLevel="0" collapsed="false">
      <c r="A15984" s="3" t="s">
        <v>342</v>
      </c>
      <c r="G15984" s="25" t="n">
        <f aca="false">CHOOSE($C$15882,Assumptions!$G$74,Assumptions!$G$93,Assumptions!$G$112)</f>
        <v>0</v>
      </c>
      <c r="H15984" s="25" t="n">
        <f aca="false">CHOOSE($C$15882,Assumptions!$H$74,Assumptions!$H$93,Assumptions!$H$112)</f>
        <v>0</v>
      </c>
      <c r="I15984" s="25" t="n">
        <f aca="false">CHOOSE($C$15882,Assumptions!$I$74,Assumptions!$I$93,Assumptions!$I$112)</f>
        <v>0</v>
      </c>
      <c r="J15984" s="25" t="n">
        <f aca="false">CHOOSE($C$15882,Assumptions!$J$74,Assumptions!$J$93,Assumptions!$J$112)</f>
        <v>0</v>
      </c>
      <c r="K15984" s="25" t="n">
        <f aca="false">CHOOSE($C$15882,Assumptions!$K$74,Assumptions!$K$93,Assumptions!$K$112)</f>
        <v>0</v>
      </c>
    </row>
    <row r="15985" customFormat="false" ht="15" hidden="false" customHeight="false" outlineLevel="0" collapsed="false">
      <c r="A15985" s="3" t="s">
        <v>343</v>
      </c>
      <c r="G15985" s="25" t="n">
        <f aca="false">G15931+G15944+G15957</f>
        <v>0</v>
      </c>
      <c r="H15985" s="25" t="n">
        <f aca="false">H15931+H15944+H15957</f>
        <v>0</v>
      </c>
      <c r="I15985" s="25" t="n">
        <f aca="false">I15931+I15944+I15957</f>
        <v>0</v>
      </c>
      <c r="J15985" s="25" t="n">
        <f aca="false">J15931+J15944+J15957</f>
        <v>0</v>
      </c>
      <c r="K15985" s="25" t="n">
        <f aca="false">K15931+K15944+K15957</f>
        <v>0</v>
      </c>
    </row>
    <row r="15986" customFormat="false" ht="15" hidden="false" customHeight="false" outlineLevel="0" collapsed="false">
      <c r="A15986" s="2" t="s">
        <v>344</v>
      </c>
      <c r="G15986" s="16" t="n">
        <f aca="false">G15982+G15983+G15984-G15985</f>
        <v>589.86335403</v>
      </c>
      <c r="H15986" s="16" t="n">
        <f aca="false">H15982+H15983+H15984-H15985</f>
        <v>706.0173737988</v>
      </c>
      <c r="I15986" s="16" t="n">
        <f aca="false">I15982+I15983+I15984-I15985</f>
        <v>811.031377766904</v>
      </c>
      <c r="J15986" s="16" t="n">
        <f aca="false">J15982+J15983+J15984-J15985</f>
        <v>499.440625970316</v>
      </c>
      <c r="K15986" s="16" t="n">
        <f aca="false">K15982+K15983+K15984-K15985</f>
        <v>599.128348849095</v>
      </c>
    </row>
    <row r="15987" customFormat="false" ht="15" hidden="false" customHeight="false" outlineLevel="0" collapsed="false">
      <c r="A15987" s="3" t="s">
        <v>345</v>
      </c>
      <c r="G15987" s="25" t="n">
        <f aca="false">G15932+G15945+G15958</f>
        <v>0</v>
      </c>
      <c r="H15987" s="25" t="n">
        <f aca="false">H15932+H15945+H15958</f>
        <v>0</v>
      </c>
      <c r="I15987" s="25" t="n">
        <f aca="false">I15932+I15945+I15958</f>
        <v>0</v>
      </c>
      <c r="J15987" s="25" t="n">
        <f aca="false">J15932+J15945+J15958</f>
        <v>0</v>
      </c>
      <c r="K15987" s="25" t="n">
        <f aca="false">K15932+K15945+K15958</f>
        <v>0</v>
      </c>
    </row>
    <row r="15988" customFormat="false" ht="15" hidden="false" customHeight="false" outlineLevel="0" collapsed="false">
      <c r="A15988" s="2" t="s">
        <v>346</v>
      </c>
      <c r="G15988" s="16" t="n">
        <f aca="false">G15986+G15987</f>
        <v>589.86335403</v>
      </c>
      <c r="H15988" s="16" t="n">
        <f aca="false">H15986+H15987</f>
        <v>706.0173737988</v>
      </c>
      <c r="I15988" s="16" t="n">
        <f aca="false">I15986+I15987</f>
        <v>811.031377766904</v>
      </c>
      <c r="J15988" s="16" t="n">
        <f aca="false">J15986+J15987</f>
        <v>499.440625970316</v>
      </c>
      <c r="K15988" s="16" t="n">
        <f aca="false">K15986+K15987</f>
        <v>599.128348849095</v>
      </c>
    </row>
    <row r="15989" customFormat="false" ht="15" hidden="false" customHeight="false" outlineLevel="0" collapsed="false">
      <c r="A15989" s="3" t="s">
        <v>347</v>
      </c>
      <c r="G15989" s="25" t="n">
        <f aca="false">G15933+G15946+G15959</f>
        <v>0</v>
      </c>
      <c r="H15989" s="25" t="n">
        <f aca="false">H15933+H15946+H15959</f>
        <v>0</v>
      </c>
      <c r="I15989" s="25" t="n">
        <f aca="false">I15933+I15946+I15959</f>
        <v>420.456</v>
      </c>
      <c r="J15989" s="25" t="n">
        <f aca="false">J15933+J15946+J15959</f>
        <v>0</v>
      </c>
      <c r="K15989" s="25" t="n">
        <f aca="false">K15933+K15946+K15959</f>
        <v>0</v>
      </c>
    </row>
    <row r="15990" customFormat="false" ht="15" hidden="false" customHeight="false" outlineLevel="0" collapsed="false">
      <c r="A15990" s="2" t="s">
        <v>348</v>
      </c>
      <c r="G15990" s="16" t="n">
        <f aca="false">G15988-G15989</f>
        <v>589.86335403</v>
      </c>
      <c r="H15990" s="16" t="n">
        <f aca="false">H15988-H15989</f>
        <v>706.0173737988</v>
      </c>
      <c r="I15990" s="16" t="n">
        <f aca="false">I15988-I15989</f>
        <v>390.575377766904</v>
      </c>
      <c r="J15990" s="16" t="n">
        <f aca="false">J15988-J15989</f>
        <v>499.440625970316</v>
      </c>
      <c r="K15990" s="16" t="n">
        <f aca="false">K15988-K15989</f>
        <v>599.128348849095</v>
      </c>
    </row>
    <row r="15991" customFormat="false" ht="15" hidden="false" customHeight="false" outlineLevel="0" collapsed="false">
      <c r="A15991" s="3" t="s">
        <v>349</v>
      </c>
      <c r="G15991" s="25" t="n">
        <f aca="false">MAX(0,-G15990)</f>
        <v>0</v>
      </c>
      <c r="H15991" s="25" t="n">
        <f aca="false">MAX(0,-H15990)</f>
        <v>0</v>
      </c>
      <c r="I15991" s="25" t="n">
        <f aca="false">MAX(0,-I15990)</f>
        <v>0</v>
      </c>
      <c r="J15991" s="25" t="n">
        <f aca="false">MAX(0,-J15990)</f>
        <v>0</v>
      </c>
      <c r="K15991" s="25" t="n">
        <f aca="false">MAX(0,-K15990)</f>
        <v>0</v>
      </c>
    </row>
    <row r="15992" customFormat="false" ht="15" hidden="false" customHeight="false" outlineLevel="0" collapsed="false">
      <c r="A15992" s="3" t="s">
        <v>350</v>
      </c>
      <c r="G15992" s="25" t="n">
        <f aca="false">MAX(0,G15990-Assumptions!$C$12)*Assumptions!$C$13</f>
        <v>0</v>
      </c>
      <c r="H15992" s="25" t="n">
        <f aca="false">MAX(0,H15990-Assumptions!$C$12)*Assumptions!$C$13</f>
        <v>0</v>
      </c>
      <c r="I15992" s="25" t="n">
        <f aca="false">MAX(0,I15990-Assumptions!$C$12)*Assumptions!$C$13</f>
        <v>0</v>
      </c>
      <c r="J15992" s="25" t="n">
        <f aca="false">MAX(0,J15990-Assumptions!$C$12)*Assumptions!$C$13</f>
        <v>0</v>
      </c>
      <c r="K15992" s="25" t="n">
        <f aca="false">MAX(0,K15990-Assumptions!$C$12)*Assumptions!$C$13</f>
        <v>0</v>
      </c>
    </row>
    <row r="15993" customFormat="false" ht="15" hidden="false" customHeight="false" outlineLevel="0" collapsed="false">
      <c r="A15993" s="3" t="s">
        <v>351</v>
      </c>
      <c r="G15993" s="25" t="n">
        <f aca="false">G15934+G15947+G15960</f>
        <v>0</v>
      </c>
      <c r="H15993" s="25" t="n">
        <f aca="false">H15934+H15947+H15960</f>
        <v>0</v>
      </c>
      <c r="I15993" s="25" t="n">
        <f aca="false">I15934+I15947+I15960</f>
        <v>0</v>
      </c>
      <c r="J15993" s="25" t="n">
        <f aca="false">J15934+J15947+J15960</f>
        <v>0</v>
      </c>
      <c r="K15993" s="25" t="n">
        <f aca="false">K15934+K15947+K15960</f>
        <v>0</v>
      </c>
    </row>
    <row r="15994" customFormat="false" ht="15" hidden="false" customHeight="false" outlineLevel="0" collapsed="false">
      <c r="A15994" s="2" t="s">
        <v>352</v>
      </c>
      <c r="F15994" s="28" t="n">
        <f aca="false">Assumptions!$C$11</f>
        <v>463.996</v>
      </c>
      <c r="G15994" s="16" t="n">
        <f aca="false">G15990-G15993</f>
        <v>589.86335403</v>
      </c>
      <c r="H15994" s="16" t="n">
        <f aca="false">H15990-H15993</f>
        <v>706.0173737988</v>
      </c>
      <c r="I15994" s="16" t="n">
        <f aca="false">I15990-I15993</f>
        <v>390.575377766904</v>
      </c>
      <c r="J15994" s="16" t="n">
        <f aca="false">J15990-J15993</f>
        <v>499.440625970316</v>
      </c>
      <c r="K15994" s="16" t="n">
        <f aca="false">K15990-K15993</f>
        <v>599.128348849095</v>
      </c>
    </row>
    <row r="15995" customFormat="false" ht="15" hidden="false" customHeight="false" outlineLevel="0" collapsed="false">
      <c r="A15995" s="3" t="s">
        <v>353</v>
      </c>
      <c r="G15995" s="25" t="n">
        <f aca="false">G15935+G15948+G15961</f>
        <v>0</v>
      </c>
      <c r="H15995" s="25" t="n">
        <f aca="false">H15935+H15948+H15961</f>
        <v>0</v>
      </c>
      <c r="I15995" s="25" t="n">
        <f aca="false">I15935+I15948+I15961</f>
        <v>0</v>
      </c>
      <c r="J15995" s="25" t="n">
        <f aca="false">J15935+J15948+J15961</f>
        <v>0</v>
      </c>
      <c r="K15995" s="25" t="n">
        <f aca="false">K15935+K15948+K15961</f>
        <v>0</v>
      </c>
    </row>
    <row r="15996" customFormat="false" ht="15" hidden="false" customHeight="false" outlineLevel="0" collapsed="false">
      <c r="A15996" s="3" t="s">
        <v>354</v>
      </c>
      <c r="G15996" s="20" t="n">
        <f aca="false">IF(OR(G15991&gt;0.001,G15995&gt;0.001),1,0)</f>
        <v>0</v>
      </c>
      <c r="H15996" s="20" t="n">
        <f aca="false">IF(OR(H15991&gt;0.001,H15995&gt;0.001),1,0)</f>
        <v>0</v>
      </c>
      <c r="I15996" s="20" t="n">
        <f aca="false">IF(OR(I15991&gt;0.001,I15995&gt;0.001),1,0)</f>
        <v>0</v>
      </c>
      <c r="J15996" s="20" t="n">
        <f aca="false">IF(OR(J15991&gt;0.001,J15995&gt;0.001),1,0)</f>
        <v>0</v>
      </c>
      <c r="K15996" s="20" t="n">
        <f aca="false">IF(OR(K15991&gt;0.001,K15995&gt;0.001),1,0)</f>
        <v>0</v>
      </c>
    </row>
    <row r="15997" customFormat="false" ht="15" hidden="false" customHeight="false" outlineLevel="0" collapsed="false">
      <c r="A15997" s="3" t="s">
        <v>355</v>
      </c>
      <c r="G15997" s="20" t="n">
        <f aca="false">IF(G15996=1,1,0)</f>
        <v>0</v>
      </c>
      <c r="H15997" s="20" t="n">
        <f aca="false">IF(AND(H15996=1,SUM($G$15996:G15996)=0),1,0)</f>
        <v>0</v>
      </c>
      <c r="I15997" s="20" t="n">
        <f aca="false">IF(AND(I15996=1,SUM($G$15996:H15996)=0),1,0)</f>
        <v>0</v>
      </c>
      <c r="J15997" s="20" t="n">
        <f aca="false">IF(AND(J15996=1,SUM($G$15996:I15996)=0),1,0)</f>
        <v>0</v>
      </c>
      <c r="K15997" s="20" t="n">
        <f aca="false">IF(AND(K15996=1,SUM($G$15996:J15996)=0),1,0)</f>
        <v>0</v>
      </c>
    </row>
    <row r="15998" customFormat="false" ht="15" hidden="false" customHeight="false" outlineLevel="0" collapsed="false">
      <c r="A15998" s="3" t="s">
        <v>356</v>
      </c>
      <c r="G15998" s="25" t="n">
        <f aca="false">(G15964-F15964)-(G15987+G15904-G15985-G15989-G15993)</f>
        <v>0</v>
      </c>
      <c r="H15998" s="25" t="n">
        <f aca="false">(H15964-G15964)-(H15987+H15904-H15985-H15989-H15993)</f>
        <v>0</v>
      </c>
      <c r="I15998" s="25" t="n">
        <f aca="false">(I15964-H15964)-(I15987+I15904-I15985-I15989-I15993)</f>
        <v>0</v>
      </c>
      <c r="J15998" s="25" t="n">
        <f aca="false">(J15964-I15964)-(J15987+J15904-J15985-J15989-J15993)</f>
        <v>0</v>
      </c>
      <c r="K15998" s="25" t="n">
        <f aca="false">(K15964-J15964)-(K15987+K15904-K15985-K15989-K15993)</f>
        <v>0</v>
      </c>
    </row>
    <row r="16000" customFormat="false" ht="15" hidden="false" customHeight="false" outlineLevel="0" collapsed="false">
      <c r="A16000" s="23" t="s">
        <v>358</v>
      </c>
      <c r="B16000" s="24"/>
      <c r="C16000" s="24"/>
      <c r="D16000" s="24"/>
      <c r="E16000" s="24"/>
      <c r="F16000" s="24"/>
      <c r="G16000" s="24"/>
      <c r="H16000" s="24"/>
      <c r="I16000" s="24"/>
      <c r="J16000" s="24"/>
      <c r="K16000" s="24"/>
    </row>
    <row r="16001" customFormat="false" ht="15" hidden="false" customHeight="false" outlineLevel="0" collapsed="false">
      <c r="A16001" s="3" t="s">
        <v>359</v>
      </c>
      <c r="G16001" s="25" t="n">
        <f aca="false">G15964</f>
        <v>1735.554</v>
      </c>
      <c r="H16001" s="25" t="n">
        <f aca="false">H15964</f>
        <v>1735.554</v>
      </c>
      <c r="I16001" s="25" t="n">
        <f aca="false">I15964</f>
        <v>1315.098</v>
      </c>
      <c r="J16001" s="25" t="n">
        <f aca="false">J15964</f>
        <v>1315.098</v>
      </c>
      <c r="K16001" s="25" t="n">
        <f aca="false">K15964</f>
        <v>1315.098</v>
      </c>
    </row>
    <row r="16002" customFormat="false" ht="15" hidden="false" customHeight="false" outlineLevel="0" collapsed="false">
      <c r="A16002" s="3" t="s">
        <v>360</v>
      </c>
      <c r="G16002" s="25" t="n">
        <f aca="false">Assumptions!$O$56*G15936+Assumptions!$O$57*G15949+Assumptions!$O$58*G15962</f>
        <v>1315.098</v>
      </c>
      <c r="H16002" s="25" t="n">
        <f aca="false">Assumptions!$O$56*H15936+Assumptions!$O$57*H15949+Assumptions!$O$58*H15962</f>
        <v>1315.098</v>
      </c>
      <c r="I16002" s="25" t="n">
        <f aca="false">Assumptions!$O$56*I15936+Assumptions!$O$57*I15949+Assumptions!$O$58*I15962</f>
        <v>1315.098</v>
      </c>
      <c r="J16002" s="25" t="n">
        <f aca="false">Assumptions!$O$56*J15936+Assumptions!$O$57*J15949+Assumptions!$O$58*J15962</f>
        <v>1315.098</v>
      </c>
      <c r="K16002" s="25" t="n">
        <f aca="false">Assumptions!$O$56*K15936+Assumptions!$O$57*K15949+Assumptions!$O$58*K15962</f>
        <v>1315.098</v>
      </c>
    </row>
    <row r="16003" customFormat="false" ht="15" hidden="false" customHeight="false" outlineLevel="0" collapsed="false">
      <c r="A16003" s="3" t="s">
        <v>361</v>
      </c>
      <c r="G16003" s="25" t="n">
        <f aca="false">G16001-G15994</f>
        <v>1145.69064597</v>
      </c>
      <c r="H16003" s="25" t="n">
        <f aca="false">H16001-H15994</f>
        <v>1029.5366262012</v>
      </c>
      <c r="I16003" s="25" t="n">
        <f aca="false">I16001-I15994</f>
        <v>924.522622233096</v>
      </c>
      <c r="J16003" s="25" t="n">
        <f aca="false">J16001-J15994</f>
        <v>815.657374029684</v>
      </c>
      <c r="K16003" s="25" t="n">
        <f aca="false">K16001-K15994</f>
        <v>715.969651150905</v>
      </c>
    </row>
    <row r="16004" customFormat="false" ht="15" hidden="false" customHeight="false" outlineLevel="0" collapsed="false">
      <c r="A16004" s="3" t="s">
        <v>362</v>
      </c>
      <c r="G16004" s="32" t="n">
        <f aca="false">IF(G15899&gt;0,G16001/G15899,0)</f>
        <v>5.77916207762031</v>
      </c>
      <c r="H16004" s="32" t="n">
        <f aca="false">IF(H15899&gt;0,H16001/H15899,0)</f>
        <v>6.01996049752115</v>
      </c>
      <c r="I16004" s="32" t="n">
        <f aca="false">IF(I15899&gt;0,I16001/I15899,0)</f>
        <v>4.79551511119407</v>
      </c>
      <c r="J16004" s="32" t="n">
        <f aca="false">IF(J15899&gt;0,J16001/J15899,0)</f>
        <v>5.01653339406293</v>
      </c>
      <c r="K16004" s="32" t="n">
        <f aca="false">IF(K15899&gt;0,K16001/K15899,0)</f>
        <v>5.2488732235156</v>
      </c>
    </row>
    <row r="16005" customFormat="false" ht="15" hidden="false" customHeight="false" outlineLevel="0" collapsed="false">
      <c r="A16005" s="3" t="s">
        <v>363</v>
      </c>
      <c r="G16005" s="32" t="n">
        <f aca="false">IF(G15899&gt;0,G16003/G15899,0)</f>
        <v>3.81499621093561</v>
      </c>
      <c r="H16005" s="32" t="n">
        <f aca="false">IF(H15899&gt;0,H16003/H15899,0)</f>
        <v>3.57106135590274</v>
      </c>
      <c r="I16005" s="32" t="n">
        <f aca="false">IF(I15899&gt;0,I16003/I15899,0)</f>
        <v>3.37127895073947</v>
      </c>
      <c r="J16005" s="32" t="n">
        <f aca="false">IF(J15899&gt;0,J16003/J15899,0)</f>
        <v>3.11138215930188</v>
      </c>
      <c r="K16005" s="32" t="n">
        <f aca="false">IF(K15899&gt;0,K16003/K15899,0)</f>
        <v>2.85760751729209</v>
      </c>
    </row>
    <row r="16006" customFormat="false" ht="15" hidden="false" customHeight="false" outlineLevel="0" collapsed="false">
      <c r="A16006" s="3" t="s">
        <v>364</v>
      </c>
      <c r="G16006" s="32" t="n">
        <f aca="false">IF(G15903&gt;0,G15899/G15903,0)</f>
        <v>1.92563899625449</v>
      </c>
      <c r="H16006" s="32" t="n">
        <f aca="false">IF(H15903&gt;0,H15899/H15903,0)</f>
        <v>1.84861343640431</v>
      </c>
      <c r="I16006" s="32" t="n">
        <f aca="false">IF(I15903&gt;0,I15899/I15903,0)</f>
        <v>1.75842750947116</v>
      </c>
      <c r="J16006" s="32" t="n">
        <f aca="false">IF(J15903&gt;0,J15899/J15903,0)</f>
        <v>1.89848422719182</v>
      </c>
      <c r="K16006" s="32" t="n">
        <f aca="false">IF(K15903&gt;0,K15899/K15903,0)</f>
        <v>1.81444838125289</v>
      </c>
    </row>
    <row r="16007" customFormat="false" ht="15" hidden="false" customHeight="false" outlineLevel="0" collapsed="false">
      <c r="A16007" s="3" t="s">
        <v>365</v>
      </c>
      <c r="G16007" s="32" t="n">
        <f aca="false">IF(G15903&gt;0,G15902/G15903,0)</f>
        <v>1.25417683356324</v>
      </c>
      <c r="H16007" s="32" t="n">
        <f aca="false">IF(H15903&gt;0,H15902/H15903,0)</f>
        <v>1.20400976022071</v>
      </c>
      <c r="I16007" s="32" t="n">
        <f aca="false">IF(I15903&gt;0,I15902/I15903,0)</f>
        <v>1.13638496195398</v>
      </c>
      <c r="J16007" s="32" t="n">
        <f aca="false">IF(J15903&gt;0,J15902/J15903,0)</f>
        <v>1.21702042306555</v>
      </c>
      <c r="K16007" s="32" t="n">
        <f aca="false">IF(K15903&gt;0,K15902/K15903,0)</f>
        <v>1.1534284912504</v>
      </c>
    </row>
    <row r="16008" customFormat="false" ht="15" hidden="false" customHeight="false" outlineLevel="0" collapsed="false">
      <c r="A16008" s="3" t="s">
        <v>198</v>
      </c>
      <c r="G16008" s="21" t="n">
        <f aca="false">IF(G16001&gt;0,G15912/G16001,0)</f>
        <v>0.0725228682196002</v>
      </c>
      <c r="H16008" s="21" t="n">
        <f aca="false">IF(H16001&gt;0,H15912/H16001,0)</f>
        <v>0.0669261917340515</v>
      </c>
      <c r="I16008" s="21" t="n">
        <f aca="false">IF(I16001&gt;0,I15912/I16001,0)</f>
        <v>0.0798526071578726</v>
      </c>
      <c r="J16008" s="21" t="n">
        <f aca="false">IF(J16001&gt;0,J15912/J16001,0)</f>
        <v>0.0827810917539313</v>
      </c>
      <c r="K16008" s="21" t="n">
        <f aca="false">IF(K16001&gt;0,K15912/K16001,0)</f>
        <v>0.0758025051203631</v>
      </c>
    </row>
    <row r="16009" customFormat="false" ht="15" hidden="false" customHeight="false" outlineLevel="0" collapsed="false">
      <c r="A16009" s="3" t="s">
        <v>366</v>
      </c>
      <c r="G16009" s="32" t="n">
        <f aca="false">IF(G15903+G15985&gt;0,(G15899-G15910-G15907)/(G15903+G15985),0)</f>
        <v>1.66953088823823</v>
      </c>
      <c r="H16009" s="32" t="n">
        <f aca="false">IF(H15903+H15985&gt;0,(H15899-H15910-H15907)/(H15903+H15985),0)</f>
        <v>1.6127496527087</v>
      </c>
      <c r="I16009" s="32" t="n">
        <f aca="false">IF(I15903+I15985&gt;0,(I15899-I15910-I15907)/(I15903+I15985),0)</f>
        <v>1.54594007236964</v>
      </c>
      <c r="J16009" s="32" t="n">
        <f aca="false">IF(J15903+J15985&gt;0,(J15899-J15910-J15907)/(J15903+J15985),0)</f>
        <v>1.64879692156745</v>
      </c>
      <c r="K16009" s="32" t="n">
        <f aca="false">IF(K15903+K15985&gt;0,(K15899-K15910-K15907)/(K15903+K15985),0)</f>
        <v>1.58652202457805</v>
      </c>
    </row>
    <row r="16010" customFormat="false" ht="15" hidden="false" customHeight="false" outlineLevel="0" collapsed="false">
      <c r="A16010" s="3" t="s">
        <v>367</v>
      </c>
      <c r="G16010" s="25" t="n">
        <f aca="false">MAX(0,G15994)+Assumptions!$P$56*MAX(0,Assumptions!$D$56-G15936)+Assumptions!$P$57*MAX(0,Assumptions!$D$57-G15949)+Assumptions!$P$58*MAX(0,Assumptions!$D$58-G15962)</f>
        <v>589.86335403</v>
      </c>
      <c r="H16010" s="25" t="n">
        <f aca="false">MAX(0,H15994)+Assumptions!$P$56*MAX(0,Assumptions!$D$56-H15936)+Assumptions!$P$57*MAX(0,Assumptions!$D$57-H15949)+Assumptions!$P$58*MAX(0,Assumptions!$D$58-H15962)</f>
        <v>706.0173737988</v>
      </c>
      <c r="I16010" s="25" t="n">
        <f aca="false">MAX(0,I15994)+Assumptions!$P$56*MAX(0,Assumptions!$D$56-I15936)+Assumptions!$P$57*MAX(0,Assumptions!$D$57-I15949)+Assumptions!$P$58*MAX(0,Assumptions!$D$58-I15962)</f>
        <v>390.575377766904</v>
      </c>
      <c r="J16010" s="25" t="n">
        <f aca="false">MAX(0,J15994)+Assumptions!$P$56*MAX(0,Assumptions!$D$56-J15936)+Assumptions!$P$57*MAX(0,Assumptions!$D$57-J15949)+Assumptions!$P$58*MAX(0,Assumptions!$D$58-J15962)</f>
        <v>499.440625970316</v>
      </c>
      <c r="K16010" s="25" t="n">
        <f aca="false">MAX(0,K15994)+Assumptions!$P$56*MAX(0,Assumptions!$D$56-K15936)+Assumptions!$P$57*MAX(0,Assumptions!$D$57-K15949)+Assumptions!$P$58*MAX(0,Assumptions!$D$58-K15962)</f>
        <v>599.128348849095</v>
      </c>
    </row>
    <row r="16011" customFormat="false" ht="15" hidden="false" customHeight="false" outlineLevel="0" collapsed="false">
      <c r="A16011" s="3" t="s">
        <v>368</v>
      </c>
      <c r="G16011" s="21" t="n">
        <f aca="false">IF(G16001&gt;0,G16001/(G16001+MAX(0,G15899*CHOOSE($C$15882,Assumptions!$C$82,Assumptions!$C$101,Assumptions!$C$120)-G16003)),0)</f>
        <v>0.774254240974845</v>
      </c>
      <c r="H16011" s="21" t="n">
        <f aca="false">IF(H16001&gt;0,H16001/(H16001+MAX(0,H15899*CHOOSE($C$15882,Assumptions!$C$82,Assumptions!$C$101,Assumptions!$C$120)-H16003)),0)</f>
        <v>0.757332605467614</v>
      </c>
      <c r="I16011" s="21" t="n">
        <f aca="false">IF(I16001&gt;0,I16001/(I16001+MAX(0,I15899*CHOOSE($C$15882,Assumptions!$C$82,Assumptions!$C$101,Assumptions!$C$120)-I16003)),0)</f>
        <v>0.692569548476987</v>
      </c>
      <c r="J16011" s="21" t="n">
        <f aca="false">IF(J16001&gt;0,J16001/(J16001+MAX(0,J15899*CHOOSE($C$15882,Assumptions!$C$82,Assumptions!$C$101,Assumptions!$C$120)-J16003)),0)</f>
        <v>0.677438344609961</v>
      </c>
      <c r="K16011" s="21" t="n">
        <f aca="false">IF(K16001&gt;0,K16001/(K16001+MAX(0,K15899*CHOOSE($C$15882,Assumptions!$C$82,Assumptions!$C$101,Assumptions!$C$120)-K16003)),0)</f>
        <v>0.665149726155595</v>
      </c>
    </row>
    <row r="16012" customFormat="false" ht="15" hidden="false" customHeight="false" outlineLevel="0" collapsed="false">
      <c r="A16012" s="3" t="s">
        <v>369</v>
      </c>
      <c r="G16012" s="21" t="n">
        <f aca="false">IF(G16001&gt;0,MAX(0,G15994)/G16001,0)</f>
        <v>0.339870354958705</v>
      </c>
      <c r="H16012" s="21" t="n">
        <f aca="false">IF(H16001&gt;0,MAX(0,H15994)/H16001,0)</f>
        <v>0.406796546692756</v>
      </c>
      <c r="I16012" s="21" t="n">
        <f aca="false">IF(I16001&gt;0,MAX(0,I15994)/I16001,0)</f>
        <v>0.296993363055</v>
      </c>
      <c r="J16012" s="21" t="n">
        <f aca="false">IF(J16001&gt;0,MAX(0,J15994)/J16001,0)</f>
        <v>0.379774454808931</v>
      </c>
      <c r="K16012" s="21" t="n">
        <f aca="false">IF(K16001&gt;0,MAX(0,K15994)/K16001,0)</f>
        <v>0.455576959929294</v>
      </c>
    </row>
    <row r="16013" customFormat="false" ht="15" hidden="false" customHeight="false" outlineLevel="0" collapsed="false">
      <c r="A16013" s="3" t="s">
        <v>370</v>
      </c>
      <c r="G16013" s="25" t="n">
        <f aca="false">Assumptions!$C$30*(1-CHOOSE($C$15882,Assumptions!$C$85,Assumptions!$C$104,Assumptions!$C$123))</f>
        <v>2454.971</v>
      </c>
      <c r="H16013" s="25" t="n">
        <f aca="false">Assumptions!$C$30*(1-CHOOSE($C$15882,Assumptions!$C$85,Assumptions!$C$104,Assumptions!$C$123))</f>
        <v>2454.971</v>
      </c>
      <c r="I16013" s="25" t="n">
        <f aca="false">Assumptions!$C$30*(1-CHOOSE($C$15882,Assumptions!$C$85,Assumptions!$C$104,Assumptions!$C$123))</f>
        <v>2454.971</v>
      </c>
      <c r="J16013" s="25" t="n">
        <f aca="false">Assumptions!$C$30*(1-CHOOSE($C$15882,Assumptions!$C$85,Assumptions!$C$104,Assumptions!$C$123))</f>
        <v>2454.971</v>
      </c>
      <c r="K16013" s="25" t="n">
        <f aca="false">Assumptions!$C$30*(1-CHOOSE($C$15882,Assumptions!$C$85,Assumptions!$C$104,Assumptions!$C$123))</f>
        <v>2454.971</v>
      </c>
    </row>
    <row r="16014" customFormat="false" ht="15" hidden="false" customHeight="false" outlineLevel="0" collapsed="false">
      <c r="A16014" s="23" t="s">
        <v>371</v>
      </c>
      <c r="B16014" s="24"/>
      <c r="C16014" s="24"/>
      <c r="D16014" s="24"/>
      <c r="E16014" s="24"/>
      <c r="F16014" s="24"/>
      <c r="G16014" s="24"/>
      <c r="H16014" s="24"/>
      <c r="I16014" s="24"/>
      <c r="J16014" s="24"/>
      <c r="K16014" s="24"/>
    </row>
    <row r="16015" customFormat="false" ht="15" hidden="false" customHeight="false" outlineLevel="0" collapsed="false">
      <c r="A16015" s="23" t="s">
        <v>372</v>
      </c>
      <c r="B16015" s="24"/>
      <c r="C16015" s="24"/>
      <c r="D16015" s="24"/>
      <c r="E16015" s="24"/>
      <c r="F16015" s="24"/>
      <c r="G16015" s="24"/>
      <c r="H16015" s="24"/>
      <c r="I16015" s="24"/>
      <c r="J16015" s="24"/>
      <c r="K16015" s="24"/>
    </row>
    <row r="16016" customFormat="false" ht="15" hidden="false" customHeight="false" outlineLevel="0" collapsed="false">
      <c r="A16016" s="3" t="s">
        <v>373</v>
      </c>
      <c r="G16016" s="32" t="n">
        <f aca="false">IF(G15899&gt;0,G16003/G15899,99)</f>
        <v>3.81499621093561</v>
      </c>
      <c r="H16016" s="32" t="n">
        <f aca="false">IF(H15899&gt;0,H16003/H15899,99)</f>
        <v>3.57106135590274</v>
      </c>
      <c r="I16016" s="32" t="n">
        <f aca="false">IF(I15899&gt;0,I16003/I15899,99)</f>
        <v>3.37127895073947</v>
      </c>
      <c r="J16016" s="32" t="n">
        <f aca="false">IF(J15899&gt;0,J16003/J15899,99)</f>
        <v>3.11138215930188</v>
      </c>
      <c r="K16016" s="32" t="n">
        <f aca="false">IF(K15899&gt;0,K16003/K15899,99)</f>
        <v>2.85760751729209</v>
      </c>
    </row>
    <row r="16017" customFormat="false" ht="15" hidden="false" customHeight="false" outlineLevel="0" collapsed="false">
      <c r="A16017" s="3" t="s">
        <v>374</v>
      </c>
      <c r="G16017" s="33" t="n">
        <f aca="false">Assumptions!$G$65</f>
        <v>5.25</v>
      </c>
      <c r="H16017" s="33" t="n">
        <f aca="false">Assumptions!$H$65</f>
        <v>5.25</v>
      </c>
      <c r="I16017" s="33" t="n">
        <f aca="false">Assumptions!$I$65</f>
        <v>5</v>
      </c>
      <c r="J16017" s="33" t="n">
        <f aca="false">Assumptions!$J$65</f>
        <v>5</v>
      </c>
      <c r="K16017" s="33" t="n">
        <f aca="false">Assumptions!$K$65</f>
        <v>5</v>
      </c>
    </row>
    <row r="16018" customFormat="false" ht="15" hidden="false" customHeight="false" outlineLevel="0" collapsed="false">
      <c r="A16018" s="3" t="s">
        <v>375</v>
      </c>
      <c r="G16018" s="32" t="n">
        <f aca="false">G16017-G16016</f>
        <v>1.43500378906439</v>
      </c>
      <c r="H16018" s="32" t="n">
        <f aca="false">H16017-H16016</f>
        <v>1.67893864409726</v>
      </c>
      <c r="I16018" s="32" t="n">
        <f aca="false">I16017-I16016</f>
        <v>1.62872104926053</v>
      </c>
      <c r="J16018" s="32" t="n">
        <f aca="false">J16017-J16016</f>
        <v>1.88861784069812</v>
      </c>
      <c r="K16018" s="32" t="n">
        <f aca="false">K16017-K16016</f>
        <v>2.14239248270791</v>
      </c>
    </row>
    <row r="16019" customFormat="false" ht="15" hidden="false" customHeight="false" outlineLevel="0" collapsed="false">
      <c r="A16019" s="3" t="s">
        <v>376</v>
      </c>
      <c r="G16019" s="21" t="n">
        <f aca="false">IF(G16017=0,0,G16018/ABS(G16017))</f>
        <v>0.273334055059884</v>
      </c>
      <c r="H16019" s="21" t="n">
        <f aca="false">IF(H16017=0,0,H16018/ABS(H16017))</f>
        <v>0.319797836970907</v>
      </c>
      <c r="I16019" s="21" t="n">
        <f aca="false">IF(I16017=0,0,I16018/ABS(I16017))</f>
        <v>0.325744209852106</v>
      </c>
      <c r="J16019" s="21" t="n">
        <f aca="false">IF(J16017=0,0,J16018/ABS(J16017))</f>
        <v>0.377723568139623</v>
      </c>
      <c r="K16019" s="21" t="n">
        <f aca="false">IF(K16017=0,0,K16018/ABS(K16017))</f>
        <v>0.428478496541582</v>
      </c>
    </row>
    <row r="16020" customFormat="false" ht="15" hidden="false" customHeight="false" outlineLevel="0" collapsed="false">
      <c r="A16020" s="3" t="s">
        <v>377</v>
      </c>
      <c r="G16020" s="20" t="n">
        <f aca="false">IF(G16018&lt;0,1,0)</f>
        <v>0</v>
      </c>
      <c r="H16020" s="20" t="n">
        <f aca="false">IF(H16018&lt;0,1,0)</f>
        <v>0</v>
      </c>
      <c r="I16020" s="20" t="n">
        <f aca="false">IF(I16018&lt;0,1,0)</f>
        <v>0</v>
      </c>
      <c r="J16020" s="20" t="n">
        <f aca="false">IF(J16018&lt;0,1,0)</f>
        <v>0</v>
      </c>
      <c r="K16020" s="20" t="n">
        <f aca="false">IF(K16018&lt;0,1,0)</f>
        <v>0</v>
      </c>
    </row>
    <row r="16021" customFormat="false" ht="15" hidden="false" customHeight="false" outlineLevel="0" collapsed="false">
      <c r="A16021" s="3" t="s">
        <v>378</v>
      </c>
      <c r="C16021" s="20" t="n">
        <f aca="false">IFERROR(INDEX($G$15889:$K$15889,MATCH(1,$G$16020:$K$16020,0)),0)</f>
        <v>0</v>
      </c>
    </row>
    <row r="16022" customFormat="false" ht="15" hidden="false" customHeight="false" outlineLevel="0" collapsed="false">
      <c r="A16022" s="3" t="s">
        <v>379</v>
      </c>
      <c r="C16022" s="21" t="n">
        <f aca="false">MIN($G$16019:$K$16019)</f>
        <v>0.273334055059884</v>
      </c>
    </row>
    <row r="16023" customFormat="false" ht="15" hidden="false" customHeight="false" outlineLevel="0" collapsed="false">
      <c r="A16023" s="23" t="s">
        <v>380</v>
      </c>
      <c r="B16023" s="24"/>
      <c r="C16023" s="24"/>
      <c r="D16023" s="24"/>
      <c r="E16023" s="24"/>
      <c r="F16023" s="24"/>
      <c r="G16023" s="24"/>
      <c r="H16023" s="24"/>
      <c r="I16023" s="24"/>
      <c r="J16023" s="24"/>
      <c r="K16023" s="24"/>
    </row>
    <row r="16024" customFormat="false" ht="15" hidden="false" customHeight="false" outlineLevel="0" collapsed="false">
      <c r="A16024" s="3" t="s">
        <v>373</v>
      </c>
      <c r="G16024" s="32" t="n">
        <f aca="false">IF(G15903&gt;0,G15899/G15903,99)</f>
        <v>1.92563899625449</v>
      </c>
      <c r="H16024" s="32" t="n">
        <f aca="false">IF(H15903&gt;0,H15899/H15903,99)</f>
        <v>1.84861343640431</v>
      </c>
      <c r="I16024" s="32" t="n">
        <f aca="false">IF(I15903&gt;0,I15899/I15903,99)</f>
        <v>1.75842750947116</v>
      </c>
      <c r="J16024" s="32" t="n">
        <f aca="false">IF(J15903&gt;0,J15899/J15903,99)</f>
        <v>1.89848422719182</v>
      </c>
      <c r="K16024" s="32" t="n">
        <f aca="false">IF(K15903&gt;0,K15899/K15903,99)</f>
        <v>1.81444838125289</v>
      </c>
    </row>
    <row r="16025" customFormat="false" ht="15" hidden="false" customHeight="false" outlineLevel="0" collapsed="false">
      <c r="A16025" s="3" t="s">
        <v>374</v>
      </c>
      <c r="G16025" s="33" t="n">
        <f aca="false">Assumptions!$G$66</f>
        <v>1.4</v>
      </c>
      <c r="H16025" s="33" t="n">
        <f aca="false">Assumptions!$H$66</f>
        <v>1.4</v>
      </c>
      <c r="I16025" s="33" t="n">
        <f aca="false">Assumptions!$I$66</f>
        <v>1.4</v>
      </c>
      <c r="J16025" s="33" t="n">
        <f aca="false">Assumptions!$J$66</f>
        <v>1.5</v>
      </c>
      <c r="K16025" s="33" t="n">
        <f aca="false">Assumptions!$K$66</f>
        <v>1.5</v>
      </c>
    </row>
    <row r="16026" customFormat="false" ht="15" hidden="false" customHeight="false" outlineLevel="0" collapsed="false">
      <c r="A16026" s="3" t="s">
        <v>375</v>
      </c>
      <c r="G16026" s="32" t="n">
        <f aca="false">G16024-G16025</f>
        <v>0.525638996254489</v>
      </c>
      <c r="H16026" s="32" t="n">
        <f aca="false">H16024-H16025</f>
        <v>0.448613436404309</v>
      </c>
      <c r="I16026" s="32" t="n">
        <f aca="false">I16024-I16025</f>
        <v>0.358427509471156</v>
      </c>
      <c r="J16026" s="32" t="n">
        <f aca="false">J16024-J16025</f>
        <v>0.398484227191822</v>
      </c>
      <c r="K16026" s="32" t="n">
        <f aca="false">K16024-K16025</f>
        <v>0.31444838125289</v>
      </c>
    </row>
    <row r="16027" customFormat="false" ht="15" hidden="false" customHeight="false" outlineLevel="0" collapsed="false">
      <c r="A16027" s="3" t="s">
        <v>376</v>
      </c>
      <c r="G16027" s="21" t="n">
        <f aca="false">IF(G16025=0,0,G16026/ABS(G16025))</f>
        <v>0.375456425896063</v>
      </c>
      <c r="H16027" s="21" t="n">
        <f aca="false">IF(H16025=0,0,H16026/ABS(H16025))</f>
        <v>0.320438168860221</v>
      </c>
      <c r="I16027" s="21" t="n">
        <f aca="false">IF(I16025=0,0,I16026/ABS(I16025))</f>
        <v>0.256019649622254</v>
      </c>
      <c r="J16027" s="21" t="n">
        <f aca="false">IF(J16025=0,0,J16026/ABS(J16025))</f>
        <v>0.265656151461215</v>
      </c>
      <c r="K16027" s="21" t="n">
        <f aca="false">IF(K16025=0,0,K16026/ABS(K16025))</f>
        <v>0.209632254168593</v>
      </c>
    </row>
    <row r="16028" customFormat="false" ht="15" hidden="false" customHeight="false" outlineLevel="0" collapsed="false">
      <c r="A16028" s="3" t="s">
        <v>377</v>
      </c>
      <c r="G16028" s="20" t="n">
        <f aca="false">IF(G16026&lt;0,1,0)</f>
        <v>0</v>
      </c>
      <c r="H16028" s="20" t="n">
        <f aca="false">IF(H16026&lt;0,1,0)</f>
        <v>0</v>
      </c>
      <c r="I16028" s="20" t="n">
        <f aca="false">IF(I16026&lt;0,1,0)</f>
        <v>0</v>
      </c>
      <c r="J16028" s="20" t="n">
        <f aca="false">IF(J16026&lt;0,1,0)</f>
        <v>0</v>
      </c>
      <c r="K16028" s="20" t="n">
        <f aca="false">IF(K16026&lt;0,1,0)</f>
        <v>0</v>
      </c>
    </row>
    <row r="16029" customFormat="false" ht="15" hidden="false" customHeight="false" outlineLevel="0" collapsed="false">
      <c r="A16029" s="3" t="s">
        <v>378</v>
      </c>
      <c r="C16029" s="20" t="n">
        <f aca="false">IFERROR(INDEX($G$15889:$K$15889,MATCH(1,$G$16028:$K$16028,0)),0)</f>
        <v>0</v>
      </c>
    </row>
    <row r="16030" customFormat="false" ht="15" hidden="false" customHeight="false" outlineLevel="0" collapsed="false">
      <c r="A16030" s="3" t="s">
        <v>379</v>
      </c>
      <c r="C16030" s="21" t="n">
        <f aca="false">MIN($G$16027:$K$16027)</f>
        <v>0.209632254168593</v>
      </c>
    </row>
    <row r="16031" customFormat="false" ht="15" hidden="false" customHeight="false" outlineLevel="0" collapsed="false">
      <c r="A16031" s="23" t="s">
        <v>381</v>
      </c>
      <c r="B16031" s="24"/>
      <c r="C16031" s="24"/>
      <c r="D16031" s="24"/>
      <c r="E16031" s="24"/>
      <c r="F16031" s="24"/>
      <c r="G16031" s="24"/>
      <c r="H16031" s="24"/>
      <c r="I16031" s="24"/>
      <c r="J16031" s="24"/>
      <c r="K16031" s="24"/>
    </row>
    <row r="16032" customFormat="false" ht="15" hidden="false" customHeight="false" outlineLevel="0" collapsed="false">
      <c r="A16032" s="3" t="s">
        <v>373</v>
      </c>
      <c r="G16032" s="25" t="n">
        <f aca="false">G16010</f>
        <v>589.86335403</v>
      </c>
      <c r="H16032" s="25" t="n">
        <f aca="false">H16010</f>
        <v>706.0173737988</v>
      </c>
      <c r="I16032" s="25" t="n">
        <f aca="false">I16010</f>
        <v>390.575377766904</v>
      </c>
      <c r="J16032" s="25" t="n">
        <f aca="false">J16010</f>
        <v>499.440625970316</v>
      </c>
      <c r="K16032" s="25" t="n">
        <f aca="false">K16010</f>
        <v>599.128348849095</v>
      </c>
    </row>
    <row r="16033" customFormat="false" ht="15" hidden="false" customHeight="false" outlineLevel="0" collapsed="false">
      <c r="A16033" s="3" t="s">
        <v>374</v>
      </c>
      <c r="G16033" s="29" t="n">
        <f aca="false">Assumptions!$G$67</f>
        <v>200</v>
      </c>
      <c r="H16033" s="29" t="n">
        <f aca="false">Assumptions!$H$67</f>
        <v>200</v>
      </c>
      <c r="I16033" s="29" t="n">
        <f aca="false">Assumptions!$I$67</f>
        <v>200</v>
      </c>
      <c r="J16033" s="29" t="n">
        <f aca="false">Assumptions!$J$67</f>
        <v>200</v>
      </c>
      <c r="K16033" s="29" t="n">
        <f aca="false">Assumptions!$K$67</f>
        <v>200</v>
      </c>
    </row>
    <row r="16034" customFormat="false" ht="15" hidden="false" customHeight="false" outlineLevel="0" collapsed="false">
      <c r="A16034" s="3" t="s">
        <v>375</v>
      </c>
      <c r="G16034" s="25" t="n">
        <f aca="false">G16032-G16033</f>
        <v>389.86335403</v>
      </c>
      <c r="H16034" s="25" t="n">
        <f aca="false">H16032-H16033</f>
        <v>506.0173737988</v>
      </c>
      <c r="I16034" s="25" t="n">
        <f aca="false">I16032-I16033</f>
        <v>190.575377766904</v>
      </c>
      <c r="J16034" s="25" t="n">
        <f aca="false">J16032-J16033</f>
        <v>299.440625970316</v>
      </c>
      <c r="K16034" s="25" t="n">
        <f aca="false">K16032-K16033</f>
        <v>399.128348849095</v>
      </c>
    </row>
    <row r="16035" customFormat="false" ht="15" hidden="false" customHeight="false" outlineLevel="0" collapsed="false">
      <c r="A16035" s="3" t="s">
        <v>376</v>
      </c>
      <c r="G16035" s="21" t="n">
        <f aca="false">IF(G16033=0,0,G16034/ABS(G16033))</f>
        <v>1.94931677015</v>
      </c>
      <c r="H16035" s="21" t="n">
        <f aca="false">IF(H16033=0,0,H16034/ABS(H16033))</f>
        <v>2.530086868994</v>
      </c>
      <c r="I16035" s="21" t="n">
        <f aca="false">IF(I16033=0,0,I16034/ABS(I16033))</f>
        <v>0.95287688883452</v>
      </c>
      <c r="J16035" s="21" t="n">
        <f aca="false">IF(J16033=0,0,J16034/ABS(J16033))</f>
        <v>1.49720312985158</v>
      </c>
      <c r="K16035" s="21" t="n">
        <f aca="false">IF(K16033=0,0,K16034/ABS(K16033))</f>
        <v>1.99564174424547</v>
      </c>
    </row>
    <row r="16036" customFormat="false" ht="15" hidden="false" customHeight="false" outlineLevel="0" collapsed="false">
      <c r="A16036" s="3" t="s">
        <v>377</v>
      </c>
      <c r="G16036" s="20" t="n">
        <f aca="false">IF(G16034&lt;0,1,0)</f>
        <v>0</v>
      </c>
      <c r="H16036" s="20" t="n">
        <f aca="false">IF(H16034&lt;0,1,0)</f>
        <v>0</v>
      </c>
      <c r="I16036" s="20" t="n">
        <f aca="false">IF(I16034&lt;0,1,0)</f>
        <v>0</v>
      </c>
      <c r="J16036" s="20" t="n">
        <f aca="false">IF(J16034&lt;0,1,0)</f>
        <v>0</v>
      </c>
      <c r="K16036" s="20" t="n">
        <f aca="false">IF(K16034&lt;0,1,0)</f>
        <v>0</v>
      </c>
    </row>
    <row r="16037" customFormat="false" ht="15" hidden="false" customHeight="false" outlineLevel="0" collapsed="false">
      <c r="A16037" s="3" t="s">
        <v>378</v>
      </c>
      <c r="C16037" s="20" t="n">
        <f aca="false">IFERROR(INDEX($G$15889:$K$15889,MATCH(1,$G$16036:$K$16036,0)),0)</f>
        <v>0</v>
      </c>
    </row>
    <row r="16038" customFormat="false" ht="15" hidden="false" customHeight="false" outlineLevel="0" collapsed="false">
      <c r="A16038" s="3" t="s">
        <v>379</v>
      </c>
      <c r="C16038" s="21" t="n">
        <f aca="false">MIN($G$16035:$K$16035)</f>
        <v>0.95287688883452</v>
      </c>
    </row>
    <row r="16039" customFormat="false" ht="15" hidden="false" customHeight="false" outlineLevel="0" collapsed="false">
      <c r="A16039" s="3" t="s">
        <v>382</v>
      </c>
      <c r="G16039" s="20" t="n">
        <f aca="false">G16020+G16028+G16036</f>
        <v>0</v>
      </c>
      <c r="H16039" s="20" t="n">
        <f aca="false">H16020+H16028+H16036</f>
        <v>0</v>
      </c>
      <c r="I16039" s="20" t="n">
        <f aca="false">I16020+I16028+I16036</f>
        <v>0</v>
      </c>
      <c r="J16039" s="20" t="n">
        <f aca="false">J16020+J16028+J16036</f>
        <v>0</v>
      </c>
      <c r="K16039" s="20" t="n">
        <f aca="false">K16020+K16028+K16036</f>
        <v>0</v>
      </c>
    </row>
    <row r="16040" customFormat="false" ht="15" hidden="false" customHeight="false" outlineLevel="0" collapsed="false">
      <c r="A16040" s="3" t="s">
        <v>383</v>
      </c>
      <c r="C16040" s="20" t="n">
        <f aca="false">SUM($G$16039:$K$16039)</f>
        <v>0</v>
      </c>
    </row>
    <row r="16041" customFormat="false" ht="15" hidden="false" customHeight="false" outlineLevel="0" collapsed="false">
      <c r="A16041" s="3" t="s">
        <v>384</v>
      </c>
      <c r="C16041" s="21" t="n">
        <f aca="false">MIN(C16022,C16030,C16038)</f>
        <v>0.209632254168593</v>
      </c>
    </row>
    <row r="16043" customFormat="false" ht="15" hidden="false" customHeight="false" outlineLevel="0" collapsed="false">
      <c r="A16043" s="23" t="s">
        <v>486</v>
      </c>
      <c r="B16043" s="24"/>
      <c r="C16043" s="24"/>
      <c r="D16043" s="24"/>
      <c r="E16043" s="24"/>
      <c r="F16043" s="24"/>
      <c r="G16043" s="24"/>
      <c r="H16043" s="24"/>
      <c r="I16043" s="24"/>
      <c r="J16043" s="24"/>
      <c r="K16043" s="24"/>
    </row>
    <row r="16044" customFormat="false" ht="15" hidden="false" customHeight="false" outlineLevel="0" collapsed="false">
      <c r="A16044" s="3" t="s">
        <v>487</v>
      </c>
      <c r="G16044" s="20" t="n">
        <f aca="false">IF($C$16045=1,G15997,IF(G15899=MIN($G$15899:$K$15899),1,0))</f>
        <v>0</v>
      </c>
      <c r="H16044" s="20" t="n">
        <f aca="false">IF($C$16045=1,H15997,IF(AND(H15899=MIN($G$15899:$K$15899),SUM($G$16044:G16044)=0),1,0))</f>
        <v>0</v>
      </c>
      <c r="I16044" s="20" t="n">
        <f aca="false">IF($C$16045=1,I15997,IF(AND(I15899=MIN($G$15899:$K$15899),SUM($G$16044:H16044)=0),1,0))</f>
        <v>0</v>
      </c>
      <c r="J16044" s="20" t="n">
        <f aca="false">IF($C$16045=1,J15997,IF(AND(J15899=MIN($G$15899:$K$15899),SUM($G$16044:I16044)=0),1,0))</f>
        <v>0</v>
      </c>
      <c r="K16044" s="20" t="n">
        <f aca="false">IF($C$16045=1,K15997,IF(AND(K15899=MIN($G$15899:$K$15899),SUM($G$16044:J16044)=0),1,0))</f>
        <v>1</v>
      </c>
    </row>
    <row r="16045" customFormat="false" ht="15" hidden="false" customHeight="false" outlineLevel="0" collapsed="false">
      <c r="A16045" s="3" t="s">
        <v>488</v>
      </c>
      <c r="C16045" s="20" t="n">
        <f aca="false">IF(SUM($G$15997:$K$15997)&gt;0,1,0)</f>
        <v>0</v>
      </c>
    </row>
    <row r="16046" customFormat="false" ht="15" hidden="false" customHeight="false" outlineLevel="0" collapsed="false">
      <c r="A16046" s="3" t="s">
        <v>489</v>
      </c>
      <c r="C16046" s="20" t="n">
        <f aca="false">SUMPRODUCT($G$16044:$K$16044,$G$15889:$K$15889)</f>
        <v>2031</v>
      </c>
    </row>
    <row r="16047" customFormat="false" ht="15" hidden="false" customHeight="false" outlineLevel="0" collapsed="false">
      <c r="A16047" s="3" t="s">
        <v>490</v>
      </c>
      <c r="C16047" s="25" t="n">
        <f aca="false">SUMPRODUCT($G$16044:$K$16044,$G$15899:$K$15899)</f>
        <v>250.548630915336</v>
      </c>
    </row>
    <row r="16048" customFormat="false" ht="15" hidden="false" customHeight="false" outlineLevel="0" collapsed="false">
      <c r="A16048" s="3" t="s">
        <v>491</v>
      </c>
      <c r="C16048" s="25" t="n">
        <f aca="false">MAX(0,SUMPRODUCT($G$16044:$K$16044,$G$15994:$K$15994))</f>
        <v>599.128348849095</v>
      </c>
    </row>
    <row r="16049" customFormat="false" ht="15" hidden="false" customHeight="false" outlineLevel="0" collapsed="false">
      <c r="A16049" s="3" t="s">
        <v>492</v>
      </c>
      <c r="C16049" s="25" t="n">
        <f aca="false">(CHOOSE($C$15882,Assumptions!$C$84,Assumptions!$C$103,Assumptions!$C$122)+$C$15886)*C16047</f>
        <v>1002.19452366134</v>
      </c>
    </row>
    <row r="16050" customFormat="false" ht="15" hidden="false" customHeight="false" outlineLevel="0" collapsed="false">
      <c r="A16050" s="3" t="s">
        <v>493</v>
      </c>
      <c r="C16050" s="25" t="n">
        <f aca="false">Assumptions!$C$30*(1-CHOOSE($C$15882,Assumptions!$C$85,Assumptions!$C$104,Assumptions!$C$123))*CHOOSE($C$15882,Assumptions!$C$86,Assumptions!$C$105,Assumptions!$C$124)</f>
        <v>736.4913</v>
      </c>
    </row>
    <row r="16051" customFormat="false" ht="15" hidden="false" customHeight="false" outlineLevel="0" collapsed="false">
      <c r="A16051" s="3" t="s">
        <v>494</v>
      </c>
      <c r="C16051" s="25" t="n">
        <f aca="false">MAX(C16049,C16050)+C16048</f>
        <v>1601.32287251044</v>
      </c>
    </row>
    <row r="16052" customFormat="false" ht="15" hidden="false" customHeight="false" outlineLevel="0" collapsed="false">
      <c r="A16052" s="2" t="s">
        <v>495</v>
      </c>
      <c r="C16052" s="16" t="n">
        <f aca="false">IF(ISNUMBER(Assumptions!$C$14),Assumptions!$C$14,C16051)</f>
        <v>1601.32287251044</v>
      </c>
    </row>
    <row r="16053" customFormat="false" ht="15" hidden="false" customHeight="false" outlineLevel="0" collapsed="false">
      <c r="A16053" s="3" t="s">
        <v>496</v>
      </c>
      <c r="C16053" s="25" t="n">
        <f aca="false">C16052*Assumptions!$C$15</f>
        <v>64.0529149004175</v>
      </c>
    </row>
    <row r="16054" customFormat="false" ht="15" hidden="false" customHeight="false" outlineLevel="0" collapsed="false">
      <c r="A16054" s="2" t="s">
        <v>497</v>
      </c>
      <c r="C16054" s="16" t="n">
        <f aca="false">C16052-C16053</f>
        <v>1537.26995761002</v>
      </c>
    </row>
    <row r="16055" customFormat="false" ht="15" hidden="false" customHeight="false" outlineLevel="0" collapsed="false">
      <c r="A16055" s="23" t="s">
        <v>498</v>
      </c>
      <c r="B16055" s="24"/>
      <c r="C16055" s="24"/>
      <c r="D16055" s="24"/>
      <c r="E16055" s="24"/>
      <c r="F16055" s="24"/>
      <c r="G16055" s="24"/>
      <c r="H16055" s="24"/>
      <c r="I16055" s="24"/>
      <c r="J16055" s="24"/>
      <c r="K16055" s="24"/>
    </row>
    <row r="16056" customFormat="false" ht="15" hidden="false" customHeight="false" outlineLevel="0" collapsed="false">
      <c r="A16056" s="3" t="s">
        <v>499</v>
      </c>
      <c r="C16056" s="25" t="n">
        <f aca="false">SUMPRODUCT($G$16044:$K$16044,$G$15936:$K$15936)*(1+SUMPRODUCT($G$16044:$K$16044,$G$15928:$K$15928)*Assumptions!$C$16/12)</f>
        <v>1349.6193225</v>
      </c>
    </row>
    <row r="16057" customFormat="false" ht="15" hidden="false" customHeight="false" outlineLevel="0" collapsed="false">
      <c r="A16057" s="3" t="s">
        <v>500</v>
      </c>
      <c r="C16057" s="25" t="n">
        <f aca="false">SUMPRODUCT($G$16044:$K$16044,$G$15949:$K$15949)*(1+SUMPRODUCT($G$16044:$K$16044,$G$15941:$K$15941)*Assumptions!$C$16/12)</f>
        <v>0</v>
      </c>
    </row>
    <row r="16058" customFormat="false" ht="15" hidden="false" customHeight="false" outlineLevel="0" collapsed="false">
      <c r="A16058" s="3" t="s">
        <v>501</v>
      </c>
      <c r="C16058" s="25" t="n">
        <f aca="false">SUMPRODUCT($G$16044:$K$16044,$G$15962:$K$15962)*(1+SUMPRODUCT($G$16044:$K$16044,$G$15954:$K$15954)*Assumptions!$C$16/12)</f>
        <v>0</v>
      </c>
    </row>
    <row r="16059" customFormat="false" ht="15" hidden="false" customHeight="false" outlineLevel="0" collapsed="false">
      <c r="A16059" s="23" t="s">
        <v>502</v>
      </c>
      <c r="B16059" s="24"/>
      <c r="C16059" s="24"/>
      <c r="D16059" s="24"/>
      <c r="E16059" s="24"/>
      <c r="F16059" s="24"/>
      <c r="G16059" s="24"/>
      <c r="H16059" s="24"/>
      <c r="I16059" s="24"/>
      <c r="J16059" s="24"/>
      <c r="K16059" s="24"/>
    </row>
    <row r="16060" customFormat="false" ht="15" hidden="false" customHeight="false" outlineLevel="0" collapsed="false">
      <c r="A16060" s="3" t="s">
        <v>499</v>
      </c>
      <c r="C16060" s="27" t="n">
        <f aca="false">Assumptions!$M$56</f>
        <v>1</v>
      </c>
    </row>
    <row r="16061" customFormat="false" ht="15" hidden="false" customHeight="false" outlineLevel="0" collapsed="false">
      <c r="A16061" s="3" t="s">
        <v>500</v>
      </c>
      <c r="C16061" s="27" t="n">
        <f aca="false">Assumptions!$M$57</f>
        <v>2</v>
      </c>
    </row>
    <row r="16062" customFormat="false" ht="15" hidden="false" customHeight="false" outlineLevel="0" collapsed="false">
      <c r="A16062" s="3" t="s">
        <v>501</v>
      </c>
      <c r="C16062" s="27" t="n">
        <f aca="false">Assumptions!$M$58</f>
        <v>2</v>
      </c>
    </row>
    <row r="16063" customFormat="false" ht="15" hidden="false" customHeight="false" outlineLevel="0" collapsed="false">
      <c r="A16063" s="23" t="s">
        <v>503</v>
      </c>
      <c r="B16063" s="24"/>
      <c r="C16063" s="24"/>
      <c r="D16063" s="24"/>
      <c r="E16063" s="24"/>
      <c r="F16063" s="24"/>
      <c r="G16063" s="24"/>
      <c r="H16063" s="24"/>
      <c r="I16063" s="24"/>
      <c r="J16063" s="24"/>
      <c r="K16063" s="24"/>
    </row>
    <row r="16064" customFormat="false" ht="15" hidden="false" customHeight="false" outlineLevel="0" collapsed="false">
      <c r="A16064" s="3" t="s">
        <v>499</v>
      </c>
      <c r="C16064" s="35" t="n">
        <f aca="false">Assumptions!$Q$56</f>
        <v>0</v>
      </c>
    </row>
    <row r="16065" customFormat="false" ht="15" hidden="false" customHeight="false" outlineLevel="0" collapsed="false">
      <c r="A16065" s="3" t="s">
        <v>500</v>
      </c>
      <c r="C16065" s="35" t="n">
        <f aca="false">Assumptions!$Q$57</f>
        <v>0</v>
      </c>
    </row>
    <row r="16066" customFormat="false" ht="15" hidden="false" customHeight="false" outlineLevel="0" collapsed="false">
      <c r="A16066" s="3" t="s">
        <v>501</v>
      </c>
      <c r="C16066" s="35" t="n">
        <f aca="false">Assumptions!$Q$58</f>
        <v>0</v>
      </c>
    </row>
    <row r="16067" customFormat="false" ht="15" hidden="false" customHeight="false" outlineLevel="0" collapsed="false">
      <c r="A16067" s="23" t="s">
        <v>504</v>
      </c>
      <c r="B16067" s="24"/>
      <c r="C16067" s="24"/>
      <c r="D16067" s="24"/>
      <c r="E16067" s="24"/>
      <c r="F16067" s="24"/>
      <c r="G16067" s="24"/>
      <c r="H16067" s="24"/>
      <c r="I16067" s="24"/>
      <c r="J16067" s="24"/>
      <c r="K16067" s="24"/>
    </row>
    <row r="16068" customFormat="false" ht="15" hidden="false" customHeight="false" outlineLevel="0" collapsed="false">
      <c r="A16068" s="3" t="s">
        <v>499</v>
      </c>
      <c r="C16068" s="25" t="n">
        <f aca="false">IF(C16064&gt;0,MIN(C16056,C16064*$C$16054),0)</f>
        <v>0</v>
      </c>
    </row>
    <row r="16069" customFormat="false" ht="15" hidden="false" customHeight="false" outlineLevel="0" collapsed="false">
      <c r="A16069" s="3" t="s">
        <v>500</v>
      </c>
      <c r="C16069" s="25" t="n">
        <f aca="false">IF(C16065&gt;0,MIN(C16057,C16065*$C$16054),0)</f>
        <v>0</v>
      </c>
    </row>
    <row r="16070" customFormat="false" ht="15" hidden="false" customHeight="false" outlineLevel="0" collapsed="false">
      <c r="A16070" s="3" t="s">
        <v>501</v>
      </c>
      <c r="C16070" s="25" t="n">
        <f aca="false">IF(C16066&gt;0,MIN(C16058,C16066*$C$16054),0)</f>
        <v>0</v>
      </c>
    </row>
    <row r="16071" customFormat="false" ht="15" hidden="false" customHeight="false" outlineLevel="0" collapsed="false">
      <c r="A16071" s="23" t="s">
        <v>505</v>
      </c>
      <c r="B16071" s="24"/>
      <c r="C16071" s="24"/>
      <c r="D16071" s="24"/>
      <c r="E16071" s="24"/>
      <c r="F16071" s="24"/>
      <c r="G16071" s="24"/>
      <c r="H16071" s="24"/>
      <c r="I16071" s="24"/>
      <c r="J16071" s="24"/>
      <c r="K16071" s="24"/>
    </row>
    <row r="16072" customFormat="false" ht="15" hidden="false" customHeight="false" outlineLevel="0" collapsed="false">
      <c r="A16072" s="3" t="s">
        <v>499</v>
      </c>
      <c r="C16072" s="25" t="n">
        <f aca="false">IF(C16064&gt;0,C16056-C16068,0)</f>
        <v>0</v>
      </c>
      <c r="G16072" s="20" t="n">
        <f aca="false">IF(AND(G15926=1,G15923=1),1,0)</f>
        <v>0</v>
      </c>
      <c r="H16072" s="20" t="n">
        <f aca="false">IF(G16072=1,1,IF(AND(H15926=1,H15923=1),1,0))</f>
        <v>0</v>
      </c>
      <c r="I16072" s="20" t="n">
        <f aca="false">IF(H16072=1,1,IF(AND(I15926=1,I15923=1),1,0))</f>
        <v>0</v>
      </c>
      <c r="J16072" s="20" t="n">
        <f aca="false">IF(I16072=1,1,IF(AND(J15926=1,J15923=1),1,0))</f>
        <v>0</v>
      </c>
      <c r="K16072" s="20" t="n">
        <f aca="false">IF(J16072=1,1,IF(AND(K15926=1,K15923=1),1,0))</f>
        <v>0</v>
      </c>
    </row>
    <row r="16073" customFormat="false" ht="15" hidden="false" customHeight="false" outlineLevel="0" collapsed="false">
      <c r="A16073" s="3" t="s">
        <v>500</v>
      </c>
      <c r="C16073" s="25" t="n">
        <f aca="false">IF(C16065&gt;0,C16057-C16069,0)</f>
        <v>0</v>
      </c>
      <c r="G16073" s="20" t="n">
        <f aca="false">IF(AND(G15939=1,G15923=1),1,0)</f>
        <v>0</v>
      </c>
      <c r="H16073" s="20" t="n">
        <f aca="false">IF(G16073=1,1,IF(AND(H15939=1,H15923=1),1,0))</f>
        <v>0</v>
      </c>
      <c r="I16073" s="20" t="n">
        <f aca="false">IF(H16073=1,1,IF(AND(I15939=1,I15923=1),1,0))</f>
        <v>1</v>
      </c>
      <c r="J16073" s="20" t="n">
        <f aca="false">IF(I16073=1,1,IF(AND(J15939=1,J15923=1),1,0))</f>
        <v>1</v>
      </c>
      <c r="K16073" s="20" t="n">
        <f aca="false">IF(J16073=1,1,IF(AND(K15939=1,K15923=1),1,0))</f>
        <v>1</v>
      </c>
    </row>
    <row r="16074" customFormat="false" ht="15" hidden="false" customHeight="false" outlineLevel="0" collapsed="false">
      <c r="A16074" s="3" t="s">
        <v>501</v>
      </c>
      <c r="C16074" s="25" t="n">
        <f aca="false">IF(C16066&gt;0,C16058-C16070,0)</f>
        <v>0</v>
      </c>
      <c r="G16074" s="20" t="n">
        <f aca="false">IF(AND(G15952=1,G15923=1),1,0)</f>
        <v>0</v>
      </c>
      <c r="H16074" s="20" t="n">
        <f aca="false">IF(G16074=1,1,IF(AND(H15952=1,H15923=1),1,0))</f>
        <v>0</v>
      </c>
      <c r="I16074" s="20" t="n">
        <f aca="false">IF(H16074=1,1,IF(AND(I15952=1,I15923=1),1,0))</f>
        <v>1</v>
      </c>
      <c r="J16074" s="20" t="n">
        <f aca="false">IF(I16074=1,1,IF(AND(J15952=1,J15923=1),1,0))</f>
        <v>1</v>
      </c>
      <c r="K16074" s="20" t="n">
        <f aca="false">IF(J16074=1,1,IF(AND(K15952=1,K15923=1),1,0))</f>
        <v>1</v>
      </c>
    </row>
    <row r="16075" customFormat="false" ht="15" hidden="false" customHeight="false" outlineLevel="0" collapsed="false">
      <c r="A16075" s="23" t="s">
        <v>506</v>
      </c>
      <c r="B16075" s="24"/>
      <c r="C16075" s="24"/>
      <c r="D16075" s="24"/>
      <c r="E16075" s="24"/>
      <c r="F16075" s="24"/>
      <c r="G16075" s="24"/>
      <c r="H16075" s="24"/>
      <c r="I16075" s="24"/>
      <c r="J16075" s="24"/>
      <c r="K16075" s="24"/>
    </row>
    <row r="16076" customFormat="false" ht="15" hidden="false" customHeight="false" outlineLevel="0" collapsed="false">
      <c r="A16076" s="3" t="s">
        <v>499</v>
      </c>
      <c r="C16076" s="25" t="n">
        <f aca="false">IF(C16064&gt;0,C16072,C16056)</f>
        <v>1349.6193225</v>
      </c>
    </row>
    <row r="16077" customFormat="false" ht="15" hidden="false" customHeight="false" outlineLevel="0" collapsed="false">
      <c r="A16077" s="3" t="s">
        <v>500</v>
      </c>
      <c r="C16077" s="25" t="n">
        <f aca="false">IF(C16065&gt;0,C16073,C16057)</f>
        <v>0</v>
      </c>
    </row>
    <row r="16078" customFormat="false" ht="15" hidden="false" customHeight="false" outlineLevel="0" collapsed="false">
      <c r="A16078" s="3" t="s">
        <v>501</v>
      </c>
      <c r="C16078" s="25" t="n">
        <f aca="false">IF(C16066&gt;0,C16074,C16058)</f>
        <v>0</v>
      </c>
    </row>
    <row r="16079" customFormat="false" ht="15" hidden="false" customHeight="false" outlineLevel="0" collapsed="false">
      <c r="A16079" s="23" t="s">
        <v>507</v>
      </c>
      <c r="B16079" s="24"/>
      <c r="C16079" s="24"/>
      <c r="D16079" s="24"/>
      <c r="E16079" s="24"/>
      <c r="F16079" s="24"/>
      <c r="G16079" s="24"/>
      <c r="H16079" s="24"/>
      <c r="I16079" s="24"/>
      <c r="J16079" s="24"/>
      <c r="K16079" s="24"/>
    </row>
    <row r="16080" customFormat="false" ht="15" hidden="false" customHeight="false" outlineLevel="0" collapsed="false">
      <c r="A16080" s="3" t="s">
        <v>499</v>
      </c>
      <c r="C16080" s="20" t="n">
        <f aca="false">IF(C16064&gt;0,Assumptions!$C$17,C16060)</f>
        <v>1</v>
      </c>
    </row>
    <row r="16081" customFormat="false" ht="15" hidden="false" customHeight="false" outlineLevel="0" collapsed="false">
      <c r="A16081" s="3" t="s">
        <v>500</v>
      </c>
      <c r="C16081" s="20" t="n">
        <f aca="false">IF(C16065&gt;0,Assumptions!$C$17,C16061)</f>
        <v>2</v>
      </c>
    </row>
    <row r="16082" customFormat="false" ht="15" hidden="false" customHeight="false" outlineLevel="0" collapsed="false">
      <c r="A16082" s="3" t="s">
        <v>501</v>
      </c>
      <c r="C16082" s="20" t="n">
        <f aca="false">IF(C16066&gt;0,Assumptions!$C$17,C16062)</f>
        <v>2</v>
      </c>
    </row>
    <row r="16083" customFormat="false" ht="15" hidden="false" customHeight="false" outlineLevel="0" collapsed="false">
      <c r="A16083" s="23" t="s">
        <v>508</v>
      </c>
      <c r="B16083" s="24"/>
      <c r="C16083" s="24"/>
      <c r="D16083" s="24"/>
      <c r="E16083" s="24"/>
      <c r="F16083" s="24"/>
      <c r="G16083" s="24"/>
      <c r="H16083" s="24"/>
      <c r="I16083" s="24"/>
      <c r="J16083" s="24"/>
      <c r="K16083" s="24"/>
    </row>
    <row r="16084" customFormat="false" ht="15" hidden="false" customHeight="false" outlineLevel="0" collapsed="false">
      <c r="A16084" s="3" t="s">
        <v>499</v>
      </c>
      <c r="C16084" s="25" t="n">
        <f aca="false">SUMPRODUCT(($C$16080:$C$16082&lt;C16080)*$C$16076:$C$16078)</f>
        <v>0</v>
      </c>
    </row>
    <row r="16085" customFormat="false" ht="15" hidden="false" customHeight="false" outlineLevel="0" collapsed="false">
      <c r="A16085" s="3" t="s">
        <v>500</v>
      </c>
      <c r="C16085" s="25" t="n">
        <f aca="false">SUMPRODUCT(($C$16080:$C$16082&lt;C16081)*$C$16076:$C$16078)</f>
        <v>1349.6193225</v>
      </c>
    </row>
    <row r="16086" customFormat="false" ht="15" hidden="false" customHeight="false" outlineLevel="0" collapsed="false">
      <c r="A16086" s="3" t="s">
        <v>501</v>
      </c>
      <c r="C16086" s="25" t="n">
        <f aca="false">SUMPRODUCT(($C$16080:$C$16082&lt;C16082)*$C$16076:$C$16078)</f>
        <v>1349.6193225</v>
      </c>
    </row>
    <row r="16087" customFormat="false" ht="15" hidden="false" customHeight="false" outlineLevel="0" collapsed="false">
      <c r="A16087" s="23" t="s">
        <v>509</v>
      </c>
      <c r="B16087" s="24"/>
      <c r="C16087" s="24"/>
      <c r="D16087" s="24"/>
      <c r="E16087" s="24"/>
      <c r="F16087" s="24"/>
      <c r="G16087" s="24"/>
      <c r="H16087" s="24"/>
      <c r="I16087" s="24"/>
      <c r="J16087" s="24"/>
      <c r="K16087" s="24"/>
    </row>
    <row r="16088" customFormat="false" ht="15" hidden="false" customHeight="false" outlineLevel="0" collapsed="false">
      <c r="A16088" s="3" t="s">
        <v>499</v>
      </c>
      <c r="C16088" s="25" t="n">
        <f aca="false">SUMPRODUCT(($C$16080:$C$16082=C16080)*$C$16076:$C$16078)</f>
        <v>1349.6193225</v>
      </c>
    </row>
    <row r="16089" customFormat="false" ht="15" hidden="false" customHeight="false" outlineLevel="0" collapsed="false">
      <c r="A16089" s="3" t="s">
        <v>500</v>
      </c>
      <c r="C16089" s="25" t="n">
        <f aca="false">SUMPRODUCT(($C$16080:$C$16082=C16081)*$C$16076:$C$16078)</f>
        <v>0</v>
      </c>
    </row>
    <row r="16090" customFormat="false" ht="15" hidden="false" customHeight="false" outlineLevel="0" collapsed="false">
      <c r="A16090" s="3" t="s">
        <v>501</v>
      </c>
      <c r="C16090" s="25" t="n">
        <f aca="false">SUMPRODUCT(($C$16080:$C$16082=C16082)*$C$16076:$C$16078)</f>
        <v>0</v>
      </c>
    </row>
    <row r="16091" customFormat="false" ht="15" hidden="false" customHeight="false" outlineLevel="0" collapsed="false">
      <c r="A16091" s="23" t="s">
        <v>510</v>
      </c>
      <c r="B16091" s="24"/>
      <c r="C16091" s="24"/>
      <c r="D16091" s="24"/>
      <c r="E16091" s="24"/>
      <c r="F16091" s="24"/>
      <c r="G16091" s="24"/>
      <c r="H16091" s="24"/>
      <c r="I16091" s="24"/>
      <c r="J16091" s="24"/>
      <c r="K16091" s="24"/>
    </row>
    <row r="16092" customFormat="false" ht="15" hidden="false" customHeight="false" outlineLevel="0" collapsed="false">
      <c r="A16092" s="3" t="s">
        <v>499</v>
      </c>
      <c r="C16092" s="25" t="n">
        <f aca="false">IF(C16088=0,0,C16076/C16088*MAX(0,MIN(C16088,$C$16054-SUM($C$16068:$C$16070)-C16084)))</f>
        <v>1349.6193225</v>
      </c>
    </row>
    <row r="16093" customFormat="false" ht="15" hidden="false" customHeight="false" outlineLevel="0" collapsed="false">
      <c r="A16093" s="3" t="s">
        <v>500</v>
      </c>
      <c r="C16093" s="25" t="n">
        <f aca="false">IF(C16089=0,0,C16077/C16089*MAX(0,MIN(C16089,$C$16054-SUM($C$16068:$C$16070)-C16085)))</f>
        <v>0</v>
      </c>
    </row>
    <row r="16094" customFormat="false" ht="15" hidden="false" customHeight="false" outlineLevel="0" collapsed="false">
      <c r="A16094" s="3" t="s">
        <v>501</v>
      </c>
      <c r="C16094" s="25" t="n">
        <f aca="false">IF(C16090=0,0,C16078/C16090*MAX(0,MIN(C16090,$C$16054-SUM($C$16068:$C$16070)-C16086)))</f>
        <v>0</v>
      </c>
    </row>
    <row r="16095" customFormat="false" ht="15" hidden="false" customHeight="false" outlineLevel="0" collapsed="false">
      <c r="A16095" s="23" t="s">
        <v>511</v>
      </c>
      <c r="B16095" s="24"/>
      <c r="C16095" s="24"/>
      <c r="D16095" s="24"/>
      <c r="E16095" s="24"/>
      <c r="F16095" s="24"/>
      <c r="G16095" s="24"/>
      <c r="H16095" s="24"/>
      <c r="I16095" s="24"/>
      <c r="J16095" s="24"/>
      <c r="K16095" s="24"/>
    </row>
    <row r="16096" customFormat="false" ht="15" hidden="false" customHeight="false" outlineLevel="0" collapsed="false">
      <c r="A16096" s="2" t="s">
        <v>499</v>
      </c>
      <c r="C16096" s="16" t="n">
        <f aca="false">C16068+C16092</f>
        <v>1349.6193225</v>
      </c>
    </row>
    <row r="16097" customFormat="false" ht="15" hidden="false" customHeight="false" outlineLevel="0" collapsed="false">
      <c r="A16097" s="2" t="s">
        <v>500</v>
      </c>
      <c r="C16097" s="16" t="n">
        <f aca="false">C16069+C16093</f>
        <v>0</v>
      </c>
    </row>
    <row r="16098" customFormat="false" ht="15" hidden="false" customHeight="false" outlineLevel="0" collapsed="false">
      <c r="A16098" s="2" t="s">
        <v>501</v>
      </c>
      <c r="C16098" s="16" t="n">
        <f aca="false">C16070+C16094</f>
        <v>0</v>
      </c>
    </row>
    <row r="16099" customFormat="false" ht="15" hidden="false" customHeight="false" outlineLevel="0" collapsed="false">
      <c r="A16099" s="23" t="s">
        <v>512</v>
      </c>
      <c r="B16099" s="24"/>
      <c r="C16099" s="24"/>
      <c r="D16099" s="24"/>
      <c r="E16099" s="24"/>
      <c r="F16099" s="24"/>
      <c r="G16099" s="24"/>
      <c r="H16099" s="24"/>
      <c r="I16099" s="24"/>
      <c r="J16099" s="24"/>
      <c r="K16099" s="24"/>
    </row>
    <row r="16100" customFormat="false" ht="15" hidden="false" customHeight="false" outlineLevel="0" collapsed="false">
      <c r="A16100" s="3" t="s">
        <v>499</v>
      </c>
      <c r="C16100" s="21" t="n">
        <f aca="false">IF(C16056=0,1,C16096/C16056)</f>
        <v>1</v>
      </c>
    </row>
    <row r="16101" customFormat="false" ht="15" hidden="false" customHeight="false" outlineLevel="0" collapsed="false">
      <c r="A16101" s="3" t="s">
        <v>500</v>
      </c>
      <c r="C16101" s="21" t="n">
        <f aca="false">IF(C16057=0,1,C16097/C16057)</f>
        <v>1</v>
      </c>
    </row>
    <row r="16102" customFormat="false" ht="15" hidden="false" customHeight="false" outlineLevel="0" collapsed="false">
      <c r="A16102" s="3" t="s">
        <v>501</v>
      </c>
      <c r="C16102" s="21" t="n">
        <f aca="false">IF(C16058=0,1,C16098/C16058)</f>
        <v>1</v>
      </c>
    </row>
    <row r="16103" customFormat="false" ht="15" hidden="false" customHeight="false" outlineLevel="0" collapsed="false">
      <c r="A16103" s="23" t="s">
        <v>513</v>
      </c>
      <c r="B16103" s="24"/>
      <c r="C16103" s="24"/>
      <c r="D16103" s="24"/>
      <c r="E16103" s="24"/>
      <c r="F16103" s="24"/>
      <c r="G16103" s="24"/>
      <c r="H16103" s="24"/>
      <c r="I16103" s="24"/>
      <c r="J16103" s="24"/>
      <c r="K16103" s="24"/>
    </row>
    <row r="16104" customFormat="false" ht="15" hidden="false" customHeight="false" outlineLevel="0" collapsed="false">
      <c r="A16104" s="3" t="s">
        <v>499</v>
      </c>
      <c r="C16104" s="25" t="n">
        <f aca="false">C16056-C16096</f>
        <v>0</v>
      </c>
    </row>
    <row r="16105" customFormat="false" ht="15" hidden="false" customHeight="false" outlineLevel="0" collapsed="false">
      <c r="A16105" s="3" t="s">
        <v>500</v>
      </c>
      <c r="C16105" s="25" t="n">
        <f aca="false">C16057-C16097</f>
        <v>0</v>
      </c>
    </row>
    <row r="16106" customFormat="false" ht="15" hidden="false" customHeight="false" outlineLevel="0" collapsed="false">
      <c r="A16106" s="3" t="s">
        <v>501</v>
      </c>
      <c r="C16106" s="25" t="n">
        <f aca="false">C16058-C16098</f>
        <v>0</v>
      </c>
    </row>
    <row r="16107" customFormat="false" ht="15" hidden="false" customHeight="false" outlineLevel="0" collapsed="false">
      <c r="A16107" s="23" t="s">
        <v>514</v>
      </c>
      <c r="B16107" s="24"/>
      <c r="C16107" s="24"/>
      <c r="D16107" s="24"/>
      <c r="E16107" s="24"/>
      <c r="F16107" s="24"/>
      <c r="G16107" s="24"/>
      <c r="H16107" s="24"/>
      <c r="I16107" s="24"/>
      <c r="J16107" s="24"/>
      <c r="K16107" s="24"/>
    </row>
    <row r="16108" customFormat="false" ht="15" hidden="false" customHeight="false" outlineLevel="0" collapsed="false">
      <c r="A16108" s="3" t="s">
        <v>499</v>
      </c>
      <c r="C16108" s="21" t="n">
        <f aca="false">IF(C16056=0,0,C16104/C16056)</f>
        <v>0</v>
      </c>
    </row>
    <row r="16109" customFormat="false" ht="15" hidden="false" customHeight="false" outlineLevel="0" collapsed="false">
      <c r="A16109" s="3" t="s">
        <v>500</v>
      </c>
      <c r="C16109" s="21" t="n">
        <f aca="false">IF(C16057=0,0,C16105/C16057)</f>
        <v>0</v>
      </c>
    </row>
    <row r="16110" customFormat="false" ht="15" hidden="false" customHeight="false" outlineLevel="0" collapsed="false">
      <c r="A16110" s="3" t="s">
        <v>501</v>
      </c>
      <c r="C16110" s="21" t="n">
        <f aca="false">IF(C16058=0,0,C16106/C16058)</f>
        <v>0</v>
      </c>
    </row>
    <row r="16111" customFormat="false" ht="15" hidden="false" customHeight="false" outlineLevel="0" collapsed="false">
      <c r="A16111" s="2" t="s">
        <v>515</v>
      </c>
      <c r="C16111" s="16" t="n">
        <f aca="false">MAX(0,$C$16054-SUM($C$16068:$C$16070)-SUM($C$16076:$C$16078))</f>
        <v>187.65063511002</v>
      </c>
    </row>
    <row r="16112" customFormat="false" ht="15" hidden="false" customHeight="false" outlineLevel="0" collapsed="false">
      <c r="A16112" s="3" t="s">
        <v>516</v>
      </c>
      <c r="C16112" s="25" t="n">
        <f aca="false">SUM($C$16096:$C$16098)+C16111+C16053-C16052</f>
        <v>0</v>
      </c>
    </row>
    <row r="16114" customFormat="false" ht="15" hidden="false" customHeight="false" outlineLevel="0" collapsed="false">
      <c r="A16114" s="23" t="s">
        <v>519</v>
      </c>
      <c r="B16114" s="24"/>
      <c r="C16114" s="24"/>
      <c r="D16114" s="24"/>
      <c r="E16114" s="24"/>
      <c r="F16114" s="24"/>
      <c r="G16114" s="24"/>
      <c r="H16114" s="24"/>
      <c r="I16114" s="24"/>
      <c r="J16114" s="24"/>
      <c r="K16114" s="24"/>
    </row>
    <row r="16115" customFormat="false" ht="15" hidden="false" customHeight="false" outlineLevel="0" collapsed="false">
      <c r="A16115" s="3" t="s">
        <v>520</v>
      </c>
      <c r="C16115" s="27" t="n">
        <f aca="false">Assumptions!$C$33</f>
        <v>1</v>
      </c>
    </row>
    <row r="16116" customFormat="false" ht="15" hidden="false" customHeight="false" outlineLevel="0" collapsed="false">
      <c r="A16116" s="3" t="s">
        <v>521</v>
      </c>
      <c r="C16116" s="29" t="n">
        <f aca="false">Assumptions!$C$34</f>
        <v>100</v>
      </c>
    </row>
    <row r="16117" customFormat="false" ht="15" hidden="false" customHeight="false" outlineLevel="0" collapsed="false">
      <c r="A16117" s="3" t="s">
        <v>522</v>
      </c>
      <c r="C16117" s="40" t="n">
        <f aca="false">Assumptions!$C$35</f>
        <v>95</v>
      </c>
    </row>
    <row r="16118" customFormat="false" ht="15" hidden="false" customHeight="false" outlineLevel="0" collapsed="false">
      <c r="A16118" s="3" t="s">
        <v>523</v>
      </c>
      <c r="C16118" s="25" t="n">
        <f aca="false">C16116*C16117/100*(1+Assumptions!$C$36)</f>
        <v>95</v>
      </c>
    </row>
    <row r="16119" customFormat="false" ht="15" hidden="false" customHeight="false" outlineLevel="0" collapsed="false">
      <c r="A16119" s="3" t="s">
        <v>524</v>
      </c>
      <c r="C16119" s="27" t="n">
        <f aca="false">Assumptions!$C$37</f>
        <v>3</v>
      </c>
    </row>
    <row r="16120" customFormat="false" ht="15" hidden="false" customHeight="false" outlineLevel="0" collapsed="false">
      <c r="A16120" s="3" t="s">
        <v>525</v>
      </c>
      <c r="C16120" s="20" t="n">
        <f aca="false">IF(C16045=1,SUMPRODUCT($G$15997:$K$15997,$G$15890:$K$15890),0)</f>
        <v>0</v>
      </c>
    </row>
    <row r="16121" customFormat="false" ht="15" hidden="false" customHeight="false" outlineLevel="0" collapsed="false">
      <c r="A16121" s="3" t="s">
        <v>526</v>
      </c>
      <c r="C16121" s="21" t="n">
        <f aca="false">IFERROR(C16116/CHOOSE(C16115,SUMPRODUCT($G$16044:$K$16044,$G$15936:$K$15936),SUMPRODUCT($G$16044:$K$16044,$G$15949:$K$15949),SUMPRODUCT($G$16044:$K$16044,$G$15962:$K$15962)),0)</f>
        <v>0.0760399605200525</v>
      </c>
    </row>
    <row r="16122" customFormat="false" ht="15" hidden="false" customHeight="false" outlineLevel="0" collapsed="false">
      <c r="A16122" s="3" t="s">
        <v>527</v>
      </c>
      <c r="C16122" s="25" t="n">
        <f aca="false">CHOOSE(C16115,C16096,C16097,C16098)*C16121</f>
        <v>102.625</v>
      </c>
    </row>
    <row r="16123" customFormat="false" ht="15" hidden="false" customHeight="false" outlineLevel="0" collapsed="false">
      <c r="A16123" s="3" t="s">
        <v>528</v>
      </c>
      <c r="C16123" s="21" t="n">
        <f aca="false">CHOOSE(C16115,C16100,C16101,C16102)</f>
        <v>1</v>
      </c>
    </row>
    <row r="16124" customFormat="false" ht="15" hidden="false" customHeight="false" outlineLevel="0" collapsed="false">
      <c r="A16124" s="3" t="s">
        <v>529</v>
      </c>
      <c r="C16124" s="20" t="n">
        <f aca="false">IF(C16045=1,C16120,C16119)</f>
        <v>3</v>
      </c>
    </row>
    <row r="16125" customFormat="false" ht="15" hidden="false" customHeight="false" outlineLevel="0" collapsed="false">
      <c r="A16125" s="3" t="s">
        <v>530</v>
      </c>
      <c r="C16125" s="34" t="n">
        <f aca="false">CHOOSE($C$15882,Assumptions!$C$83,Assumptions!$C$102,Assumptions!$C$121)</f>
        <v>100</v>
      </c>
    </row>
    <row r="16126" customFormat="false" ht="15" hidden="false" customHeight="false" outlineLevel="0" collapsed="false">
      <c r="A16126" s="3" t="s">
        <v>531</v>
      </c>
      <c r="C16126" s="25" t="n">
        <f aca="false">INDEX($G$15899:$K$15899,C16119)*CHOOSE($C$15882,Assumptions!$C$82,Assumptions!$C$101,Assumptions!$C$120)+MAX(0,INDEX($G$15994:$K$15994,C16119))</f>
        <v>1898.86777853863</v>
      </c>
    </row>
    <row r="16127" customFormat="false" ht="15" hidden="false" customHeight="false" outlineLevel="0" collapsed="false">
      <c r="A16127" s="23" t="s">
        <v>532</v>
      </c>
      <c r="B16127" s="24"/>
      <c r="C16127" s="24"/>
      <c r="D16127" s="24"/>
      <c r="E16127" s="24"/>
      <c r="F16127" s="24"/>
      <c r="G16127" s="24"/>
      <c r="H16127" s="24"/>
      <c r="I16127" s="24"/>
      <c r="J16127" s="24"/>
      <c r="K16127" s="24"/>
    </row>
    <row r="16128" customFormat="false" ht="15" hidden="false" customHeight="false" outlineLevel="0" collapsed="false">
      <c r="A16128" s="3" t="s">
        <v>499</v>
      </c>
      <c r="C16128" s="25" t="n">
        <f aca="false">INDEX($G$15936:$K$15936,C16119)</f>
        <v>1315.098</v>
      </c>
    </row>
    <row r="16129" customFormat="false" ht="15" hidden="false" customHeight="false" outlineLevel="0" collapsed="false">
      <c r="A16129" s="3" t="s">
        <v>500</v>
      </c>
      <c r="C16129" s="25" t="n">
        <f aca="false">INDEX($G$15949:$K$15949,C16119)</f>
        <v>0</v>
      </c>
    </row>
    <row r="16130" customFormat="false" ht="15" hidden="false" customHeight="false" outlineLevel="0" collapsed="false">
      <c r="A16130" s="3" t="s">
        <v>501</v>
      </c>
      <c r="C16130" s="25" t="n">
        <f aca="false">INDEX($G$15962:$K$15962,C16119)</f>
        <v>0</v>
      </c>
    </row>
    <row r="16131" customFormat="false" ht="15" hidden="false" customHeight="false" outlineLevel="0" collapsed="false">
      <c r="A16131" s="23" t="s">
        <v>502</v>
      </c>
      <c r="B16131" s="24"/>
      <c r="C16131" s="24"/>
      <c r="D16131" s="24"/>
      <c r="E16131" s="24"/>
      <c r="F16131" s="24"/>
      <c r="G16131" s="24"/>
      <c r="H16131" s="24"/>
      <c r="I16131" s="24"/>
      <c r="J16131" s="24"/>
      <c r="K16131" s="24"/>
    </row>
    <row r="16132" customFormat="false" ht="15" hidden="false" customHeight="false" outlineLevel="0" collapsed="false">
      <c r="A16132" s="3" t="s">
        <v>499</v>
      </c>
      <c r="C16132" s="27" t="n">
        <f aca="false">Assumptions!$M$56</f>
        <v>1</v>
      </c>
    </row>
    <row r="16133" customFormat="false" ht="15" hidden="false" customHeight="false" outlineLevel="0" collapsed="false">
      <c r="A16133" s="3" t="s">
        <v>500</v>
      </c>
      <c r="C16133" s="27" t="n">
        <f aca="false">Assumptions!$M$57</f>
        <v>2</v>
      </c>
    </row>
    <row r="16134" customFormat="false" ht="15" hidden="false" customHeight="false" outlineLevel="0" collapsed="false">
      <c r="A16134" s="3" t="s">
        <v>501</v>
      </c>
      <c r="C16134" s="27" t="n">
        <f aca="false">Assumptions!$M$58</f>
        <v>2</v>
      </c>
    </row>
    <row r="16135" customFormat="false" ht="15" hidden="false" customHeight="false" outlineLevel="0" collapsed="false">
      <c r="A16135" s="23" t="s">
        <v>503</v>
      </c>
      <c r="B16135" s="24"/>
      <c r="C16135" s="24"/>
      <c r="D16135" s="24"/>
      <c r="E16135" s="24"/>
      <c r="F16135" s="24"/>
      <c r="G16135" s="24"/>
      <c r="H16135" s="24"/>
      <c r="I16135" s="24"/>
      <c r="J16135" s="24"/>
      <c r="K16135" s="24"/>
    </row>
    <row r="16136" customFormat="false" ht="15" hidden="false" customHeight="false" outlineLevel="0" collapsed="false">
      <c r="A16136" s="3" t="s">
        <v>499</v>
      </c>
      <c r="C16136" s="35" t="n">
        <f aca="false">Assumptions!$Q$56</f>
        <v>0</v>
      </c>
    </row>
    <row r="16137" customFormat="false" ht="15" hidden="false" customHeight="false" outlineLevel="0" collapsed="false">
      <c r="A16137" s="3" t="s">
        <v>500</v>
      </c>
      <c r="C16137" s="35" t="n">
        <f aca="false">Assumptions!$Q$57</f>
        <v>0</v>
      </c>
    </row>
    <row r="16138" customFormat="false" ht="15" hidden="false" customHeight="false" outlineLevel="0" collapsed="false">
      <c r="A16138" s="3" t="s">
        <v>501</v>
      </c>
      <c r="C16138" s="35" t="n">
        <f aca="false">Assumptions!$Q$58</f>
        <v>0</v>
      </c>
    </row>
    <row r="16139" customFormat="false" ht="15" hidden="false" customHeight="false" outlineLevel="0" collapsed="false">
      <c r="A16139" s="23" t="s">
        <v>504</v>
      </c>
      <c r="B16139" s="24"/>
      <c r="C16139" s="24"/>
      <c r="D16139" s="24"/>
      <c r="E16139" s="24"/>
      <c r="F16139" s="24"/>
      <c r="G16139" s="24"/>
      <c r="H16139" s="24"/>
      <c r="I16139" s="24"/>
      <c r="J16139" s="24"/>
      <c r="K16139" s="24"/>
    </row>
    <row r="16140" customFormat="false" ht="15" hidden="false" customHeight="false" outlineLevel="0" collapsed="false">
      <c r="A16140" s="3" t="s">
        <v>499</v>
      </c>
      <c r="C16140" s="25" t="n">
        <f aca="false">IF(C16136&gt;0,MIN(C16128,C16136*$C$16126),0)</f>
        <v>0</v>
      </c>
    </row>
    <row r="16141" customFormat="false" ht="15" hidden="false" customHeight="false" outlineLevel="0" collapsed="false">
      <c r="A16141" s="3" t="s">
        <v>500</v>
      </c>
      <c r="C16141" s="25" t="n">
        <f aca="false">IF(C16137&gt;0,MIN(C16129,C16137*$C$16126),0)</f>
        <v>0</v>
      </c>
    </row>
    <row r="16142" customFormat="false" ht="15" hidden="false" customHeight="false" outlineLevel="0" collapsed="false">
      <c r="A16142" s="3" t="s">
        <v>501</v>
      </c>
      <c r="C16142" s="25" t="n">
        <f aca="false">IF(C16138&gt;0,MIN(C16130,C16138*$C$16126),0)</f>
        <v>0</v>
      </c>
    </row>
    <row r="16143" customFormat="false" ht="15" hidden="false" customHeight="false" outlineLevel="0" collapsed="false">
      <c r="A16143" s="23" t="s">
        <v>505</v>
      </c>
      <c r="B16143" s="24"/>
      <c r="C16143" s="24"/>
      <c r="D16143" s="24"/>
      <c r="E16143" s="24"/>
      <c r="F16143" s="24"/>
      <c r="G16143" s="24"/>
      <c r="H16143" s="24"/>
      <c r="I16143" s="24"/>
      <c r="J16143" s="24"/>
      <c r="K16143" s="24"/>
    </row>
    <row r="16144" customFormat="false" ht="15" hidden="false" customHeight="false" outlineLevel="0" collapsed="false">
      <c r="A16144" s="3" t="s">
        <v>499</v>
      </c>
      <c r="C16144" s="25" t="n">
        <f aca="false">IF(C16136&gt;0,C16128-C16140,0)</f>
        <v>0</v>
      </c>
    </row>
    <row r="16145" customFormat="false" ht="15" hidden="false" customHeight="false" outlineLevel="0" collapsed="false">
      <c r="A16145" s="3" t="s">
        <v>500</v>
      </c>
      <c r="C16145" s="25" t="n">
        <f aca="false">IF(C16137&gt;0,C16129-C16141,0)</f>
        <v>0</v>
      </c>
    </row>
    <row r="16146" customFormat="false" ht="15" hidden="false" customHeight="false" outlineLevel="0" collapsed="false">
      <c r="A16146" s="3" t="s">
        <v>501</v>
      </c>
      <c r="C16146" s="25" t="n">
        <f aca="false">IF(C16138&gt;0,C16130-C16142,0)</f>
        <v>0</v>
      </c>
    </row>
    <row r="16147" customFormat="false" ht="15" hidden="false" customHeight="false" outlineLevel="0" collapsed="false">
      <c r="A16147" s="23" t="s">
        <v>506</v>
      </c>
      <c r="B16147" s="24"/>
      <c r="C16147" s="24"/>
      <c r="D16147" s="24"/>
      <c r="E16147" s="24"/>
      <c r="F16147" s="24"/>
      <c r="G16147" s="24"/>
      <c r="H16147" s="24"/>
      <c r="I16147" s="24"/>
      <c r="J16147" s="24"/>
      <c r="K16147" s="24"/>
    </row>
    <row r="16148" customFormat="false" ht="15" hidden="false" customHeight="false" outlineLevel="0" collapsed="false">
      <c r="A16148" s="3" t="s">
        <v>499</v>
      </c>
      <c r="C16148" s="25" t="n">
        <f aca="false">IF(C16136&gt;0,C16144,C16128)</f>
        <v>1315.098</v>
      </c>
    </row>
    <row r="16149" customFormat="false" ht="15" hidden="false" customHeight="false" outlineLevel="0" collapsed="false">
      <c r="A16149" s="3" t="s">
        <v>500</v>
      </c>
      <c r="C16149" s="25" t="n">
        <f aca="false">IF(C16137&gt;0,C16145,C16129)</f>
        <v>0</v>
      </c>
    </row>
    <row r="16150" customFormat="false" ht="15" hidden="false" customHeight="false" outlineLevel="0" collapsed="false">
      <c r="A16150" s="3" t="s">
        <v>501</v>
      </c>
      <c r="C16150" s="25" t="n">
        <f aca="false">IF(C16138&gt;0,C16146,C16130)</f>
        <v>0</v>
      </c>
    </row>
    <row r="16151" customFormat="false" ht="15" hidden="false" customHeight="false" outlineLevel="0" collapsed="false">
      <c r="A16151" s="23" t="s">
        <v>507</v>
      </c>
      <c r="B16151" s="24"/>
      <c r="C16151" s="24"/>
      <c r="D16151" s="24"/>
      <c r="E16151" s="24"/>
      <c r="F16151" s="24"/>
      <c r="G16151" s="24"/>
      <c r="H16151" s="24"/>
      <c r="I16151" s="24"/>
      <c r="J16151" s="24"/>
      <c r="K16151" s="24"/>
    </row>
    <row r="16152" customFormat="false" ht="15" hidden="false" customHeight="false" outlineLevel="0" collapsed="false">
      <c r="A16152" s="3" t="s">
        <v>499</v>
      </c>
      <c r="C16152" s="20" t="n">
        <f aca="false">IF(C16136&gt;0,Assumptions!$C$17,C16132)</f>
        <v>1</v>
      </c>
    </row>
    <row r="16153" customFormat="false" ht="15" hidden="false" customHeight="false" outlineLevel="0" collapsed="false">
      <c r="A16153" s="3" t="s">
        <v>500</v>
      </c>
      <c r="C16153" s="20" t="n">
        <f aca="false">IF(C16137&gt;0,Assumptions!$C$17,C16133)</f>
        <v>2</v>
      </c>
    </row>
    <row r="16154" customFormat="false" ht="15" hidden="false" customHeight="false" outlineLevel="0" collapsed="false">
      <c r="A16154" s="3" t="s">
        <v>501</v>
      </c>
      <c r="C16154" s="20" t="n">
        <f aca="false">IF(C16138&gt;0,Assumptions!$C$17,C16134)</f>
        <v>2</v>
      </c>
    </row>
    <row r="16155" customFormat="false" ht="15" hidden="false" customHeight="false" outlineLevel="0" collapsed="false">
      <c r="A16155" s="23" t="s">
        <v>508</v>
      </c>
      <c r="B16155" s="24"/>
      <c r="C16155" s="24"/>
      <c r="D16155" s="24"/>
      <c r="E16155" s="24"/>
      <c r="F16155" s="24"/>
      <c r="G16155" s="24"/>
      <c r="H16155" s="24"/>
      <c r="I16155" s="24"/>
      <c r="J16155" s="24"/>
      <c r="K16155" s="24"/>
    </row>
    <row r="16156" customFormat="false" ht="15" hidden="false" customHeight="false" outlineLevel="0" collapsed="false">
      <c r="A16156" s="3" t="s">
        <v>499</v>
      </c>
      <c r="C16156" s="25" t="n">
        <f aca="false">SUMPRODUCT(($C$16152:$C$16154&lt;C16152)*$C$16148:$C$16150)</f>
        <v>0</v>
      </c>
    </row>
    <row r="16157" customFormat="false" ht="15" hidden="false" customHeight="false" outlineLevel="0" collapsed="false">
      <c r="A16157" s="3" t="s">
        <v>500</v>
      </c>
      <c r="C16157" s="25" t="n">
        <f aca="false">SUMPRODUCT(($C$16152:$C$16154&lt;C16153)*$C$16148:$C$16150)</f>
        <v>1315.098</v>
      </c>
    </row>
    <row r="16158" customFormat="false" ht="15" hidden="false" customHeight="false" outlineLevel="0" collapsed="false">
      <c r="A16158" s="3" t="s">
        <v>501</v>
      </c>
      <c r="C16158" s="25" t="n">
        <f aca="false">SUMPRODUCT(($C$16152:$C$16154&lt;C16154)*$C$16148:$C$16150)</f>
        <v>1315.098</v>
      </c>
    </row>
    <row r="16159" customFormat="false" ht="15" hidden="false" customHeight="false" outlineLevel="0" collapsed="false">
      <c r="A16159" s="23" t="s">
        <v>509</v>
      </c>
      <c r="B16159" s="24"/>
      <c r="C16159" s="24"/>
      <c r="D16159" s="24"/>
      <c r="E16159" s="24"/>
      <c r="F16159" s="24"/>
      <c r="G16159" s="24"/>
      <c r="H16159" s="24"/>
      <c r="I16159" s="24"/>
      <c r="J16159" s="24"/>
      <c r="K16159" s="24"/>
    </row>
    <row r="16160" customFormat="false" ht="15" hidden="false" customHeight="false" outlineLevel="0" collapsed="false">
      <c r="A16160" s="3" t="s">
        <v>499</v>
      </c>
      <c r="C16160" s="25" t="n">
        <f aca="false">SUMPRODUCT(($C$16152:$C$16154=C16152)*$C$16148:$C$16150)</f>
        <v>1315.098</v>
      </c>
    </row>
    <row r="16161" customFormat="false" ht="15" hidden="false" customHeight="false" outlineLevel="0" collapsed="false">
      <c r="A16161" s="3" t="s">
        <v>500</v>
      </c>
      <c r="C16161" s="25" t="n">
        <f aca="false">SUMPRODUCT(($C$16152:$C$16154=C16153)*$C$16148:$C$16150)</f>
        <v>0</v>
      </c>
    </row>
    <row r="16162" customFormat="false" ht="15" hidden="false" customHeight="false" outlineLevel="0" collapsed="false">
      <c r="A16162" s="3" t="s">
        <v>501</v>
      </c>
      <c r="C16162" s="25" t="n">
        <f aca="false">SUMPRODUCT(($C$16152:$C$16154=C16154)*$C$16148:$C$16150)</f>
        <v>0</v>
      </c>
    </row>
    <row r="16163" customFormat="false" ht="15" hidden="false" customHeight="false" outlineLevel="0" collapsed="false">
      <c r="A16163" s="23" t="s">
        <v>510</v>
      </c>
      <c r="B16163" s="24"/>
      <c r="C16163" s="24"/>
      <c r="D16163" s="24"/>
      <c r="E16163" s="24"/>
      <c r="F16163" s="24"/>
      <c r="G16163" s="24"/>
      <c r="H16163" s="24"/>
      <c r="I16163" s="24"/>
      <c r="J16163" s="24"/>
      <c r="K16163" s="24"/>
    </row>
    <row r="16164" customFormat="false" ht="15" hidden="false" customHeight="false" outlineLevel="0" collapsed="false">
      <c r="A16164" s="3" t="s">
        <v>499</v>
      </c>
      <c r="C16164" s="25" t="n">
        <f aca="false">IF(C16160=0,0,C16148/C16160*MAX(0,MIN(C16160,$C$16126-SUM($C$16140:$C$16142)-C16156)))</f>
        <v>1315.098</v>
      </c>
    </row>
    <row r="16165" customFormat="false" ht="15" hidden="false" customHeight="false" outlineLevel="0" collapsed="false">
      <c r="A16165" s="3" t="s">
        <v>500</v>
      </c>
      <c r="C16165" s="25" t="n">
        <f aca="false">IF(C16161=0,0,C16149/C16161*MAX(0,MIN(C16161,$C$16126-SUM($C$16140:$C$16142)-C16157)))</f>
        <v>0</v>
      </c>
    </row>
    <row r="16166" customFormat="false" ht="15" hidden="false" customHeight="false" outlineLevel="0" collapsed="false">
      <c r="A16166" s="3" t="s">
        <v>501</v>
      </c>
      <c r="C16166" s="25" t="n">
        <f aca="false">IF(C16162=0,0,C16150/C16162*MAX(0,MIN(C16162,$C$16126-SUM($C$16140:$C$16142)-C16158)))</f>
        <v>0</v>
      </c>
    </row>
    <row r="16167" customFormat="false" ht="15" hidden="false" customHeight="false" outlineLevel="0" collapsed="false">
      <c r="A16167" s="23" t="s">
        <v>511</v>
      </c>
      <c r="B16167" s="24"/>
      <c r="C16167" s="24"/>
      <c r="D16167" s="24"/>
      <c r="E16167" s="24"/>
      <c r="F16167" s="24"/>
      <c r="G16167" s="24"/>
      <c r="H16167" s="24"/>
      <c r="I16167" s="24"/>
      <c r="J16167" s="24"/>
      <c r="K16167" s="24"/>
    </row>
    <row r="16168" customFormat="false" ht="15" hidden="false" customHeight="false" outlineLevel="0" collapsed="false">
      <c r="A16168" s="2" t="s">
        <v>499</v>
      </c>
      <c r="C16168" s="16" t="n">
        <f aca="false">C16140+C16164</f>
        <v>1315.098</v>
      </c>
    </row>
    <row r="16169" customFormat="false" ht="15" hidden="false" customHeight="false" outlineLevel="0" collapsed="false">
      <c r="A16169" s="2" t="s">
        <v>500</v>
      </c>
      <c r="C16169" s="16" t="n">
        <f aca="false">C16141+C16165</f>
        <v>0</v>
      </c>
    </row>
    <row r="16170" customFormat="false" ht="15" hidden="false" customHeight="false" outlineLevel="0" collapsed="false">
      <c r="A16170" s="2" t="s">
        <v>501</v>
      </c>
      <c r="C16170" s="16" t="n">
        <f aca="false">C16142+C16166</f>
        <v>0</v>
      </c>
    </row>
    <row r="16171" customFormat="false" ht="15" hidden="false" customHeight="false" outlineLevel="0" collapsed="false">
      <c r="A16171" s="23" t="s">
        <v>512</v>
      </c>
      <c r="B16171" s="24"/>
      <c r="C16171" s="24"/>
      <c r="D16171" s="24"/>
      <c r="E16171" s="24"/>
      <c r="F16171" s="24"/>
      <c r="G16171" s="24"/>
      <c r="H16171" s="24"/>
      <c r="I16171" s="24"/>
      <c r="J16171" s="24"/>
      <c r="K16171" s="24"/>
    </row>
    <row r="16172" customFormat="false" ht="15" hidden="false" customHeight="false" outlineLevel="0" collapsed="false">
      <c r="A16172" s="3" t="s">
        <v>499</v>
      </c>
      <c r="C16172" s="21" t="n">
        <f aca="false">IF(C16128=0,1,C16168/C16128)</f>
        <v>1</v>
      </c>
    </row>
    <row r="16173" customFormat="false" ht="15" hidden="false" customHeight="false" outlineLevel="0" collapsed="false">
      <c r="A16173" s="3" t="s">
        <v>500</v>
      </c>
      <c r="C16173" s="21" t="n">
        <f aca="false">IF(C16129=0,1,C16169/C16129)</f>
        <v>1</v>
      </c>
    </row>
    <row r="16174" customFormat="false" ht="15" hidden="false" customHeight="false" outlineLevel="0" collapsed="false">
      <c r="A16174" s="3" t="s">
        <v>501</v>
      </c>
      <c r="C16174" s="21" t="n">
        <f aca="false">IF(C16130=0,1,C16170/C16130)</f>
        <v>1</v>
      </c>
    </row>
    <row r="16175" customFormat="false" ht="15" hidden="false" customHeight="false" outlineLevel="0" collapsed="false">
      <c r="A16175" s="23" t="s">
        <v>513</v>
      </c>
      <c r="B16175" s="24"/>
      <c r="C16175" s="24"/>
      <c r="D16175" s="24"/>
      <c r="E16175" s="24"/>
      <c r="F16175" s="24"/>
      <c r="G16175" s="24"/>
      <c r="H16175" s="24"/>
      <c r="I16175" s="24"/>
      <c r="J16175" s="24"/>
      <c r="K16175" s="24"/>
    </row>
    <row r="16176" customFormat="false" ht="15" hidden="false" customHeight="false" outlineLevel="0" collapsed="false">
      <c r="A16176" s="3" t="s">
        <v>499</v>
      </c>
      <c r="C16176" s="25" t="n">
        <f aca="false">C16128-C16168</f>
        <v>0</v>
      </c>
    </row>
    <row r="16177" customFormat="false" ht="15" hidden="false" customHeight="false" outlineLevel="0" collapsed="false">
      <c r="A16177" s="3" t="s">
        <v>500</v>
      </c>
      <c r="C16177" s="25" t="n">
        <f aca="false">C16129-C16169</f>
        <v>0</v>
      </c>
    </row>
    <row r="16178" customFormat="false" ht="15" hidden="false" customHeight="false" outlineLevel="0" collapsed="false">
      <c r="A16178" s="3" t="s">
        <v>501</v>
      </c>
      <c r="C16178" s="25" t="n">
        <f aca="false">C16130-C16170</f>
        <v>0</v>
      </c>
    </row>
    <row r="16179" customFormat="false" ht="15" hidden="false" customHeight="false" outlineLevel="0" collapsed="false">
      <c r="A16179" s="23" t="s">
        <v>514</v>
      </c>
      <c r="B16179" s="24"/>
      <c r="C16179" s="24"/>
      <c r="D16179" s="24"/>
      <c r="E16179" s="24"/>
      <c r="F16179" s="24"/>
      <c r="G16179" s="24"/>
      <c r="H16179" s="24"/>
      <c r="I16179" s="24"/>
      <c r="J16179" s="24"/>
      <c r="K16179" s="24"/>
    </row>
    <row r="16180" customFormat="false" ht="15" hidden="false" customHeight="false" outlineLevel="0" collapsed="false">
      <c r="A16180" s="3" t="s">
        <v>499</v>
      </c>
      <c r="C16180" s="21" t="n">
        <f aca="false">IF(C16128=0,0,C16176/C16128)</f>
        <v>0</v>
      </c>
    </row>
    <row r="16181" customFormat="false" ht="15" hidden="false" customHeight="false" outlineLevel="0" collapsed="false">
      <c r="A16181" s="3" t="s">
        <v>500</v>
      </c>
      <c r="C16181" s="21" t="n">
        <f aca="false">IF(C16129=0,0,C16177/C16129)</f>
        <v>0</v>
      </c>
    </row>
    <row r="16182" customFormat="false" ht="15" hidden="false" customHeight="false" outlineLevel="0" collapsed="false">
      <c r="A16182" s="3" t="s">
        <v>501</v>
      </c>
      <c r="C16182" s="21" t="n">
        <f aca="false">IF(C16130=0,0,C16178/C16130)</f>
        <v>0</v>
      </c>
    </row>
    <row r="16183" customFormat="false" ht="15" hidden="false" customHeight="false" outlineLevel="0" collapsed="false">
      <c r="A16183" s="2" t="s">
        <v>515</v>
      </c>
      <c r="C16183" s="16" t="n">
        <f aca="false">MAX(0,$C$16126-SUM($C$16140:$C$16142)-SUM($C$16148:$C$16150))</f>
        <v>583.769778538632</v>
      </c>
    </row>
    <row r="16184" customFormat="false" ht="15" hidden="false" customHeight="false" outlineLevel="0" collapsed="false">
      <c r="A16184" s="3" t="s">
        <v>533</v>
      </c>
      <c r="C16184" s="34" t="n">
        <f aca="false">MIN(C16125,100*CHOOSE(C16115,C16172,C16173,C16174))</f>
        <v>100</v>
      </c>
    </row>
    <row r="16185" customFormat="false" ht="15" hidden="false" customHeight="false" outlineLevel="0" collapsed="false">
      <c r="A16185" s="3" t="s">
        <v>534</v>
      </c>
      <c r="C16185" s="20" t="n">
        <f aca="false">IF(C16045=1,C16120+Assumptions!$C$39,C16119)</f>
        <v>3</v>
      </c>
    </row>
    <row r="16186" customFormat="false" ht="15" hidden="false" customHeight="false" outlineLevel="0" collapsed="false">
      <c r="A16186" s="23" t="s">
        <v>535</v>
      </c>
      <c r="B16186" s="24"/>
      <c r="C16186" s="24"/>
      <c r="D16186" s="24"/>
      <c r="E16186" s="24"/>
      <c r="F16186" s="24"/>
      <c r="G16186" s="24"/>
      <c r="H16186" s="24"/>
      <c r="I16186" s="24"/>
      <c r="J16186" s="24"/>
      <c r="K16186" s="24"/>
    </row>
    <row r="16187" customFormat="false" ht="15" hidden="false" customHeight="false" outlineLevel="0" collapsed="false">
      <c r="A16187" s="3" t="s">
        <v>536</v>
      </c>
      <c r="C16187" s="20" t="n">
        <f aca="false">COLUMN()-COLUMN($C$1)</f>
        <v>0</v>
      </c>
      <c r="D16187" s="20" t="n">
        <f aca="false">COLUMN()-COLUMN($C$1)</f>
        <v>1</v>
      </c>
      <c r="E16187" s="20" t="n">
        <f aca="false">COLUMN()-COLUMN($C$1)</f>
        <v>2</v>
      </c>
      <c r="F16187" s="20" t="n">
        <f aca="false">COLUMN()-COLUMN($C$1)</f>
        <v>3</v>
      </c>
      <c r="G16187" s="20" t="n">
        <f aca="false">COLUMN()-COLUMN($C$1)</f>
        <v>4</v>
      </c>
      <c r="H16187" s="20" t="n">
        <f aca="false">COLUMN()-COLUMN($C$1)</f>
        <v>5</v>
      </c>
      <c r="I16187" s="20" t="n">
        <f aca="false">COLUMN()-COLUMN($C$1)</f>
        <v>6</v>
      </c>
    </row>
    <row r="16188" customFormat="false" ht="15" hidden="false" customHeight="false" outlineLevel="0" collapsed="false">
      <c r="A16188" s="3" t="s">
        <v>537</v>
      </c>
      <c r="D16188" s="31" t="n">
        <f aca="false">CHOOSE($C$16115,G15928,G15941,G15954)</f>
        <v>0.105</v>
      </c>
      <c r="E16188" s="31" t="n">
        <f aca="false">CHOOSE($C$16115,H15928,H15941,H15954)</f>
        <v>0.105</v>
      </c>
      <c r="F16188" s="31" t="n">
        <f aca="false">CHOOSE($C$16115,I15928,I15941,I15954)</f>
        <v>0.105</v>
      </c>
      <c r="G16188" s="31" t="n">
        <f aca="false">CHOOSE($C$16115,J15928,J15941,J15954)</f>
        <v>0.105</v>
      </c>
      <c r="H16188" s="31" t="n">
        <f aca="false">CHOOSE($C$16115,K15928,K15941,K15954)</f>
        <v>0.105</v>
      </c>
    </row>
    <row r="16189" customFormat="false" ht="15" hidden="false" customHeight="false" outlineLevel="0" collapsed="false">
      <c r="A16189" s="3" t="s">
        <v>538</v>
      </c>
      <c r="D16189" s="25" t="n">
        <f aca="false">IF(D16187&lt;=$C$16124,$C$16116*D16188,0)</f>
        <v>10.5</v>
      </c>
      <c r="E16189" s="25" t="n">
        <f aca="false">IF(E16187&lt;=$C$16124,$C$16116*E16188,0)</f>
        <v>10.5</v>
      </c>
      <c r="F16189" s="25" t="n">
        <f aca="false">IF(F16187&lt;=$C$16124,$C$16116*F16188,0)</f>
        <v>10.5</v>
      </c>
      <c r="G16189" s="25" t="n">
        <f aca="false">IF(G16187&lt;=$C$16124,$C$16116*G16188,0)</f>
        <v>0</v>
      </c>
      <c r="H16189" s="25" t="n">
        <f aca="false">IF(H16187&lt;=$C$16124,$C$16116*H16188,0)</f>
        <v>0</v>
      </c>
    </row>
    <row r="16190" customFormat="false" ht="15" hidden="false" customHeight="false" outlineLevel="0" collapsed="false">
      <c r="A16190" s="3" t="s">
        <v>539</v>
      </c>
      <c r="D16190" s="25" t="n">
        <f aca="false">IF(AND($C$16045=0,D16187=$C$16119),$C$16116*$C$16184/100,0)+IF(AND($C$16045=1,D16187=$C$16185),$C$16122,0)</f>
        <v>0</v>
      </c>
      <c r="E16190" s="25" t="n">
        <f aca="false">IF(AND($C$16045=0,E16187=$C$16119),$C$16116*$C$16184/100,0)+IF(AND($C$16045=1,E16187=$C$16185),$C$16122,0)</f>
        <v>0</v>
      </c>
      <c r="F16190" s="25" t="n">
        <f aca="false">IF(AND($C$16045=0,F16187=$C$16119),$C$16116*$C$16184/100,0)+IF(AND($C$16045=1,F16187=$C$16185),$C$16122,0)</f>
        <v>100</v>
      </c>
      <c r="G16190" s="25" t="n">
        <f aca="false">IF(AND($C$16045=0,G16187=$C$16119),$C$16116*$C$16184/100,0)+IF(AND($C$16045=1,G16187=$C$16185),$C$16122,0)</f>
        <v>0</v>
      </c>
      <c r="H16190" s="25" t="n">
        <f aca="false">IF(AND($C$16045=0,H16187=$C$16119),$C$16116*$C$16184/100,0)+IF(AND($C$16045=1,H16187=$C$16185),$C$16122,0)</f>
        <v>0</v>
      </c>
      <c r="I16190" s="25" t="n">
        <f aca="false">IF(AND($C$16045=0,I16187=$C$16119),$C$16116*$C$16184/100,0)+IF(AND($C$16045=1,I16187=$C$16185),$C$16122,0)</f>
        <v>0</v>
      </c>
    </row>
    <row r="16191" customFormat="false" ht="15" hidden="false" customHeight="false" outlineLevel="0" collapsed="false">
      <c r="A16191" s="2" t="s">
        <v>540</v>
      </c>
      <c r="C16191" s="16" t="n">
        <f aca="false">-$C$16118</f>
        <v>-95</v>
      </c>
      <c r="D16191" s="16" t="n">
        <f aca="false">D16189+D16190</f>
        <v>10.5</v>
      </c>
      <c r="E16191" s="16" t="n">
        <f aca="false">E16189+E16190</f>
        <v>10.5</v>
      </c>
      <c r="F16191" s="16" t="n">
        <f aca="false">F16189+F16190</f>
        <v>110.5</v>
      </c>
      <c r="G16191" s="16" t="n">
        <f aca="false">G16189+G16190</f>
        <v>0</v>
      </c>
      <c r="H16191" s="16" t="n">
        <f aca="false">H16189+H16190</f>
        <v>0</v>
      </c>
      <c r="I16191" s="16" t="n">
        <f aca="false">I16189+I16190</f>
        <v>0</v>
      </c>
    </row>
    <row r="16192" customFormat="false" ht="15" hidden="false" customHeight="false" outlineLevel="0" collapsed="false">
      <c r="A16192" s="3" t="s">
        <v>541</v>
      </c>
      <c r="C16192" s="25" t="n">
        <f aca="false">SUM($C$16189:$I$16189)</f>
        <v>31.5</v>
      </c>
    </row>
    <row r="16193" customFormat="false" ht="15" hidden="false" customHeight="false" outlineLevel="0" collapsed="false">
      <c r="A16193" s="3" t="s">
        <v>542</v>
      </c>
      <c r="C16193" s="25" t="n">
        <f aca="false">SUM($C$16190:$I$16190)</f>
        <v>100</v>
      </c>
    </row>
    <row r="16194" customFormat="false" ht="15" hidden="false" customHeight="false" outlineLevel="0" collapsed="false">
      <c r="A16194" s="3" t="s">
        <v>543</v>
      </c>
      <c r="C16194" s="25" t="n">
        <f aca="false">C16192+C16193</f>
        <v>131.5</v>
      </c>
    </row>
    <row r="16195" customFormat="false" ht="15" hidden="false" customHeight="false" outlineLevel="0" collapsed="false">
      <c r="A16195" s="3" t="s">
        <v>544</v>
      </c>
      <c r="C16195" s="25" t="n">
        <f aca="false">C16193-C16116*C16117/100</f>
        <v>5</v>
      </c>
    </row>
    <row r="16196" customFormat="false" ht="15" hidden="false" customHeight="false" outlineLevel="0" collapsed="false">
      <c r="A16196" s="3" t="s">
        <v>545</v>
      </c>
      <c r="C16196" s="25" t="n">
        <f aca="false">C16194-C16118</f>
        <v>36.5</v>
      </c>
    </row>
    <row r="16197" customFormat="false" ht="15" hidden="false" customHeight="false" outlineLevel="0" collapsed="false">
      <c r="A16197" s="2" t="s">
        <v>427</v>
      </c>
      <c r="C16197" s="44" t="n">
        <f aca="false">C16194/C16118</f>
        <v>1.38421052631579</v>
      </c>
    </row>
    <row r="16198" customFormat="false" ht="15" hidden="false" customHeight="false" outlineLevel="0" collapsed="false">
      <c r="A16198" s="2" t="s">
        <v>426</v>
      </c>
      <c r="C16198" s="42" t="n">
        <f aca="false">IF(C16194&lt;=0,-1,IFERROR(IRR($C$16191:$I$16191,MAX(-0.9,C16197^(1/C16185)-1)),IRR($C$16191:$I$16191,0.1)))</f>
        <v>0.126033624615204</v>
      </c>
    </row>
    <row r="16199" customFormat="false" ht="15" hidden="false" customHeight="false" outlineLevel="0" collapsed="false">
      <c r="A16199" s="3" t="s">
        <v>546</v>
      </c>
      <c r="C16199" s="32" t="n">
        <f aca="false">MAX($G$16005:$K$16005)</f>
        <v>3.81499621093561</v>
      </c>
    </row>
    <row r="16200" customFormat="false" ht="15" hidden="false" customHeight="false" outlineLevel="0" collapsed="false">
      <c r="A16200" s="3" t="s">
        <v>547</v>
      </c>
      <c r="C16200" s="32" t="n">
        <f aca="false">MIN($G$16006:$K$16006)</f>
        <v>1.75842750947116</v>
      </c>
    </row>
    <row r="16201" customFormat="false" ht="15" hidden="false" customHeight="false" outlineLevel="0" collapsed="false">
      <c r="A16201" s="3" t="s">
        <v>548</v>
      </c>
      <c r="C16201" s="25" t="n">
        <f aca="false">SUM($G$15912:$K$15912)</f>
        <v>555.588348849095</v>
      </c>
    </row>
    <row r="16205" customFormat="false" ht="15" hidden="false" customHeight="false" outlineLevel="0" collapsed="false">
      <c r="A16205" s="9" t="s">
        <v>1064</v>
      </c>
      <c r="B16205" s="10"/>
      <c r="C16205" s="10"/>
      <c r="D16205" s="10"/>
      <c r="E16205" s="10"/>
      <c r="F16205" s="10"/>
      <c r="G16205" s="10"/>
      <c r="H16205" s="10"/>
      <c r="I16205" s="10"/>
      <c r="J16205" s="10"/>
      <c r="K16205" s="10"/>
    </row>
    <row r="16206" customFormat="false" ht="15" hidden="false" customHeight="false" outlineLevel="0" collapsed="false">
      <c r="A16206" s="3" t="s">
        <v>1010</v>
      </c>
      <c r="C16206" s="11" t="n">
        <v>1</v>
      </c>
    </row>
    <row r="16207" customFormat="false" ht="15" hidden="false" customHeight="false" outlineLevel="0" collapsed="false">
      <c r="A16207" s="3" t="s">
        <v>1011</v>
      </c>
      <c r="C16207" s="18" t="n">
        <v>0</v>
      </c>
    </row>
    <row r="16208" customFormat="false" ht="15" hidden="false" customHeight="false" outlineLevel="0" collapsed="false">
      <c r="A16208" s="3" t="s">
        <v>1012</v>
      </c>
      <c r="C16208" s="18" t="n">
        <v>0</v>
      </c>
    </row>
    <row r="16209" customFormat="false" ht="15" hidden="false" customHeight="false" outlineLevel="0" collapsed="false">
      <c r="A16209" s="3" t="s">
        <v>1013</v>
      </c>
      <c r="C16209" s="18" t="n">
        <v>0</v>
      </c>
    </row>
    <row r="16210" customFormat="false" ht="15" hidden="false" customHeight="false" outlineLevel="0" collapsed="false">
      <c r="A16210" s="3" t="s">
        <v>1014</v>
      </c>
      <c r="C16210" s="33" t="n">
        <f aca="false">Sensitivities!$A$62</f>
        <v>0</v>
      </c>
    </row>
    <row r="16212" customFormat="false" ht="15" hidden="false" customHeight="false" outlineLevel="0" collapsed="false">
      <c r="A16212" s="23" t="s">
        <v>281</v>
      </c>
      <c r="B16212" s="24"/>
      <c r="C16212" s="24"/>
      <c r="D16212" s="24"/>
      <c r="E16212" s="24"/>
      <c r="F16212" s="24"/>
      <c r="G16212" s="24"/>
      <c r="H16212" s="24"/>
      <c r="I16212" s="24"/>
      <c r="J16212" s="24"/>
      <c r="K16212" s="24"/>
    </row>
    <row r="16213" customFormat="false" ht="15" hidden="false" customHeight="false" outlineLevel="0" collapsed="false">
      <c r="A16213" s="3" t="s">
        <v>282</v>
      </c>
      <c r="F16213" s="27" t="n">
        <f aca="false">Assumptions!$C$6</f>
        <v>2026</v>
      </c>
      <c r="G16213" s="20" t="n">
        <f aca="false">F16213+1</f>
        <v>2027</v>
      </c>
      <c r="H16213" s="20" t="n">
        <f aca="false">G16213+1</f>
        <v>2028</v>
      </c>
      <c r="I16213" s="20" t="n">
        <f aca="false">H16213+1</f>
        <v>2029</v>
      </c>
      <c r="J16213" s="20" t="n">
        <f aca="false">I16213+1</f>
        <v>2030</v>
      </c>
      <c r="K16213" s="20" t="n">
        <f aca="false">J16213+1</f>
        <v>2031</v>
      </c>
    </row>
    <row r="16214" customFormat="false" ht="15" hidden="false" customHeight="false" outlineLevel="0" collapsed="false">
      <c r="A16214" s="3" t="s">
        <v>283</v>
      </c>
      <c r="G16214" s="20" t="n">
        <f aca="false">G16213-Assumptions!$C$6</f>
        <v>1</v>
      </c>
      <c r="H16214" s="20" t="n">
        <f aca="false">H16213-Assumptions!$C$6</f>
        <v>2</v>
      </c>
      <c r="I16214" s="20" t="n">
        <f aca="false">I16213-Assumptions!$C$6</f>
        <v>3</v>
      </c>
      <c r="J16214" s="20" t="n">
        <f aca="false">J16213-Assumptions!$C$6</f>
        <v>4</v>
      </c>
      <c r="K16214" s="20" t="n">
        <f aca="false">K16213-Assumptions!$C$6</f>
        <v>5</v>
      </c>
    </row>
    <row r="16215" customFormat="false" ht="15" hidden="false" customHeight="false" outlineLevel="0" collapsed="false">
      <c r="A16215" s="3" t="s">
        <v>165</v>
      </c>
      <c r="G16215" s="21" t="n">
        <f aca="false">CHOOSE($C$16206,Assumptions!$G$71,Assumptions!$G$90,Assumptions!$G$109)+$C$16207</f>
        <v>-0.045</v>
      </c>
      <c r="H16215" s="21" t="n">
        <f aca="false">CHOOSE($C$16206,Assumptions!$H$71,Assumptions!$H$90,Assumptions!$H$109)+$C$16207</f>
        <v>-0.04</v>
      </c>
      <c r="I16215" s="21" t="n">
        <f aca="false">CHOOSE($C$16206,Assumptions!$I$71,Assumptions!$I$90,Assumptions!$I$109)+$C$16207</f>
        <v>-0.035</v>
      </c>
      <c r="J16215" s="21" t="n">
        <f aca="false">CHOOSE($C$16206,Assumptions!$J$71,Assumptions!$J$90,Assumptions!$J$109)+$C$16207</f>
        <v>-0.03</v>
      </c>
      <c r="K16215" s="21" t="n">
        <f aca="false">CHOOSE($C$16206,Assumptions!$K$71,Assumptions!$K$90,Assumptions!$K$109)+$C$16207</f>
        <v>-0.03</v>
      </c>
    </row>
    <row r="16216" customFormat="false" ht="15" hidden="false" customHeight="false" outlineLevel="0" collapsed="false">
      <c r="A16216" s="3" t="s">
        <v>166</v>
      </c>
      <c r="G16216" s="21" t="n">
        <f aca="false">CHOOSE($C$16206,Assumptions!$G$72,Assumptions!$G$91,Assumptions!$G$110)</f>
        <v>0.483246670103635</v>
      </c>
      <c r="H16216" s="21" t="n">
        <f aca="false">CHOOSE($C$16206,Assumptions!$H$72,Assumptions!$H$91,Assumptions!$H$110)</f>
        <v>0.483246670103635</v>
      </c>
      <c r="I16216" s="21" t="n">
        <f aca="false">CHOOSE($C$16206,Assumptions!$I$72,Assumptions!$I$91,Assumptions!$I$110)</f>
        <v>0.481246670103635</v>
      </c>
      <c r="J16216" s="21" t="n">
        <f aca="false">CHOOSE($C$16206,Assumptions!$J$72,Assumptions!$J$91,Assumptions!$J$110)</f>
        <v>0.479246670103635</v>
      </c>
      <c r="K16216" s="21" t="n">
        <f aca="false">CHOOSE($C$16206,Assumptions!$K$72,Assumptions!$K$91,Assumptions!$K$110)</f>
        <v>0.477246670103635</v>
      </c>
    </row>
    <row r="16217" customFormat="false" ht="15" hidden="false" customHeight="false" outlineLevel="0" collapsed="false">
      <c r="A16217" s="3" t="s">
        <v>167</v>
      </c>
      <c r="G16217" s="21" t="n">
        <f aca="false">CHOOSE($C$16206,Assumptions!$G$73,Assumptions!$G$92,Assumptions!$G$111)+$C$16208</f>
        <v>0.14</v>
      </c>
      <c r="H16217" s="21" t="n">
        <f aca="false">CHOOSE($C$16206,Assumptions!$H$73,Assumptions!$H$92,Assumptions!$H$111)+$C$16208</f>
        <v>0.14</v>
      </c>
      <c r="I16217" s="21" t="n">
        <f aca="false">CHOOSE($C$16206,Assumptions!$I$73,Assumptions!$I$92,Assumptions!$I$111)+$C$16208</f>
        <v>0.138</v>
      </c>
      <c r="J16217" s="21" t="n">
        <f aca="false">CHOOSE($C$16206,Assumptions!$J$73,Assumptions!$J$92,Assumptions!$J$111)+$C$16208</f>
        <v>0.136</v>
      </c>
      <c r="K16217" s="21" t="n">
        <f aca="false">CHOOSE($C$16206,Assumptions!$K$73,Assumptions!$K$92,Assumptions!$K$111)+$C$16208</f>
        <v>0.134</v>
      </c>
    </row>
    <row r="16218" customFormat="false" ht="15" hidden="false" customHeight="false" outlineLevel="0" collapsed="false">
      <c r="A16218" s="23" t="s">
        <v>284</v>
      </c>
      <c r="B16218" s="24"/>
      <c r="C16218" s="24"/>
      <c r="D16218" s="24"/>
      <c r="E16218" s="24"/>
      <c r="F16218" s="24"/>
      <c r="G16218" s="24"/>
      <c r="H16218" s="24"/>
      <c r="I16218" s="24"/>
      <c r="J16218" s="24"/>
      <c r="K16218" s="24"/>
    </row>
    <row r="16219" customFormat="false" ht="15" hidden="false" customHeight="false" outlineLevel="0" collapsed="false">
      <c r="A16219" s="2" t="s">
        <v>256</v>
      </c>
      <c r="F16219" s="28" t="n">
        <f aca="false">'Historical Financials'!G23</f>
        <v>2246.166</v>
      </c>
      <c r="G16219" s="16" t="n">
        <f aca="false">F16219*(1+G16215)</f>
        <v>2145.08853</v>
      </c>
      <c r="H16219" s="16" t="n">
        <f aca="false">G16219*(1+H16215)</f>
        <v>2059.2849888</v>
      </c>
      <c r="I16219" s="16" t="n">
        <f aca="false">H16219*(1+I16215)</f>
        <v>1987.210014192</v>
      </c>
      <c r="J16219" s="16" t="n">
        <f aca="false">I16219*(1+J16215)</f>
        <v>1927.59371376624</v>
      </c>
      <c r="K16219" s="16" t="n">
        <f aca="false">J16219*(1+K16215)</f>
        <v>1869.76590235325</v>
      </c>
    </row>
    <row r="16220" customFormat="false" ht="15" hidden="false" customHeight="false" outlineLevel="0" collapsed="false">
      <c r="A16220" s="3" t="s">
        <v>257</v>
      </c>
      <c r="G16220" s="25" t="n">
        <f aca="false">G16219*(1-G16216)</f>
        <v>1108.4816408</v>
      </c>
      <c r="H16220" s="25" t="n">
        <f aca="false">H16219*(1-H16216)</f>
        <v>1064.142375168</v>
      </c>
      <c r="I16220" s="25" t="n">
        <f aca="false">I16219*(1-I16216)</f>
        <v>1030.8718120655</v>
      </c>
      <c r="J16220" s="25" t="n">
        <f aca="false">J16219*(1-J16216)</f>
        <v>1003.80084513107</v>
      </c>
      <c r="K16220" s="25" t="n">
        <f aca="false">K16219*(1-K16216)</f>
        <v>977.426351581845</v>
      </c>
    </row>
    <row r="16221" customFormat="false" ht="15" hidden="false" customHeight="false" outlineLevel="0" collapsed="false">
      <c r="A16221" s="2" t="s">
        <v>258</v>
      </c>
      <c r="G16221" s="16" t="n">
        <f aca="false">G16219-G16220</f>
        <v>1036.6068892</v>
      </c>
      <c r="H16221" s="16" t="n">
        <f aca="false">H16219-H16220</f>
        <v>995.142613632</v>
      </c>
      <c r="I16221" s="16" t="n">
        <f aca="false">I16219-I16220</f>
        <v>956.338202126496</v>
      </c>
      <c r="J16221" s="16" t="n">
        <f aca="false">J16219-J16220</f>
        <v>923.792868635169</v>
      </c>
      <c r="K16221" s="16" t="n">
        <f aca="false">K16219-K16220</f>
        <v>892.339550771407</v>
      </c>
    </row>
    <row r="16222" customFormat="false" ht="15" hidden="false" customHeight="false" outlineLevel="0" collapsed="false">
      <c r="A16222" s="3" t="s">
        <v>285</v>
      </c>
      <c r="G16222" s="25" t="n">
        <f aca="false">G16221-G16223</f>
        <v>736.294495</v>
      </c>
      <c r="H16222" s="25" t="n">
        <f aca="false">H16221-H16223</f>
        <v>706.8427152</v>
      </c>
      <c r="I16222" s="25" t="n">
        <f aca="false">I16221-I16223</f>
        <v>682.103220168</v>
      </c>
      <c r="J16222" s="25" t="n">
        <f aca="false">J16221-J16223</f>
        <v>661.64012356296</v>
      </c>
      <c r="K16222" s="25" t="n">
        <f aca="false">K16221-K16223</f>
        <v>641.790919856071</v>
      </c>
    </row>
    <row r="16223" customFormat="false" ht="15" hidden="false" customHeight="false" outlineLevel="0" collapsed="false">
      <c r="A16223" s="2" t="s">
        <v>286</v>
      </c>
      <c r="G16223" s="16" t="n">
        <f aca="false">G16219*G16217</f>
        <v>300.3123942</v>
      </c>
      <c r="H16223" s="16" t="n">
        <f aca="false">H16219*H16217</f>
        <v>288.299898432</v>
      </c>
      <c r="I16223" s="16" t="n">
        <f aca="false">I16219*I16217</f>
        <v>274.234981958496</v>
      </c>
      <c r="J16223" s="16" t="n">
        <f aca="false">J16219*J16217</f>
        <v>262.152745072209</v>
      </c>
      <c r="K16223" s="16" t="n">
        <f aca="false">K16219*K16217</f>
        <v>250.548630915336</v>
      </c>
    </row>
    <row r="16224" customFormat="false" ht="15" hidden="false" customHeight="false" outlineLevel="0" collapsed="false">
      <c r="A16224" s="3" t="s">
        <v>287</v>
      </c>
      <c r="G16224" s="25" t="n">
        <f aca="false">G16219*'Historical Financials'!G28/'Historical Financials'!G23</f>
        <v>81.45768</v>
      </c>
      <c r="H16224" s="25" t="n">
        <f aca="false">H16219*'Historical Financials'!G28/'Historical Financials'!G23</f>
        <v>78.1993728</v>
      </c>
      <c r="I16224" s="25" t="n">
        <f aca="false">I16219*'Historical Financials'!G28/'Historical Financials'!G23</f>
        <v>75.462394752</v>
      </c>
      <c r="J16224" s="25" t="n">
        <f aca="false">J16219*'Historical Financials'!G28/'Historical Financials'!G23</f>
        <v>73.19852290944</v>
      </c>
      <c r="K16224" s="25" t="n">
        <f aca="false">K16219*'Historical Financials'!G28/'Historical Financials'!G23</f>
        <v>71.0025672221568</v>
      </c>
    </row>
    <row r="16225" customFormat="false" ht="15" hidden="false" customHeight="false" outlineLevel="0" collapsed="false">
      <c r="A16225" s="3" t="s">
        <v>288</v>
      </c>
      <c r="G16225" s="25" t="n">
        <f aca="false">G16219*'Historical Financials'!G29/'Historical Financials'!G23</f>
        <v>23.25998</v>
      </c>
      <c r="H16225" s="25" t="n">
        <f aca="false">H16219*'Historical Financials'!G29/'Historical Financials'!G23</f>
        <v>22.3295808</v>
      </c>
      <c r="I16225" s="25" t="n">
        <f aca="false">I16219*'Historical Financials'!G29/'Historical Financials'!G23</f>
        <v>21.548045472</v>
      </c>
      <c r="J16225" s="25" t="n">
        <f aca="false">J16219*'Historical Financials'!G29/'Historical Financials'!G23</f>
        <v>20.90160410784</v>
      </c>
      <c r="K16225" s="25" t="n">
        <f aca="false">K16219*'Historical Financials'!G29/'Historical Financials'!G23</f>
        <v>20.2745559846048</v>
      </c>
    </row>
    <row r="16226" customFormat="false" ht="15" hidden="false" customHeight="false" outlineLevel="0" collapsed="false">
      <c r="A16226" s="2" t="s">
        <v>289</v>
      </c>
      <c r="G16226" s="16" t="n">
        <f aca="false">G16223-G16224-G16225</f>
        <v>195.5947342</v>
      </c>
      <c r="H16226" s="16" t="n">
        <f aca="false">H16223-H16224-H16225</f>
        <v>187.770944832</v>
      </c>
      <c r="I16226" s="16" t="n">
        <f aca="false">I16223-I16224-I16225</f>
        <v>177.224541734496</v>
      </c>
      <c r="J16226" s="16" t="n">
        <f aca="false">J16223-J16224-J16225</f>
        <v>168.052618054929</v>
      </c>
      <c r="K16226" s="16" t="n">
        <f aca="false">K16223-K16224-K16225</f>
        <v>159.271507708574</v>
      </c>
    </row>
    <row r="16227" customFormat="false" ht="15" hidden="false" customHeight="false" outlineLevel="0" collapsed="false">
      <c r="A16227" s="3" t="s">
        <v>290</v>
      </c>
      <c r="G16227" s="25" t="n">
        <f aca="false">G16253+G16266+G16279</f>
        <v>155.95467</v>
      </c>
      <c r="H16227" s="25" t="n">
        <f aca="false">H16253+H16266+H16279</f>
        <v>155.95467</v>
      </c>
      <c r="I16227" s="25" t="n">
        <f aca="false">I16253+I16266+I16279</f>
        <v>155.95467</v>
      </c>
      <c r="J16227" s="25" t="n">
        <f aca="false">J16253+J16266+J16279</f>
        <v>138.08529</v>
      </c>
      <c r="K16227" s="25" t="n">
        <f aca="false">K16253+K16266+K16279</f>
        <v>138.08529</v>
      </c>
    </row>
    <row r="16228" customFormat="false" ht="15" hidden="false" customHeight="false" outlineLevel="0" collapsed="false">
      <c r="A16228" s="3" t="s">
        <v>291</v>
      </c>
      <c r="G16228" s="25" t="n">
        <f aca="false">G16254+G16267+G16280</f>
        <v>0</v>
      </c>
      <c r="H16228" s="25" t="n">
        <f aca="false">H16254+H16267+H16280</f>
        <v>0</v>
      </c>
      <c r="I16228" s="25" t="n">
        <f aca="false">I16254+I16267+I16280</f>
        <v>0</v>
      </c>
      <c r="J16228" s="25" t="n">
        <f aca="false">J16254+J16267+J16280</f>
        <v>0</v>
      </c>
      <c r="K16228" s="25" t="n">
        <f aca="false">K16254+K16267+K16280</f>
        <v>0</v>
      </c>
    </row>
    <row r="16229" customFormat="false" ht="15" hidden="false" customHeight="false" outlineLevel="0" collapsed="false">
      <c r="A16229" s="3" t="s">
        <v>239</v>
      </c>
      <c r="G16229" s="25" t="n">
        <f aca="false">G16227+G16228</f>
        <v>155.95467</v>
      </c>
      <c r="H16229" s="25" t="n">
        <f aca="false">H16227+H16228</f>
        <v>155.95467</v>
      </c>
      <c r="I16229" s="25" t="n">
        <f aca="false">I16227+I16228</f>
        <v>155.95467</v>
      </c>
      <c r="J16229" s="25" t="n">
        <f aca="false">J16227+J16228</f>
        <v>138.08529</v>
      </c>
      <c r="K16229" s="25" t="n">
        <f aca="false">K16227+K16228</f>
        <v>138.08529</v>
      </c>
    </row>
    <row r="16230" customFormat="false" ht="15" hidden="false" customHeight="false" outlineLevel="0" collapsed="false">
      <c r="A16230" s="2" t="s">
        <v>264</v>
      </c>
      <c r="G16230" s="16" t="n">
        <f aca="false">G16226-G16229</f>
        <v>39.6400642</v>
      </c>
      <c r="H16230" s="16" t="n">
        <f aca="false">H16226-H16229</f>
        <v>31.816274832</v>
      </c>
      <c r="I16230" s="16" t="n">
        <f aca="false">I16226-I16229</f>
        <v>21.269871734496</v>
      </c>
      <c r="J16230" s="16" t="n">
        <f aca="false">J16226-J16229</f>
        <v>29.9673280549286</v>
      </c>
      <c r="K16230" s="16" t="n">
        <f aca="false">K16226-K16229</f>
        <v>21.1862177085742</v>
      </c>
    </row>
    <row r="16231" customFormat="false" ht="15" hidden="false" customHeight="false" outlineLevel="0" collapsed="false">
      <c r="A16231" s="3" t="s">
        <v>292</v>
      </c>
      <c r="G16231" s="25" t="n">
        <f aca="false">MAX(0,G16230)*Assumptions!$C$9</f>
        <v>9.91001604999999</v>
      </c>
      <c r="H16231" s="25" t="n">
        <f aca="false">MAX(0,H16230)*Assumptions!$C$9</f>
        <v>7.95406870799999</v>
      </c>
      <c r="I16231" s="25" t="n">
        <f aca="false">MAX(0,I16230)*Assumptions!$C$9</f>
        <v>5.317467933624</v>
      </c>
      <c r="J16231" s="25" t="n">
        <f aca="false">MAX(0,J16230)*Assumptions!$C$9</f>
        <v>7.49183201373215</v>
      </c>
      <c r="K16231" s="25" t="n">
        <f aca="false">MAX(0,K16230)*Assumptions!$C$9</f>
        <v>5.29655442714356</v>
      </c>
    </row>
    <row r="16232" customFormat="false" ht="15" hidden="false" customHeight="false" outlineLevel="0" collapsed="false">
      <c r="A16232" s="2" t="s">
        <v>293</v>
      </c>
      <c r="G16232" s="16" t="n">
        <f aca="false">G16230-G16231</f>
        <v>29.73004815</v>
      </c>
      <c r="H16232" s="16" t="n">
        <f aca="false">H16230-H16231</f>
        <v>23.862206124</v>
      </c>
      <c r="I16232" s="16" t="n">
        <f aca="false">I16230-I16231</f>
        <v>15.952403800872</v>
      </c>
      <c r="J16232" s="16" t="n">
        <f aca="false">J16230-J16231</f>
        <v>22.4754960411965</v>
      </c>
      <c r="K16232" s="16" t="n">
        <f aca="false">K16230-K16231</f>
        <v>15.8896632814307</v>
      </c>
    </row>
    <row r="16233" customFormat="false" ht="15" hidden="false" customHeight="false" outlineLevel="0" collapsed="false">
      <c r="A16233" s="23" t="s">
        <v>294</v>
      </c>
      <c r="B16233" s="24"/>
      <c r="C16233" s="24"/>
      <c r="D16233" s="24"/>
      <c r="E16233" s="24"/>
      <c r="F16233" s="24"/>
      <c r="G16233" s="24"/>
      <c r="H16233" s="24"/>
      <c r="I16233" s="24"/>
      <c r="J16233" s="24"/>
      <c r="K16233" s="24"/>
    </row>
    <row r="16234" customFormat="false" ht="15" hidden="false" customHeight="false" outlineLevel="0" collapsed="false">
      <c r="A16234" s="3" t="s">
        <v>169</v>
      </c>
      <c r="G16234" s="25" t="n">
        <f aca="false">G16219*CHOOSE($C$16206,Assumptions!$C$75,Assumptions!$C$94,Assumptions!$C$113)</f>
        <v>30.03123942</v>
      </c>
      <c r="H16234" s="25" t="n">
        <f aca="false">H16219*CHOOSE($C$16206,Assumptions!$C$75,Assumptions!$C$94,Assumptions!$C$113)</f>
        <v>28.8299898432</v>
      </c>
      <c r="I16234" s="25" t="n">
        <f aca="false">I16219*CHOOSE($C$16206,Assumptions!$C$75,Assumptions!$C$94,Assumptions!$C$113)</f>
        <v>27.820940198688</v>
      </c>
      <c r="J16234" s="25" t="n">
        <f aca="false">J16219*CHOOSE($C$16206,Assumptions!$C$75,Assumptions!$C$94,Assumptions!$C$113)</f>
        <v>26.9863119927274</v>
      </c>
      <c r="K16234" s="25" t="n">
        <f aca="false">K16219*CHOOSE($C$16206,Assumptions!$C$75,Assumptions!$C$94,Assumptions!$C$113)</f>
        <v>26.1767226329455</v>
      </c>
    </row>
    <row r="16235" customFormat="false" ht="15" hidden="false" customHeight="false" outlineLevel="0" collapsed="false">
      <c r="A16235" s="3" t="s">
        <v>295</v>
      </c>
      <c r="G16235" s="25" t="n">
        <f aca="false">CHOOSE($C$16206,Assumptions!$C$76,Assumptions!$C$95,Assumptions!$C$114)*(G16219-F16219)+CHOOSE($C$16206,Assumptions!$C$77,Assumptions!$C$96,Assumptions!$C$115)*G16219</f>
        <v>-21.4508853</v>
      </c>
      <c r="H16235" s="25" t="n">
        <f aca="false">CHOOSE($C$16206,Assumptions!$C$76,Assumptions!$C$95,Assumptions!$C$114)*(H16219-G16219)+CHOOSE($C$16206,Assumptions!$C$77,Assumptions!$C$96,Assumptions!$C$115)*H16219</f>
        <v>-20.592849888</v>
      </c>
      <c r="I16235" s="25" t="n">
        <f aca="false">CHOOSE($C$16206,Assumptions!$C$76,Assumptions!$C$95,Assumptions!$C$114)*(I16219-H16219)+CHOOSE($C$16206,Assumptions!$C$77,Assumptions!$C$96,Assumptions!$C$115)*I16219</f>
        <v>-19.87210014192</v>
      </c>
      <c r="J16235" s="25" t="n">
        <f aca="false">CHOOSE($C$16206,Assumptions!$C$76,Assumptions!$C$95,Assumptions!$C$114)*(J16219-I16219)+CHOOSE($C$16206,Assumptions!$C$77,Assumptions!$C$96,Assumptions!$C$115)*J16219</f>
        <v>-19.2759371376624</v>
      </c>
      <c r="K16235" s="25" t="n">
        <f aca="false">CHOOSE($C$16206,Assumptions!$C$76,Assumptions!$C$95,Assumptions!$C$114)*(K16219-J16219)+CHOOSE($C$16206,Assumptions!$C$77,Assumptions!$C$96,Assumptions!$C$115)*K16219</f>
        <v>-18.6976590235325</v>
      </c>
    </row>
    <row r="16236" customFormat="false" ht="15" hidden="false" customHeight="false" outlineLevel="0" collapsed="false">
      <c r="A16236" s="2" t="s">
        <v>296</v>
      </c>
      <c r="G16236" s="16" t="n">
        <f aca="false">G16232+G16224+G16225+G16228-G16234-G16235</f>
        <v>125.86735403</v>
      </c>
      <c r="H16236" s="16" t="n">
        <f aca="false">H16232+H16224+H16225+H16228-H16234-H16235</f>
        <v>116.1540197688</v>
      </c>
      <c r="I16236" s="16" t="n">
        <f aca="false">I16232+I16224+I16225+I16228-I16234-I16235</f>
        <v>105.014003968104</v>
      </c>
      <c r="J16236" s="16" t="n">
        <f aca="false">J16232+J16224+J16225+J16228-J16234-J16235</f>
        <v>108.865248203412</v>
      </c>
      <c r="K16236" s="16" t="n">
        <f aca="false">K16232+K16224+K16225+K16228-K16234-K16235</f>
        <v>99.6877228787792</v>
      </c>
    </row>
    <row r="16238" customFormat="false" ht="15" hidden="false" customHeight="false" outlineLevel="0" collapsed="false">
      <c r="A16238" s="23" t="s">
        <v>298</v>
      </c>
      <c r="B16238" s="24"/>
      <c r="C16238" s="24"/>
      <c r="D16238" s="24"/>
      <c r="E16238" s="24"/>
      <c r="F16238" s="24"/>
      <c r="G16238" s="24"/>
      <c r="H16238" s="24"/>
      <c r="I16238" s="24"/>
      <c r="J16238" s="24"/>
      <c r="K16238" s="24"/>
    </row>
    <row r="16239" customFormat="false" ht="15" hidden="false" customHeight="false" outlineLevel="0" collapsed="false">
      <c r="A16239" s="3" t="s">
        <v>299</v>
      </c>
      <c r="G16239" s="30" t="n">
        <f aca="false">Assumptions!$G$52</f>
        <v>0.039</v>
      </c>
      <c r="H16239" s="30" t="n">
        <f aca="false">Assumptions!$H$52</f>
        <v>0.0375</v>
      </c>
      <c r="I16239" s="30" t="n">
        <f aca="false">Assumptions!$I$52</f>
        <v>0.035</v>
      </c>
      <c r="J16239" s="30" t="n">
        <f aca="false">Assumptions!$J$52</f>
        <v>0.035</v>
      </c>
      <c r="K16239" s="30" t="n">
        <f aca="false">Assumptions!$K$52</f>
        <v>0.035</v>
      </c>
    </row>
    <row r="16240" customFormat="false" ht="15" hidden="false" customHeight="false" outlineLevel="0" collapsed="false">
      <c r="A16240" s="3" t="s">
        <v>300</v>
      </c>
      <c r="C16240" s="31" t="n">
        <f aca="false">CHOOSE($C$16206,Assumptions!$C$78,Assumptions!$C$97,Assumptions!$C$116)+$C$16209</f>
        <v>0</v>
      </c>
    </row>
    <row r="16241" customFormat="false" ht="15" hidden="false" customHeight="false" outlineLevel="0" collapsed="false">
      <c r="A16241" s="3" t="s">
        <v>301</v>
      </c>
      <c r="C16241" s="31" t="n">
        <f aca="false">CHOOSE($C$16206,Assumptions!$C$79,Assumptions!$C$98,Assumptions!$C$117)</f>
        <v>0.11</v>
      </c>
    </row>
    <row r="16242" customFormat="false" ht="15" hidden="false" customHeight="false" outlineLevel="0" collapsed="false">
      <c r="A16242" s="3" t="s">
        <v>302</v>
      </c>
      <c r="C16242" s="32" t="n">
        <f aca="false">CHOOSE($C$16206,Assumptions!$C$80,Assumptions!$C$99,Assumptions!$C$118)</f>
        <v>6</v>
      </c>
    </row>
    <row r="16243" customFormat="false" ht="15" hidden="false" customHeight="false" outlineLevel="0" collapsed="false">
      <c r="A16243" s="3" t="s">
        <v>303</v>
      </c>
      <c r="C16243" s="32" t="n">
        <f aca="false">CHOOSE($C$16206,Assumptions!$C$81,Assumptions!$C$100,Assumptions!$C$119)</f>
        <v>1.25</v>
      </c>
    </row>
    <row r="16244" customFormat="false" ht="15" hidden="false" customHeight="false" outlineLevel="0" collapsed="false">
      <c r="A16244" s="3" t="s">
        <v>304</v>
      </c>
      <c r="G16244" s="25" t="n">
        <f aca="false">G16249+G16262+G16275</f>
        <v>1735.554</v>
      </c>
      <c r="H16244" s="25" t="n">
        <f aca="false">H16249+H16262+H16275</f>
        <v>1735.554</v>
      </c>
      <c r="I16244" s="25" t="n">
        <f aca="false">I16249+I16262+I16275</f>
        <v>1735.554</v>
      </c>
      <c r="J16244" s="25" t="n">
        <f aca="false">J16249+J16262+J16275</f>
        <v>1315.098</v>
      </c>
      <c r="K16244" s="25" t="n">
        <f aca="false">K16249+K16262+K16275</f>
        <v>1315.098</v>
      </c>
    </row>
    <row r="16245" customFormat="false" ht="15" hidden="false" customHeight="false" outlineLevel="0" collapsed="false">
      <c r="A16245" s="3" t="s">
        <v>305</v>
      </c>
      <c r="G16245" s="25" t="n">
        <f aca="false">F16318</f>
        <v>463.996</v>
      </c>
      <c r="H16245" s="25" t="n">
        <f aca="false">G16318</f>
        <v>589.86335403</v>
      </c>
      <c r="I16245" s="25" t="n">
        <f aca="false">H16318</f>
        <v>706.0173737988</v>
      </c>
      <c r="J16245" s="25" t="n">
        <f aca="false">I16318</f>
        <v>390.575377766904</v>
      </c>
      <c r="K16245" s="25" t="n">
        <f aca="false">J16318</f>
        <v>499.440625970316</v>
      </c>
    </row>
    <row r="16246" customFormat="false" ht="15" hidden="false" customHeight="false" outlineLevel="0" collapsed="false">
      <c r="A16246" s="3" t="s">
        <v>306</v>
      </c>
      <c r="G16246" s="25" t="n">
        <f aca="false">G16249*IF(G16250=1,$C$16241,IF(Assumptions!$I$56=1,MAX(G16239,Assumptions!$G$56)+Assumptions!$F$56+$C$16240,Assumptions!$E$56))+G16262*IF(G16263=1,$C$16241,IF(Assumptions!$I$57=1,MAX(G16239,Assumptions!$G$57)+Assumptions!$F$57+$C$16240,Assumptions!$E$57))+G16275*IF(G16276=1,$C$16241,IF(Assumptions!$I$58=1,MAX(G16239,Assumptions!$G$58)+Assumptions!$F$58+$C$16240,Assumptions!$E$58))</f>
        <v>155.95467</v>
      </c>
      <c r="H16246" s="25" t="n">
        <f aca="false">H16249*IF(OR(H16250=1,G16396=1),$C$16241,IF(Assumptions!$I$56=1,MAX(H16239,Assumptions!$G$56)+Assumptions!$F$56+$C$16240,Assumptions!$E$56))+H16262*IF(OR(H16263=1,G16397=1),$C$16241,IF(Assumptions!$I$57=1,MAX(H16239,Assumptions!$G$57)+Assumptions!$F$57+$C$16240,Assumptions!$E$57))+H16275*IF(OR(H16276=1,G16398=1),$C$16241,IF(Assumptions!$I$58=1,MAX(H16239,Assumptions!$G$58)+Assumptions!$F$58+$C$16240,Assumptions!$E$58))</f>
        <v>155.95467</v>
      </c>
      <c r="I16246" s="25" t="n">
        <f aca="false">I16249*IF(OR(I16250=1,H16396=1),$C$16241,IF(Assumptions!$I$56=1,MAX(I16239,Assumptions!$G$56)+Assumptions!$F$56+$C$16240,Assumptions!$E$56))+I16262*IF(OR(I16263=1,H16397=1),$C$16241,IF(Assumptions!$I$57=1,MAX(I16239,Assumptions!$G$57)+Assumptions!$F$57+$C$16240,Assumptions!$E$57))+I16275*IF(OR(I16276=1,H16398=1),$C$16241,IF(Assumptions!$I$58=1,MAX(I16239,Assumptions!$G$58)+Assumptions!$F$58+$C$16240,Assumptions!$E$58))</f>
        <v>184.33545</v>
      </c>
      <c r="J16246" s="25" t="n">
        <f aca="false">J16249*IF(OR(J16250=1,I16396=1),$C$16241,IF(Assumptions!$I$56=1,MAX(J16239,Assumptions!$G$56)+Assumptions!$F$56+$C$16240,Assumptions!$E$56))+J16262*IF(OR(J16263=1,I16397=1),$C$16241,IF(Assumptions!$I$57=1,MAX(J16239,Assumptions!$G$57)+Assumptions!$F$57+$C$16240,Assumptions!$E$57))+J16275*IF(OR(J16276=1,I16398=1),$C$16241,IF(Assumptions!$I$58=1,MAX(J16239,Assumptions!$G$58)+Assumptions!$F$58+$C$16240,Assumptions!$E$58))</f>
        <v>138.08529</v>
      </c>
      <c r="K16246" s="25" t="n">
        <f aca="false">K16249*IF(OR(K16250=1,J16396=1),$C$16241,IF(Assumptions!$I$56=1,MAX(K16239,Assumptions!$G$56)+Assumptions!$F$56+$C$16240,Assumptions!$E$56))+K16262*IF(OR(K16263=1,J16397=1),$C$16241,IF(Assumptions!$I$57=1,MAX(K16239,Assumptions!$G$57)+Assumptions!$F$57+$C$16240,Assumptions!$E$57))+K16275*IF(OR(K16276=1,J16398=1),$C$16241,IF(Assumptions!$I$58=1,MAX(K16239,Assumptions!$G$58)+Assumptions!$F$58+$C$16240,Assumptions!$E$58))</f>
        <v>138.08529</v>
      </c>
    </row>
    <row r="16247" customFormat="false" ht="15" hidden="false" customHeight="false" outlineLevel="0" collapsed="false">
      <c r="A16247" s="3" t="s">
        <v>307</v>
      </c>
      <c r="G16247" s="20" t="n">
        <f aca="false">IF(G16223&lt;=0,0,IF(AND((G16244-G16245)/G16223&lt;=$C$16242,G16223/G16246&gt;=$C$16243),1,0))</f>
        <v>1</v>
      </c>
      <c r="H16247" s="20" t="n">
        <f aca="false">IF(H16223&lt;=0,0,IF(AND((H16244-H16245)/H16223&lt;=$C$16242,H16223/H16246&gt;=$C$16243),1,0))</f>
        <v>1</v>
      </c>
      <c r="I16247" s="20" t="n">
        <f aca="false">IF(I16223&lt;=0,0,IF(AND((I16244-I16245)/I16223&lt;=$C$16242,I16223/I16246&gt;=$C$16243),1,0))</f>
        <v>1</v>
      </c>
      <c r="J16247" s="20" t="n">
        <f aca="false">IF(J16223&lt;=0,0,IF(AND((J16244-J16245)/J16223&lt;=$C$16242,J16223/J16246&gt;=$C$16243),1,0))</f>
        <v>1</v>
      </c>
      <c r="K16247" s="20" t="n">
        <f aca="false">IF(K16223&lt;=0,0,IF(AND((K16244-K16245)/K16223&lt;=$C$16242,K16223/K16246&gt;=$C$16243),1,0))</f>
        <v>1</v>
      </c>
    </row>
    <row r="16248" customFormat="false" ht="15" hidden="false" customHeight="false" outlineLevel="0" collapsed="false">
      <c r="A16248" s="23" t="s">
        <v>308</v>
      </c>
      <c r="B16248" s="24"/>
      <c r="C16248" s="24"/>
      <c r="D16248" s="24"/>
      <c r="E16248" s="24"/>
      <c r="F16248" s="24"/>
      <c r="G16248" s="24"/>
      <c r="H16248" s="24"/>
      <c r="I16248" s="24"/>
      <c r="J16248" s="24"/>
      <c r="K16248" s="24"/>
    </row>
    <row r="16249" customFormat="false" ht="15" hidden="false" customHeight="false" outlineLevel="0" collapsed="false">
      <c r="A16249" s="3" t="s">
        <v>309</v>
      </c>
      <c r="G16249" s="25" t="n">
        <f aca="false">F16260</f>
        <v>1315.098</v>
      </c>
      <c r="H16249" s="25" t="n">
        <f aca="false">G16260</f>
        <v>1315.098</v>
      </c>
      <c r="I16249" s="25" t="n">
        <f aca="false">H16260</f>
        <v>1315.098</v>
      </c>
      <c r="J16249" s="25" t="n">
        <f aca="false">I16260</f>
        <v>1315.098</v>
      </c>
      <c r="K16249" s="25" t="n">
        <f aca="false">J16260</f>
        <v>1315.098</v>
      </c>
    </row>
    <row r="16250" customFormat="false" ht="15" hidden="false" customHeight="false" outlineLevel="0" collapsed="false">
      <c r="A16250" s="3" t="s">
        <v>310</v>
      </c>
      <c r="G16250" s="20" t="n">
        <f aca="false">IF(G16213=Assumptions!$K$56,1,0)</f>
        <v>0</v>
      </c>
      <c r="H16250" s="20" t="n">
        <f aca="false">IF(H16213=Assumptions!$K$56,1,0)</f>
        <v>0</v>
      </c>
      <c r="I16250" s="20" t="n">
        <f aca="false">IF(I16213=Assumptions!$K$56,1,0)</f>
        <v>0</v>
      </c>
      <c r="J16250" s="20" t="n">
        <f aca="false">IF(J16213=Assumptions!$K$56,1,0)</f>
        <v>0</v>
      </c>
      <c r="K16250" s="20" t="n">
        <f aca="false">IF(K16213=Assumptions!$K$56,1,0)</f>
        <v>0</v>
      </c>
    </row>
    <row r="16252" customFormat="false" ht="15" hidden="false" customHeight="false" outlineLevel="0" collapsed="false">
      <c r="A16252" s="3" t="s">
        <v>311</v>
      </c>
      <c r="G16252" s="31" t="n">
        <f aca="false">IF(Assumptions!$I$56=1,MAX(G16239,Assumptions!$G$56)+Assumptions!$F$56+$C$16240,Assumptions!$E$56)</f>
        <v>0.105</v>
      </c>
      <c r="H16252" s="31" t="n">
        <f aca="false">IF(G16396=1,$C$16241,IF(Assumptions!$I$56=1,MAX(H16239,Assumptions!$G$56)+Assumptions!$F$56+$C$16240,Assumptions!$E$56))</f>
        <v>0.105</v>
      </c>
      <c r="I16252" s="31" t="n">
        <f aca="false">IF(H16396=1,$C$16241,IF(Assumptions!$I$56=1,MAX(I16239,Assumptions!$G$56)+Assumptions!$F$56+$C$16240,Assumptions!$E$56))</f>
        <v>0.105</v>
      </c>
      <c r="J16252" s="31" t="n">
        <f aca="false">IF(I16396=1,$C$16241,IF(Assumptions!$I$56=1,MAX(J16239,Assumptions!$G$56)+Assumptions!$F$56+$C$16240,Assumptions!$E$56))</f>
        <v>0.105</v>
      </c>
      <c r="K16252" s="31" t="n">
        <f aca="false">IF(J16396=1,$C$16241,IF(Assumptions!$I$56=1,MAX(K16239,Assumptions!$G$56)+Assumptions!$F$56+$C$16240,Assumptions!$E$56))</f>
        <v>0.105</v>
      </c>
    </row>
    <row r="16253" customFormat="false" ht="15" hidden="false" customHeight="false" outlineLevel="0" collapsed="false">
      <c r="A16253" s="3" t="s">
        <v>312</v>
      </c>
      <c r="G16253" s="25" t="n">
        <f aca="false">G16249*G16252</f>
        <v>138.08529</v>
      </c>
      <c r="H16253" s="25" t="n">
        <f aca="false">H16249*H16252</f>
        <v>138.08529</v>
      </c>
      <c r="I16253" s="25" t="n">
        <f aca="false">I16249*I16252</f>
        <v>138.08529</v>
      </c>
      <c r="J16253" s="25" t="n">
        <f aca="false">J16249*J16252</f>
        <v>138.08529</v>
      </c>
      <c r="K16253" s="25" t="n">
        <f aca="false">K16249*K16252</f>
        <v>138.08529</v>
      </c>
    </row>
    <row r="16254" customFormat="false" ht="15" hidden="false" customHeight="false" outlineLevel="0" collapsed="false">
      <c r="A16254" s="3" t="s">
        <v>313</v>
      </c>
      <c r="G16254" s="25" t="n">
        <f aca="false">G16249*Assumptions!$H$56</f>
        <v>0</v>
      </c>
      <c r="H16254" s="25" t="n">
        <f aca="false">H16249*Assumptions!$H$56</f>
        <v>0</v>
      </c>
      <c r="I16254" s="25" t="n">
        <f aca="false">I16249*Assumptions!$H$56</f>
        <v>0</v>
      </c>
      <c r="J16254" s="25" t="n">
        <f aca="false">J16249*Assumptions!$H$56</f>
        <v>0</v>
      </c>
      <c r="K16254" s="25" t="n">
        <f aca="false">K16249*Assumptions!$H$56</f>
        <v>0</v>
      </c>
    </row>
    <row r="16255" customFormat="false" ht="15" hidden="false" customHeight="false" outlineLevel="0" collapsed="false">
      <c r="A16255" s="3" t="s">
        <v>314</v>
      </c>
      <c r="G16255" s="25" t="n">
        <f aca="false">MIN(G16249,Assumptions!$L$56*Assumptions!$C$56)</f>
        <v>0</v>
      </c>
      <c r="H16255" s="25" t="n">
        <f aca="false">MIN(H16249,Assumptions!$L$56*Assumptions!$C$56)</f>
        <v>0</v>
      </c>
      <c r="I16255" s="25" t="n">
        <f aca="false">MIN(I16249,Assumptions!$L$56*Assumptions!$C$56)</f>
        <v>0</v>
      </c>
      <c r="J16255" s="25" t="n">
        <f aca="false">MIN(J16249,Assumptions!$L$56*Assumptions!$C$56)</f>
        <v>0</v>
      </c>
      <c r="K16255" s="25" t="n">
        <f aca="false">MIN(K16249,Assumptions!$L$56*Assumptions!$C$56)</f>
        <v>0</v>
      </c>
    </row>
    <row r="16256" customFormat="false" ht="15" hidden="false" customHeight="false" outlineLevel="0" collapsed="false">
      <c r="A16256" s="3" t="s">
        <v>315</v>
      </c>
      <c r="G16256" s="25" t="n">
        <f aca="false">IF(AND(Assumptions!$P$56=1,G16213&lt;Assumptions!$K$56),MIN(MAX(0,-G16310),MAX(0,Assumptions!$D$56-G16249)),0)</f>
        <v>0</v>
      </c>
      <c r="H16256" s="25" t="n">
        <f aca="false">IF(AND(Assumptions!$P$56=1,OR(H16213&lt;Assumptions!$K$56,G16396=1)),MIN(MAX(0,-H16310),MAX(0,Assumptions!$D$56-H16249)),0)</f>
        <v>0</v>
      </c>
      <c r="I16256" s="25" t="n">
        <f aca="false">IF(AND(Assumptions!$P$56=1,OR(I16213&lt;Assumptions!$K$56,H16396=1)),MIN(MAX(0,-I16310),MAX(0,Assumptions!$D$56-I16249)),0)</f>
        <v>0</v>
      </c>
      <c r="J16256" s="25" t="n">
        <f aca="false">IF(AND(Assumptions!$P$56=1,OR(J16213&lt;Assumptions!$K$56,I16396=1)),MIN(MAX(0,-J16310),MAX(0,Assumptions!$D$56-J16249)),0)</f>
        <v>0</v>
      </c>
      <c r="K16256" s="25" t="n">
        <f aca="false">IF(AND(Assumptions!$P$56=1,OR(K16213&lt;Assumptions!$K$56,J16396=1)),MIN(MAX(0,-K16310),MAX(0,Assumptions!$D$56-K16249)),0)</f>
        <v>0</v>
      </c>
    </row>
    <row r="16257" customFormat="false" ht="15" hidden="false" customHeight="false" outlineLevel="0" collapsed="false">
      <c r="A16257" s="3" t="s">
        <v>316</v>
      </c>
      <c r="G16257" s="25" t="n">
        <f aca="false">G16250*MIN(G16249-G16255+G16254,MAX(0,G16312-Assumptions!$C$12*G16247))</f>
        <v>0</v>
      </c>
      <c r="H16257" s="25" t="n">
        <f aca="false">H16250*MIN(H16249-H16255+H16254,MAX(0,H16312-Assumptions!$C$12*H16247))</f>
        <v>0</v>
      </c>
      <c r="I16257" s="25" t="n">
        <f aca="false">I16250*MIN(I16249-I16255+I16254,MAX(0,I16312-Assumptions!$C$12*I16247))</f>
        <v>0</v>
      </c>
      <c r="J16257" s="25" t="n">
        <f aca="false">J16250*MIN(J16249-J16255+J16254,MAX(0,J16312-Assumptions!$C$12*J16247))</f>
        <v>0</v>
      </c>
      <c r="K16257" s="25" t="n">
        <f aca="false">K16250*MIN(K16249-K16255+K16254,MAX(0,K16312-Assumptions!$C$12*K16247))</f>
        <v>0</v>
      </c>
    </row>
    <row r="16258" customFormat="false" ht="15" hidden="false" customHeight="false" outlineLevel="0" collapsed="false">
      <c r="A16258" s="3" t="s">
        <v>317</v>
      </c>
      <c r="G16258" s="25" t="n">
        <f aca="false">Assumptions!$N$56*MIN(G16249+G16256+G16254-G16255-G16257,MAX(0,G16316))</f>
        <v>0</v>
      </c>
      <c r="H16258" s="25" t="n">
        <f aca="false">Assumptions!$N$56*MIN(H16249+H16256+H16254-H16255-H16257,MAX(0,H16316))</f>
        <v>0</v>
      </c>
      <c r="I16258" s="25" t="n">
        <f aca="false">Assumptions!$N$56*MIN(I16249+I16256+I16254-I16255-I16257,MAX(0,I16316))</f>
        <v>0</v>
      </c>
      <c r="J16258" s="25" t="n">
        <f aca="false">Assumptions!$N$56*MIN(J16249+J16256+J16254-J16255-J16257,MAX(0,J16316))</f>
        <v>0</v>
      </c>
      <c r="K16258" s="25" t="n">
        <f aca="false">Assumptions!$N$56*MIN(K16249+K16256+K16254-K16255-K16257,MAX(0,K16316))</f>
        <v>0</v>
      </c>
    </row>
    <row r="16259" customFormat="false" ht="15" hidden="false" customHeight="false" outlineLevel="0" collapsed="false">
      <c r="A16259" s="3" t="s">
        <v>318</v>
      </c>
      <c r="G16259" s="25" t="n">
        <f aca="false">G16250*(1-G16247)*(G16249-G16255+G16254-G16257)</f>
        <v>0</v>
      </c>
      <c r="H16259" s="25" t="n">
        <f aca="false">H16250*(1-H16247)*(H16249-H16255+H16254-H16257)</f>
        <v>0</v>
      </c>
      <c r="I16259" s="25" t="n">
        <f aca="false">I16250*(1-I16247)*(I16249-I16255+I16254-I16257)</f>
        <v>0</v>
      </c>
      <c r="J16259" s="25" t="n">
        <f aca="false">J16250*(1-J16247)*(J16249-J16255+J16254-J16257)</f>
        <v>0</v>
      </c>
      <c r="K16259" s="25" t="n">
        <f aca="false">K16250*(1-K16247)*(K16249-K16255+K16254-K16257)</f>
        <v>0</v>
      </c>
    </row>
    <row r="16260" customFormat="false" ht="15" hidden="false" customHeight="false" outlineLevel="0" collapsed="false">
      <c r="A16260" s="2" t="s">
        <v>319</v>
      </c>
      <c r="F16260" s="28" t="n">
        <f aca="false">Assumptions!$C$56</f>
        <v>1315.098</v>
      </c>
      <c r="G16260" s="16" t="n">
        <f aca="false">G16249+G16256+G16254-G16255-G16257-G16258</f>
        <v>1315.098</v>
      </c>
      <c r="H16260" s="16" t="n">
        <f aca="false">H16249+H16256+H16254-H16255-H16257-H16258</f>
        <v>1315.098</v>
      </c>
      <c r="I16260" s="16" t="n">
        <f aca="false">I16249+I16256+I16254-I16255-I16257-I16258</f>
        <v>1315.098</v>
      </c>
      <c r="J16260" s="16" t="n">
        <f aca="false">J16249+J16256+J16254-J16255-J16257-J16258</f>
        <v>1315.098</v>
      </c>
      <c r="K16260" s="16" t="n">
        <f aca="false">K16249+K16256+K16254-K16255-K16257-K16258</f>
        <v>1315.098</v>
      </c>
    </row>
    <row r="16261" customFormat="false" ht="15" hidden="false" customHeight="false" outlineLevel="0" collapsed="false">
      <c r="A16261" s="23" t="s">
        <v>320</v>
      </c>
      <c r="B16261" s="24"/>
      <c r="C16261" s="24"/>
      <c r="D16261" s="24"/>
      <c r="E16261" s="24"/>
      <c r="F16261" s="24"/>
      <c r="G16261" s="24"/>
      <c r="H16261" s="24"/>
      <c r="I16261" s="24"/>
      <c r="J16261" s="24"/>
      <c r="K16261" s="24"/>
    </row>
    <row r="16262" customFormat="false" ht="15" hidden="false" customHeight="false" outlineLevel="0" collapsed="false">
      <c r="A16262" s="3" t="s">
        <v>309</v>
      </c>
      <c r="G16262" s="25" t="n">
        <f aca="false">F16273</f>
        <v>276.706</v>
      </c>
      <c r="H16262" s="25" t="n">
        <f aca="false">G16273</f>
        <v>276.706</v>
      </c>
      <c r="I16262" s="25" t="n">
        <f aca="false">H16273</f>
        <v>276.706</v>
      </c>
      <c r="J16262" s="25" t="n">
        <f aca="false">I16273</f>
        <v>0</v>
      </c>
      <c r="K16262" s="25" t="n">
        <f aca="false">J16273</f>
        <v>0</v>
      </c>
    </row>
    <row r="16263" customFormat="false" ht="15" hidden="false" customHeight="false" outlineLevel="0" collapsed="false">
      <c r="A16263" s="3" t="s">
        <v>310</v>
      </c>
      <c r="G16263" s="20" t="n">
        <f aca="false">IF(G16213=Assumptions!$K$57,1,0)</f>
        <v>0</v>
      </c>
      <c r="H16263" s="20" t="n">
        <f aca="false">IF(H16213=Assumptions!$K$57,1,0)</f>
        <v>0</v>
      </c>
      <c r="I16263" s="20" t="n">
        <f aca="false">IF(I16213=Assumptions!$K$57,1,0)</f>
        <v>1</v>
      </c>
      <c r="J16263" s="20" t="n">
        <f aca="false">IF(J16213=Assumptions!$K$57,1,0)</f>
        <v>0</v>
      </c>
      <c r="K16263" s="20" t="n">
        <f aca="false">IF(K16213=Assumptions!$K$57,1,0)</f>
        <v>0</v>
      </c>
    </row>
    <row r="16265" customFormat="false" ht="15" hidden="false" customHeight="false" outlineLevel="0" collapsed="false">
      <c r="A16265" s="3" t="s">
        <v>311</v>
      </c>
      <c r="G16265" s="31" t="n">
        <f aca="false">IF(Assumptions!$I$57=1,MAX(G16239,Assumptions!$G$57)+Assumptions!$F$57+$C$16240,Assumptions!$E$57)</f>
        <v>0.0425</v>
      </c>
      <c r="H16265" s="31" t="n">
        <f aca="false">IF(G16397=1,$C$16241,IF(Assumptions!$I$57=1,MAX(H16239,Assumptions!$G$57)+Assumptions!$F$57+$C$16240,Assumptions!$E$57))</f>
        <v>0.0425</v>
      </c>
      <c r="I16265" s="31" t="n">
        <f aca="false">IF(H16397=1,$C$16241,IF(Assumptions!$I$57=1,MAX(I16239,Assumptions!$G$57)+Assumptions!$F$57+$C$16240,Assumptions!$E$57))</f>
        <v>0.0425</v>
      </c>
      <c r="J16265" s="31" t="n">
        <f aca="false">IF(I16397=1,$C$16241,IF(Assumptions!$I$57=1,MAX(J16239,Assumptions!$G$57)+Assumptions!$F$57+$C$16240,Assumptions!$E$57))</f>
        <v>0.11</v>
      </c>
      <c r="K16265" s="31" t="n">
        <f aca="false">IF(J16397=1,$C$16241,IF(Assumptions!$I$57=1,MAX(K16239,Assumptions!$G$57)+Assumptions!$F$57+$C$16240,Assumptions!$E$57))</f>
        <v>0.11</v>
      </c>
    </row>
    <row r="16266" customFormat="false" ht="15" hidden="false" customHeight="false" outlineLevel="0" collapsed="false">
      <c r="A16266" s="3" t="s">
        <v>312</v>
      </c>
      <c r="G16266" s="25" t="n">
        <f aca="false">G16262*G16265</f>
        <v>11.760005</v>
      </c>
      <c r="H16266" s="25" t="n">
        <f aca="false">H16262*H16265</f>
        <v>11.760005</v>
      </c>
      <c r="I16266" s="25" t="n">
        <f aca="false">I16262*I16265</f>
        <v>11.760005</v>
      </c>
      <c r="J16266" s="25" t="n">
        <f aca="false">J16262*J16265</f>
        <v>0</v>
      </c>
      <c r="K16266" s="25" t="n">
        <f aca="false">K16262*K16265</f>
        <v>0</v>
      </c>
    </row>
    <row r="16267" customFormat="false" ht="15" hidden="false" customHeight="false" outlineLevel="0" collapsed="false">
      <c r="A16267" s="3" t="s">
        <v>313</v>
      </c>
      <c r="G16267" s="25" t="n">
        <f aca="false">G16262*Assumptions!$H$57</f>
        <v>0</v>
      </c>
      <c r="H16267" s="25" t="n">
        <f aca="false">H16262*Assumptions!$H$57</f>
        <v>0</v>
      </c>
      <c r="I16267" s="25" t="n">
        <f aca="false">I16262*Assumptions!$H$57</f>
        <v>0</v>
      </c>
      <c r="J16267" s="25" t="n">
        <f aca="false">J16262*Assumptions!$H$57</f>
        <v>0</v>
      </c>
      <c r="K16267" s="25" t="n">
        <f aca="false">K16262*Assumptions!$H$57</f>
        <v>0</v>
      </c>
    </row>
    <row r="16268" customFormat="false" ht="15" hidden="false" customHeight="false" outlineLevel="0" collapsed="false">
      <c r="A16268" s="3" t="s">
        <v>314</v>
      </c>
      <c r="G16268" s="25" t="n">
        <f aca="false">MIN(G16262,Assumptions!$L$57*Assumptions!$C$57)</f>
        <v>0</v>
      </c>
      <c r="H16268" s="25" t="n">
        <f aca="false">MIN(H16262,Assumptions!$L$57*Assumptions!$C$57)</f>
        <v>0</v>
      </c>
      <c r="I16268" s="25" t="n">
        <f aca="false">MIN(I16262,Assumptions!$L$57*Assumptions!$C$57)</f>
        <v>0</v>
      </c>
      <c r="J16268" s="25" t="n">
        <f aca="false">MIN(J16262,Assumptions!$L$57*Assumptions!$C$57)</f>
        <v>0</v>
      </c>
      <c r="K16268" s="25" t="n">
        <f aca="false">MIN(K16262,Assumptions!$L$57*Assumptions!$C$57)</f>
        <v>0</v>
      </c>
    </row>
    <row r="16269" customFormat="false" ht="15" hidden="false" customHeight="false" outlineLevel="0" collapsed="false">
      <c r="A16269" s="3" t="s">
        <v>315</v>
      </c>
      <c r="G16269" s="25" t="n">
        <f aca="false">IF(AND(Assumptions!$P$57=1,G16213&lt;Assumptions!$K$57),MIN(MAX(0,-G16310),MAX(0,Assumptions!$D$57-G16262)),0)</f>
        <v>0</v>
      </c>
      <c r="H16269" s="25" t="n">
        <f aca="false">IF(AND(Assumptions!$P$57=1,OR(H16213&lt;Assumptions!$K$57,G16397=1)),MIN(MAX(0,-H16310),MAX(0,Assumptions!$D$57-H16262)),0)</f>
        <v>0</v>
      </c>
      <c r="I16269" s="25" t="n">
        <f aca="false">IF(AND(Assumptions!$P$57=1,OR(I16213&lt;Assumptions!$K$57,H16397=1)),MIN(MAX(0,-I16310),MAX(0,Assumptions!$D$57-I16262)),0)</f>
        <v>0</v>
      </c>
      <c r="J16269" s="25" t="n">
        <f aca="false">IF(AND(Assumptions!$P$57=1,OR(J16213&lt;Assumptions!$K$57,I16397=1)),MIN(MAX(0,-J16310),MAX(0,Assumptions!$D$57-J16262)),0)</f>
        <v>0</v>
      </c>
      <c r="K16269" s="25" t="n">
        <f aca="false">IF(AND(Assumptions!$P$57=1,OR(K16213&lt;Assumptions!$K$57,J16397=1)),MIN(MAX(0,-K16310),MAX(0,Assumptions!$D$57-K16262)),0)</f>
        <v>0</v>
      </c>
    </row>
    <row r="16270" customFormat="false" ht="15" hidden="false" customHeight="false" outlineLevel="0" collapsed="false">
      <c r="A16270" s="3" t="s">
        <v>316</v>
      </c>
      <c r="G16270" s="25" t="n">
        <f aca="false">G16263*MIN(G16262-G16268+G16267,MAX(0,G16312-Assumptions!$C$12*G16247-G16257))</f>
        <v>0</v>
      </c>
      <c r="H16270" s="25" t="n">
        <f aca="false">H16263*MIN(H16262-H16268+H16267,MAX(0,H16312-Assumptions!$C$12*H16247-H16257))</f>
        <v>0</v>
      </c>
      <c r="I16270" s="25" t="n">
        <f aca="false">I16263*MIN(I16262-I16268+I16267,MAX(0,I16312-Assumptions!$C$12*I16247-I16257))</f>
        <v>276.706</v>
      </c>
      <c r="J16270" s="25" t="n">
        <f aca="false">J16263*MIN(J16262-J16268+J16267,MAX(0,J16312-Assumptions!$C$12*J16247-J16257))</f>
        <v>0</v>
      </c>
      <c r="K16270" s="25" t="n">
        <f aca="false">K16263*MIN(K16262-K16268+K16267,MAX(0,K16312-Assumptions!$C$12*K16247-K16257))</f>
        <v>0</v>
      </c>
    </row>
    <row r="16271" customFormat="false" ht="15" hidden="false" customHeight="false" outlineLevel="0" collapsed="false">
      <c r="A16271" s="3" t="s">
        <v>317</v>
      </c>
      <c r="G16271" s="25" t="n">
        <f aca="false">Assumptions!$N$57*MIN(G16262+G16269+G16267-G16268-G16270,MAX(0,G16316-G16258))</f>
        <v>0</v>
      </c>
      <c r="H16271" s="25" t="n">
        <f aca="false">Assumptions!$N$57*MIN(H16262+H16269+H16267-H16268-H16270,MAX(0,H16316-H16258))</f>
        <v>0</v>
      </c>
      <c r="I16271" s="25" t="n">
        <f aca="false">Assumptions!$N$57*MIN(I16262+I16269+I16267-I16268-I16270,MAX(0,I16316-I16258))</f>
        <v>0</v>
      </c>
      <c r="J16271" s="25" t="n">
        <f aca="false">Assumptions!$N$57*MIN(J16262+J16269+J16267-J16268-J16270,MAX(0,J16316-J16258))</f>
        <v>0</v>
      </c>
      <c r="K16271" s="25" t="n">
        <f aca="false">Assumptions!$N$57*MIN(K16262+K16269+K16267-K16268-K16270,MAX(0,K16316-K16258))</f>
        <v>0</v>
      </c>
    </row>
    <row r="16272" customFormat="false" ht="15" hidden="false" customHeight="false" outlineLevel="0" collapsed="false">
      <c r="A16272" s="3" t="s">
        <v>318</v>
      </c>
      <c r="G16272" s="25" t="n">
        <f aca="false">G16263*(1-G16247)*(G16262-G16268+G16267-G16270)</f>
        <v>0</v>
      </c>
      <c r="H16272" s="25" t="n">
        <f aca="false">H16263*(1-H16247)*(H16262-H16268+H16267-H16270)</f>
        <v>0</v>
      </c>
      <c r="I16272" s="25" t="n">
        <f aca="false">I16263*(1-I16247)*(I16262-I16268+I16267-I16270)</f>
        <v>0</v>
      </c>
      <c r="J16272" s="25" t="n">
        <f aca="false">J16263*(1-J16247)*(J16262-J16268+J16267-J16270)</f>
        <v>0</v>
      </c>
      <c r="K16272" s="25" t="n">
        <f aca="false">K16263*(1-K16247)*(K16262-K16268+K16267-K16270)</f>
        <v>0</v>
      </c>
    </row>
    <row r="16273" customFormat="false" ht="15" hidden="false" customHeight="false" outlineLevel="0" collapsed="false">
      <c r="A16273" s="2" t="s">
        <v>319</v>
      </c>
      <c r="F16273" s="28" t="n">
        <f aca="false">Assumptions!$C$57</f>
        <v>276.706</v>
      </c>
      <c r="G16273" s="16" t="n">
        <f aca="false">G16262+G16269+G16267-G16268-G16270-G16271</f>
        <v>276.706</v>
      </c>
      <c r="H16273" s="16" t="n">
        <f aca="false">H16262+H16269+H16267-H16268-H16270-H16271</f>
        <v>276.706</v>
      </c>
      <c r="I16273" s="16" t="n">
        <f aca="false">I16262+I16269+I16267-I16268-I16270-I16271</f>
        <v>0</v>
      </c>
      <c r="J16273" s="16" t="n">
        <f aca="false">J16262+J16269+J16267-J16268-J16270-J16271</f>
        <v>0</v>
      </c>
      <c r="K16273" s="16" t="n">
        <f aca="false">K16262+K16269+K16267-K16268-K16270-K16271</f>
        <v>0</v>
      </c>
    </row>
    <row r="16274" customFormat="false" ht="15" hidden="false" customHeight="false" outlineLevel="0" collapsed="false">
      <c r="A16274" s="23" t="s">
        <v>321</v>
      </c>
      <c r="B16274" s="24"/>
      <c r="C16274" s="24"/>
      <c r="D16274" s="24"/>
      <c r="E16274" s="24"/>
      <c r="F16274" s="24"/>
      <c r="G16274" s="24"/>
      <c r="H16274" s="24"/>
      <c r="I16274" s="24"/>
      <c r="J16274" s="24"/>
      <c r="K16274" s="24"/>
    </row>
    <row r="16275" customFormat="false" ht="15" hidden="false" customHeight="false" outlineLevel="0" collapsed="false">
      <c r="A16275" s="3" t="s">
        <v>309</v>
      </c>
      <c r="G16275" s="25" t="n">
        <f aca="false">F16286</f>
        <v>143.75</v>
      </c>
      <c r="H16275" s="25" t="n">
        <f aca="false">G16286</f>
        <v>143.75</v>
      </c>
      <c r="I16275" s="25" t="n">
        <f aca="false">H16286</f>
        <v>143.75</v>
      </c>
      <c r="J16275" s="25" t="n">
        <f aca="false">I16286</f>
        <v>0</v>
      </c>
      <c r="K16275" s="25" t="n">
        <f aca="false">J16286</f>
        <v>0</v>
      </c>
    </row>
    <row r="16276" customFormat="false" ht="15" hidden="false" customHeight="false" outlineLevel="0" collapsed="false">
      <c r="A16276" s="3" t="s">
        <v>310</v>
      </c>
      <c r="G16276" s="20" t="n">
        <f aca="false">IF(G16213=Assumptions!$K$58,1,0)</f>
        <v>0</v>
      </c>
      <c r="H16276" s="20" t="n">
        <f aca="false">IF(H16213=Assumptions!$K$58,1,0)</f>
        <v>0</v>
      </c>
      <c r="I16276" s="20" t="n">
        <f aca="false">IF(I16213=Assumptions!$K$58,1,0)</f>
        <v>1</v>
      </c>
      <c r="J16276" s="20" t="n">
        <f aca="false">IF(J16213=Assumptions!$K$58,1,0)</f>
        <v>0</v>
      </c>
      <c r="K16276" s="20" t="n">
        <f aca="false">IF(K16213=Assumptions!$K$58,1,0)</f>
        <v>0</v>
      </c>
    </row>
    <row r="16278" customFormat="false" ht="15" hidden="false" customHeight="false" outlineLevel="0" collapsed="false">
      <c r="A16278" s="3" t="s">
        <v>311</v>
      </c>
      <c r="G16278" s="31" t="n">
        <f aca="false">IF(Assumptions!$I$58=1,MAX(G16239,Assumptions!$G$58)+Assumptions!$F$58+$C$16240,Assumptions!$E$58)</f>
        <v>0.0425</v>
      </c>
      <c r="H16278" s="31" t="n">
        <f aca="false">IF(G16398=1,$C$16241,IF(Assumptions!$I$58=1,MAX(H16239,Assumptions!$G$58)+Assumptions!$F$58+$C$16240,Assumptions!$E$58))</f>
        <v>0.0425</v>
      </c>
      <c r="I16278" s="31" t="n">
        <f aca="false">IF(H16398=1,$C$16241,IF(Assumptions!$I$58=1,MAX(I16239,Assumptions!$G$58)+Assumptions!$F$58+$C$16240,Assumptions!$E$58))</f>
        <v>0.0425</v>
      </c>
      <c r="J16278" s="31" t="n">
        <f aca="false">IF(I16398=1,$C$16241,IF(Assumptions!$I$58=1,MAX(J16239,Assumptions!$G$58)+Assumptions!$F$58+$C$16240,Assumptions!$E$58))</f>
        <v>0.11</v>
      </c>
      <c r="K16278" s="31" t="n">
        <f aca="false">IF(J16398=1,$C$16241,IF(Assumptions!$I$58=1,MAX(K16239,Assumptions!$G$58)+Assumptions!$F$58+$C$16240,Assumptions!$E$58))</f>
        <v>0.11</v>
      </c>
    </row>
    <row r="16279" customFormat="false" ht="15" hidden="false" customHeight="false" outlineLevel="0" collapsed="false">
      <c r="A16279" s="3" t="s">
        <v>312</v>
      </c>
      <c r="G16279" s="25" t="n">
        <f aca="false">G16275*G16278</f>
        <v>6.109375</v>
      </c>
      <c r="H16279" s="25" t="n">
        <f aca="false">H16275*H16278</f>
        <v>6.109375</v>
      </c>
      <c r="I16279" s="25" t="n">
        <f aca="false">I16275*I16278</f>
        <v>6.109375</v>
      </c>
      <c r="J16279" s="25" t="n">
        <f aca="false">J16275*J16278</f>
        <v>0</v>
      </c>
      <c r="K16279" s="25" t="n">
        <f aca="false">K16275*K16278</f>
        <v>0</v>
      </c>
    </row>
    <row r="16280" customFormat="false" ht="15" hidden="false" customHeight="false" outlineLevel="0" collapsed="false">
      <c r="A16280" s="3" t="s">
        <v>313</v>
      </c>
      <c r="G16280" s="25" t="n">
        <f aca="false">G16275*Assumptions!$H$58</f>
        <v>0</v>
      </c>
      <c r="H16280" s="25" t="n">
        <f aca="false">H16275*Assumptions!$H$58</f>
        <v>0</v>
      </c>
      <c r="I16280" s="25" t="n">
        <f aca="false">I16275*Assumptions!$H$58</f>
        <v>0</v>
      </c>
      <c r="J16280" s="25" t="n">
        <f aca="false">J16275*Assumptions!$H$58</f>
        <v>0</v>
      </c>
      <c r="K16280" s="25" t="n">
        <f aca="false">K16275*Assumptions!$H$58</f>
        <v>0</v>
      </c>
    </row>
    <row r="16281" customFormat="false" ht="15" hidden="false" customHeight="false" outlineLevel="0" collapsed="false">
      <c r="A16281" s="3" t="s">
        <v>314</v>
      </c>
      <c r="G16281" s="25" t="n">
        <f aca="false">MIN(G16275,Assumptions!$L$58*Assumptions!$C$58)</f>
        <v>0</v>
      </c>
      <c r="H16281" s="25" t="n">
        <f aca="false">MIN(H16275,Assumptions!$L$58*Assumptions!$C$58)</f>
        <v>0</v>
      </c>
      <c r="I16281" s="25" t="n">
        <f aca="false">MIN(I16275,Assumptions!$L$58*Assumptions!$C$58)</f>
        <v>0</v>
      </c>
      <c r="J16281" s="25" t="n">
        <f aca="false">MIN(J16275,Assumptions!$L$58*Assumptions!$C$58)</f>
        <v>0</v>
      </c>
      <c r="K16281" s="25" t="n">
        <f aca="false">MIN(K16275,Assumptions!$L$58*Assumptions!$C$58)</f>
        <v>0</v>
      </c>
    </row>
    <row r="16282" customFormat="false" ht="15" hidden="false" customHeight="false" outlineLevel="0" collapsed="false">
      <c r="A16282" s="3" t="s">
        <v>315</v>
      </c>
      <c r="G16282" s="25" t="n">
        <f aca="false">IF(AND(Assumptions!$P$58=1,G16213&lt;Assumptions!$K$58),MIN(MAX(0,-G16310),MAX(0,Assumptions!$D$58-G16275)),0)</f>
        <v>0</v>
      </c>
      <c r="H16282" s="25" t="n">
        <f aca="false">IF(AND(Assumptions!$P$58=1,OR(H16213&lt;Assumptions!$K$58,G16398=1)),MIN(MAX(0,-H16310),MAX(0,Assumptions!$D$58-H16275)),0)</f>
        <v>0</v>
      </c>
      <c r="I16282" s="25" t="n">
        <f aca="false">IF(AND(Assumptions!$P$58=1,OR(I16213&lt;Assumptions!$K$58,H16398=1)),MIN(MAX(0,-I16310),MAX(0,Assumptions!$D$58-I16275)),0)</f>
        <v>0</v>
      </c>
      <c r="J16282" s="25" t="n">
        <f aca="false">IF(AND(Assumptions!$P$58=1,OR(J16213&lt;Assumptions!$K$58,I16398=1)),MIN(MAX(0,-J16310),MAX(0,Assumptions!$D$58-J16275)),0)</f>
        <v>0</v>
      </c>
      <c r="K16282" s="25" t="n">
        <f aca="false">IF(AND(Assumptions!$P$58=1,OR(K16213&lt;Assumptions!$K$58,J16398=1)),MIN(MAX(0,-K16310),MAX(0,Assumptions!$D$58-K16275)),0)</f>
        <v>0</v>
      </c>
    </row>
    <row r="16283" customFormat="false" ht="15" hidden="false" customHeight="false" outlineLevel="0" collapsed="false">
      <c r="A16283" s="3" t="s">
        <v>316</v>
      </c>
      <c r="G16283" s="25" t="n">
        <f aca="false">G16276*MIN(G16275-G16281+G16280,MAX(0,G16312-Assumptions!$C$12*G16247-G16257-G16270))</f>
        <v>0</v>
      </c>
      <c r="H16283" s="25" t="n">
        <f aca="false">H16276*MIN(H16275-H16281+H16280,MAX(0,H16312-Assumptions!$C$12*H16247-H16257-H16270))</f>
        <v>0</v>
      </c>
      <c r="I16283" s="25" t="n">
        <f aca="false">I16276*MIN(I16275-I16281+I16280,MAX(0,I16312-Assumptions!$C$12*I16247-I16257-I16270))</f>
        <v>143.75</v>
      </c>
      <c r="J16283" s="25" t="n">
        <f aca="false">J16276*MIN(J16275-J16281+J16280,MAX(0,J16312-Assumptions!$C$12*J16247-J16257-J16270))</f>
        <v>0</v>
      </c>
      <c r="K16283" s="25" t="n">
        <f aca="false">K16276*MIN(K16275-K16281+K16280,MAX(0,K16312-Assumptions!$C$12*K16247-K16257-K16270))</f>
        <v>0</v>
      </c>
    </row>
    <row r="16284" customFormat="false" ht="15" hidden="false" customHeight="false" outlineLevel="0" collapsed="false">
      <c r="A16284" s="3" t="s">
        <v>317</v>
      </c>
      <c r="G16284" s="25" t="n">
        <f aca="false">Assumptions!$N$58*MIN(G16275+G16282+G16280-G16281-G16283,MAX(0,G16316-G16258-G16271))</f>
        <v>0</v>
      </c>
      <c r="H16284" s="25" t="n">
        <f aca="false">Assumptions!$N$58*MIN(H16275+H16282+H16280-H16281-H16283,MAX(0,H16316-H16258-H16271))</f>
        <v>0</v>
      </c>
      <c r="I16284" s="25" t="n">
        <f aca="false">Assumptions!$N$58*MIN(I16275+I16282+I16280-I16281-I16283,MAX(0,I16316-I16258-I16271))</f>
        <v>0</v>
      </c>
      <c r="J16284" s="25" t="n">
        <f aca="false">Assumptions!$N$58*MIN(J16275+J16282+J16280-J16281-J16283,MAX(0,J16316-J16258-J16271))</f>
        <v>0</v>
      </c>
      <c r="K16284" s="25" t="n">
        <f aca="false">Assumptions!$N$58*MIN(K16275+K16282+K16280-K16281-K16283,MAX(0,K16316-K16258-K16271))</f>
        <v>0</v>
      </c>
    </row>
    <row r="16285" customFormat="false" ht="15" hidden="false" customHeight="false" outlineLevel="0" collapsed="false">
      <c r="A16285" s="3" t="s">
        <v>318</v>
      </c>
      <c r="G16285" s="25" t="n">
        <f aca="false">G16276*(1-G16247)*(G16275-G16281+G16280-G16283)</f>
        <v>0</v>
      </c>
      <c r="H16285" s="25" t="n">
        <f aca="false">H16276*(1-H16247)*(H16275-H16281+H16280-H16283)</f>
        <v>0</v>
      </c>
      <c r="I16285" s="25" t="n">
        <f aca="false">I16276*(1-I16247)*(I16275-I16281+I16280-I16283)</f>
        <v>0</v>
      </c>
      <c r="J16285" s="25" t="n">
        <f aca="false">J16276*(1-J16247)*(J16275-J16281+J16280-J16283)</f>
        <v>0</v>
      </c>
      <c r="K16285" s="25" t="n">
        <f aca="false">K16276*(1-K16247)*(K16275-K16281+K16280-K16283)</f>
        <v>0</v>
      </c>
    </row>
    <row r="16286" customFormat="false" ht="15" hidden="false" customHeight="false" outlineLevel="0" collapsed="false">
      <c r="A16286" s="2" t="s">
        <v>319</v>
      </c>
      <c r="F16286" s="28" t="n">
        <f aca="false">Assumptions!$C$58</f>
        <v>143.75</v>
      </c>
      <c r="G16286" s="16" t="n">
        <f aca="false">G16275+G16282+G16280-G16281-G16283-G16284</f>
        <v>143.75</v>
      </c>
      <c r="H16286" s="16" t="n">
        <f aca="false">H16275+H16282+H16280-H16281-H16283-H16284</f>
        <v>143.75</v>
      </c>
      <c r="I16286" s="16" t="n">
        <f aca="false">I16275+I16282+I16280-I16281-I16283-I16284</f>
        <v>0</v>
      </c>
      <c r="J16286" s="16" t="n">
        <f aca="false">J16275+J16282+J16280-J16281-J16283-J16284</f>
        <v>0</v>
      </c>
      <c r="K16286" s="16" t="n">
        <f aca="false">K16275+K16282+K16280-K16281-K16283-K16284</f>
        <v>0</v>
      </c>
    </row>
    <row r="16287" customFormat="false" ht="15" hidden="false" customHeight="false" outlineLevel="0" collapsed="false">
      <c r="A16287" s="23" t="s">
        <v>322</v>
      </c>
      <c r="B16287" s="24"/>
      <c r="C16287" s="24"/>
      <c r="D16287" s="24"/>
      <c r="E16287" s="24"/>
      <c r="F16287" s="24"/>
      <c r="G16287" s="24"/>
      <c r="H16287" s="24"/>
      <c r="I16287" s="24"/>
      <c r="J16287" s="24"/>
      <c r="K16287" s="24"/>
    </row>
    <row r="16288" customFormat="false" ht="15" hidden="false" customHeight="false" outlineLevel="0" collapsed="false">
      <c r="A16288" s="2" t="s">
        <v>323</v>
      </c>
      <c r="F16288" s="16" t="n">
        <f aca="false">F16260+F16273+F16286</f>
        <v>1735.554</v>
      </c>
      <c r="G16288" s="16" t="n">
        <f aca="false">G16260+G16273+G16286</f>
        <v>1735.554</v>
      </c>
      <c r="H16288" s="16" t="n">
        <f aca="false">H16260+H16273+H16286</f>
        <v>1735.554</v>
      </c>
      <c r="I16288" s="16" t="n">
        <f aca="false">I16260+I16273+I16286</f>
        <v>1315.098</v>
      </c>
      <c r="J16288" s="16" t="n">
        <f aca="false">J16260+J16273+J16286</f>
        <v>1315.098</v>
      </c>
      <c r="K16288" s="16" t="n">
        <f aca="false">K16260+K16273+K16286</f>
        <v>1315.098</v>
      </c>
    </row>
    <row r="16289" customFormat="false" ht="15" hidden="false" customHeight="false" outlineLevel="0" collapsed="false">
      <c r="A16289" s="3" t="s">
        <v>324</v>
      </c>
      <c r="G16289" s="25" t="n">
        <f aca="false">G16250*Assumptions!$C$56+G16263*Assumptions!$C$57+G16276*Assumptions!$C$58</f>
        <v>0</v>
      </c>
      <c r="H16289" s="25" t="n">
        <f aca="false">H16250*Assumptions!$C$56+H16263*Assumptions!$C$57+H16276*Assumptions!$C$58</f>
        <v>0</v>
      </c>
      <c r="I16289" s="25" t="n">
        <f aca="false">I16250*Assumptions!$C$56+I16263*Assumptions!$C$57+I16276*Assumptions!$C$58</f>
        <v>420.456</v>
      </c>
      <c r="J16289" s="25" t="n">
        <f aca="false">J16250*Assumptions!$C$56+J16263*Assumptions!$C$57+J16276*Assumptions!$C$58</f>
        <v>0</v>
      </c>
      <c r="K16289" s="25" t="n">
        <f aca="false">K16250*Assumptions!$C$56+K16263*Assumptions!$C$57+K16276*Assumptions!$C$58</f>
        <v>0</v>
      </c>
    </row>
    <row r="16290" customFormat="false" ht="15" hidden="false" customHeight="false" outlineLevel="0" collapsed="false">
      <c r="A16290" s="23" t="s">
        <v>325</v>
      </c>
      <c r="B16290" s="24"/>
      <c r="C16290" s="24"/>
      <c r="D16290" s="24"/>
      <c r="E16290" s="24"/>
      <c r="F16290" s="24"/>
      <c r="G16290" s="24"/>
      <c r="H16290" s="24"/>
      <c r="I16290" s="24"/>
      <c r="J16290" s="24"/>
      <c r="K16290" s="24"/>
    </row>
    <row r="16291" customFormat="false" ht="15" hidden="false" customHeight="false" outlineLevel="0" collapsed="false">
      <c r="A16291" s="3" t="s">
        <v>326</v>
      </c>
      <c r="C16291" s="25" t="n">
        <f aca="false">SUMPRODUCT($G$16250:$K$16250,$G$16249:$K$16249-$G$16255:$K$16255+$G$16254:$K$16254)</f>
        <v>0</v>
      </c>
    </row>
    <row r="16292" customFormat="false" ht="15" hidden="false" customHeight="false" outlineLevel="0" collapsed="false">
      <c r="A16292" s="3" t="s">
        <v>327</v>
      </c>
      <c r="C16292" s="25" t="n">
        <f aca="false">SUMPRODUCT($G$16250:$K$16250,$G$16257:$K$16257)</f>
        <v>0</v>
      </c>
    </row>
    <row r="16293" customFormat="false" ht="15" hidden="false" customHeight="false" outlineLevel="0" collapsed="false">
      <c r="A16293" s="3" t="s">
        <v>328</v>
      </c>
      <c r="C16293" s="3" t="str">
        <f aca="false">IF(SUM($G$16250:$K$16250)=0,"n/a (beyond horizon)",IF(SUMPRODUCT($G$16250:$K$16250,$G$16247:$K$16247)&gt;0,"REFINANCING PASS","REFINANCING FAILURE"))</f>
        <v>n/a (beyond horizon)</v>
      </c>
    </row>
    <row r="16294" customFormat="false" ht="15" hidden="false" customHeight="false" outlineLevel="0" collapsed="false">
      <c r="A16294" s="3" t="s">
        <v>329</v>
      </c>
      <c r="C16294" s="3" t="str">
        <f aca="false">IF(SUM($G$16250:$K$16250)=0,"n/a",IF(C16292&gt;=C16291-0.001,"Repaid from cash",IF(SUMPRODUCT($G$16250:$K$16250,$G$16247:$K$16247)&gt;0,IF(C16292&gt;0,"Partly repaid; remainder refinanced","Refinanced"),IF(SUM($G$16259:$K$16259)&gt;0.001,IF(C16292&gt;0,"Partial repayment; PAYMENT DEFAULT","PAYMENT DEFAULT"),"Repaid from cash"))))</f>
        <v>n/a</v>
      </c>
    </row>
    <row r="16295" customFormat="false" ht="15" hidden="false" customHeight="false" outlineLevel="0" collapsed="false">
      <c r="A16295" s="3" t="s">
        <v>330</v>
      </c>
      <c r="C16295" s="25" t="n">
        <f aca="false">SUMPRODUCT($G$16263:$K$16263,$G$16262:$K$16262-$G$16268:$K$16268+$G$16267:$K$16267)</f>
        <v>276.706</v>
      </c>
    </row>
    <row r="16296" customFormat="false" ht="15" hidden="false" customHeight="false" outlineLevel="0" collapsed="false">
      <c r="A16296" s="3" t="s">
        <v>331</v>
      </c>
      <c r="C16296" s="25" t="n">
        <f aca="false">SUMPRODUCT($G$16263:$K$16263,$G$16270:$K$16270)</f>
        <v>276.706</v>
      </c>
    </row>
    <row r="16297" customFormat="false" ht="15" hidden="false" customHeight="false" outlineLevel="0" collapsed="false">
      <c r="A16297" s="3" t="s">
        <v>332</v>
      </c>
      <c r="C16297" s="3" t="str">
        <f aca="false">IF(SUM($G$16263:$K$16263)=0,"n/a (beyond horizon)",IF(SUMPRODUCT($G$16263:$K$16263,$G$16247:$K$16247)&gt;0,"REFINANCING PASS","REFINANCING FAILURE"))</f>
        <v>REFINANCING PASS</v>
      </c>
    </row>
    <row r="16298" customFormat="false" ht="15" hidden="false" customHeight="false" outlineLevel="0" collapsed="false">
      <c r="A16298" s="3" t="s">
        <v>333</v>
      </c>
      <c r="C16298" s="3" t="str">
        <f aca="false">IF(SUM($G$16263:$K$16263)=0,"n/a",IF(C16296&gt;=C16295-0.001,"Repaid from cash",IF(SUMPRODUCT($G$16263:$K$16263,$G$16247:$K$16247)&gt;0,IF(C16296&gt;0,"Partly repaid; remainder refinanced","Refinanced"),IF(SUM($G$16272:$K$16272)&gt;0.001,IF(C16296&gt;0,"Partial repayment; PAYMENT DEFAULT","PAYMENT DEFAULT"),"Repaid from cash"))))</f>
        <v>Repaid from cash</v>
      </c>
    </row>
    <row r="16299" customFormat="false" ht="15" hidden="false" customHeight="false" outlineLevel="0" collapsed="false">
      <c r="A16299" s="3" t="s">
        <v>334</v>
      </c>
      <c r="C16299" s="25" t="n">
        <f aca="false">SUMPRODUCT($G$16276:$K$16276,$G$16275:$K$16275-$G$16281:$K$16281+$G$16280:$K$16280)</f>
        <v>143.75</v>
      </c>
    </row>
    <row r="16300" customFormat="false" ht="15" hidden="false" customHeight="false" outlineLevel="0" collapsed="false">
      <c r="A16300" s="3" t="s">
        <v>335</v>
      </c>
      <c r="C16300" s="25" t="n">
        <f aca="false">SUMPRODUCT($G$16276:$K$16276,$G$16283:$K$16283)</f>
        <v>143.75</v>
      </c>
    </row>
    <row r="16301" customFormat="false" ht="15" hidden="false" customHeight="false" outlineLevel="0" collapsed="false">
      <c r="A16301" s="3" t="s">
        <v>336</v>
      </c>
      <c r="C16301" s="3" t="str">
        <f aca="false">IF(SUM($G$16276:$K$16276)=0,"n/a (beyond horizon)",IF(SUMPRODUCT($G$16276:$K$16276,$G$16247:$K$16247)&gt;0,"REFINANCING PASS","REFINANCING FAILURE"))</f>
        <v>REFINANCING PASS</v>
      </c>
    </row>
    <row r="16302" customFormat="false" ht="15" hidden="false" customHeight="false" outlineLevel="0" collapsed="false">
      <c r="A16302" s="3" t="s">
        <v>337</v>
      </c>
      <c r="C16302" s="3" t="str">
        <f aca="false">IF(SUM($G$16276:$K$16276)=0,"n/a",IF(C16300&gt;=C16299-0.001,"Repaid from cash",IF(SUMPRODUCT($G$16276:$K$16276,$G$16247:$K$16247)&gt;0,IF(C16300&gt;0,"Partly repaid; remainder refinanced","Refinanced"),IF(SUM($G$16285:$K$16285)&gt;0.001,IF(C16300&gt;0,"Partial repayment; PAYMENT DEFAULT","PAYMENT DEFAULT"),"Repaid from cash"))))</f>
        <v>Repaid from cash</v>
      </c>
    </row>
    <row r="16303" customFormat="false" ht="15" hidden="false" customHeight="false" outlineLevel="0" collapsed="false">
      <c r="A16303" s="3" t="s">
        <v>338</v>
      </c>
      <c r="C16303" s="20" t="n">
        <f aca="false">IF(C16293="REFINANCING FAILURE",1,0)+IF(C16297="REFINANCING FAILURE",1,0)+IF(C16301="REFINANCING FAILURE",1,0)</f>
        <v>0</v>
      </c>
    </row>
    <row r="16305" customFormat="false" ht="15" hidden="false" customHeight="false" outlineLevel="0" collapsed="false">
      <c r="A16305" s="23" t="s">
        <v>340</v>
      </c>
      <c r="B16305" s="24"/>
      <c r="C16305" s="24"/>
      <c r="D16305" s="24"/>
      <c r="E16305" s="24"/>
      <c r="F16305" s="24"/>
      <c r="G16305" s="24"/>
      <c r="H16305" s="24"/>
      <c r="I16305" s="24"/>
      <c r="J16305" s="24"/>
      <c r="K16305" s="24"/>
    </row>
    <row r="16306" customFormat="false" ht="15" hidden="false" customHeight="false" outlineLevel="0" collapsed="false">
      <c r="A16306" s="3" t="s">
        <v>305</v>
      </c>
      <c r="G16306" s="25" t="n">
        <f aca="false">F16318</f>
        <v>463.996</v>
      </c>
      <c r="H16306" s="25" t="n">
        <f aca="false">G16318</f>
        <v>589.86335403</v>
      </c>
      <c r="I16306" s="25" t="n">
        <f aca="false">H16318</f>
        <v>706.0173737988</v>
      </c>
      <c r="J16306" s="25" t="n">
        <f aca="false">I16318</f>
        <v>390.575377766904</v>
      </c>
      <c r="K16306" s="25" t="n">
        <f aca="false">J16318</f>
        <v>499.440625970316</v>
      </c>
    </row>
    <row r="16307" customFormat="false" ht="15" hidden="false" customHeight="false" outlineLevel="0" collapsed="false">
      <c r="A16307" s="3" t="s">
        <v>341</v>
      </c>
      <c r="G16307" s="25" t="n">
        <f aca="false">G16236</f>
        <v>125.86735403</v>
      </c>
      <c r="H16307" s="25" t="n">
        <f aca="false">H16236</f>
        <v>116.1540197688</v>
      </c>
      <c r="I16307" s="25" t="n">
        <f aca="false">I16236</f>
        <v>105.014003968104</v>
      </c>
      <c r="J16307" s="25" t="n">
        <f aca="false">J16236</f>
        <v>108.865248203412</v>
      </c>
      <c r="K16307" s="25" t="n">
        <f aca="false">K16236</f>
        <v>99.6877228787792</v>
      </c>
    </row>
    <row r="16308" customFormat="false" ht="15" hidden="false" customHeight="false" outlineLevel="0" collapsed="false">
      <c r="A16308" s="3" t="s">
        <v>342</v>
      </c>
      <c r="G16308" s="25" t="n">
        <f aca="false">CHOOSE($C$16206,Assumptions!$G$74,Assumptions!$G$93,Assumptions!$G$112)</f>
        <v>0</v>
      </c>
      <c r="H16308" s="25" t="n">
        <f aca="false">CHOOSE($C$16206,Assumptions!$H$74,Assumptions!$H$93,Assumptions!$H$112)</f>
        <v>0</v>
      </c>
      <c r="I16308" s="25" t="n">
        <f aca="false">CHOOSE($C$16206,Assumptions!$I$74,Assumptions!$I$93,Assumptions!$I$112)</f>
        <v>0</v>
      </c>
      <c r="J16308" s="25" t="n">
        <f aca="false">CHOOSE($C$16206,Assumptions!$J$74,Assumptions!$J$93,Assumptions!$J$112)</f>
        <v>0</v>
      </c>
      <c r="K16308" s="25" t="n">
        <f aca="false">CHOOSE($C$16206,Assumptions!$K$74,Assumptions!$K$93,Assumptions!$K$112)</f>
        <v>0</v>
      </c>
    </row>
    <row r="16309" customFormat="false" ht="15" hidden="false" customHeight="false" outlineLevel="0" collapsed="false">
      <c r="A16309" s="3" t="s">
        <v>343</v>
      </c>
      <c r="G16309" s="25" t="n">
        <f aca="false">G16255+G16268+G16281</f>
        <v>0</v>
      </c>
      <c r="H16309" s="25" t="n">
        <f aca="false">H16255+H16268+H16281</f>
        <v>0</v>
      </c>
      <c r="I16309" s="25" t="n">
        <f aca="false">I16255+I16268+I16281</f>
        <v>0</v>
      </c>
      <c r="J16309" s="25" t="n">
        <f aca="false">J16255+J16268+J16281</f>
        <v>0</v>
      </c>
      <c r="K16309" s="25" t="n">
        <f aca="false">K16255+K16268+K16281</f>
        <v>0</v>
      </c>
    </row>
    <row r="16310" customFormat="false" ht="15" hidden="false" customHeight="false" outlineLevel="0" collapsed="false">
      <c r="A16310" s="2" t="s">
        <v>344</v>
      </c>
      <c r="G16310" s="16" t="n">
        <f aca="false">G16306+G16307+G16308-G16309</f>
        <v>589.86335403</v>
      </c>
      <c r="H16310" s="16" t="n">
        <f aca="false">H16306+H16307+H16308-H16309</f>
        <v>706.0173737988</v>
      </c>
      <c r="I16310" s="16" t="n">
        <f aca="false">I16306+I16307+I16308-I16309</f>
        <v>811.031377766904</v>
      </c>
      <c r="J16310" s="16" t="n">
        <f aca="false">J16306+J16307+J16308-J16309</f>
        <v>499.440625970316</v>
      </c>
      <c r="K16310" s="16" t="n">
        <f aca="false">K16306+K16307+K16308-K16309</f>
        <v>599.128348849095</v>
      </c>
    </row>
    <row r="16311" customFormat="false" ht="15" hidden="false" customHeight="false" outlineLevel="0" collapsed="false">
      <c r="A16311" s="3" t="s">
        <v>345</v>
      </c>
      <c r="G16311" s="25" t="n">
        <f aca="false">G16256+G16269+G16282</f>
        <v>0</v>
      </c>
      <c r="H16311" s="25" t="n">
        <f aca="false">H16256+H16269+H16282</f>
        <v>0</v>
      </c>
      <c r="I16311" s="25" t="n">
        <f aca="false">I16256+I16269+I16282</f>
        <v>0</v>
      </c>
      <c r="J16311" s="25" t="n">
        <f aca="false">J16256+J16269+J16282</f>
        <v>0</v>
      </c>
      <c r="K16311" s="25" t="n">
        <f aca="false">K16256+K16269+K16282</f>
        <v>0</v>
      </c>
    </row>
    <row r="16312" customFormat="false" ht="15" hidden="false" customHeight="false" outlineLevel="0" collapsed="false">
      <c r="A16312" s="2" t="s">
        <v>346</v>
      </c>
      <c r="G16312" s="16" t="n">
        <f aca="false">G16310+G16311</f>
        <v>589.86335403</v>
      </c>
      <c r="H16312" s="16" t="n">
        <f aca="false">H16310+H16311</f>
        <v>706.0173737988</v>
      </c>
      <c r="I16312" s="16" t="n">
        <f aca="false">I16310+I16311</f>
        <v>811.031377766904</v>
      </c>
      <c r="J16312" s="16" t="n">
        <f aca="false">J16310+J16311</f>
        <v>499.440625970316</v>
      </c>
      <c r="K16312" s="16" t="n">
        <f aca="false">K16310+K16311</f>
        <v>599.128348849095</v>
      </c>
    </row>
    <row r="16313" customFormat="false" ht="15" hidden="false" customHeight="false" outlineLevel="0" collapsed="false">
      <c r="A16313" s="3" t="s">
        <v>347</v>
      </c>
      <c r="G16313" s="25" t="n">
        <f aca="false">G16257+G16270+G16283</f>
        <v>0</v>
      </c>
      <c r="H16313" s="25" t="n">
        <f aca="false">H16257+H16270+H16283</f>
        <v>0</v>
      </c>
      <c r="I16313" s="25" t="n">
        <f aca="false">I16257+I16270+I16283</f>
        <v>420.456</v>
      </c>
      <c r="J16313" s="25" t="n">
        <f aca="false">J16257+J16270+J16283</f>
        <v>0</v>
      </c>
      <c r="K16313" s="25" t="n">
        <f aca="false">K16257+K16270+K16283</f>
        <v>0</v>
      </c>
    </row>
    <row r="16314" customFormat="false" ht="15" hidden="false" customHeight="false" outlineLevel="0" collapsed="false">
      <c r="A16314" s="2" t="s">
        <v>348</v>
      </c>
      <c r="G16314" s="16" t="n">
        <f aca="false">G16312-G16313</f>
        <v>589.86335403</v>
      </c>
      <c r="H16314" s="16" t="n">
        <f aca="false">H16312-H16313</f>
        <v>706.0173737988</v>
      </c>
      <c r="I16314" s="16" t="n">
        <f aca="false">I16312-I16313</f>
        <v>390.575377766904</v>
      </c>
      <c r="J16314" s="16" t="n">
        <f aca="false">J16312-J16313</f>
        <v>499.440625970316</v>
      </c>
      <c r="K16314" s="16" t="n">
        <f aca="false">K16312-K16313</f>
        <v>599.128348849095</v>
      </c>
    </row>
    <row r="16315" customFormat="false" ht="15" hidden="false" customHeight="false" outlineLevel="0" collapsed="false">
      <c r="A16315" s="3" t="s">
        <v>349</v>
      </c>
      <c r="G16315" s="25" t="n">
        <f aca="false">MAX(0,-G16314)</f>
        <v>0</v>
      </c>
      <c r="H16315" s="25" t="n">
        <f aca="false">MAX(0,-H16314)</f>
        <v>0</v>
      </c>
      <c r="I16315" s="25" t="n">
        <f aca="false">MAX(0,-I16314)</f>
        <v>0</v>
      </c>
      <c r="J16315" s="25" t="n">
        <f aca="false">MAX(0,-J16314)</f>
        <v>0</v>
      </c>
      <c r="K16315" s="25" t="n">
        <f aca="false">MAX(0,-K16314)</f>
        <v>0</v>
      </c>
    </row>
    <row r="16316" customFormat="false" ht="15" hidden="false" customHeight="false" outlineLevel="0" collapsed="false">
      <c r="A16316" s="3" t="s">
        <v>350</v>
      </c>
      <c r="G16316" s="25" t="n">
        <f aca="false">MAX(0,G16314-Assumptions!$C$12)*Assumptions!$C$13</f>
        <v>0</v>
      </c>
      <c r="H16316" s="25" t="n">
        <f aca="false">MAX(0,H16314-Assumptions!$C$12)*Assumptions!$C$13</f>
        <v>0</v>
      </c>
      <c r="I16316" s="25" t="n">
        <f aca="false">MAX(0,I16314-Assumptions!$C$12)*Assumptions!$C$13</f>
        <v>0</v>
      </c>
      <c r="J16316" s="25" t="n">
        <f aca="false">MAX(0,J16314-Assumptions!$C$12)*Assumptions!$C$13</f>
        <v>0</v>
      </c>
      <c r="K16316" s="25" t="n">
        <f aca="false">MAX(0,K16314-Assumptions!$C$12)*Assumptions!$C$13</f>
        <v>0</v>
      </c>
    </row>
    <row r="16317" customFormat="false" ht="15" hidden="false" customHeight="false" outlineLevel="0" collapsed="false">
      <c r="A16317" s="3" t="s">
        <v>351</v>
      </c>
      <c r="G16317" s="25" t="n">
        <f aca="false">G16258+G16271+G16284</f>
        <v>0</v>
      </c>
      <c r="H16317" s="25" t="n">
        <f aca="false">H16258+H16271+H16284</f>
        <v>0</v>
      </c>
      <c r="I16317" s="25" t="n">
        <f aca="false">I16258+I16271+I16284</f>
        <v>0</v>
      </c>
      <c r="J16317" s="25" t="n">
        <f aca="false">J16258+J16271+J16284</f>
        <v>0</v>
      </c>
      <c r="K16317" s="25" t="n">
        <f aca="false">K16258+K16271+K16284</f>
        <v>0</v>
      </c>
    </row>
    <row r="16318" customFormat="false" ht="15" hidden="false" customHeight="false" outlineLevel="0" collapsed="false">
      <c r="A16318" s="2" t="s">
        <v>352</v>
      </c>
      <c r="F16318" s="28" t="n">
        <f aca="false">Assumptions!$C$11</f>
        <v>463.996</v>
      </c>
      <c r="G16318" s="16" t="n">
        <f aca="false">G16314-G16317</f>
        <v>589.86335403</v>
      </c>
      <c r="H16318" s="16" t="n">
        <f aca="false">H16314-H16317</f>
        <v>706.0173737988</v>
      </c>
      <c r="I16318" s="16" t="n">
        <f aca="false">I16314-I16317</f>
        <v>390.575377766904</v>
      </c>
      <c r="J16318" s="16" t="n">
        <f aca="false">J16314-J16317</f>
        <v>499.440625970316</v>
      </c>
      <c r="K16318" s="16" t="n">
        <f aca="false">K16314-K16317</f>
        <v>599.128348849095</v>
      </c>
    </row>
    <row r="16319" customFormat="false" ht="15" hidden="false" customHeight="false" outlineLevel="0" collapsed="false">
      <c r="A16319" s="3" t="s">
        <v>353</v>
      </c>
      <c r="G16319" s="25" t="n">
        <f aca="false">G16259+G16272+G16285</f>
        <v>0</v>
      </c>
      <c r="H16319" s="25" t="n">
        <f aca="false">H16259+H16272+H16285</f>
        <v>0</v>
      </c>
      <c r="I16319" s="25" t="n">
        <f aca="false">I16259+I16272+I16285</f>
        <v>0</v>
      </c>
      <c r="J16319" s="25" t="n">
        <f aca="false">J16259+J16272+J16285</f>
        <v>0</v>
      </c>
      <c r="K16319" s="25" t="n">
        <f aca="false">K16259+K16272+K16285</f>
        <v>0</v>
      </c>
    </row>
    <row r="16320" customFormat="false" ht="15" hidden="false" customHeight="false" outlineLevel="0" collapsed="false">
      <c r="A16320" s="3" t="s">
        <v>354</v>
      </c>
      <c r="G16320" s="20" t="n">
        <f aca="false">IF(OR(G16315&gt;0.001,G16319&gt;0.001),1,0)</f>
        <v>0</v>
      </c>
      <c r="H16320" s="20" t="n">
        <f aca="false">IF(OR(H16315&gt;0.001,H16319&gt;0.001),1,0)</f>
        <v>0</v>
      </c>
      <c r="I16320" s="20" t="n">
        <f aca="false">IF(OR(I16315&gt;0.001,I16319&gt;0.001),1,0)</f>
        <v>0</v>
      </c>
      <c r="J16320" s="20" t="n">
        <f aca="false">IF(OR(J16315&gt;0.001,J16319&gt;0.001),1,0)</f>
        <v>0</v>
      </c>
      <c r="K16320" s="20" t="n">
        <f aca="false">IF(OR(K16315&gt;0.001,K16319&gt;0.001),1,0)</f>
        <v>0</v>
      </c>
    </row>
    <row r="16321" customFormat="false" ht="15" hidden="false" customHeight="false" outlineLevel="0" collapsed="false">
      <c r="A16321" s="3" t="s">
        <v>355</v>
      </c>
      <c r="G16321" s="20" t="n">
        <f aca="false">IF(G16320=1,1,0)</f>
        <v>0</v>
      </c>
      <c r="H16321" s="20" t="n">
        <f aca="false">IF(AND(H16320=1,SUM($G$16320:G16320)=0),1,0)</f>
        <v>0</v>
      </c>
      <c r="I16321" s="20" t="n">
        <f aca="false">IF(AND(I16320=1,SUM($G$16320:H16320)=0),1,0)</f>
        <v>0</v>
      </c>
      <c r="J16321" s="20" t="n">
        <f aca="false">IF(AND(J16320=1,SUM($G$16320:I16320)=0),1,0)</f>
        <v>0</v>
      </c>
      <c r="K16321" s="20" t="n">
        <f aca="false">IF(AND(K16320=1,SUM($G$16320:J16320)=0),1,0)</f>
        <v>0</v>
      </c>
    </row>
    <row r="16322" customFormat="false" ht="15" hidden="false" customHeight="false" outlineLevel="0" collapsed="false">
      <c r="A16322" s="3" t="s">
        <v>356</v>
      </c>
      <c r="G16322" s="25" t="n">
        <f aca="false">(G16288-F16288)-(G16311+G16228-G16309-G16313-G16317)</f>
        <v>0</v>
      </c>
      <c r="H16322" s="25" t="n">
        <f aca="false">(H16288-G16288)-(H16311+H16228-H16309-H16313-H16317)</f>
        <v>0</v>
      </c>
      <c r="I16322" s="25" t="n">
        <f aca="false">(I16288-H16288)-(I16311+I16228-I16309-I16313-I16317)</f>
        <v>0</v>
      </c>
      <c r="J16322" s="25" t="n">
        <f aca="false">(J16288-I16288)-(J16311+J16228-J16309-J16313-J16317)</f>
        <v>0</v>
      </c>
      <c r="K16322" s="25" t="n">
        <f aca="false">(K16288-J16288)-(K16311+K16228-K16309-K16313-K16317)</f>
        <v>0</v>
      </c>
    </row>
    <row r="16324" customFormat="false" ht="15" hidden="false" customHeight="false" outlineLevel="0" collapsed="false">
      <c r="A16324" s="23" t="s">
        <v>358</v>
      </c>
      <c r="B16324" s="24"/>
      <c r="C16324" s="24"/>
      <c r="D16324" s="24"/>
      <c r="E16324" s="24"/>
      <c r="F16324" s="24"/>
      <c r="G16324" s="24"/>
      <c r="H16324" s="24"/>
      <c r="I16324" s="24"/>
      <c r="J16324" s="24"/>
      <c r="K16324" s="24"/>
    </row>
    <row r="16325" customFormat="false" ht="15" hidden="false" customHeight="false" outlineLevel="0" collapsed="false">
      <c r="A16325" s="3" t="s">
        <v>359</v>
      </c>
      <c r="G16325" s="25" t="n">
        <f aca="false">G16288</f>
        <v>1735.554</v>
      </c>
      <c r="H16325" s="25" t="n">
        <f aca="false">H16288</f>
        <v>1735.554</v>
      </c>
      <c r="I16325" s="25" t="n">
        <f aca="false">I16288</f>
        <v>1315.098</v>
      </c>
      <c r="J16325" s="25" t="n">
        <f aca="false">J16288</f>
        <v>1315.098</v>
      </c>
      <c r="K16325" s="25" t="n">
        <f aca="false">K16288</f>
        <v>1315.098</v>
      </c>
    </row>
    <row r="16326" customFormat="false" ht="15" hidden="false" customHeight="false" outlineLevel="0" collapsed="false">
      <c r="A16326" s="3" t="s">
        <v>360</v>
      </c>
      <c r="G16326" s="25" t="n">
        <f aca="false">Assumptions!$O$56*G16260+Assumptions!$O$57*G16273+Assumptions!$O$58*G16286</f>
        <v>1315.098</v>
      </c>
      <c r="H16326" s="25" t="n">
        <f aca="false">Assumptions!$O$56*H16260+Assumptions!$O$57*H16273+Assumptions!$O$58*H16286</f>
        <v>1315.098</v>
      </c>
      <c r="I16326" s="25" t="n">
        <f aca="false">Assumptions!$O$56*I16260+Assumptions!$O$57*I16273+Assumptions!$O$58*I16286</f>
        <v>1315.098</v>
      </c>
      <c r="J16326" s="25" t="n">
        <f aca="false">Assumptions!$O$56*J16260+Assumptions!$O$57*J16273+Assumptions!$O$58*J16286</f>
        <v>1315.098</v>
      </c>
      <c r="K16326" s="25" t="n">
        <f aca="false">Assumptions!$O$56*K16260+Assumptions!$O$57*K16273+Assumptions!$O$58*K16286</f>
        <v>1315.098</v>
      </c>
    </row>
    <row r="16327" customFormat="false" ht="15" hidden="false" customHeight="false" outlineLevel="0" collapsed="false">
      <c r="A16327" s="3" t="s">
        <v>361</v>
      </c>
      <c r="G16327" s="25" t="n">
        <f aca="false">G16325-G16318</f>
        <v>1145.69064597</v>
      </c>
      <c r="H16327" s="25" t="n">
        <f aca="false">H16325-H16318</f>
        <v>1029.5366262012</v>
      </c>
      <c r="I16327" s="25" t="n">
        <f aca="false">I16325-I16318</f>
        <v>924.522622233096</v>
      </c>
      <c r="J16327" s="25" t="n">
        <f aca="false">J16325-J16318</f>
        <v>815.657374029684</v>
      </c>
      <c r="K16327" s="25" t="n">
        <f aca="false">K16325-K16318</f>
        <v>715.969651150905</v>
      </c>
    </row>
    <row r="16328" customFormat="false" ht="15" hidden="false" customHeight="false" outlineLevel="0" collapsed="false">
      <c r="A16328" s="3" t="s">
        <v>362</v>
      </c>
      <c r="G16328" s="32" t="n">
        <f aca="false">IF(G16223&gt;0,G16325/G16223,0)</f>
        <v>5.77916207762031</v>
      </c>
      <c r="H16328" s="32" t="n">
        <f aca="false">IF(H16223&gt;0,H16325/H16223,0)</f>
        <v>6.01996049752115</v>
      </c>
      <c r="I16328" s="32" t="n">
        <f aca="false">IF(I16223&gt;0,I16325/I16223,0)</f>
        <v>4.79551511119407</v>
      </c>
      <c r="J16328" s="32" t="n">
        <f aca="false">IF(J16223&gt;0,J16325/J16223,0)</f>
        <v>5.01653339406293</v>
      </c>
      <c r="K16328" s="32" t="n">
        <f aca="false">IF(K16223&gt;0,K16325/K16223,0)</f>
        <v>5.2488732235156</v>
      </c>
    </row>
    <row r="16329" customFormat="false" ht="15" hidden="false" customHeight="false" outlineLevel="0" collapsed="false">
      <c r="A16329" s="3" t="s">
        <v>363</v>
      </c>
      <c r="G16329" s="32" t="n">
        <f aca="false">IF(G16223&gt;0,G16327/G16223,0)</f>
        <v>3.81499621093561</v>
      </c>
      <c r="H16329" s="32" t="n">
        <f aca="false">IF(H16223&gt;0,H16327/H16223,0)</f>
        <v>3.57106135590274</v>
      </c>
      <c r="I16329" s="32" t="n">
        <f aca="false">IF(I16223&gt;0,I16327/I16223,0)</f>
        <v>3.37127895073947</v>
      </c>
      <c r="J16329" s="32" t="n">
        <f aca="false">IF(J16223&gt;0,J16327/J16223,0)</f>
        <v>3.11138215930188</v>
      </c>
      <c r="K16329" s="32" t="n">
        <f aca="false">IF(K16223&gt;0,K16327/K16223,0)</f>
        <v>2.85760751729209</v>
      </c>
    </row>
    <row r="16330" customFormat="false" ht="15" hidden="false" customHeight="false" outlineLevel="0" collapsed="false">
      <c r="A16330" s="3" t="s">
        <v>364</v>
      </c>
      <c r="G16330" s="32" t="n">
        <f aca="false">IF(G16227&gt;0,G16223/G16227,0)</f>
        <v>1.92563899625449</v>
      </c>
      <c r="H16330" s="32" t="n">
        <f aca="false">IF(H16227&gt;0,H16223/H16227,0)</f>
        <v>1.84861343640431</v>
      </c>
      <c r="I16330" s="32" t="n">
        <f aca="false">IF(I16227&gt;0,I16223/I16227,0)</f>
        <v>1.75842750947116</v>
      </c>
      <c r="J16330" s="32" t="n">
        <f aca="false">IF(J16227&gt;0,J16223/J16227,0)</f>
        <v>1.89848422719182</v>
      </c>
      <c r="K16330" s="32" t="n">
        <f aca="false">IF(K16227&gt;0,K16223/K16227,0)</f>
        <v>1.81444838125289</v>
      </c>
    </row>
    <row r="16331" customFormat="false" ht="15" hidden="false" customHeight="false" outlineLevel="0" collapsed="false">
      <c r="A16331" s="3" t="s">
        <v>365</v>
      </c>
      <c r="G16331" s="32" t="n">
        <f aca="false">IF(G16227&gt;0,G16226/G16227,0)</f>
        <v>1.25417683356324</v>
      </c>
      <c r="H16331" s="32" t="n">
        <f aca="false">IF(H16227&gt;0,H16226/H16227,0)</f>
        <v>1.20400976022071</v>
      </c>
      <c r="I16331" s="32" t="n">
        <f aca="false">IF(I16227&gt;0,I16226/I16227,0)</f>
        <v>1.13638496195398</v>
      </c>
      <c r="J16331" s="32" t="n">
        <f aca="false">IF(J16227&gt;0,J16226/J16227,0)</f>
        <v>1.21702042306555</v>
      </c>
      <c r="K16331" s="32" t="n">
        <f aca="false">IF(K16227&gt;0,K16226/K16227,0)</f>
        <v>1.1534284912504</v>
      </c>
    </row>
    <row r="16332" customFormat="false" ht="15" hidden="false" customHeight="false" outlineLevel="0" collapsed="false">
      <c r="A16332" s="3" t="s">
        <v>198</v>
      </c>
      <c r="G16332" s="21" t="n">
        <f aca="false">IF(G16325&gt;0,G16236/G16325,0)</f>
        <v>0.0725228682196002</v>
      </c>
      <c r="H16332" s="21" t="n">
        <f aca="false">IF(H16325&gt;0,H16236/H16325,0)</f>
        <v>0.0669261917340515</v>
      </c>
      <c r="I16332" s="21" t="n">
        <f aca="false">IF(I16325&gt;0,I16236/I16325,0)</f>
        <v>0.0798526071578726</v>
      </c>
      <c r="J16332" s="21" t="n">
        <f aca="false">IF(J16325&gt;0,J16236/J16325,0)</f>
        <v>0.0827810917539313</v>
      </c>
      <c r="K16332" s="21" t="n">
        <f aca="false">IF(K16325&gt;0,K16236/K16325,0)</f>
        <v>0.0758025051203631</v>
      </c>
    </row>
    <row r="16333" customFormat="false" ht="15" hidden="false" customHeight="false" outlineLevel="0" collapsed="false">
      <c r="A16333" s="3" t="s">
        <v>366</v>
      </c>
      <c r="G16333" s="32" t="n">
        <f aca="false">IF(G16227+G16309&gt;0,(G16223-G16234-G16231)/(G16227+G16309),0)</f>
        <v>1.66953088823823</v>
      </c>
      <c r="H16333" s="32" t="n">
        <f aca="false">IF(H16227+H16309&gt;0,(H16223-H16234-H16231)/(H16227+H16309),0)</f>
        <v>1.6127496527087</v>
      </c>
      <c r="I16333" s="32" t="n">
        <f aca="false">IF(I16227+I16309&gt;0,(I16223-I16234-I16231)/(I16227+I16309),0)</f>
        <v>1.54594007236964</v>
      </c>
      <c r="J16333" s="32" t="n">
        <f aca="false">IF(J16227+J16309&gt;0,(J16223-J16234-J16231)/(J16227+J16309),0)</f>
        <v>1.64879692156745</v>
      </c>
      <c r="K16333" s="32" t="n">
        <f aca="false">IF(K16227+K16309&gt;0,(K16223-K16234-K16231)/(K16227+K16309),0)</f>
        <v>1.58652202457805</v>
      </c>
    </row>
    <row r="16334" customFormat="false" ht="15" hidden="false" customHeight="false" outlineLevel="0" collapsed="false">
      <c r="A16334" s="3" t="s">
        <v>367</v>
      </c>
      <c r="G16334" s="25" t="n">
        <f aca="false">MAX(0,G16318)+Assumptions!$P$56*MAX(0,Assumptions!$D$56-G16260)+Assumptions!$P$57*MAX(0,Assumptions!$D$57-G16273)+Assumptions!$P$58*MAX(0,Assumptions!$D$58-G16286)</f>
        <v>589.86335403</v>
      </c>
      <c r="H16334" s="25" t="n">
        <f aca="false">MAX(0,H16318)+Assumptions!$P$56*MAX(0,Assumptions!$D$56-H16260)+Assumptions!$P$57*MAX(0,Assumptions!$D$57-H16273)+Assumptions!$P$58*MAX(0,Assumptions!$D$58-H16286)</f>
        <v>706.0173737988</v>
      </c>
      <c r="I16334" s="25" t="n">
        <f aca="false">MAX(0,I16318)+Assumptions!$P$56*MAX(0,Assumptions!$D$56-I16260)+Assumptions!$P$57*MAX(0,Assumptions!$D$57-I16273)+Assumptions!$P$58*MAX(0,Assumptions!$D$58-I16286)</f>
        <v>390.575377766904</v>
      </c>
      <c r="J16334" s="25" t="n">
        <f aca="false">MAX(0,J16318)+Assumptions!$P$56*MAX(0,Assumptions!$D$56-J16260)+Assumptions!$P$57*MAX(0,Assumptions!$D$57-J16273)+Assumptions!$P$58*MAX(0,Assumptions!$D$58-J16286)</f>
        <v>499.440625970316</v>
      </c>
      <c r="K16334" s="25" t="n">
        <f aca="false">MAX(0,K16318)+Assumptions!$P$56*MAX(0,Assumptions!$D$56-K16260)+Assumptions!$P$57*MAX(0,Assumptions!$D$57-K16273)+Assumptions!$P$58*MAX(0,Assumptions!$D$58-K16286)</f>
        <v>599.128348849095</v>
      </c>
    </row>
    <row r="16335" customFormat="false" ht="15" hidden="false" customHeight="false" outlineLevel="0" collapsed="false">
      <c r="A16335" s="3" t="s">
        <v>368</v>
      </c>
      <c r="G16335" s="21" t="n">
        <f aca="false">IF(G16325&gt;0,G16325/(G16325+MAX(0,G16223*CHOOSE($C$16206,Assumptions!$C$82,Assumptions!$C$101,Assumptions!$C$120)-G16327)),0)</f>
        <v>0.774254240974845</v>
      </c>
      <c r="H16335" s="21" t="n">
        <f aca="false">IF(H16325&gt;0,H16325/(H16325+MAX(0,H16223*CHOOSE($C$16206,Assumptions!$C$82,Assumptions!$C$101,Assumptions!$C$120)-H16327)),0)</f>
        <v>0.757332605467614</v>
      </c>
      <c r="I16335" s="21" t="n">
        <f aca="false">IF(I16325&gt;0,I16325/(I16325+MAX(0,I16223*CHOOSE($C$16206,Assumptions!$C$82,Assumptions!$C$101,Assumptions!$C$120)-I16327)),0)</f>
        <v>0.692569548476987</v>
      </c>
      <c r="J16335" s="21" t="n">
        <f aca="false">IF(J16325&gt;0,J16325/(J16325+MAX(0,J16223*CHOOSE($C$16206,Assumptions!$C$82,Assumptions!$C$101,Assumptions!$C$120)-J16327)),0)</f>
        <v>0.677438344609961</v>
      </c>
      <c r="K16335" s="21" t="n">
        <f aca="false">IF(K16325&gt;0,K16325/(K16325+MAX(0,K16223*CHOOSE($C$16206,Assumptions!$C$82,Assumptions!$C$101,Assumptions!$C$120)-K16327)),0)</f>
        <v>0.665149726155595</v>
      </c>
    </row>
    <row r="16336" customFormat="false" ht="15" hidden="false" customHeight="false" outlineLevel="0" collapsed="false">
      <c r="A16336" s="3" t="s">
        <v>369</v>
      </c>
      <c r="G16336" s="21" t="n">
        <f aca="false">IF(G16325&gt;0,MAX(0,G16318)/G16325,0)</f>
        <v>0.339870354958705</v>
      </c>
      <c r="H16336" s="21" t="n">
        <f aca="false">IF(H16325&gt;0,MAX(0,H16318)/H16325,0)</f>
        <v>0.406796546692756</v>
      </c>
      <c r="I16336" s="21" t="n">
        <f aca="false">IF(I16325&gt;0,MAX(0,I16318)/I16325,0)</f>
        <v>0.296993363055</v>
      </c>
      <c r="J16336" s="21" t="n">
        <f aca="false">IF(J16325&gt;0,MAX(0,J16318)/J16325,0)</f>
        <v>0.379774454808931</v>
      </c>
      <c r="K16336" s="21" t="n">
        <f aca="false">IF(K16325&gt;0,MAX(0,K16318)/K16325,0)</f>
        <v>0.455576959929294</v>
      </c>
    </row>
    <row r="16337" customFormat="false" ht="15" hidden="false" customHeight="false" outlineLevel="0" collapsed="false">
      <c r="A16337" s="3" t="s">
        <v>370</v>
      </c>
      <c r="G16337" s="25" t="n">
        <f aca="false">Assumptions!$C$30*(1-CHOOSE($C$16206,Assumptions!$C$85,Assumptions!$C$104,Assumptions!$C$123))</f>
        <v>2454.971</v>
      </c>
      <c r="H16337" s="25" t="n">
        <f aca="false">Assumptions!$C$30*(1-CHOOSE($C$16206,Assumptions!$C$85,Assumptions!$C$104,Assumptions!$C$123))</f>
        <v>2454.971</v>
      </c>
      <c r="I16337" s="25" t="n">
        <f aca="false">Assumptions!$C$30*(1-CHOOSE($C$16206,Assumptions!$C$85,Assumptions!$C$104,Assumptions!$C$123))</f>
        <v>2454.971</v>
      </c>
      <c r="J16337" s="25" t="n">
        <f aca="false">Assumptions!$C$30*(1-CHOOSE($C$16206,Assumptions!$C$85,Assumptions!$C$104,Assumptions!$C$123))</f>
        <v>2454.971</v>
      </c>
      <c r="K16337" s="25" t="n">
        <f aca="false">Assumptions!$C$30*(1-CHOOSE($C$16206,Assumptions!$C$85,Assumptions!$C$104,Assumptions!$C$123))</f>
        <v>2454.971</v>
      </c>
    </row>
    <row r="16338" customFormat="false" ht="15" hidden="false" customHeight="false" outlineLevel="0" collapsed="false">
      <c r="A16338" s="23" t="s">
        <v>371</v>
      </c>
      <c r="B16338" s="24"/>
      <c r="C16338" s="24"/>
      <c r="D16338" s="24"/>
      <c r="E16338" s="24"/>
      <c r="F16338" s="24"/>
      <c r="G16338" s="24"/>
      <c r="H16338" s="24"/>
      <c r="I16338" s="24"/>
      <c r="J16338" s="24"/>
      <c r="K16338" s="24"/>
    </row>
    <row r="16339" customFormat="false" ht="15" hidden="false" customHeight="false" outlineLevel="0" collapsed="false">
      <c r="A16339" s="23" t="s">
        <v>372</v>
      </c>
      <c r="B16339" s="24"/>
      <c r="C16339" s="24"/>
      <c r="D16339" s="24"/>
      <c r="E16339" s="24"/>
      <c r="F16339" s="24"/>
      <c r="G16339" s="24"/>
      <c r="H16339" s="24"/>
      <c r="I16339" s="24"/>
      <c r="J16339" s="24"/>
      <c r="K16339" s="24"/>
    </row>
    <row r="16340" customFormat="false" ht="15" hidden="false" customHeight="false" outlineLevel="0" collapsed="false">
      <c r="A16340" s="3" t="s">
        <v>373</v>
      </c>
      <c r="G16340" s="32" t="n">
        <f aca="false">IF(G16223&gt;0,G16327/G16223,99)</f>
        <v>3.81499621093561</v>
      </c>
      <c r="H16340" s="32" t="n">
        <f aca="false">IF(H16223&gt;0,H16327/H16223,99)</f>
        <v>3.57106135590274</v>
      </c>
      <c r="I16340" s="32" t="n">
        <f aca="false">IF(I16223&gt;0,I16327/I16223,99)</f>
        <v>3.37127895073947</v>
      </c>
      <c r="J16340" s="32" t="n">
        <f aca="false">IF(J16223&gt;0,J16327/J16223,99)</f>
        <v>3.11138215930188</v>
      </c>
      <c r="K16340" s="32" t="n">
        <f aca="false">IF(K16223&gt;0,K16327/K16223,99)</f>
        <v>2.85760751729209</v>
      </c>
    </row>
    <row r="16341" customFormat="false" ht="15" hidden="false" customHeight="false" outlineLevel="0" collapsed="false">
      <c r="A16341" s="3" t="s">
        <v>374</v>
      </c>
      <c r="G16341" s="33" t="n">
        <f aca="false">Assumptions!$G$65</f>
        <v>5.25</v>
      </c>
      <c r="H16341" s="33" t="n">
        <f aca="false">Assumptions!$H$65</f>
        <v>5.25</v>
      </c>
      <c r="I16341" s="33" t="n">
        <f aca="false">Assumptions!$I$65</f>
        <v>5</v>
      </c>
      <c r="J16341" s="33" t="n">
        <f aca="false">Assumptions!$J$65</f>
        <v>5</v>
      </c>
      <c r="K16341" s="33" t="n">
        <f aca="false">Assumptions!$K$65</f>
        <v>5</v>
      </c>
    </row>
    <row r="16342" customFormat="false" ht="15" hidden="false" customHeight="false" outlineLevel="0" collapsed="false">
      <c r="A16342" s="3" t="s">
        <v>375</v>
      </c>
      <c r="G16342" s="32" t="n">
        <f aca="false">G16341-G16340</f>
        <v>1.43500378906439</v>
      </c>
      <c r="H16342" s="32" t="n">
        <f aca="false">H16341-H16340</f>
        <v>1.67893864409726</v>
      </c>
      <c r="I16342" s="32" t="n">
        <f aca="false">I16341-I16340</f>
        <v>1.62872104926053</v>
      </c>
      <c r="J16342" s="32" t="n">
        <f aca="false">J16341-J16340</f>
        <v>1.88861784069812</v>
      </c>
      <c r="K16342" s="32" t="n">
        <f aca="false">K16341-K16340</f>
        <v>2.14239248270791</v>
      </c>
    </row>
    <row r="16343" customFormat="false" ht="15" hidden="false" customHeight="false" outlineLevel="0" collapsed="false">
      <c r="A16343" s="3" t="s">
        <v>376</v>
      </c>
      <c r="G16343" s="21" t="n">
        <f aca="false">IF(G16341=0,0,G16342/ABS(G16341))</f>
        <v>0.273334055059884</v>
      </c>
      <c r="H16343" s="21" t="n">
        <f aca="false">IF(H16341=0,0,H16342/ABS(H16341))</f>
        <v>0.319797836970907</v>
      </c>
      <c r="I16343" s="21" t="n">
        <f aca="false">IF(I16341=0,0,I16342/ABS(I16341))</f>
        <v>0.325744209852106</v>
      </c>
      <c r="J16343" s="21" t="n">
        <f aca="false">IF(J16341=0,0,J16342/ABS(J16341))</f>
        <v>0.377723568139623</v>
      </c>
      <c r="K16343" s="21" t="n">
        <f aca="false">IF(K16341=0,0,K16342/ABS(K16341))</f>
        <v>0.428478496541582</v>
      </c>
    </row>
    <row r="16344" customFormat="false" ht="15" hidden="false" customHeight="false" outlineLevel="0" collapsed="false">
      <c r="A16344" s="3" t="s">
        <v>377</v>
      </c>
      <c r="G16344" s="20" t="n">
        <f aca="false">IF(G16342&lt;0,1,0)</f>
        <v>0</v>
      </c>
      <c r="H16344" s="20" t="n">
        <f aca="false">IF(H16342&lt;0,1,0)</f>
        <v>0</v>
      </c>
      <c r="I16344" s="20" t="n">
        <f aca="false">IF(I16342&lt;0,1,0)</f>
        <v>0</v>
      </c>
      <c r="J16344" s="20" t="n">
        <f aca="false">IF(J16342&lt;0,1,0)</f>
        <v>0</v>
      </c>
      <c r="K16344" s="20" t="n">
        <f aca="false">IF(K16342&lt;0,1,0)</f>
        <v>0</v>
      </c>
    </row>
    <row r="16345" customFormat="false" ht="15" hidden="false" customHeight="false" outlineLevel="0" collapsed="false">
      <c r="A16345" s="3" t="s">
        <v>378</v>
      </c>
      <c r="C16345" s="20" t="n">
        <f aca="false">IFERROR(INDEX($G$16213:$K$16213,MATCH(1,$G$16344:$K$16344,0)),0)</f>
        <v>0</v>
      </c>
    </row>
    <row r="16346" customFormat="false" ht="15" hidden="false" customHeight="false" outlineLevel="0" collapsed="false">
      <c r="A16346" s="3" t="s">
        <v>379</v>
      </c>
      <c r="C16346" s="21" t="n">
        <f aca="false">MIN($G$16343:$K$16343)</f>
        <v>0.273334055059884</v>
      </c>
    </row>
    <row r="16347" customFormat="false" ht="15" hidden="false" customHeight="false" outlineLevel="0" collapsed="false">
      <c r="A16347" s="23" t="s">
        <v>380</v>
      </c>
      <c r="B16347" s="24"/>
      <c r="C16347" s="24"/>
      <c r="D16347" s="24"/>
      <c r="E16347" s="24"/>
      <c r="F16347" s="24"/>
      <c r="G16347" s="24"/>
      <c r="H16347" s="24"/>
      <c r="I16347" s="24"/>
      <c r="J16347" s="24"/>
      <c r="K16347" s="24"/>
    </row>
    <row r="16348" customFormat="false" ht="15" hidden="false" customHeight="false" outlineLevel="0" collapsed="false">
      <c r="A16348" s="3" t="s">
        <v>373</v>
      </c>
      <c r="G16348" s="32" t="n">
        <f aca="false">IF(G16227&gt;0,G16223/G16227,99)</f>
        <v>1.92563899625449</v>
      </c>
      <c r="H16348" s="32" t="n">
        <f aca="false">IF(H16227&gt;0,H16223/H16227,99)</f>
        <v>1.84861343640431</v>
      </c>
      <c r="I16348" s="32" t="n">
        <f aca="false">IF(I16227&gt;0,I16223/I16227,99)</f>
        <v>1.75842750947116</v>
      </c>
      <c r="J16348" s="32" t="n">
        <f aca="false">IF(J16227&gt;0,J16223/J16227,99)</f>
        <v>1.89848422719182</v>
      </c>
      <c r="K16348" s="32" t="n">
        <f aca="false">IF(K16227&gt;0,K16223/K16227,99)</f>
        <v>1.81444838125289</v>
      </c>
    </row>
    <row r="16349" customFormat="false" ht="15" hidden="false" customHeight="false" outlineLevel="0" collapsed="false">
      <c r="A16349" s="3" t="s">
        <v>374</v>
      </c>
      <c r="G16349" s="33" t="n">
        <f aca="false">Assumptions!$G$66</f>
        <v>1.4</v>
      </c>
      <c r="H16349" s="33" t="n">
        <f aca="false">Assumptions!$H$66</f>
        <v>1.4</v>
      </c>
      <c r="I16349" s="33" t="n">
        <f aca="false">Assumptions!$I$66</f>
        <v>1.4</v>
      </c>
      <c r="J16349" s="33" t="n">
        <f aca="false">Assumptions!$J$66</f>
        <v>1.5</v>
      </c>
      <c r="K16349" s="33" t="n">
        <f aca="false">Assumptions!$K$66</f>
        <v>1.5</v>
      </c>
    </row>
    <row r="16350" customFormat="false" ht="15" hidden="false" customHeight="false" outlineLevel="0" collapsed="false">
      <c r="A16350" s="3" t="s">
        <v>375</v>
      </c>
      <c r="G16350" s="32" t="n">
        <f aca="false">G16348-G16349</f>
        <v>0.525638996254489</v>
      </c>
      <c r="H16350" s="32" t="n">
        <f aca="false">H16348-H16349</f>
        <v>0.448613436404309</v>
      </c>
      <c r="I16350" s="32" t="n">
        <f aca="false">I16348-I16349</f>
        <v>0.358427509471156</v>
      </c>
      <c r="J16350" s="32" t="n">
        <f aca="false">J16348-J16349</f>
        <v>0.398484227191822</v>
      </c>
      <c r="K16350" s="32" t="n">
        <f aca="false">K16348-K16349</f>
        <v>0.31444838125289</v>
      </c>
    </row>
    <row r="16351" customFormat="false" ht="15" hidden="false" customHeight="false" outlineLevel="0" collapsed="false">
      <c r="A16351" s="3" t="s">
        <v>376</v>
      </c>
      <c r="G16351" s="21" t="n">
        <f aca="false">IF(G16349=0,0,G16350/ABS(G16349))</f>
        <v>0.375456425896063</v>
      </c>
      <c r="H16351" s="21" t="n">
        <f aca="false">IF(H16349=0,0,H16350/ABS(H16349))</f>
        <v>0.320438168860221</v>
      </c>
      <c r="I16351" s="21" t="n">
        <f aca="false">IF(I16349=0,0,I16350/ABS(I16349))</f>
        <v>0.256019649622254</v>
      </c>
      <c r="J16351" s="21" t="n">
        <f aca="false">IF(J16349=0,0,J16350/ABS(J16349))</f>
        <v>0.265656151461215</v>
      </c>
      <c r="K16351" s="21" t="n">
        <f aca="false">IF(K16349=0,0,K16350/ABS(K16349))</f>
        <v>0.209632254168593</v>
      </c>
    </row>
    <row r="16352" customFormat="false" ht="15" hidden="false" customHeight="false" outlineLevel="0" collapsed="false">
      <c r="A16352" s="3" t="s">
        <v>377</v>
      </c>
      <c r="G16352" s="20" t="n">
        <f aca="false">IF(G16350&lt;0,1,0)</f>
        <v>0</v>
      </c>
      <c r="H16352" s="20" t="n">
        <f aca="false">IF(H16350&lt;0,1,0)</f>
        <v>0</v>
      </c>
      <c r="I16352" s="20" t="n">
        <f aca="false">IF(I16350&lt;0,1,0)</f>
        <v>0</v>
      </c>
      <c r="J16352" s="20" t="n">
        <f aca="false">IF(J16350&lt;0,1,0)</f>
        <v>0</v>
      </c>
      <c r="K16352" s="20" t="n">
        <f aca="false">IF(K16350&lt;0,1,0)</f>
        <v>0</v>
      </c>
    </row>
    <row r="16353" customFormat="false" ht="15" hidden="false" customHeight="false" outlineLevel="0" collapsed="false">
      <c r="A16353" s="3" t="s">
        <v>378</v>
      </c>
      <c r="C16353" s="20" t="n">
        <f aca="false">IFERROR(INDEX($G$16213:$K$16213,MATCH(1,$G$16352:$K$16352,0)),0)</f>
        <v>0</v>
      </c>
    </row>
    <row r="16354" customFormat="false" ht="15" hidden="false" customHeight="false" outlineLevel="0" collapsed="false">
      <c r="A16354" s="3" t="s">
        <v>379</v>
      </c>
      <c r="C16354" s="21" t="n">
        <f aca="false">MIN($G$16351:$K$16351)</f>
        <v>0.209632254168593</v>
      </c>
    </row>
    <row r="16355" customFormat="false" ht="15" hidden="false" customHeight="false" outlineLevel="0" collapsed="false">
      <c r="A16355" s="23" t="s">
        <v>381</v>
      </c>
      <c r="B16355" s="24"/>
      <c r="C16355" s="24"/>
      <c r="D16355" s="24"/>
      <c r="E16355" s="24"/>
      <c r="F16355" s="24"/>
      <c r="G16355" s="24"/>
      <c r="H16355" s="24"/>
      <c r="I16355" s="24"/>
      <c r="J16355" s="24"/>
      <c r="K16355" s="24"/>
    </row>
    <row r="16356" customFormat="false" ht="15" hidden="false" customHeight="false" outlineLevel="0" collapsed="false">
      <c r="A16356" s="3" t="s">
        <v>373</v>
      </c>
      <c r="G16356" s="25" t="n">
        <f aca="false">G16334</f>
        <v>589.86335403</v>
      </c>
      <c r="H16356" s="25" t="n">
        <f aca="false">H16334</f>
        <v>706.0173737988</v>
      </c>
      <c r="I16356" s="25" t="n">
        <f aca="false">I16334</f>
        <v>390.575377766904</v>
      </c>
      <c r="J16356" s="25" t="n">
        <f aca="false">J16334</f>
        <v>499.440625970316</v>
      </c>
      <c r="K16356" s="25" t="n">
        <f aca="false">K16334</f>
        <v>599.128348849095</v>
      </c>
    </row>
    <row r="16357" customFormat="false" ht="15" hidden="false" customHeight="false" outlineLevel="0" collapsed="false">
      <c r="A16357" s="3" t="s">
        <v>374</v>
      </c>
      <c r="G16357" s="29" t="n">
        <f aca="false">Assumptions!$G$67</f>
        <v>200</v>
      </c>
      <c r="H16357" s="29" t="n">
        <f aca="false">Assumptions!$H$67</f>
        <v>200</v>
      </c>
      <c r="I16357" s="29" t="n">
        <f aca="false">Assumptions!$I$67</f>
        <v>200</v>
      </c>
      <c r="J16357" s="29" t="n">
        <f aca="false">Assumptions!$J$67</f>
        <v>200</v>
      </c>
      <c r="K16357" s="29" t="n">
        <f aca="false">Assumptions!$K$67</f>
        <v>200</v>
      </c>
    </row>
    <row r="16358" customFormat="false" ht="15" hidden="false" customHeight="false" outlineLevel="0" collapsed="false">
      <c r="A16358" s="3" t="s">
        <v>375</v>
      </c>
      <c r="G16358" s="25" t="n">
        <f aca="false">G16356-G16357</f>
        <v>389.86335403</v>
      </c>
      <c r="H16358" s="25" t="n">
        <f aca="false">H16356-H16357</f>
        <v>506.0173737988</v>
      </c>
      <c r="I16358" s="25" t="n">
        <f aca="false">I16356-I16357</f>
        <v>190.575377766904</v>
      </c>
      <c r="J16358" s="25" t="n">
        <f aca="false">J16356-J16357</f>
        <v>299.440625970316</v>
      </c>
      <c r="K16358" s="25" t="n">
        <f aca="false">K16356-K16357</f>
        <v>399.128348849095</v>
      </c>
    </row>
    <row r="16359" customFormat="false" ht="15" hidden="false" customHeight="false" outlineLevel="0" collapsed="false">
      <c r="A16359" s="3" t="s">
        <v>376</v>
      </c>
      <c r="G16359" s="21" t="n">
        <f aca="false">IF(G16357=0,0,G16358/ABS(G16357))</f>
        <v>1.94931677015</v>
      </c>
      <c r="H16359" s="21" t="n">
        <f aca="false">IF(H16357=0,0,H16358/ABS(H16357))</f>
        <v>2.530086868994</v>
      </c>
      <c r="I16359" s="21" t="n">
        <f aca="false">IF(I16357=0,0,I16358/ABS(I16357))</f>
        <v>0.95287688883452</v>
      </c>
      <c r="J16359" s="21" t="n">
        <f aca="false">IF(J16357=0,0,J16358/ABS(J16357))</f>
        <v>1.49720312985158</v>
      </c>
      <c r="K16359" s="21" t="n">
        <f aca="false">IF(K16357=0,0,K16358/ABS(K16357))</f>
        <v>1.99564174424547</v>
      </c>
    </row>
    <row r="16360" customFormat="false" ht="15" hidden="false" customHeight="false" outlineLevel="0" collapsed="false">
      <c r="A16360" s="3" t="s">
        <v>377</v>
      </c>
      <c r="G16360" s="20" t="n">
        <f aca="false">IF(G16358&lt;0,1,0)</f>
        <v>0</v>
      </c>
      <c r="H16360" s="20" t="n">
        <f aca="false">IF(H16358&lt;0,1,0)</f>
        <v>0</v>
      </c>
      <c r="I16360" s="20" t="n">
        <f aca="false">IF(I16358&lt;0,1,0)</f>
        <v>0</v>
      </c>
      <c r="J16360" s="20" t="n">
        <f aca="false">IF(J16358&lt;0,1,0)</f>
        <v>0</v>
      </c>
      <c r="K16360" s="20" t="n">
        <f aca="false">IF(K16358&lt;0,1,0)</f>
        <v>0</v>
      </c>
    </row>
    <row r="16361" customFormat="false" ht="15" hidden="false" customHeight="false" outlineLevel="0" collapsed="false">
      <c r="A16361" s="3" t="s">
        <v>378</v>
      </c>
      <c r="C16361" s="20" t="n">
        <f aca="false">IFERROR(INDEX($G$16213:$K$16213,MATCH(1,$G$16360:$K$16360,0)),0)</f>
        <v>0</v>
      </c>
    </row>
    <row r="16362" customFormat="false" ht="15" hidden="false" customHeight="false" outlineLevel="0" collapsed="false">
      <c r="A16362" s="3" t="s">
        <v>379</v>
      </c>
      <c r="C16362" s="21" t="n">
        <f aca="false">MIN($G$16359:$K$16359)</f>
        <v>0.95287688883452</v>
      </c>
    </row>
    <row r="16363" customFormat="false" ht="15" hidden="false" customHeight="false" outlineLevel="0" collapsed="false">
      <c r="A16363" s="3" t="s">
        <v>382</v>
      </c>
      <c r="G16363" s="20" t="n">
        <f aca="false">G16344+G16352+G16360</f>
        <v>0</v>
      </c>
      <c r="H16363" s="20" t="n">
        <f aca="false">H16344+H16352+H16360</f>
        <v>0</v>
      </c>
      <c r="I16363" s="20" t="n">
        <f aca="false">I16344+I16352+I16360</f>
        <v>0</v>
      </c>
      <c r="J16363" s="20" t="n">
        <f aca="false">J16344+J16352+J16360</f>
        <v>0</v>
      </c>
      <c r="K16363" s="20" t="n">
        <f aca="false">K16344+K16352+K16360</f>
        <v>0</v>
      </c>
    </row>
    <row r="16364" customFormat="false" ht="15" hidden="false" customHeight="false" outlineLevel="0" collapsed="false">
      <c r="A16364" s="3" t="s">
        <v>383</v>
      </c>
      <c r="C16364" s="20" t="n">
        <f aca="false">SUM($G$16363:$K$16363)</f>
        <v>0</v>
      </c>
    </row>
    <row r="16365" customFormat="false" ht="15" hidden="false" customHeight="false" outlineLevel="0" collapsed="false">
      <c r="A16365" s="3" t="s">
        <v>384</v>
      </c>
      <c r="C16365" s="21" t="n">
        <f aca="false">MIN(C16346,C16354,C16362)</f>
        <v>0.209632254168593</v>
      </c>
    </row>
    <row r="16367" customFormat="false" ht="15" hidden="false" customHeight="false" outlineLevel="0" collapsed="false">
      <c r="A16367" s="23" t="s">
        <v>486</v>
      </c>
      <c r="B16367" s="24"/>
      <c r="C16367" s="24"/>
      <c r="D16367" s="24"/>
      <c r="E16367" s="24"/>
      <c r="F16367" s="24"/>
      <c r="G16367" s="24"/>
      <c r="H16367" s="24"/>
      <c r="I16367" s="24"/>
      <c r="J16367" s="24"/>
      <c r="K16367" s="24"/>
    </row>
    <row r="16368" customFormat="false" ht="15" hidden="false" customHeight="false" outlineLevel="0" collapsed="false">
      <c r="A16368" s="3" t="s">
        <v>487</v>
      </c>
      <c r="G16368" s="20" t="n">
        <f aca="false">IF($C$16369=1,G16321,IF(G16223=MIN($G$16223:$K$16223),1,0))</f>
        <v>0</v>
      </c>
      <c r="H16368" s="20" t="n">
        <f aca="false">IF($C$16369=1,H16321,IF(AND(H16223=MIN($G$16223:$K$16223),SUM($G$16368:G16368)=0),1,0))</f>
        <v>0</v>
      </c>
      <c r="I16368" s="20" t="n">
        <f aca="false">IF($C$16369=1,I16321,IF(AND(I16223=MIN($G$16223:$K$16223),SUM($G$16368:H16368)=0),1,0))</f>
        <v>0</v>
      </c>
      <c r="J16368" s="20" t="n">
        <f aca="false">IF($C$16369=1,J16321,IF(AND(J16223=MIN($G$16223:$K$16223),SUM($G$16368:I16368)=0),1,0))</f>
        <v>0</v>
      </c>
      <c r="K16368" s="20" t="n">
        <f aca="false">IF($C$16369=1,K16321,IF(AND(K16223=MIN($G$16223:$K$16223),SUM($G$16368:J16368)=0),1,0))</f>
        <v>1</v>
      </c>
    </row>
    <row r="16369" customFormat="false" ht="15" hidden="false" customHeight="false" outlineLevel="0" collapsed="false">
      <c r="A16369" s="3" t="s">
        <v>488</v>
      </c>
      <c r="C16369" s="20" t="n">
        <f aca="false">IF(SUM($G$16321:$K$16321)&gt;0,1,0)</f>
        <v>0</v>
      </c>
    </row>
    <row r="16370" customFormat="false" ht="15" hidden="false" customHeight="false" outlineLevel="0" collapsed="false">
      <c r="A16370" s="3" t="s">
        <v>489</v>
      </c>
      <c r="C16370" s="20" t="n">
        <f aca="false">SUMPRODUCT($G$16368:$K$16368,$G$16213:$K$16213)</f>
        <v>2031</v>
      </c>
    </row>
    <row r="16371" customFormat="false" ht="15" hidden="false" customHeight="false" outlineLevel="0" collapsed="false">
      <c r="A16371" s="3" t="s">
        <v>490</v>
      </c>
      <c r="C16371" s="25" t="n">
        <f aca="false">SUMPRODUCT($G$16368:$K$16368,$G$16223:$K$16223)</f>
        <v>250.548630915336</v>
      </c>
    </row>
    <row r="16372" customFormat="false" ht="15" hidden="false" customHeight="false" outlineLevel="0" collapsed="false">
      <c r="A16372" s="3" t="s">
        <v>491</v>
      </c>
      <c r="C16372" s="25" t="n">
        <f aca="false">MAX(0,SUMPRODUCT($G$16368:$K$16368,$G$16318:$K$16318))</f>
        <v>599.128348849095</v>
      </c>
    </row>
    <row r="16373" customFormat="false" ht="15" hidden="false" customHeight="false" outlineLevel="0" collapsed="false">
      <c r="A16373" s="3" t="s">
        <v>492</v>
      </c>
      <c r="C16373" s="25" t="n">
        <f aca="false">(CHOOSE($C$16206,Assumptions!$C$84,Assumptions!$C$103,Assumptions!$C$122)+$C$16210)*C16371</f>
        <v>1252.74315457668</v>
      </c>
    </row>
    <row r="16374" customFormat="false" ht="15" hidden="false" customHeight="false" outlineLevel="0" collapsed="false">
      <c r="A16374" s="3" t="s">
        <v>493</v>
      </c>
      <c r="C16374" s="25" t="n">
        <f aca="false">Assumptions!$C$30*(1-CHOOSE($C$16206,Assumptions!$C$85,Assumptions!$C$104,Assumptions!$C$123))*CHOOSE($C$16206,Assumptions!$C$86,Assumptions!$C$105,Assumptions!$C$124)</f>
        <v>736.4913</v>
      </c>
    </row>
    <row r="16375" customFormat="false" ht="15" hidden="false" customHeight="false" outlineLevel="0" collapsed="false">
      <c r="A16375" s="3" t="s">
        <v>494</v>
      </c>
      <c r="C16375" s="25" t="n">
        <f aca="false">MAX(C16373,C16374)+C16372</f>
        <v>1851.87150342577</v>
      </c>
    </row>
    <row r="16376" customFormat="false" ht="15" hidden="false" customHeight="false" outlineLevel="0" collapsed="false">
      <c r="A16376" s="2" t="s">
        <v>495</v>
      </c>
      <c r="C16376" s="16" t="n">
        <f aca="false">IF(ISNUMBER(Assumptions!$C$14),Assumptions!$C$14,C16375)</f>
        <v>1851.87150342577</v>
      </c>
    </row>
    <row r="16377" customFormat="false" ht="15" hidden="false" customHeight="false" outlineLevel="0" collapsed="false">
      <c r="A16377" s="3" t="s">
        <v>496</v>
      </c>
      <c r="C16377" s="25" t="n">
        <f aca="false">C16376*Assumptions!$C$15</f>
        <v>74.074860137031</v>
      </c>
    </row>
    <row r="16378" customFormat="false" ht="15" hidden="false" customHeight="false" outlineLevel="0" collapsed="false">
      <c r="A16378" s="2" t="s">
        <v>497</v>
      </c>
      <c r="C16378" s="16" t="n">
        <f aca="false">C16376-C16377</f>
        <v>1777.79664328874</v>
      </c>
    </row>
    <row r="16379" customFormat="false" ht="15" hidden="false" customHeight="false" outlineLevel="0" collapsed="false">
      <c r="A16379" s="23" t="s">
        <v>498</v>
      </c>
      <c r="B16379" s="24"/>
      <c r="C16379" s="24"/>
      <c r="D16379" s="24"/>
      <c r="E16379" s="24"/>
      <c r="F16379" s="24"/>
      <c r="G16379" s="24"/>
      <c r="H16379" s="24"/>
      <c r="I16379" s="24"/>
      <c r="J16379" s="24"/>
      <c r="K16379" s="24"/>
    </row>
    <row r="16380" customFormat="false" ht="15" hidden="false" customHeight="false" outlineLevel="0" collapsed="false">
      <c r="A16380" s="3" t="s">
        <v>499</v>
      </c>
      <c r="C16380" s="25" t="n">
        <f aca="false">SUMPRODUCT($G$16368:$K$16368,$G$16260:$K$16260)*(1+SUMPRODUCT($G$16368:$K$16368,$G$16252:$K$16252)*Assumptions!$C$16/12)</f>
        <v>1349.6193225</v>
      </c>
    </row>
    <row r="16381" customFormat="false" ht="15" hidden="false" customHeight="false" outlineLevel="0" collapsed="false">
      <c r="A16381" s="3" t="s">
        <v>500</v>
      </c>
      <c r="C16381" s="25" t="n">
        <f aca="false">SUMPRODUCT($G$16368:$K$16368,$G$16273:$K$16273)*(1+SUMPRODUCT($G$16368:$K$16368,$G$16265:$K$16265)*Assumptions!$C$16/12)</f>
        <v>0</v>
      </c>
    </row>
    <row r="16382" customFormat="false" ht="15" hidden="false" customHeight="false" outlineLevel="0" collapsed="false">
      <c r="A16382" s="3" t="s">
        <v>501</v>
      </c>
      <c r="C16382" s="25" t="n">
        <f aca="false">SUMPRODUCT($G$16368:$K$16368,$G$16286:$K$16286)*(1+SUMPRODUCT($G$16368:$K$16368,$G$16278:$K$16278)*Assumptions!$C$16/12)</f>
        <v>0</v>
      </c>
    </row>
    <row r="16383" customFormat="false" ht="15" hidden="false" customHeight="false" outlineLevel="0" collapsed="false">
      <c r="A16383" s="23" t="s">
        <v>502</v>
      </c>
      <c r="B16383" s="24"/>
      <c r="C16383" s="24"/>
      <c r="D16383" s="24"/>
      <c r="E16383" s="24"/>
      <c r="F16383" s="24"/>
      <c r="G16383" s="24"/>
      <c r="H16383" s="24"/>
      <c r="I16383" s="24"/>
      <c r="J16383" s="24"/>
      <c r="K16383" s="24"/>
    </row>
    <row r="16384" customFormat="false" ht="15" hidden="false" customHeight="false" outlineLevel="0" collapsed="false">
      <c r="A16384" s="3" t="s">
        <v>499</v>
      </c>
      <c r="C16384" s="27" t="n">
        <f aca="false">Assumptions!$M$56</f>
        <v>1</v>
      </c>
    </row>
    <row r="16385" customFormat="false" ht="15" hidden="false" customHeight="false" outlineLevel="0" collapsed="false">
      <c r="A16385" s="3" t="s">
        <v>500</v>
      </c>
      <c r="C16385" s="27" t="n">
        <f aca="false">Assumptions!$M$57</f>
        <v>2</v>
      </c>
    </row>
    <row r="16386" customFormat="false" ht="15" hidden="false" customHeight="false" outlineLevel="0" collapsed="false">
      <c r="A16386" s="3" t="s">
        <v>501</v>
      </c>
      <c r="C16386" s="27" t="n">
        <f aca="false">Assumptions!$M$58</f>
        <v>2</v>
      </c>
    </row>
    <row r="16387" customFormat="false" ht="15" hidden="false" customHeight="false" outlineLevel="0" collapsed="false">
      <c r="A16387" s="23" t="s">
        <v>503</v>
      </c>
      <c r="B16387" s="24"/>
      <c r="C16387" s="24"/>
      <c r="D16387" s="24"/>
      <c r="E16387" s="24"/>
      <c r="F16387" s="24"/>
      <c r="G16387" s="24"/>
      <c r="H16387" s="24"/>
      <c r="I16387" s="24"/>
      <c r="J16387" s="24"/>
      <c r="K16387" s="24"/>
    </row>
    <row r="16388" customFormat="false" ht="15" hidden="false" customHeight="false" outlineLevel="0" collapsed="false">
      <c r="A16388" s="3" t="s">
        <v>499</v>
      </c>
      <c r="C16388" s="35" t="n">
        <f aca="false">Assumptions!$Q$56</f>
        <v>0</v>
      </c>
    </row>
    <row r="16389" customFormat="false" ht="15" hidden="false" customHeight="false" outlineLevel="0" collapsed="false">
      <c r="A16389" s="3" t="s">
        <v>500</v>
      </c>
      <c r="C16389" s="35" t="n">
        <f aca="false">Assumptions!$Q$57</f>
        <v>0</v>
      </c>
    </row>
    <row r="16390" customFormat="false" ht="15" hidden="false" customHeight="false" outlineLevel="0" collapsed="false">
      <c r="A16390" s="3" t="s">
        <v>501</v>
      </c>
      <c r="C16390" s="35" t="n">
        <f aca="false">Assumptions!$Q$58</f>
        <v>0</v>
      </c>
    </row>
    <row r="16391" customFormat="false" ht="15" hidden="false" customHeight="false" outlineLevel="0" collapsed="false">
      <c r="A16391" s="23" t="s">
        <v>504</v>
      </c>
      <c r="B16391" s="24"/>
      <c r="C16391" s="24"/>
      <c r="D16391" s="24"/>
      <c r="E16391" s="24"/>
      <c r="F16391" s="24"/>
      <c r="G16391" s="24"/>
      <c r="H16391" s="24"/>
      <c r="I16391" s="24"/>
      <c r="J16391" s="24"/>
      <c r="K16391" s="24"/>
    </row>
    <row r="16392" customFormat="false" ht="15" hidden="false" customHeight="false" outlineLevel="0" collapsed="false">
      <c r="A16392" s="3" t="s">
        <v>499</v>
      </c>
      <c r="C16392" s="25" t="n">
        <f aca="false">IF(C16388&gt;0,MIN(C16380,C16388*$C$16378),0)</f>
        <v>0</v>
      </c>
    </row>
    <row r="16393" customFormat="false" ht="15" hidden="false" customHeight="false" outlineLevel="0" collapsed="false">
      <c r="A16393" s="3" t="s">
        <v>500</v>
      </c>
      <c r="C16393" s="25" t="n">
        <f aca="false">IF(C16389&gt;0,MIN(C16381,C16389*$C$16378),0)</f>
        <v>0</v>
      </c>
    </row>
    <row r="16394" customFormat="false" ht="15" hidden="false" customHeight="false" outlineLevel="0" collapsed="false">
      <c r="A16394" s="3" t="s">
        <v>501</v>
      </c>
      <c r="C16394" s="25" t="n">
        <f aca="false">IF(C16390&gt;0,MIN(C16382,C16390*$C$16378),0)</f>
        <v>0</v>
      </c>
    </row>
    <row r="16395" customFormat="false" ht="15" hidden="false" customHeight="false" outlineLevel="0" collapsed="false">
      <c r="A16395" s="23" t="s">
        <v>505</v>
      </c>
      <c r="B16395" s="24"/>
      <c r="C16395" s="24"/>
      <c r="D16395" s="24"/>
      <c r="E16395" s="24"/>
      <c r="F16395" s="24"/>
      <c r="G16395" s="24"/>
      <c r="H16395" s="24"/>
      <c r="I16395" s="24"/>
      <c r="J16395" s="24"/>
      <c r="K16395" s="24"/>
    </row>
    <row r="16396" customFormat="false" ht="15" hidden="false" customHeight="false" outlineLevel="0" collapsed="false">
      <c r="A16396" s="3" t="s">
        <v>499</v>
      </c>
      <c r="C16396" s="25" t="n">
        <f aca="false">IF(C16388&gt;0,C16380-C16392,0)</f>
        <v>0</v>
      </c>
      <c r="G16396" s="20" t="n">
        <f aca="false">IF(AND(G16250=1,G16247=1),1,0)</f>
        <v>0</v>
      </c>
      <c r="H16396" s="20" t="n">
        <f aca="false">IF(G16396=1,1,IF(AND(H16250=1,H16247=1),1,0))</f>
        <v>0</v>
      </c>
      <c r="I16396" s="20" t="n">
        <f aca="false">IF(H16396=1,1,IF(AND(I16250=1,I16247=1),1,0))</f>
        <v>0</v>
      </c>
      <c r="J16396" s="20" t="n">
        <f aca="false">IF(I16396=1,1,IF(AND(J16250=1,J16247=1),1,0))</f>
        <v>0</v>
      </c>
      <c r="K16396" s="20" t="n">
        <f aca="false">IF(J16396=1,1,IF(AND(K16250=1,K16247=1),1,0))</f>
        <v>0</v>
      </c>
    </row>
    <row r="16397" customFormat="false" ht="15" hidden="false" customHeight="false" outlineLevel="0" collapsed="false">
      <c r="A16397" s="3" t="s">
        <v>500</v>
      </c>
      <c r="C16397" s="25" t="n">
        <f aca="false">IF(C16389&gt;0,C16381-C16393,0)</f>
        <v>0</v>
      </c>
      <c r="G16397" s="20" t="n">
        <f aca="false">IF(AND(G16263=1,G16247=1),1,0)</f>
        <v>0</v>
      </c>
      <c r="H16397" s="20" t="n">
        <f aca="false">IF(G16397=1,1,IF(AND(H16263=1,H16247=1),1,0))</f>
        <v>0</v>
      </c>
      <c r="I16397" s="20" t="n">
        <f aca="false">IF(H16397=1,1,IF(AND(I16263=1,I16247=1),1,0))</f>
        <v>1</v>
      </c>
      <c r="J16397" s="20" t="n">
        <f aca="false">IF(I16397=1,1,IF(AND(J16263=1,J16247=1),1,0))</f>
        <v>1</v>
      </c>
      <c r="K16397" s="20" t="n">
        <f aca="false">IF(J16397=1,1,IF(AND(K16263=1,K16247=1),1,0))</f>
        <v>1</v>
      </c>
    </row>
    <row r="16398" customFormat="false" ht="15" hidden="false" customHeight="false" outlineLevel="0" collapsed="false">
      <c r="A16398" s="3" t="s">
        <v>501</v>
      </c>
      <c r="C16398" s="25" t="n">
        <f aca="false">IF(C16390&gt;0,C16382-C16394,0)</f>
        <v>0</v>
      </c>
      <c r="G16398" s="20" t="n">
        <f aca="false">IF(AND(G16276=1,G16247=1),1,0)</f>
        <v>0</v>
      </c>
      <c r="H16398" s="20" t="n">
        <f aca="false">IF(G16398=1,1,IF(AND(H16276=1,H16247=1),1,0))</f>
        <v>0</v>
      </c>
      <c r="I16398" s="20" t="n">
        <f aca="false">IF(H16398=1,1,IF(AND(I16276=1,I16247=1),1,0))</f>
        <v>1</v>
      </c>
      <c r="J16398" s="20" t="n">
        <f aca="false">IF(I16398=1,1,IF(AND(J16276=1,J16247=1),1,0))</f>
        <v>1</v>
      </c>
      <c r="K16398" s="20" t="n">
        <f aca="false">IF(J16398=1,1,IF(AND(K16276=1,K16247=1),1,0))</f>
        <v>1</v>
      </c>
    </row>
    <row r="16399" customFormat="false" ht="15" hidden="false" customHeight="false" outlineLevel="0" collapsed="false">
      <c r="A16399" s="23" t="s">
        <v>506</v>
      </c>
      <c r="B16399" s="24"/>
      <c r="C16399" s="24"/>
      <c r="D16399" s="24"/>
      <c r="E16399" s="24"/>
      <c r="F16399" s="24"/>
      <c r="G16399" s="24"/>
      <c r="H16399" s="24"/>
      <c r="I16399" s="24"/>
      <c r="J16399" s="24"/>
      <c r="K16399" s="24"/>
    </row>
    <row r="16400" customFormat="false" ht="15" hidden="false" customHeight="false" outlineLevel="0" collapsed="false">
      <c r="A16400" s="3" t="s">
        <v>499</v>
      </c>
      <c r="C16400" s="25" t="n">
        <f aca="false">IF(C16388&gt;0,C16396,C16380)</f>
        <v>1349.6193225</v>
      </c>
    </row>
    <row r="16401" customFormat="false" ht="15" hidden="false" customHeight="false" outlineLevel="0" collapsed="false">
      <c r="A16401" s="3" t="s">
        <v>500</v>
      </c>
      <c r="C16401" s="25" t="n">
        <f aca="false">IF(C16389&gt;0,C16397,C16381)</f>
        <v>0</v>
      </c>
    </row>
    <row r="16402" customFormat="false" ht="15" hidden="false" customHeight="false" outlineLevel="0" collapsed="false">
      <c r="A16402" s="3" t="s">
        <v>501</v>
      </c>
      <c r="C16402" s="25" t="n">
        <f aca="false">IF(C16390&gt;0,C16398,C16382)</f>
        <v>0</v>
      </c>
    </row>
    <row r="16403" customFormat="false" ht="15" hidden="false" customHeight="false" outlineLevel="0" collapsed="false">
      <c r="A16403" s="23" t="s">
        <v>507</v>
      </c>
      <c r="B16403" s="24"/>
      <c r="C16403" s="24"/>
      <c r="D16403" s="24"/>
      <c r="E16403" s="24"/>
      <c r="F16403" s="24"/>
      <c r="G16403" s="24"/>
      <c r="H16403" s="24"/>
      <c r="I16403" s="24"/>
      <c r="J16403" s="24"/>
      <c r="K16403" s="24"/>
    </row>
    <row r="16404" customFormat="false" ht="15" hidden="false" customHeight="false" outlineLevel="0" collapsed="false">
      <c r="A16404" s="3" t="s">
        <v>499</v>
      </c>
      <c r="C16404" s="20" t="n">
        <f aca="false">IF(C16388&gt;0,Assumptions!$C$17,C16384)</f>
        <v>1</v>
      </c>
    </row>
    <row r="16405" customFormat="false" ht="15" hidden="false" customHeight="false" outlineLevel="0" collapsed="false">
      <c r="A16405" s="3" t="s">
        <v>500</v>
      </c>
      <c r="C16405" s="20" t="n">
        <f aca="false">IF(C16389&gt;0,Assumptions!$C$17,C16385)</f>
        <v>2</v>
      </c>
    </row>
    <row r="16406" customFormat="false" ht="15" hidden="false" customHeight="false" outlineLevel="0" collapsed="false">
      <c r="A16406" s="3" t="s">
        <v>501</v>
      </c>
      <c r="C16406" s="20" t="n">
        <f aca="false">IF(C16390&gt;0,Assumptions!$C$17,C16386)</f>
        <v>2</v>
      </c>
    </row>
    <row r="16407" customFormat="false" ht="15" hidden="false" customHeight="false" outlineLevel="0" collapsed="false">
      <c r="A16407" s="23" t="s">
        <v>508</v>
      </c>
      <c r="B16407" s="24"/>
      <c r="C16407" s="24"/>
      <c r="D16407" s="24"/>
      <c r="E16407" s="24"/>
      <c r="F16407" s="24"/>
      <c r="G16407" s="24"/>
      <c r="H16407" s="24"/>
      <c r="I16407" s="24"/>
      <c r="J16407" s="24"/>
      <c r="K16407" s="24"/>
    </row>
    <row r="16408" customFormat="false" ht="15" hidden="false" customHeight="false" outlineLevel="0" collapsed="false">
      <c r="A16408" s="3" t="s">
        <v>499</v>
      </c>
      <c r="C16408" s="25" t="n">
        <f aca="false">SUMPRODUCT(($C$16404:$C$16406&lt;C16404)*$C$16400:$C$16402)</f>
        <v>0</v>
      </c>
    </row>
    <row r="16409" customFormat="false" ht="15" hidden="false" customHeight="false" outlineLevel="0" collapsed="false">
      <c r="A16409" s="3" t="s">
        <v>500</v>
      </c>
      <c r="C16409" s="25" t="n">
        <f aca="false">SUMPRODUCT(($C$16404:$C$16406&lt;C16405)*$C$16400:$C$16402)</f>
        <v>1349.6193225</v>
      </c>
    </row>
    <row r="16410" customFormat="false" ht="15" hidden="false" customHeight="false" outlineLevel="0" collapsed="false">
      <c r="A16410" s="3" t="s">
        <v>501</v>
      </c>
      <c r="C16410" s="25" t="n">
        <f aca="false">SUMPRODUCT(($C$16404:$C$16406&lt;C16406)*$C$16400:$C$16402)</f>
        <v>1349.6193225</v>
      </c>
    </row>
    <row r="16411" customFormat="false" ht="15" hidden="false" customHeight="false" outlineLevel="0" collapsed="false">
      <c r="A16411" s="23" t="s">
        <v>509</v>
      </c>
      <c r="B16411" s="24"/>
      <c r="C16411" s="24"/>
      <c r="D16411" s="24"/>
      <c r="E16411" s="24"/>
      <c r="F16411" s="24"/>
      <c r="G16411" s="24"/>
      <c r="H16411" s="24"/>
      <c r="I16411" s="24"/>
      <c r="J16411" s="24"/>
      <c r="K16411" s="24"/>
    </row>
    <row r="16412" customFormat="false" ht="15" hidden="false" customHeight="false" outlineLevel="0" collapsed="false">
      <c r="A16412" s="3" t="s">
        <v>499</v>
      </c>
      <c r="C16412" s="25" t="n">
        <f aca="false">SUMPRODUCT(($C$16404:$C$16406=C16404)*$C$16400:$C$16402)</f>
        <v>1349.6193225</v>
      </c>
    </row>
    <row r="16413" customFormat="false" ht="15" hidden="false" customHeight="false" outlineLevel="0" collapsed="false">
      <c r="A16413" s="3" t="s">
        <v>500</v>
      </c>
      <c r="C16413" s="25" t="n">
        <f aca="false">SUMPRODUCT(($C$16404:$C$16406=C16405)*$C$16400:$C$16402)</f>
        <v>0</v>
      </c>
    </row>
    <row r="16414" customFormat="false" ht="15" hidden="false" customHeight="false" outlineLevel="0" collapsed="false">
      <c r="A16414" s="3" t="s">
        <v>501</v>
      </c>
      <c r="C16414" s="25" t="n">
        <f aca="false">SUMPRODUCT(($C$16404:$C$16406=C16406)*$C$16400:$C$16402)</f>
        <v>0</v>
      </c>
    </row>
    <row r="16415" customFormat="false" ht="15" hidden="false" customHeight="false" outlineLevel="0" collapsed="false">
      <c r="A16415" s="23" t="s">
        <v>510</v>
      </c>
      <c r="B16415" s="24"/>
      <c r="C16415" s="24"/>
      <c r="D16415" s="24"/>
      <c r="E16415" s="24"/>
      <c r="F16415" s="24"/>
      <c r="G16415" s="24"/>
      <c r="H16415" s="24"/>
      <c r="I16415" s="24"/>
      <c r="J16415" s="24"/>
      <c r="K16415" s="24"/>
    </row>
    <row r="16416" customFormat="false" ht="15" hidden="false" customHeight="false" outlineLevel="0" collapsed="false">
      <c r="A16416" s="3" t="s">
        <v>499</v>
      </c>
      <c r="C16416" s="25" t="n">
        <f aca="false">IF(C16412=0,0,C16400/C16412*MAX(0,MIN(C16412,$C$16378-SUM($C$16392:$C$16394)-C16408)))</f>
        <v>1349.6193225</v>
      </c>
    </row>
    <row r="16417" customFormat="false" ht="15" hidden="false" customHeight="false" outlineLevel="0" collapsed="false">
      <c r="A16417" s="3" t="s">
        <v>500</v>
      </c>
      <c r="C16417" s="25" t="n">
        <f aca="false">IF(C16413=0,0,C16401/C16413*MAX(0,MIN(C16413,$C$16378-SUM($C$16392:$C$16394)-C16409)))</f>
        <v>0</v>
      </c>
    </row>
    <row r="16418" customFormat="false" ht="15" hidden="false" customHeight="false" outlineLevel="0" collapsed="false">
      <c r="A16418" s="3" t="s">
        <v>501</v>
      </c>
      <c r="C16418" s="25" t="n">
        <f aca="false">IF(C16414=0,0,C16402/C16414*MAX(0,MIN(C16414,$C$16378-SUM($C$16392:$C$16394)-C16410)))</f>
        <v>0</v>
      </c>
    </row>
    <row r="16419" customFormat="false" ht="15" hidden="false" customHeight="false" outlineLevel="0" collapsed="false">
      <c r="A16419" s="23" t="s">
        <v>511</v>
      </c>
      <c r="B16419" s="24"/>
      <c r="C16419" s="24"/>
      <c r="D16419" s="24"/>
      <c r="E16419" s="24"/>
      <c r="F16419" s="24"/>
      <c r="G16419" s="24"/>
      <c r="H16419" s="24"/>
      <c r="I16419" s="24"/>
      <c r="J16419" s="24"/>
      <c r="K16419" s="24"/>
    </row>
    <row r="16420" customFormat="false" ht="15" hidden="false" customHeight="false" outlineLevel="0" collapsed="false">
      <c r="A16420" s="2" t="s">
        <v>499</v>
      </c>
      <c r="C16420" s="16" t="n">
        <f aca="false">C16392+C16416</f>
        <v>1349.6193225</v>
      </c>
    </row>
    <row r="16421" customFormat="false" ht="15" hidden="false" customHeight="false" outlineLevel="0" collapsed="false">
      <c r="A16421" s="2" t="s">
        <v>500</v>
      </c>
      <c r="C16421" s="16" t="n">
        <f aca="false">C16393+C16417</f>
        <v>0</v>
      </c>
    </row>
    <row r="16422" customFormat="false" ht="15" hidden="false" customHeight="false" outlineLevel="0" collapsed="false">
      <c r="A16422" s="2" t="s">
        <v>501</v>
      </c>
      <c r="C16422" s="16" t="n">
        <f aca="false">C16394+C16418</f>
        <v>0</v>
      </c>
    </row>
    <row r="16423" customFormat="false" ht="15" hidden="false" customHeight="false" outlineLevel="0" collapsed="false">
      <c r="A16423" s="23" t="s">
        <v>512</v>
      </c>
      <c r="B16423" s="24"/>
      <c r="C16423" s="24"/>
      <c r="D16423" s="24"/>
      <c r="E16423" s="24"/>
      <c r="F16423" s="24"/>
      <c r="G16423" s="24"/>
      <c r="H16423" s="24"/>
      <c r="I16423" s="24"/>
      <c r="J16423" s="24"/>
      <c r="K16423" s="24"/>
    </row>
    <row r="16424" customFormat="false" ht="15" hidden="false" customHeight="false" outlineLevel="0" collapsed="false">
      <c r="A16424" s="3" t="s">
        <v>499</v>
      </c>
      <c r="C16424" s="21" t="n">
        <f aca="false">IF(C16380=0,1,C16420/C16380)</f>
        <v>1</v>
      </c>
    </row>
    <row r="16425" customFormat="false" ht="15" hidden="false" customHeight="false" outlineLevel="0" collapsed="false">
      <c r="A16425" s="3" t="s">
        <v>500</v>
      </c>
      <c r="C16425" s="21" t="n">
        <f aca="false">IF(C16381=0,1,C16421/C16381)</f>
        <v>1</v>
      </c>
    </row>
    <row r="16426" customFormat="false" ht="15" hidden="false" customHeight="false" outlineLevel="0" collapsed="false">
      <c r="A16426" s="3" t="s">
        <v>501</v>
      </c>
      <c r="C16426" s="21" t="n">
        <f aca="false">IF(C16382=0,1,C16422/C16382)</f>
        <v>1</v>
      </c>
    </row>
    <row r="16427" customFormat="false" ht="15" hidden="false" customHeight="false" outlineLevel="0" collapsed="false">
      <c r="A16427" s="23" t="s">
        <v>513</v>
      </c>
      <c r="B16427" s="24"/>
      <c r="C16427" s="24"/>
      <c r="D16427" s="24"/>
      <c r="E16427" s="24"/>
      <c r="F16427" s="24"/>
      <c r="G16427" s="24"/>
      <c r="H16427" s="24"/>
      <c r="I16427" s="24"/>
      <c r="J16427" s="24"/>
      <c r="K16427" s="24"/>
    </row>
    <row r="16428" customFormat="false" ht="15" hidden="false" customHeight="false" outlineLevel="0" collapsed="false">
      <c r="A16428" s="3" t="s">
        <v>499</v>
      </c>
      <c r="C16428" s="25" t="n">
        <f aca="false">C16380-C16420</f>
        <v>0</v>
      </c>
    </row>
    <row r="16429" customFormat="false" ht="15" hidden="false" customHeight="false" outlineLevel="0" collapsed="false">
      <c r="A16429" s="3" t="s">
        <v>500</v>
      </c>
      <c r="C16429" s="25" t="n">
        <f aca="false">C16381-C16421</f>
        <v>0</v>
      </c>
    </row>
    <row r="16430" customFormat="false" ht="15" hidden="false" customHeight="false" outlineLevel="0" collapsed="false">
      <c r="A16430" s="3" t="s">
        <v>501</v>
      </c>
      <c r="C16430" s="25" t="n">
        <f aca="false">C16382-C16422</f>
        <v>0</v>
      </c>
    </row>
    <row r="16431" customFormat="false" ht="15" hidden="false" customHeight="false" outlineLevel="0" collapsed="false">
      <c r="A16431" s="23" t="s">
        <v>514</v>
      </c>
      <c r="B16431" s="24"/>
      <c r="C16431" s="24"/>
      <c r="D16431" s="24"/>
      <c r="E16431" s="24"/>
      <c r="F16431" s="24"/>
      <c r="G16431" s="24"/>
      <c r="H16431" s="24"/>
      <c r="I16431" s="24"/>
      <c r="J16431" s="24"/>
      <c r="K16431" s="24"/>
    </row>
    <row r="16432" customFormat="false" ht="15" hidden="false" customHeight="false" outlineLevel="0" collapsed="false">
      <c r="A16432" s="3" t="s">
        <v>499</v>
      </c>
      <c r="C16432" s="21" t="n">
        <f aca="false">IF(C16380=0,0,C16428/C16380)</f>
        <v>0</v>
      </c>
    </row>
    <row r="16433" customFormat="false" ht="15" hidden="false" customHeight="false" outlineLevel="0" collapsed="false">
      <c r="A16433" s="3" t="s">
        <v>500</v>
      </c>
      <c r="C16433" s="21" t="n">
        <f aca="false">IF(C16381=0,0,C16429/C16381)</f>
        <v>0</v>
      </c>
    </row>
    <row r="16434" customFormat="false" ht="15" hidden="false" customHeight="false" outlineLevel="0" collapsed="false">
      <c r="A16434" s="3" t="s">
        <v>501</v>
      </c>
      <c r="C16434" s="21" t="n">
        <f aca="false">IF(C16382=0,0,C16430/C16382)</f>
        <v>0</v>
      </c>
    </row>
    <row r="16435" customFormat="false" ht="15" hidden="false" customHeight="false" outlineLevel="0" collapsed="false">
      <c r="A16435" s="2" t="s">
        <v>515</v>
      </c>
      <c r="C16435" s="16" t="n">
        <f aca="false">MAX(0,$C$16378-SUM($C$16392:$C$16394)-SUM($C$16400:$C$16402))</f>
        <v>428.177320788743</v>
      </c>
    </row>
    <row r="16436" customFormat="false" ht="15" hidden="false" customHeight="false" outlineLevel="0" collapsed="false">
      <c r="A16436" s="3" t="s">
        <v>516</v>
      </c>
      <c r="C16436" s="25" t="n">
        <f aca="false">SUM($C$16420:$C$16422)+C16435+C16377-C16376</f>
        <v>0</v>
      </c>
    </row>
    <row r="16438" customFormat="false" ht="15" hidden="false" customHeight="false" outlineLevel="0" collapsed="false">
      <c r="A16438" s="23" t="s">
        <v>519</v>
      </c>
      <c r="B16438" s="24"/>
      <c r="C16438" s="24"/>
      <c r="D16438" s="24"/>
      <c r="E16438" s="24"/>
      <c r="F16438" s="24"/>
      <c r="G16438" s="24"/>
      <c r="H16438" s="24"/>
      <c r="I16438" s="24"/>
      <c r="J16438" s="24"/>
      <c r="K16438" s="24"/>
    </row>
    <row r="16439" customFormat="false" ht="15" hidden="false" customHeight="false" outlineLevel="0" collapsed="false">
      <c r="A16439" s="3" t="s">
        <v>520</v>
      </c>
      <c r="C16439" s="27" t="n">
        <f aca="false">Assumptions!$C$33</f>
        <v>1</v>
      </c>
    </row>
    <row r="16440" customFormat="false" ht="15" hidden="false" customHeight="false" outlineLevel="0" collapsed="false">
      <c r="A16440" s="3" t="s">
        <v>521</v>
      </c>
      <c r="C16440" s="29" t="n">
        <f aca="false">Assumptions!$C$34</f>
        <v>100</v>
      </c>
    </row>
    <row r="16441" customFormat="false" ht="15" hidden="false" customHeight="false" outlineLevel="0" collapsed="false">
      <c r="A16441" s="3" t="s">
        <v>522</v>
      </c>
      <c r="C16441" s="40" t="n">
        <f aca="false">Assumptions!$C$35</f>
        <v>95</v>
      </c>
    </row>
    <row r="16442" customFormat="false" ht="15" hidden="false" customHeight="false" outlineLevel="0" collapsed="false">
      <c r="A16442" s="3" t="s">
        <v>523</v>
      </c>
      <c r="C16442" s="25" t="n">
        <f aca="false">C16440*C16441/100*(1+Assumptions!$C$36)</f>
        <v>95</v>
      </c>
    </row>
    <row r="16443" customFormat="false" ht="15" hidden="false" customHeight="false" outlineLevel="0" collapsed="false">
      <c r="A16443" s="3" t="s">
        <v>524</v>
      </c>
      <c r="C16443" s="27" t="n">
        <f aca="false">Assumptions!$C$37</f>
        <v>3</v>
      </c>
    </row>
    <row r="16444" customFormat="false" ht="15" hidden="false" customHeight="false" outlineLevel="0" collapsed="false">
      <c r="A16444" s="3" t="s">
        <v>525</v>
      </c>
      <c r="C16444" s="20" t="n">
        <f aca="false">IF(C16369=1,SUMPRODUCT($G$16321:$K$16321,$G$16214:$K$16214),0)</f>
        <v>0</v>
      </c>
    </row>
    <row r="16445" customFormat="false" ht="15" hidden="false" customHeight="false" outlineLevel="0" collapsed="false">
      <c r="A16445" s="3" t="s">
        <v>526</v>
      </c>
      <c r="C16445" s="21" t="n">
        <f aca="false">IFERROR(C16440/CHOOSE(C16439,SUMPRODUCT($G$16368:$K$16368,$G$16260:$K$16260),SUMPRODUCT($G$16368:$K$16368,$G$16273:$K$16273),SUMPRODUCT($G$16368:$K$16368,$G$16286:$K$16286)),0)</f>
        <v>0.0760399605200525</v>
      </c>
    </row>
    <row r="16446" customFormat="false" ht="15" hidden="false" customHeight="false" outlineLevel="0" collapsed="false">
      <c r="A16446" s="3" t="s">
        <v>527</v>
      </c>
      <c r="C16446" s="25" t="n">
        <f aca="false">CHOOSE(C16439,C16420,C16421,C16422)*C16445</f>
        <v>102.625</v>
      </c>
    </row>
    <row r="16447" customFormat="false" ht="15" hidden="false" customHeight="false" outlineLevel="0" collapsed="false">
      <c r="A16447" s="3" t="s">
        <v>528</v>
      </c>
      <c r="C16447" s="21" t="n">
        <f aca="false">CHOOSE(C16439,C16424,C16425,C16426)</f>
        <v>1</v>
      </c>
    </row>
    <row r="16448" customFormat="false" ht="15" hidden="false" customHeight="false" outlineLevel="0" collapsed="false">
      <c r="A16448" s="3" t="s">
        <v>529</v>
      </c>
      <c r="C16448" s="20" t="n">
        <f aca="false">IF(C16369=1,C16444,C16443)</f>
        <v>3</v>
      </c>
    </row>
    <row r="16449" customFormat="false" ht="15" hidden="false" customHeight="false" outlineLevel="0" collapsed="false">
      <c r="A16449" s="3" t="s">
        <v>530</v>
      </c>
      <c r="C16449" s="34" t="n">
        <f aca="false">CHOOSE($C$16206,Assumptions!$C$83,Assumptions!$C$102,Assumptions!$C$121)</f>
        <v>100</v>
      </c>
    </row>
    <row r="16450" customFormat="false" ht="15" hidden="false" customHeight="false" outlineLevel="0" collapsed="false">
      <c r="A16450" s="3" t="s">
        <v>531</v>
      </c>
      <c r="C16450" s="25" t="n">
        <f aca="false">INDEX($G$16223:$K$16223,C16443)*CHOOSE($C$16206,Assumptions!$C$82,Assumptions!$C$101,Assumptions!$C$120)+MAX(0,INDEX($G$16318:$K$16318,C16443))</f>
        <v>1898.86777853863</v>
      </c>
    </row>
    <row r="16451" customFormat="false" ht="15" hidden="false" customHeight="false" outlineLevel="0" collapsed="false">
      <c r="A16451" s="23" t="s">
        <v>532</v>
      </c>
      <c r="B16451" s="24"/>
      <c r="C16451" s="24"/>
      <c r="D16451" s="24"/>
      <c r="E16451" s="24"/>
      <c r="F16451" s="24"/>
      <c r="G16451" s="24"/>
      <c r="H16451" s="24"/>
      <c r="I16451" s="24"/>
      <c r="J16451" s="24"/>
      <c r="K16451" s="24"/>
    </row>
    <row r="16452" customFormat="false" ht="15" hidden="false" customHeight="false" outlineLevel="0" collapsed="false">
      <c r="A16452" s="3" t="s">
        <v>499</v>
      </c>
      <c r="C16452" s="25" t="n">
        <f aca="false">INDEX($G$16260:$K$16260,C16443)</f>
        <v>1315.098</v>
      </c>
    </row>
    <row r="16453" customFormat="false" ht="15" hidden="false" customHeight="false" outlineLevel="0" collapsed="false">
      <c r="A16453" s="3" t="s">
        <v>500</v>
      </c>
      <c r="C16453" s="25" t="n">
        <f aca="false">INDEX($G$16273:$K$16273,C16443)</f>
        <v>0</v>
      </c>
    </row>
    <row r="16454" customFormat="false" ht="15" hidden="false" customHeight="false" outlineLevel="0" collapsed="false">
      <c r="A16454" s="3" t="s">
        <v>501</v>
      </c>
      <c r="C16454" s="25" t="n">
        <f aca="false">INDEX($G$16286:$K$16286,C16443)</f>
        <v>0</v>
      </c>
    </row>
    <row r="16455" customFormat="false" ht="15" hidden="false" customHeight="false" outlineLevel="0" collapsed="false">
      <c r="A16455" s="23" t="s">
        <v>502</v>
      </c>
      <c r="B16455" s="24"/>
      <c r="C16455" s="24"/>
      <c r="D16455" s="24"/>
      <c r="E16455" s="24"/>
      <c r="F16455" s="24"/>
      <c r="G16455" s="24"/>
      <c r="H16455" s="24"/>
      <c r="I16455" s="24"/>
      <c r="J16455" s="24"/>
      <c r="K16455" s="24"/>
    </row>
    <row r="16456" customFormat="false" ht="15" hidden="false" customHeight="false" outlineLevel="0" collapsed="false">
      <c r="A16456" s="3" t="s">
        <v>499</v>
      </c>
      <c r="C16456" s="27" t="n">
        <f aca="false">Assumptions!$M$56</f>
        <v>1</v>
      </c>
    </row>
    <row r="16457" customFormat="false" ht="15" hidden="false" customHeight="false" outlineLevel="0" collapsed="false">
      <c r="A16457" s="3" t="s">
        <v>500</v>
      </c>
      <c r="C16457" s="27" t="n">
        <f aca="false">Assumptions!$M$57</f>
        <v>2</v>
      </c>
    </row>
    <row r="16458" customFormat="false" ht="15" hidden="false" customHeight="false" outlineLevel="0" collapsed="false">
      <c r="A16458" s="3" t="s">
        <v>501</v>
      </c>
      <c r="C16458" s="27" t="n">
        <f aca="false">Assumptions!$M$58</f>
        <v>2</v>
      </c>
    </row>
    <row r="16459" customFormat="false" ht="15" hidden="false" customHeight="false" outlineLevel="0" collapsed="false">
      <c r="A16459" s="23" t="s">
        <v>503</v>
      </c>
      <c r="B16459" s="24"/>
      <c r="C16459" s="24"/>
      <c r="D16459" s="24"/>
      <c r="E16459" s="24"/>
      <c r="F16459" s="24"/>
      <c r="G16459" s="24"/>
      <c r="H16459" s="24"/>
      <c r="I16459" s="24"/>
      <c r="J16459" s="24"/>
      <c r="K16459" s="24"/>
    </row>
    <row r="16460" customFormat="false" ht="15" hidden="false" customHeight="false" outlineLevel="0" collapsed="false">
      <c r="A16460" s="3" t="s">
        <v>499</v>
      </c>
      <c r="C16460" s="35" t="n">
        <f aca="false">Assumptions!$Q$56</f>
        <v>0</v>
      </c>
    </row>
    <row r="16461" customFormat="false" ht="15" hidden="false" customHeight="false" outlineLevel="0" collapsed="false">
      <c r="A16461" s="3" t="s">
        <v>500</v>
      </c>
      <c r="C16461" s="35" t="n">
        <f aca="false">Assumptions!$Q$57</f>
        <v>0</v>
      </c>
    </row>
    <row r="16462" customFormat="false" ht="15" hidden="false" customHeight="false" outlineLevel="0" collapsed="false">
      <c r="A16462" s="3" t="s">
        <v>501</v>
      </c>
      <c r="C16462" s="35" t="n">
        <f aca="false">Assumptions!$Q$58</f>
        <v>0</v>
      </c>
    </row>
    <row r="16463" customFormat="false" ht="15" hidden="false" customHeight="false" outlineLevel="0" collapsed="false">
      <c r="A16463" s="23" t="s">
        <v>504</v>
      </c>
      <c r="B16463" s="24"/>
      <c r="C16463" s="24"/>
      <c r="D16463" s="24"/>
      <c r="E16463" s="24"/>
      <c r="F16463" s="24"/>
      <c r="G16463" s="24"/>
      <c r="H16463" s="24"/>
      <c r="I16463" s="24"/>
      <c r="J16463" s="24"/>
      <c r="K16463" s="24"/>
    </row>
    <row r="16464" customFormat="false" ht="15" hidden="false" customHeight="false" outlineLevel="0" collapsed="false">
      <c r="A16464" s="3" t="s">
        <v>499</v>
      </c>
      <c r="C16464" s="25" t="n">
        <f aca="false">IF(C16460&gt;0,MIN(C16452,C16460*$C$16450),0)</f>
        <v>0</v>
      </c>
    </row>
    <row r="16465" customFormat="false" ht="15" hidden="false" customHeight="false" outlineLevel="0" collapsed="false">
      <c r="A16465" s="3" t="s">
        <v>500</v>
      </c>
      <c r="C16465" s="25" t="n">
        <f aca="false">IF(C16461&gt;0,MIN(C16453,C16461*$C$16450),0)</f>
        <v>0</v>
      </c>
    </row>
    <row r="16466" customFormat="false" ht="15" hidden="false" customHeight="false" outlineLevel="0" collapsed="false">
      <c r="A16466" s="3" t="s">
        <v>501</v>
      </c>
      <c r="C16466" s="25" t="n">
        <f aca="false">IF(C16462&gt;0,MIN(C16454,C16462*$C$16450),0)</f>
        <v>0</v>
      </c>
    </row>
    <row r="16467" customFormat="false" ht="15" hidden="false" customHeight="false" outlineLevel="0" collapsed="false">
      <c r="A16467" s="23" t="s">
        <v>505</v>
      </c>
      <c r="B16467" s="24"/>
      <c r="C16467" s="24"/>
      <c r="D16467" s="24"/>
      <c r="E16467" s="24"/>
      <c r="F16467" s="24"/>
      <c r="G16467" s="24"/>
      <c r="H16467" s="24"/>
      <c r="I16467" s="24"/>
      <c r="J16467" s="24"/>
      <c r="K16467" s="24"/>
    </row>
    <row r="16468" customFormat="false" ht="15" hidden="false" customHeight="false" outlineLevel="0" collapsed="false">
      <c r="A16468" s="3" t="s">
        <v>499</v>
      </c>
      <c r="C16468" s="25" t="n">
        <f aca="false">IF(C16460&gt;0,C16452-C16464,0)</f>
        <v>0</v>
      </c>
    </row>
    <row r="16469" customFormat="false" ht="15" hidden="false" customHeight="false" outlineLevel="0" collapsed="false">
      <c r="A16469" s="3" t="s">
        <v>500</v>
      </c>
      <c r="C16469" s="25" t="n">
        <f aca="false">IF(C16461&gt;0,C16453-C16465,0)</f>
        <v>0</v>
      </c>
    </row>
    <row r="16470" customFormat="false" ht="15" hidden="false" customHeight="false" outlineLevel="0" collapsed="false">
      <c r="A16470" s="3" t="s">
        <v>501</v>
      </c>
      <c r="C16470" s="25" t="n">
        <f aca="false">IF(C16462&gt;0,C16454-C16466,0)</f>
        <v>0</v>
      </c>
    </row>
    <row r="16471" customFormat="false" ht="15" hidden="false" customHeight="false" outlineLevel="0" collapsed="false">
      <c r="A16471" s="23" t="s">
        <v>506</v>
      </c>
      <c r="B16471" s="24"/>
      <c r="C16471" s="24"/>
      <c r="D16471" s="24"/>
      <c r="E16471" s="24"/>
      <c r="F16471" s="24"/>
      <c r="G16471" s="24"/>
      <c r="H16471" s="24"/>
      <c r="I16471" s="24"/>
      <c r="J16471" s="24"/>
      <c r="K16471" s="24"/>
    </row>
    <row r="16472" customFormat="false" ht="15" hidden="false" customHeight="false" outlineLevel="0" collapsed="false">
      <c r="A16472" s="3" t="s">
        <v>499</v>
      </c>
      <c r="C16472" s="25" t="n">
        <f aca="false">IF(C16460&gt;0,C16468,C16452)</f>
        <v>1315.098</v>
      </c>
    </row>
    <row r="16473" customFormat="false" ht="15" hidden="false" customHeight="false" outlineLevel="0" collapsed="false">
      <c r="A16473" s="3" t="s">
        <v>500</v>
      </c>
      <c r="C16473" s="25" t="n">
        <f aca="false">IF(C16461&gt;0,C16469,C16453)</f>
        <v>0</v>
      </c>
    </row>
    <row r="16474" customFormat="false" ht="15" hidden="false" customHeight="false" outlineLevel="0" collapsed="false">
      <c r="A16474" s="3" t="s">
        <v>501</v>
      </c>
      <c r="C16474" s="25" t="n">
        <f aca="false">IF(C16462&gt;0,C16470,C16454)</f>
        <v>0</v>
      </c>
    </row>
    <row r="16475" customFormat="false" ht="15" hidden="false" customHeight="false" outlineLevel="0" collapsed="false">
      <c r="A16475" s="23" t="s">
        <v>507</v>
      </c>
      <c r="B16475" s="24"/>
      <c r="C16475" s="24"/>
      <c r="D16475" s="24"/>
      <c r="E16475" s="24"/>
      <c r="F16475" s="24"/>
      <c r="G16475" s="24"/>
      <c r="H16475" s="24"/>
      <c r="I16475" s="24"/>
      <c r="J16475" s="24"/>
      <c r="K16475" s="24"/>
    </row>
    <row r="16476" customFormat="false" ht="15" hidden="false" customHeight="false" outlineLevel="0" collapsed="false">
      <c r="A16476" s="3" t="s">
        <v>499</v>
      </c>
      <c r="C16476" s="20" t="n">
        <f aca="false">IF(C16460&gt;0,Assumptions!$C$17,C16456)</f>
        <v>1</v>
      </c>
    </row>
    <row r="16477" customFormat="false" ht="15" hidden="false" customHeight="false" outlineLevel="0" collapsed="false">
      <c r="A16477" s="3" t="s">
        <v>500</v>
      </c>
      <c r="C16477" s="20" t="n">
        <f aca="false">IF(C16461&gt;0,Assumptions!$C$17,C16457)</f>
        <v>2</v>
      </c>
    </row>
    <row r="16478" customFormat="false" ht="15" hidden="false" customHeight="false" outlineLevel="0" collapsed="false">
      <c r="A16478" s="3" t="s">
        <v>501</v>
      </c>
      <c r="C16478" s="20" t="n">
        <f aca="false">IF(C16462&gt;0,Assumptions!$C$17,C16458)</f>
        <v>2</v>
      </c>
    </row>
    <row r="16479" customFormat="false" ht="15" hidden="false" customHeight="false" outlineLevel="0" collapsed="false">
      <c r="A16479" s="23" t="s">
        <v>508</v>
      </c>
      <c r="B16479" s="24"/>
      <c r="C16479" s="24"/>
      <c r="D16479" s="24"/>
      <c r="E16479" s="24"/>
      <c r="F16479" s="24"/>
      <c r="G16479" s="24"/>
      <c r="H16479" s="24"/>
      <c r="I16479" s="24"/>
      <c r="J16479" s="24"/>
      <c r="K16479" s="24"/>
    </row>
    <row r="16480" customFormat="false" ht="15" hidden="false" customHeight="false" outlineLevel="0" collapsed="false">
      <c r="A16480" s="3" t="s">
        <v>499</v>
      </c>
      <c r="C16480" s="25" t="n">
        <f aca="false">SUMPRODUCT(($C$16476:$C$16478&lt;C16476)*$C$16472:$C$16474)</f>
        <v>0</v>
      </c>
    </row>
    <row r="16481" customFormat="false" ht="15" hidden="false" customHeight="false" outlineLevel="0" collapsed="false">
      <c r="A16481" s="3" t="s">
        <v>500</v>
      </c>
      <c r="C16481" s="25" t="n">
        <f aca="false">SUMPRODUCT(($C$16476:$C$16478&lt;C16477)*$C$16472:$C$16474)</f>
        <v>1315.098</v>
      </c>
    </row>
    <row r="16482" customFormat="false" ht="15" hidden="false" customHeight="false" outlineLevel="0" collapsed="false">
      <c r="A16482" s="3" t="s">
        <v>501</v>
      </c>
      <c r="C16482" s="25" t="n">
        <f aca="false">SUMPRODUCT(($C$16476:$C$16478&lt;C16478)*$C$16472:$C$16474)</f>
        <v>1315.098</v>
      </c>
    </row>
    <row r="16483" customFormat="false" ht="15" hidden="false" customHeight="false" outlineLevel="0" collapsed="false">
      <c r="A16483" s="23" t="s">
        <v>509</v>
      </c>
      <c r="B16483" s="24"/>
      <c r="C16483" s="24"/>
      <c r="D16483" s="24"/>
      <c r="E16483" s="24"/>
      <c r="F16483" s="24"/>
      <c r="G16483" s="24"/>
      <c r="H16483" s="24"/>
      <c r="I16483" s="24"/>
      <c r="J16483" s="24"/>
      <c r="K16483" s="24"/>
    </row>
    <row r="16484" customFormat="false" ht="15" hidden="false" customHeight="false" outlineLevel="0" collapsed="false">
      <c r="A16484" s="3" t="s">
        <v>499</v>
      </c>
      <c r="C16484" s="25" t="n">
        <f aca="false">SUMPRODUCT(($C$16476:$C$16478=C16476)*$C$16472:$C$16474)</f>
        <v>1315.098</v>
      </c>
    </row>
    <row r="16485" customFormat="false" ht="15" hidden="false" customHeight="false" outlineLevel="0" collapsed="false">
      <c r="A16485" s="3" t="s">
        <v>500</v>
      </c>
      <c r="C16485" s="25" t="n">
        <f aca="false">SUMPRODUCT(($C$16476:$C$16478=C16477)*$C$16472:$C$16474)</f>
        <v>0</v>
      </c>
    </row>
    <row r="16486" customFormat="false" ht="15" hidden="false" customHeight="false" outlineLevel="0" collapsed="false">
      <c r="A16486" s="3" t="s">
        <v>501</v>
      </c>
      <c r="C16486" s="25" t="n">
        <f aca="false">SUMPRODUCT(($C$16476:$C$16478=C16478)*$C$16472:$C$16474)</f>
        <v>0</v>
      </c>
    </row>
    <row r="16487" customFormat="false" ht="15" hidden="false" customHeight="false" outlineLevel="0" collapsed="false">
      <c r="A16487" s="23" t="s">
        <v>510</v>
      </c>
      <c r="B16487" s="24"/>
      <c r="C16487" s="24"/>
      <c r="D16487" s="24"/>
      <c r="E16487" s="24"/>
      <c r="F16487" s="24"/>
      <c r="G16487" s="24"/>
      <c r="H16487" s="24"/>
      <c r="I16487" s="24"/>
      <c r="J16487" s="24"/>
      <c r="K16487" s="24"/>
    </row>
    <row r="16488" customFormat="false" ht="15" hidden="false" customHeight="false" outlineLevel="0" collapsed="false">
      <c r="A16488" s="3" t="s">
        <v>499</v>
      </c>
      <c r="C16488" s="25" t="n">
        <f aca="false">IF(C16484=0,0,C16472/C16484*MAX(0,MIN(C16484,$C$16450-SUM($C$16464:$C$16466)-C16480)))</f>
        <v>1315.098</v>
      </c>
    </row>
    <row r="16489" customFormat="false" ht="15" hidden="false" customHeight="false" outlineLevel="0" collapsed="false">
      <c r="A16489" s="3" t="s">
        <v>500</v>
      </c>
      <c r="C16489" s="25" t="n">
        <f aca="false">IF(C16485=0,0,C16473/C16485*MAX(0,MIN(C16485,$C$16450-SUM($C$16464:$C$16466)-C16481)))</f>
        <v>0</v>
      </c>
    </row>
    <row r="16490" customFormat="false" ht="15" hidden="false" customHeight="false" outlineLevel="0" collapsed="false">
      <c r="A16490" s="3" t="s">
        <v>501</v>
      </c>
      <c r="C16490" s="25" t="n">
        <f aca="false">IF(C16486=0,0,C16474/C16486*MAX(0,MIN(C16486,$C$16450-SUM($C$16464:$C$16466)-C16482)))</f>
        <v>0</v>
      </c>
    </row>
    <row r="16491" customFormat="false" ht="15" hidden="false" customHeight="false" outlineLevel="0" collapsed="false">
      <c r="A16491" s="23" t="s">
        <v>511</v>
      </c>
      <c r="B16491" s="24"/>
      <c r="C16491" s="24"/>
      <c r="D16491" s="24"/>
      <c r="E16491" s="24"/>
      <c r="F16491" s="24"/>
      <c r="G16491" s="24"/>
      <c r="H16491" s="24"/>
      <c r="I16491" s="24"/>
      <c r="J16491" s="24"/>
      <c r="K16491" s="24"/>
    </row>
    <row r="16492" customFormat="false" ht="15" hidden="false" customHeight="false" outlineLevel="0" collapsed="false">
      <c r="A16492" s="2" t="s">
        <v>499</v>
      </c>
      <c r="C16492" s="16" t="n">
        <f aca="false">C16464+C16488</f>
        <v>1315.098</v>
      </c>
    </row>
    <row r="16493" customFormat="false" ht="15" hidden="false" customHeight="false" outlineLevel="0" collapsed="false">
      <c r="A16493" s="2" t="s">
        <v>500</v>
      </c>
      <c r="C16493" s="16" t="n">
        <f aca="false">C16465+C16489</f>
        <v>0</v>
      </c>
    </row>
    <row r="16494" customFormat="false" ht="15" hidden="false" customHeight="false" outlineLevel="0" collapsed="false">
      <c r="A16494" s="2" t="s">
        <v>501</v>
      </c>
      <c r="C16494" s="16" t="n">
        <f aca="false">C16466+C16490</f>
        <v>0</v>
      </c>
    </row>
    <row r="16495" customFormat="false" ht="15" hidden="false" customHeight="false" outlineLevel="0" collapsed="false">
      <c r="A16495" s="23" t="s">
        <v>512</v>
      </c>
      <c r="B16495" s="24"/>
      <c r="C16495" s="24"/>
      <c r="D16495" s="24"/>
      <c r="E16495" s="24"/>
      <c r="F16495" s="24"/>
      <c r="G16495" s="24"/>
      <c r="H16495" s="24"/>
      <c r="I16495" s="24"/>
      <c r="J16495" s="24"/>
      <c r="K16495" s="24"/>
    </row>
    <row r="16496" customFormat="false" ht="15" hidden="false" customHeight="false" outlineLevel="0" collapsed="false">
      <c r="A16496" s="3" t="s">
        <v>499</v>
      </c>
      <c r="C16496" s="21" t="n">
        <f aca="false">IF(C16452=0,1,C16492/C16452)</f>
        <v>1</v>
      </c>
    </row>
    <row r="16497" customFormat="false" ht="15" hidden="false" customHeight="false" outlineLevel="0" collapsed="false">
      <c r="A16497" s="3" t="s">
        <v>500</v>
      </c>
      <c r="C16497" s="21" t="n">
        <f aca="false">IF(C16453=0,1,C16493/C16453)</f>
        <v>1</v>
      </c>
    </row>
    <row r="16498" customFormat="false" ht="15" hidden="false" customHeight="false" outlineLevel="0" collapsed="false">
      <c r="A16498" s="3" t="s">
        <v>501</v>
      </c>
      <c r="C16498" s="21" t="n">
        <f aca="false">IF(C16454=0,1,C16494/C16454)</f>
        <v>1</v>
      </c>
    </row>
    <row r="16499" customFormat="false" ht="15" hidden="false" customHeight="false" outlineLevel="0" collapsed="false">
      <c r="A16499" s="23" t="s">
        <v>513</v>
      </c>
      <c r="B16499" s="24"/>
      <c r="C16499" s="24"/>
      <c r="D16499" s="24"/>
      <c r="E16499" s="24"/>
      <c r="F16499" s="24"/>
      <c r="G16499" s="24"/>
      <c r="H16499" s="24"/>
      <c r="I16499" s="24"/>
      <c r="J16499" s="24"/>
      <c r="K16499" s="24"/>
    </row>
    <row r="16500" customFormat="false" ht="15" hidden="false" customHeight="false" outlineLevel="0" collapsed="false">
      <c r="A16500" s="3" t="s">
        <v>499</v>
      </c>
      <c r="C16500" s="25" t="n">
        <f aca="false">C16452-C16492</f>
        <v>0</v>
      </c>
    </row>
    <row r="16501" customFormat="false" ht="15" hidden="false" customHeight="false" outlineLevel="0" collapsed="false">
      <c r="A16501" s="3" t="s">
        <v>500</v>
      </c>
      <c r="C16501" s="25" t="n">
        <f aca="false">C16453-C16493</f>
        <v>0</v>
      </c>
    </row>
    <row r="16502" customFormat="false" ht="15" hidden="false" customHeight="false" outlineLevel="0" collapsed="false">
      <c r="A16502" s="3" t="s">
        <v>501</v>
      </c>
      <c r="C16502" s="25" t="n">
        <f aca="false">C16454-C16494</f>
        <v>0</v>
      </c>
    </row>
    <row r="16503" customFormat="false" ht="15" hidden="false" customHeight="false" outlineLevel="0" collapsed="false">
      <c r="A16503" s="23" t="s">
        <v>514</v>
      </c>
      <c r="B16503" s="24"/>
      <c r="C16503" s="24"/>
      <c r="D16503" s="24"/>
      <c r="E16503" s="24"/>
      <c r="F16503" s="24"/>
      <c r="G16503" s="24"/>
      <c r="H16503" s="24"/>
      <c r="I16503" s="24"/>
      <c r="J16503" s="24"/>
      <c r="K16503" s="24"/>
    </row>
    <row r="16504" customFormat="false" ht="15" hidden="false" customHeight="false" outlineLevel="0" collapsed="false">
      <c r="A16504" s="3" t="s">
        <v>499</v>
      </c>
      <c r="C16504" s="21" t="n">
        <f aca="false">IF(C16452=0,0,C16500/C16452)</f>
        <v>0</v>
      </c>
    </row>
    <row r="16505" customFormat="false" ht="15" hidden="false" customHeight="false" outlineLevel="0" collapsed="false">
      <c r="A16505" s="3" t="s">
        <v>500</v>
      </c>
      <c r="C16505" s="21" t="n">
        <f aca="false">IF(C16453=0,0,C16501/C16453)</f>
        <v>0</v>
      </c>
    </row>
    <row r="16506" customFormat="false" ht="15" hidden="false" customHeight="false" outlineLevel="0" collapsed="false">
      <c r="A16506" s="3" t="s">
        <v>501</v>
      </c>
      <c r="C16506" s="21" t="n">
        <f aca="false">IF(C16454=0,0,C16502/C16454)</f>
        <v>0</v>
      </c>
    </row>
    <row r="16507" customFormat="false" ht="15" hidden="false" customHeight="false" outlineLevel="0" collapsed="false">
      <c r="A16507" s="2" t="s">
        <v>515</v>
      </c>
      <c r="C16507" s="16" t="n">
        <f aca="false">MAX(0,$C$16450-SUM($C$16464:$C$16466)-SUM($C$16472:$C$16474))</f>
        <v>583.769778538632</v>
      </c>
    </row>
    <row r="16508" customFormat="false" ht="15" hidden="false" customHeight="false" outlineLevel="0" collapsed="false">
      <c r="A16508" s="3" t="s">
        <v>533</v>
      </c>
      <c r="C16508" s="34" t="n">
        <f aca="false">MIN(C16449,100*CHOOSE(C16439,C16496,C16497,C16498))</f>
        <v>100</v>
      </c>
    </row>
    <row r="16509" customFormat="false" ht="15" hidden="false" customHeight="false" outlineLevel="0" collapsed="false">
      <c r="A16509" s="3" t="s">
        <v>534</v>
      </c>
      <c r="C16509" s="20" t="n">
        <f aca="false">IF(C16369=1,C16444+Assumptions!$C$39,C16443)</f>
        <v>3</v>
      </c>
    </row>
    <row r="16510" customFormat="false" ht="15" hidden="false" customHeight="false" outlineLevel="0" collapsed="false">
      <c r="A16510" s="23" t="s">
        <v>535</v>
      </c>
      <c r="B16510" s="24"/>
      <c r="C16510" s="24"/>
      <c r="D16510" s="24"/>
      <c r="E16510" s="24"/>
      <c r="F16510" s="24"/>
      <c r="G16510" s="24"/>
      <c r="H16510" s="24"/>
      <c r="I16510" s="24"/>
      <c r="J16510" s="24"/>
      <c r="K16510" s="24"/>
    </row>
    <row r="16511" customFormat="false" ht="15" hidden="false" customHeight="false" outlineLevel="0" collapsed="false">
      <c r="A16511" s="3" t="s">
        <v>536</v>
      </c>
      <c r="C16511" s="20" t="n">
        <f aca="false">COLUMN()-COLUMN($C$1)</f>
        <v>0</v>
      </c>
      <c r="D16511" s="20" t="n">
        <f aca="false">COLUMN()-COLUMN($C$1)</f>
        <v>1</v>
      </c>
      <c r="E16511" s="20" t="n">
        <f aca="false">COLUMN()-COLUMN($C$1)</f>
        <v>2</v>
      </c>
      <c r="F16511" s="20" t="n">
        <f aca="false">COLUMN()-COLUMN($C$1)</f>
        <v>3</v>
      </c>
      <c r="G16511" s="20" t="n">
        <f aca="false">COLUMN()-COLUMN($C$1)</f>
        <v>4</v>
      </c>
      <c r="H16511" s="20" t="n">
        <f aca="false">COLUMN()-COLUMN($C$1)</f>
        <v>5</v>
      </c>
      <c r="I16511" s="20" t="n">
        <f aca="false">COLUMN()-COLUMN($C$1)</f>
        <v>6</v>
      </c>
    </row>
    <row r="16512" customFormat="false" ht="15" hidden="false" customHeight="false" outlineLevel="0" collapsed="false">
      <c r="A16512" s="3" t="s">
        <v>537</v>
      </c>
      <c r="D16512" s="31" t="n">
        <f aca="false">CHOOSE($C$16439,G16252,G16265,G16278)</f>
        <v>0.105</v>
      </c>
      <c r="E16512" s="31" t="n">
        <f aca="false">CHOOSE($C$16439,H16252,H16265,H16278)</f>
        <v>0.105</v>
      </c>
      <c r="F16512" s="31" t="n">
        <f aca="false">CHOOSE($C$16439,I16252,I16265,I16278)</f>
        <v>0.105</v>
      </c>
      <c r="G16512" s="31" t="n">
        <f aca="false">CHOOSE($C$16439,J16252,J16265,J16278)</f>
        <v>0.105</v>
      </c>
      <c r="H16512" s="31" t="n">
        <f aca="false">CHOOSE($C$16439,K16252,K16265,K16278)</f>
        <v>0.105</v>
      </c>
    </row>
    <row r="16513" customFormat="false" ht="15" hidden="false" customHeight="false" outlineLevel="0" collapsed="false">
      <c r="A16513" s="3" t="s">
        <v>538</v>
      </c>
      <c r="D16513" s="25" t="n">
        <f aca="false">IF(D16511&lt;=$C$16448,$C$16440*D16512,0)</f>
        <v>10.5</v>
      </c>
      <c r="E16513" s="25" t="n">
        <f aca="false">IF(E16511&lt;=$C$16448,$C$16440*E16512,0)</f>
        <v>10.5</v>
      </c>
      <c r="F16513" s="25" t="n">
        <f aca="false">IF(F16511&lt;=$C$16448,$C$16440*F16512,0)</f>
        <v>10.5</v>
      </c>
      <c r="G16513" s="25" t="n">
        <f aca="false">IF(G16511&lt;=$C$16448,$C$16440*G16512,0)</f>
        <v>0</v>
      </c>
      <c r="H16513" s="25" t="n">
        <f aca="false">IF(H16511&lt;=$C$16448,$C$16440*H16512,0)</f>
        <v>0</v>
      </c>
    </row>
    <row r="16514" customFormat="false" ht="15" hidden="false" customHeight="false" outlineLevel="0" collapsed="false">
      <c r="A16514" s="3" t="s">
        <v>539</v>
      </c>
      <c r="D16514" s="25" t="n">
        <f aca="false">IF(AND($C$16369=0,D16511=$C$16443),$C$16440*$C$16508/100,0)+IF(AND($C$16369=1,D16511=$C$16509),$C$16446,0)</f>
        <v>0</v>
      </c>
      <c r="E16514" s="25" t="n">
        <f aca="false">IF(AND($C$16369=0,E16511=$C$16443),$C$16440*$C$16508/100,0)+IF(AND($C$16369=1,E16511=$C$16509),$C$16446,0)</f>
        <v>0</v>
      </c>
      <c r="F16514" s="25" t="n">
        <f aca="false">IF(AND($C$16369=0,F16511=$C$16443),$C$16440*$C$16508/100,0)+IF(AND($C$16369=1,F16511=$C$16509),$C$16446,0)</f>
        <v>100</v>
      </c>
      <c r="G16514" s="25" t="n">
        <f aca="false">IF(AND($C$16369=0,G16511=$C$16443),$C$16440*$C$16508/100,0)+IF(AND($C$16369=1,G16511=$C$16509),$C$16446,0)</f>
        <v>0</v>
      </c>
      <c r="H16514" s="25" t="n">
        <f aca="false">IF(AND($C$16369=0,H16511=$C$16443),$C$16440*$C$16508/100,0)+IF(AND($C$16369=1,H16511=$C$16509),$C$16446,0)</f>
        <v>0</v>
      </c>
      <c r="I16514" s="25" t="n">
        <f aca="false">IF(AND($C$16369=0,I16511=$C$16443),$C$16440*$C$16508/100,0)+IF(AND($C$16369=1,I16511=$C$16509),$C$16446,0)</f>
        <v>0</v>
      </c>
    </row>
    <row r="16515" customFormat="false" ht="15" hidden="false" customHeight="false" outlineLevel="0" collapsed="false">
      <c r="A16515" s="2" t="s">
        <v>540</v>
      </c>
      <c r="C16515" s="16" t="n">
        <f aca="false">-$C$16442</f>
        <v>-95</v>
      </c>
      <c r="D16515" s="16" t="n">
        <f aca="false">D16513+D16514</f>
        <v>10.5</v>
      </c>
      <c r="E16515" s="16" t="n">
        <f aca="false">E16513+E16514</f>
        <v>10.5</v>
      </c>
      <c r="F16515" s="16" t="n">
        <f aca="false">F16513+F16514</f>
        <v>110.5</v>
      </c>
      <c r="G16515" s="16" t="n">
        <f aca="false">G16513+G16514</f>
        <v>0</v>
      </c>
      <c r="H16515" s="16" t="n">
        <f aca="false">H16513+H16514</f>
        <v>0</v>
      </c>
      <c r="I16515" s="16" t="n">
        <f aca="false">I16513+I16514</f>
        <v>0</v>
      </c>
    </row>
    <row r="16516" customFormat="false" ht="15" hidden="false" customHeight="false" outlineLevel="0" collapsed="false">
      <c r="A16516" s="3" t="s">
        <v>541</v>
      </c>
      <c r="C16516" s="25" t="n">
        <f aca="false">SUM($C$16513:$I$16513)</f>
        <v>31.5</v>
      </c>
    </row>
    <row r="16517" customFormat="false" ht="15" hidden="false" customHeight="false" outlineLevel="0" collapsed="false">
      <c r="A16517" s="3" t="s">
        <v>542</v>
      </c>
      <c r="C16517" s="25" t="n">
        <f aca="false">SUM($C$16514:$I$16514)</f>
        <v>100</v>
      </c>
    </row>
    <row r="16518" customFormat="false" ht="15" hidden="false" customHeight="false" outlineLevel="0" collapsed="false">
      <c r="A16518" s="3" t="s">
        <v>543</v>
      </c>
      <c r="C16518" s="25" t="n">
        <f aca="false">C16516+C16517</f>
        <v>131.5</v>
      </c>
    </row>
    <row r="16519" customFormat="false" ht="15" hidden="false" customHeight="false" outlineLevel="0" collapsed="false">
      <c r="A16519" s="3" t="s">
        <v>544</v>
      </c>
      <c r="C16519" s="25" t="n">
        <f aca="false">C16517-C16440*C16441/100</f>
        <v>5</v>
      </c>
    </row>
    <row r="16520" customFormat="false" ht="15" hidden="false" customHeight="false" outlineLevel="0" collapsed="false">
      <c r="A16520" s="3" t="s">
        <v>545</v>
      </c>
      <c r="C16520" s="25" t="n">
        <f aca="false">C16518-C16442</f>
        <v>36.5</v>
      </c>
    </row>
    <row r="16521" customFormat="false" ht="15" hidden="false" customHeight="false" outlineLevel="0" collapsed="false">
      <c r="A16521" s="2" t="s">
        <v>427</v>
      </c>
      <c r="C16521" s="44" t="n">
        <f aca="false">C16518/C16442</f>
        <v>1.38421052631579</v>
      </c>
    </row>
    <row r="16522" customFormat="false" ht="15" hidden="false" customHeight="false" outlineLevel="0" collapsed="false">
      <c r="A16522" s="2" t="s">
        <v>426</v>
      </c>
      <c r="C16522" s="42" t="n">
        <f aca="false">IF(C16518&lt;=0,-1,IFERROR(IRR($C$16515:$I$16515,MAX(-0.9,C16521^(1/C16509)-1)),IRR($C$16515:$I$16515,0.1)))</f>
        <v>0.126033624615204</v>
      </c>
    </row>
    <row r="16523" customFormat="false" ht="15" hidden="false" customHeight="false" outlineLevel="0" collapsed="false">
      <c r="A16523" s="3" t="s">
        <v>546</v>
      </c>
      <c r="C16523" s="32" t="n">
        <f aca="false">MAX($G$16329:$K$16329)</f>
        <v>3.81499621093561</v>
      </c>
    </row>
    <row r="16524" customFormat="false" ht="15" hidden="false" customHeight="false" outlineLevel="0" collapsed="false">
      <c r="A16524" s="3" t="s">
        <v>547</v>
      </c>
      <c r="C16524" s="32" t="n">
        <f aca="false">MIN($G$16330:$K$16330)</f>
        <v>1.75842750947116</v>
      </c>
    </row>
    <row r="16525" customFormat="false" ht="15" hidden="false" customHeight="false" outlineLevel="0" collapsed="false">
      <c r="A16525" s="3" t="s">
        <v>548</v>
      </c>
      <c r="C16525" s="25" t="n">
        <f aca="false">SUM($G$16236:$K$16236)</f>
        <v>555.588348849095</v>
      </c>
    </row>
    <row r="16529" customFormat="false" ht="15" hidden="false" customHeight="false" outlineLevel="0" collapsed="false">
      <c r="A16529" s="9" t="s">
        <v>1065</v>
      </c>
      <c r="B16529" s="10"/>
      <c r="C16529" s="10"/>
      <c r="D16529" s="10"/>
      <c r="E16529" s="10"/>
      <c r="F16529" s="10"/>
      <c r="G16529" s="10"/>
      <c r="H16529" s="10"/>
      <c r="I16529" s="10"/>
      <c r="J16529" s="10"/>
      <c r="K16529" s="10"/>
    </row>
    <row r="16530" customFormat="false" ht="15" hidden="false" customHeight="false" outlineLevel="0" collapsed="false">
      <c r="A16530" s="3" t="s">
        <v>1010</v>
      </c>
      <c r="C16530" s="11" t="n">
        <v>1</v>
      </c>
    </row>
    <row r="16531" customFormat="false" ht="15" hidden="false" customHeight="false" outlineLevel="0" collapsed="false">
      <c r="A16531" s="3" t="s">
        <v>1011</v>
      </c>
      <c r="C16531" s="18" t="n">
        <v>0</v>
      </c>
    </row>
    <row r="16532" customFormat="false" ht="15" hidden="false" customHeight="false" outlineLevel="0" collapsed="false">
      <c r="A16532" s="3" t="s">
        <v>1012</v>
      </c>
      <c r="C16532" s="18" t="n">
        <v>0</v>
      </c>
    </row>
    <row r="16533" customFormat="false" ht="15" hidden="false" customHeight="false" outlineLevel="0" collapsed="false">
      <c r="A16533" s="3" t="s">
        <v>1013</v>
      </c>
      <c r="C16533" s="18" t="n">
        <v>0</v>
      </c>
    </row>
    <row r="16534" customFormat="false" ht="15" hidden="false" customHeight="false" outlineLevel="0" collapsed="false">
      <c r="A16534" s="3" t="s">
        <v>1014</v>
      </c>
      <c r="C16534" s="33" t="n">
        <f aca="false">Sensitivities!$A$63</f>
        <v>1</v>
      </c>
    </row>
    <row r="16536" customFormat="false" ht="15" hidden="false" customHeight="false" outlineLevel="0" collapsed="false">
      <c r="A16536" s="23" t="s">
        <v>281</v>
      </c>
      <c r="B16536" s="24"/>
      <c r="C16536" s="24"/>
      <c r="D16536" s="24"/>
      <c r="E16536" s="24"/>
      <c r="F16536" s="24"/>
      <c r="G16536" s="24"/>
      <c r="H16536" s="24"/>
      <c r="I16536" s="24"/>
      <c r="J16536" s="24"/>
      <c r="K16536" s="24"/>
    </row>
    <row r="16537" customFormat="false" ht="15" hidden="false" customHeight="false" outlineLevel="0" collapsed="false">
      <c r="A16537" s="3" t="s">
        <v>282</v>
      </c>
      <c r="F16537" s="27" t="n">
        <f aca="false">Assumptions!$C$6</f>
        <v>2026</v>
      </c>
      <c r="G16537" s="20" t="n">
        <f aca="false">F16537+1</f>
        <v>2027</v>
      </c>
      <c r="H16537" s="20" t="n">
        <f aca="false">G16537+1</f>
        <v>2028</v>
      </c>
      <c r="I16537" s="20" t="n">
        <f aca="false">H16537+1</f>
        <v>2029</v>
      </c>
      <c r="J16537" s="20" t="n">
        <f aca="false">I16537+1</f>
        <v>2030</v>
      </c>
      <c r="K16537" s="20" t="n">
        <f aca="false">J16537+1</f>
        <v>2031</v>
      </c>
    </row>
    <row r="16538" customFormat="false" ht="15" hidden="false" customHeight="false" outlineLevel="0" collapsed="false">
      <c r="A16538" s="3" t="s">
        <v>283</v>
      </c>
      <c r="G16538" s="20" t="n">
        <f aca="false">G16537-Assumptions!$C$6</f>
        <v>1</v>
      </c>
      <c r="H16538" s="20" t="n">
        <f aca="false">H16537-Assumptions!$C$6</f>
        <v>2</v>
      </c>
      <c r="I16538" s="20" t="n">
        <f aca="false">I16537-Assumptions!$C$6</f>
        <v>3</v>
      </c>
      <c r="J16538" s="20" t="n">
        <f aca="false">J16537-Assumptions!$C$6</f>
        <v>4</v>
      </c>
      <c r="K16538" s="20" t="n">
        <f aca="false">K16537-Assumptions!$C$6</f>
        <v>5</v>
      </c>
    </row>
    <row r="16539" customFormat="false" ht="15" hidden="false" customHeight="false" outlineLevel="0" collapsed="false">
      <c r="A16539" s="3" t="s">
        <v>165</v>
      </c>
      <c r="G16539" s="21" t="n">
        <f aca="false">CHOOSE($C$16530,Assumptions!$G$71,Assumptions!$G$90,Assumptions!$G$109)+$C$16531</f>
        <v>-0.045</v>
      </c>
      <c r="H16539" s="21" t="n">
        <f aca="false">CHOOSE($C$16530,Assumptions!$H$71,Assumptions!$H$90,Assumptions!$H$109)+$C$16531</f>
        <v>-0.04</v>
      </c>
      <c r="I16539" s="21" t="n">
        <f aca="false">CHOOSE($C$16530,Assumptions!$I$71,Assumptions!$I$90,Assumptions!$I$109)+$C$16531</f>
        <v>-0.035</v>
      </c>
      <c r="J16539" s="21" t="n">
        <f aca="false">CHOOSE($C$16530,Assumptions!$J$71,Assumptions!$J$90,Assumptions!$J$109)+$C$16531</f>
        <v>-0.03</v>
      </c>
      <c r="K16539" s="21" t="n">
        <f aca="false">CHOOSE($C$16530,Assumptions!$K$71,Assumptions!$K$90,Assumptions!$K$109)+$C$16531</f>
        <v>-0.03</v>
      </c>
    </row>
    <row r="16540" customFormat="false" ht="15" hidden="false" customHeight="false" outlineLevel="0" collapsed="false">
      <c r="A16540" s="3" t="s">
        <v>166</v>
      </c>
      <c r="G16540" s="21" t="n">
        <f aca="false">CHOOSE($C$16530,Assumptions!$G$72,Assumptions!$G$91,Assumptions!$G$110)</f>
        <v>0.483246670103635</v>
      </c>
      <c r="H16540" s="21" t="n">
        <f aca="false">CHOOSE($C$16530,Assumptions!$H$72,Assumptions!$H$91,Assumptions!$H$110)</f>
        <v>0.483246670103635</v>
      </c>
      <c r="I16540" s="21" t="n">
        <f aca="false">CHOOSE($C$16530,Assumptions!$I$72,Assumptions!$I$91,Assumptions!$I$110)</f>
        <v>0.481246670103635</v>
      </c>
      <c r="J16540" s="21" t="n">
        <f aca="false">CHOOSE($C$16530,Assumptions!$J$72,Assumptions!$J$91,Assumptions!$J$110)</f>
        <v>0.479246670103635</v>
      </c>
      <c r="K16540" s="21" t="n">
        <f aca="false">CHOOSE($C$16530,Assumptions!$K$72,Assumptions!$K$91,Assumptions!$K$110)</f>
        <v>0.477246670103635</v>
      </c>
    </row>
    <row r="16541" customFormat="false" ht="15" hidden="false" customHeight="false" outlineLevel="0" collapsed="false">
      <c r="A16541" s="3" t="s">
        <v>167</v>
      </c>
      <c r="G16541" s="21" t="n">
        <f aca="false">CHOOSE($C$16530,Assumptions!$G$73,Assumptions!$G$92,Assumptions!$G$111)+$C$16532</f>
        <v>0.14</v>
      </c>
      <c r="H16541" s="21" t="n">
        <f aca="false">CHOOSE($C$16530,Assumptions!$H$73,Assumptions!$H$92,Assumptions!$H$111)+$C$16532</f>
        <v>0.14</v>
      </c>
      <c r="I16541" s="21" t="n">
        <f aca="false">CHOOSE($C$16530,Assumptions!$I$73,Assumptions!$I$92,Assumptions!$I$111)+$C$16532</f>
        <v>0.138</v>
      </c>
      <c r="J16541" s="21" t="n">
        <f aca="false">CHOOSE($C$16530,Assumptions!$J$73,Assumptions!$J$92,Assumptions!$J$111)+$C$16532</f>
        <v>0.136</v>
      </c>
      <c r="K16541" s="21" t="n">
        <f aca="false">CHOOSE($C$16530,Assumptions!$K$73,Assumptions!$K$92,Assumptions!$K$111)+$C$16532</f>
        <v>0.134</v>
      </c>
    </row>
    <row r="16542" customFormat="false" ht="15" hidden="false" customHeight="false" outlineLevel="0" collapsed="false">
      <c r="A16542" s="23" t="s">
        <v>284</v>
      </c>
      <c r="B16542" s="24"/>
      <c r="C16542" s="24"/>
      <c r="D16542" s="24"/>
      <c r="E16542" s="24"/>
      <c r="F16542" s="24"/>
      <c r="G16542" s="24"/>
      <c r="H16542" s="24"/>
      <c r="I16542" s="24"/>
      <c r="J16542" s="24"/>
      <c r="K16542" s="24"/>
    </row>
    <row r="16543" customFormat="false" ht="15" hidden="false" customHeight="false" outlineLevel="0" collapsed="false">
      <c r="A16543" s="2" t="s">
        <v>256</v>
      </c>
      <c r="F16543" s="28" t="n">
        <f aca="false">'Historical Financials'!G23</f>
        <v>2246.166</v>
      </c>
      <c r="G16543" s="16" t="n">
        <f aca="false">F16543*(1+G16539)</f>
        <v>2145.08853</v>
      </c>
      <c r="H16543" s="16" t="n">
        <f aca="false">G16543*(1+H16539)</f>
        <v>2059.2849888</v>
      </c>
      <c r="I16543" s="16" t="n">
        <f aca="false">H16543*(1+I16539)</f>
        <v>1987.210014192</v>
      </c>
      <c r="J16543" s="16" t="n">
        <f aca="false">I16543*(1+J16539)</f>
        <v>1927.59371376624</v>
      </c>
      <c r="K16543" s="16" t="n">
        <f aca="false">J16543*(1+K16539)</f>
        <v>1869.76590235325</v>
      </c>
    </row>
    <row r="16544" customFormat="false" ht="15" hidden="false" customHeight="false" outlineLevel="0" collapsed="false">
      <c r="A16544" s="3" t="s">
        <v>257</v>
      </c>
      <c r="G16544" s="25" t="n">
        <f aca="false">G16543*(1-G16540)</f>
        <v>1108.4816408</v>
      </c>
      <c r="H16544" s="25" t="n">
        <f aca="false">H16543*(1-H16540)</f>
        <v>1064.142375168</v>
      </c>
      <c r="I16544" s="25" t="n">
        <f aca="false">I16543*(1-I16540)</f>
        <v>1030.8718120655</v>
      </c>
      <c r="J16544" s="25" t="n">
        <f aca="false">J16543*(1-J16540)</f>
        <v>1003.80084513107</v>
      </c>
      <c r="K16544" s="25" t="n">
        <f aca="false">K16543*(1-K16540)</f>
        <v>977.426351581845</v>
      </c>
    </row>
    <row r="16545" customFormat="false" ht="15" hidden="false" customHeight="false" outlineLevel="0" collapsed="false">
      <c r="A16545" s="2" t="s">
        <v>258</v>
      </c>
      <c r="G16545" s="16" t="n">
        <f aca="false">G16543-G16544</f>
        <v>1036.6068892</v>
      </c>
      <c r="H16545" s="16" t="n">
        <f aca="false">H16543-H16544</f>
        <v>995.142613632</v>
      </c>
      <c r="I16545" s="16" t="n">
        <f aca="false">I16543-I16544</f>
        <v>956.338202126496</v>
      </c>
      <c r="J16545" s="16" t="n">
        <f aca="false">J16543-J16544</f>
        <v>923.792868635169</v>
      </c>
      <c r="K16545" s="16" t="n">
        <f aca="false">K16543-K16544</f>
        <v>892.339550771407</v>
      </c>
    </row>
    <row r="16546" customFormat="false" ht="15" hidden="false" customHeight="false" outlineLevel="0" collapsed="false">
      <c r="A16546" s="3" t="s">
        <v>285</v>
      </c>
      <c r="G16546" s="25" t="n">
        <f aca="false">G16545-G16547</f>
        <v>736.294495</v>
      </c>
      <c r="H16546" s="25" t="n">
        <f aca="false">H16545-H16547</f>
        <v>706.8427152</v>
      </c>
      <c r="I16546" s="25" t="n">
        <f aca="false">I16545-I16547</f>
        <v>682.103220168</v>
      </c>
      <c r="J16546" s="25" t="n">
        <f aca="false">J16545-J16547</f>
        <v>661.64012356296</v>
      </c>
      <c r="K16546" s="25" t="n">
        <f aca="false">K16545-K16547</f>
        <v>641.790919856071</v>
      </c>
    </row>
    <row r="16547" customFormat="false" ht="15" hidden="false" customHeight="false" outlineLevel="0" collapsed="false">
      <c r="A16547" s="2" t="s">
        <v>286</v>
      </c>
      <c r="G16547" s="16" t="n">
        <f aca="false">G16543*G16541</f>
        <v>300.3123942</v>
      </c>
      <c r="H16547" s="16" t="n">
        <f aca="false">H16543*H16541</f>
        <v>288.299898432</v>
      </c>
      <c r="I16547" s="16" t="n">
        <f aca="false">I16543*I16541</f>
        <v>274.234981958496</v>
      </c>
      <c r="J16547" s="16" t="n">
        <f aca="false">J16543*J16541</f>
        <v>262.152745072209</v>
      </c>
      <c r="K16547" s="16" t="n">
        <f aca="false">K16543*K16541</f>
        <v>250.548630915336</v>
      </c>
    </row>
    <row r="16548" customFormat="false" ht="15" hidden="false" customHeight="false" outlineLevel="0" collapsed="false">
      <c r="A16548" s="3" t="s">
        <v>287</v>
      </c>
      <c r="G16548" s="25" t="n">
        <f aca="false">G16543*'Historical Financials'!G28/'Historical Financials'!G23</f>
        <v>81.45768</v>
      </c>
      <c r="H16548" s="25" t="n">
        <f aca="false">H16543*'Historical Financials'!G28/'Historical Financials'!G23</f>
        <v>78.1993728</v>
      </c>
      <c r="I16548" s="25" t="n">
        <f aca="false">I16543*'Historical Financials'!G28/'Historical Financials'!G23</f>
        <v>75.462394752</v>
      </c>
      <c r="J16548" s="25" t="n">
        <f aca="false">J16543*'Historical Financials'!G28/'Historical Financials'!G23</f>
        <v>73.19852290944</v>
      </c>
      <c r="K16548" s="25" t="n">
        <f aca="false">K16543*'Historical Financials'!G28/'Historical Financials'!G23</f>
        <v>71.0025672221568</v>
      </c>
    </row>
    <row r="16549" customFormat="false" ht="15" hidden="false" customHeight="false" outlineLevel="0" collapsed="false">
      <c r="A16549" s="3" t="s">
        <v>288</v>
      </c>
      <c r="G16549" s="25" t="n">
        <f aca="false">G16543*'Historical Financials'!G29/'Historical Financials'!G23</f>
        <v>23.25998</v>
      </c>
      <c r="H16549" s="25" t="n">
        <f aca="false">H16543*'Historical Financials'!G29/'Historical Financials'!G23</f>
        <v>22.3295808</v>
      </c>
      <c r="I16549" s="25" t="n">
        <f aca="false">I16543*'Historical Financials'!G29/'Historical Financials'!G23</f>
        <v>21.548045472</v>
      </c>
      <c r="J16549" s="25" t="n">
        <f aca="false">J16543*'Historical Financials'!G29/'Historical Financials'!G23</f>
        <v>20.90160410784</v>
      </c>
      <c r="K16549" s="25" t="n">
        <f aca="false">K16543*'Historical Financials'!G29/'Historical Financials'!G23</f>
        <v>20.2745559846048</v>
      </c>
    </row>
    <row r="16550" customFormat="false" ht="15" hidden="false" customHeight="false" outlineLevel="0" collapsed="false">
      <c r="A16550" s="2" t="s">
        <v>289</v>
      </c>
      <c r="G16550" s="16" t="n">
        <f aca="false">G16547-G16548-G16549</f>
        <v>195.5947342</v>
      </c>
      <c r="H16550" s="16" t="n">
        <f aca="false">H16547-H16548-H16549</f>
        <v>187.770944832</v>
      </c>
      <c r="I16550" s="16" t="n">
        <f aca="false">I16547-I16548-I16549</f>
        <v>177.224541734496</v>
      </c>
      <c r="J16550" s="16" t="n">
        <f aca="false">J16547-J16548-J16549</f>
        <v>168.052618054929</v>
      </c>
      <c r="K16550" s="16" t="n">
        <f aca="false">K16547-K16548-K16549</f>
        <v>159.271507708574</v>
      </c>
    </row>
    <row r="16551" customFormat="false" ht="15" hidden="false" customHeight="false" outlineLevel="0" collapsed="false">
      <c r="A16551" s="3" t="s">
        <v>290</v>
      </c>
      <c r="G16551" s="25" t="n">
        <f aca="false">G16577+G16590+G16603</f>
        <v>155.95467</v>
      </c>
      <c r="H16551" s="25" t="n">
        <f aca="false">H16577+H16590+H16603</f>
        <v>155.95467</v>
      </c>
      <c r="I16551" s="25" t="n">
        <f aca="false">I16577+I16590+I16603</f>
        <v>155.95467</v>
      </c>
      <c r="J16551" s="25" t="n">
        <f aca="false">J16577+J16590+J16603</f>
        <v>138.08529</v>
      </c>
      <c r="K16551" s="25" t="n">
        <f aca="false">K16577+K16590+K16603</f>
        <v>138.08529</v>
      </c>
    </row>
    <row r="16552" customFormat="false" ht="15" hidden="false" customHeight="false" outlineLevel="0" collapsed="false">
      <c r="A16552" s="3" t="s">
        <v>291</v>
      </c>
      <c r="G16552" s="25" t="n">
        <f aca="false">G16578+G16591+G16604</f>
        <v>0</v>
      </c>
      <c r="H16552" s="25" t="n">
        <f aca="false">H16578+H16591+H16604</f>
        <v>0</v>
      </c>
      <c r="I16552" s="25" t="n">
        <f aca="false">I16578+I16591+I16604</f>
        <v>0</v>
      </c>
      <c r="J16552" s="25" t="n">
        <f aca="false">J16578+J16591+J16604</f>
        <v>0</v>
      </c>
      <c r="K16552" s="25" t="n">
        <f aca="false">K16578+K16591+K16604</f>
        <v>0</v>
      </c>
    </row>
    <row r="16553" customFormat="false" ht="15" hidden="false" customHeight="false" outlineLevel="0" collapsed="false">
      <c r="A16553" s="3" t="s">
        <v>239</v>
      </c>
      <c r="G16553" s="25" t="n">
        <f aca="false">G16551+G16552</f>
        <v>155.95467</v>
      </c>
      <c r="H16553" s="25" t="n">
        <f aca="false">H16551+H16552</f>
        <v>155.95467</v>
      </c>
      <c r="I16553" s="25" t="n">
        <f aca="false">I16551+I16552</f>
        <v>155.95467</v>
      </c>
      <c r="J16553" s="25" t="n">
        <f aca="false">J16551+J16552</f>
        <v>138.08529</v>
      </c>
      <c r="K16553" s="25" t="n">
        <f aca="false">K16551+K16552</f>
        <v>138.08529</v>
      </c>
    </row>
    <row r="16554" customFormat="false" ht="15" hidden="false" customHeight="false" outlineLevel="0" collapsed="false">
      <c r="A16554" s="2" t="s">
        <v>264</v>
      </c>
      <c r="G16554" s="16" t="n">
        <f aca="false">G16550-G16553</f>
        <v>39.6400642</v>
      </c>
      <c r="H16554" s="16" t="n">
        <f aca="false">H16550-H16553</f>
        <v>31.816274832</v>
      </c>
      <c r="I16554" s="16" t="n">
        <f aca="false">I16550-I16553</f>
        <v>21.269871734496</v>
      </c>
      <c r="J16554" s="16" t="n">
        <f aca="false">J16550-J16553</f>
        <v>29.9673280549286</v>
      </c>
      <c r="K16554" s="16" t="n">
        <f aca="false">K16550-K16553</f>
        <v>21.1862177085742</v>
      </c>
    </row>
    <row r="16555" customFormat="false" ht="15" hidden="false" customHeight="false" outlineLevel="0" collapsed="false">
      <c r="A16555" s="3" t="s">
        <v>292</v>
      </c>
      <c r="G16555" s="25" t="n">
        <f aca="false">MAX(0,G16554)*Assumptions!$C$9</f>
        <v>9.91001604999999</v>
      </c>
      <c r="H16555" s="25" t="n">
        <f aca="false">MAX(0,H16554)*Assumptions!$C$9</f>
        <v>7.95406870799999</v>
      </c>
      <c r="I16555" s="25" t="n">
        <f aca="false">MAX(0,I16554)*Assumptions!$C$9</f>
        <v>5.317467933624</v>
      </c>
      <c r="J16555" s="25" t="n">
        <f aca="false">MAX(0,J16554)*Assumptions!$C$9</f>
        <v>7.49183201373215</v>
      </c>
      <c r="K16555" s="25" t="n">
        <f aca="false">MAX(0,K16554)*Assumptions!$C$9</f>
        <v>5.29655442714356</v>
      </c>
    </row>
    <row r="16556" customFormat="false" ht="15" hidden="false" customHeight="false" outlineLevel="0" collapsed="false">
      <c r="A16556" s="2" t="s">
        <v>293</v>
      </c>
      <c r="G16556" s="16" t="n">
        <f aca="false">G16554-G16555</f>
        <v>29.73004815</v>
      </c>
      <c r="H16556" s="16" t="n">
        <f aca="false">H16554-H16555</f>
        <v>23.862206124</v>
      </c>
      <c r="I16556" s="16" t="n">
        <f aca="false">I16554-I16555</f>
        <v>15.952403800872</v>
      </c>
      <c r="J16556" s="16" t="n">
        <f aca="false">J16554-J16555</f>
        <v>22.4754960411965</v>
      </c>
      <c r="K16556" s="16" t="n">
        <f aca="false">K16554-K16555</f>
        <v>15.8896632814307</v>
      </c>
    </row>
    <row r="16557" customFormat="false" ht="15" hidden="false" customHeight="false" outlineLevel="0" collapsed="false">
      <c r="A16557" s="23" t="s">
        <v>294</v>
      </c>
      <c r="B16557" s="24"/>
      <c r="C16557" s="24"/>
      <c r="D16557" s="24"/>
      <c r="E16557" s="24"/>
      <c r="F16557" s="24"/>
      <c r="G16557" s="24"/>
      <c r="H16557" s="24"/>
      <c r="I16557" s="24"/>
      <c r="J16557" s="24"/>
      <c r="K16557" s="24"/>
    </row>
    <row r="16558" customFormat="false" ht="15" hidden="false" customHeight="false" outlineLevel="0" collapsed="false">
      <c r="A16558" s="3" t="s">
        <v>169</v>
      </c>
      <c r="G16558" s="25" t="n">
        <f aca="false">G16543*CHOOSE($C$16530,Assumptions!$C$75,Assumptions!$C$94,Assumptions!$C$113)</f>
        <v>30.03123942</v>
      </c>
      <c r="H16558" s="25" t="n">
        <f aca="false">H16543*CHOOSE($C$16530,Assumptions!$C$75,Assumptions!$C$94,Assumptions!$C$113)</f>
        <v>28.8299898432</v>
      </c>
      <c r="I16558" s="25" t="n">
        <f aca="false">I16543*CHOOSE($C$16530,Assumptions!$C$75,Assumptions!$C$94,Assumptions!$C$113)</f>
        <v>27.820940198688</v>
      </c>
      <c r="J16558" s="25" t="n">
        <f aca="false">J16543*CHOOSE($C$16530,Assumptions!$C$75,Assumptions!$C$94,Assumptions!$C$113)</f>
        <v>26.9863119927274</v>
      </c>
      <c r="K16558" s="25" t="n">
        <f aca="false">K16543*CHOOSE($C$16530,Assumptions!$C$75,Assumptions!$C$94,Assumptions!$C$113)</f>
        <v>26.1767226329455</v>
      </c>
    </row>
    <row r="16559" customFormat="false" ht="15" hidden="false" customHeight="false" outlineLevel="0" collapsed="false">
      <c r="A16559" s="3" t="s">
        <v>295</v>
      </c>
      <c r="G16559" s="25" t="n">
        <f aca="false">CHOOSE($C$16530,Assumptions!$C$76,Assumptions!$C$95,Assumptions!$C$114)*(G16543-F16543)+CHOOSE($C$16530,Assumptions!$C$77,Assumptions!$C$96,Assumptions!$C$115)*G16543</f>
        <v>-21.4508853</v>
      </c>
      <c r="H16559" s="25" t="n">
        <f aca="false">CHOOSE($C$16530,Assumptions!$C$76,Assumptions!$C$95,Assumptions!$C$114)*(H16543-G16543)+CHOOSE($C$16530,Assumptions!$C$77,Assumptions!$C$96,Assumptions!$C$115)*H16543</f>
        <v>-20.592849888</v>
      </c>
      <c r="I16559" s="25" t="n">
        <f aca="false">CHOOSE($C$16530,Assumptions!$C$76,Assumptions!$C$95,Assumptions!$C$114)*(I16543-H16543)+CHOOSE($C$16530,Assumptions!$C$77,Assumptions!$C$96,Assumptions!$C$115)*I16543</f>
        <v>-19.87210014192</v>
      </c>
      <c r="J16559" s="25" t="n">
        <f aca="false">CHOOSE($C$16530,Assumptions!$C$76,Assumptions!$C$95,Assumptions!$C$114)*(J16543-I16543)+CHOOSE($C$16530,Assumptions!$C$77,Assumptions!$C$96,Assumptions!$C$115)*J16543</f>
        <v>-19.2759371376624</v>
      </c>
      <c r="K16559" s="25" t="n">
        <f aca="false">CHOOSE($C$16530,Assumptions!$C$76,Assumptions!$C$95,Assumptions!$C$114)*(K16543-J16543)+CHOOSE($C$16530,Assumptions!$C$77,Assumptions!$C$96,Assumptions!$C$115)*K16543</f>
        <v>-18.6976590235325</v>
      </c>
    </row>
    <row r="16560" customFormat="false" ht="15" hidden="false" customHeight="false" outlineLevel="0" collapsed="false">
      <c r="A16560" s="2" t="s">
        <v>296</v>
      </c>
      <c r="G16560" s="16" t="n">
        <f aca="false">G16556+G16548+G16549+G16552-G16558-G16559</f>
        <v>125.86735403</v>
      </c>
      <c r="H16560" s="16" t="n">
        <f aca="false">H16556+H16548+H16549+H16552-H16558-H16559</f>
        <v>116.1540197688</v>
      </c>
      <c r="I16560" s="16" t="n">
        <f aca="false">I16556+I16548+I16549+I16552-I16558-I16559</f>
        <v>105.014003968104</v>
      </c>
      <c r="J16560" s="16" t="n">
        <f aca="false">J16556+J16548+J16549+J16552-J16558-J16559</f>
        <v>108.865248203412</v>
      </c>
      <c r="K16560" s="16" t="n">
        <f aca="false">K16556+K16548+K16549+K16552-K16558-K16559</f>
        <v>99.6877228787792</v>
      </c>
    </row>
    <row r="16562" customFormat="false" ht="15" hidden="false" customHeight="false" outlineLevel="0" collapsed="false">
      <c r="A16562" s="23" t="s">
        <v>298</v>
      </c>
      <c r="B16562" s="24"/>
      <c r="C16562" s="24"/>
      <c r="D16562" s="24"/>
      <c r="E16562" s="24"/>
      <c r="F16562" s="24"/>
      <c r="G16562" s="24"/>
      <c r="H16562" s="24"/>
      <c r="I16562" s="24"/>
      <c r="J16562" s="24"/>
      <c r="K16562" s="24"/>
    </row>
    <row r="16563" customFormat="false" ht="15" hidden="false" customHeight="false" outlineLevel="0" collapsed="false">
      <c r="A16563" s="3" t="s">
        <v>299</v>
      </c>
      <c r="G16563" s="30" t="n">
        <f aca="false">Assumptions!$G$52</f>
        <v>0.039</v>
      </c>
      <c r="H16563" s="30" t="n">
        <f aca="false">Assumptions!$H$52</f>
        <v>0.0375</v>
      </c>
      <c r="I16563" s="30" t="n">
        <f aca="false">Assumptions!$I$52</f>
        <v>0.035</v>
      </c>
      <c r="J16563" s="30" t="n">
        <f aca="false">Assumptions!$J$52</f>
        <v>0.035</v>
      </c>
      <c r="K16563" s="30" t="n">
        <f aca="false">Assumptions!$K$52</f>
        <v>0.035</v>
      </c>
    </row>
    <row r="16564" customFormat="false" ht="15" hidden="false" customHeight="false" outlineLevel="0" collapsed="false">
      <c r="A16564" s="3" t="s">
        <v>300</v>
      </c>
      <c r="C16564" s="31" t="n">
        <f aca="false">CHOOSE($C$16530,Assumptions!$C$78,Assumptions!$C$97,Assumptions!$C$116)+$C$16533</f>
        <v>0</v>
      </c>
    </row>
    <row r="16565" customFormat="false" ht="15" hidden="false" customHeight="false" outlineLevel="0" collapsed="false">
      <c r="A16565" s="3" t="s">
        <v>301</v>
      </c>
      <c r="C16565" s="31" t="n">
        <f aca="false">CHOOSE($C$16530,Assumptions!$C$79,Assumptions!$C$98,Assumptions!$C$117)</f>
        <v>0.11</v>
      </c>
    </row>
    <row r="16566" customFormat="false" ht="15" hidden="false" customHeight="false" outlineLevel="0" collapsed="false">
      <c r="A16566" s="3" t="s">
        <v>302</v>
      </c>
      <c r="C16566" s="32" t="n">
        <f aca="false">CHOOSE($C$16530,Assumptions!$C$80,Assumptions!$C$99,Assumptions!$C$118)</f>
        <v>6</v>
      </c>
    </row>
    <row r="16567" customFormat="false" ht="15" hidden="false" customHeight="false" outlineLevel="0" collapsed="false">
      <c r="A16567" s="3" t="s">
        <v>303</v>
      </c>
      <c r="C16567" s="32" t="n">
        <f aca="false">CHOOSE($C$16530,Assumptions!$C$81,Assumptions!$C$100,Assumptions!$C$119)</f>
        <v>1.25</v>
      </c>
    </row>
    <row r="16568" customFormat="false" ht="15" hidden="false" customHeight="false" outlineLevel="0" collapsed="false">
      <c r="A16568" s="3" t="s">
        <v>304</v>
      </c>
      <c r="G16568" s="25" t="n">
        <f aca="false">G16573+G16586+G16599</f>
        <v>1735.554</v>
      </c>
      <c r="H16568" s="25" t="n">
        <f aca="false">H16573+H16586+H16599</f>
        <v>1735.554</v>
      </c>
      <c r="I16568" s="25" t="n">
        <f aca="false">I16573+I16586+I16599</f>
        <v>1735.554</v>
      </c>
      <c r="J16568" s="25" t="n">
        <f aca="false">J16573+J16586+J16599</f>
        <v>1315.098</v>
      </c>
      <c r="K16568" s="25" t="n">
        <f aca="false">K16573+K16586+K16599</f>
        <v>1315.098</v>
      </c>
    </row>
    <row r="16569" customFormat="false" ht="15" hidden="false" customHeight="false" outlineLevel="0" collapsed="false">
      <c r="A16569" s="3" t="s">
        <v>305</v>
      </c>
      <c r="G16569" s="25" t="n">
        <f aca="false">F16642</f>
        <v>463.996</v>
      </c>
      <c r="H16569" s="25" t="n">
        <f aca="false">G16642</f>
        <v>589.86335403</v>
      </c>
      <c r="I16569" s="25" t="n">
        <f aca="false">H16642</f>
        <v>706.0173737988</v>
      </c>
      <c r="J16569" s="25" t="n">
        <f aca="false">I16642</f>
        <v>390.575377766904</v>
      </c>
      <c r="K16569" s="25" t="n">
        <f aca="false">J16642</f>
        <v>499.440625970316</v>
      </c>
    </row>
    <row r="16570" customFormat="false" ht="15" hidden="false" customHeight="false" outlineLevel="0" collapsed="false">
      <c r="A16570" s="3" t="s">
        <v>306</v>
      </c>
      <c r="G16570" s="25" t="n">
        <f aca="false">G16573*IF(G16574=1,$C$16565,IF(Assumptions!$I$56=1,MAX(G16563,Assumptions!$G$56)+Assumptions!$F$56+$C$16564,Assumptions!$E$56))+G16586*IF(G16587=1,$C$16565,IF(Assumptions!$I$57=1,MAX(G16563,Assumptions!$G$57)+Assumptions!$F$57+$C$16564,Assumptions!$E$57))+G16599*IF(G16600=1,$C$16565,IF(Assumptions!$I$58=1,MAX(G16563,Assumptions!$G$58)+Assumptions!$F$58+$C$16564,Assumptions!$E$58))</f>
        <v>155.95467</v>
      </c>
      <c r="H16570" s="25" t="n">
        <f aca="false">H16573*IF(OR(H16574=1,G16720=1),$C$16565,IF(Assumptions!$I$56=1,MAX(H16563,Assumptions!$G$56)+Assumptions!$F$56+$C$16564,Assumptions!$E$56))+H16586*IF(OR(H16587=1,G16721=1),$C$16565,IF(Assumptions!$I$57=1,MAX(H16563,Assumptions!$G$57)+Assumptions!$F$57+$C$16564,Assumptions!$E$57))+H16599*IF(OR(H16600=1,G16722=1),$C$16565,IF(Assumptions!$I$58=1,MAX(H16563,Assumptions!$G$58)+Assumptions!$F$58+$C$16564,Assumptions!$E$58))</f>
        <v>155.95467</v>
      </c>
      <c r="I16570" s="25" t="n">
        <f aca="false">I16573*IF(OR(I16574=1,H16720=1),$C$16565,IF(Assumptions!$I$56=1,MAX(I16563,Assumptions!$G$56)+Assumptions!$F$56+$C$16564,Assumptions!$E$56))+I16586*IF(OR(I16587=1,H16721=1),$C$16565,IF(Assumptions!$I$57=1,MAX(I16563,Assumptions!$G$57)+Assumptions!$F$57+$C$16564,Assumptions!$E$57))+I16599*IF(OR(I16600=1,H16722=1),$C$16565,IF(Assumptions!$I$58=1,MAX(I16563,Assumptions!$G$58)+Assumptions!$F$58+$C$16564,Assumptions!$E$58))</f>
        <v>184.33545</v>
      </c>
      <c r="J16570" s="25" t="n">
        <f aca="false">J16573*IF(OR(J16574=1,I16720=1),$C$16565,IF(Assumptions!$I$56=1,MAX(J16563,Assumptions!$G$56)+Assumptions!$F$56+$C$16564,Assumptions!$E$56))+J16586*IF(OR(J16587=1,I16721=1),$C$16565,IF(Assumptions!$I$57=1,MAX(J16563,Assumptions!$G$57)+Assumptions!$F$57+$C$16564,Assumptions!$E$57))+J16599*IF(OR(J16600=1,I16722=1),$C$16565,IF(Assumptions!$I$58=1,MAX(J16563,Assumptions!$G$58)+Assumptions!$F$58+$C$16564,Assumptions!$E$58))</f>
        <v>138.08529</v>
      </c>
      <c r="K16570" s="25" t="n">
        <f aca="false">K16573*IF(OR(K16574=1,J16720=1),$C$16565,IF(Assumptions!$I$56=1,MAX(K16563,Assumptions!$G$56)+Assumptions!$F$56+$C$16564,Assumptions!$E$56))+K16586*IF(OR(K16587=1,J16721=1),$C$16565,IF(Assumptions!$I$57=1,MAX(K16563,Assumptions!$G$57)+Assumptions!$F$57+$C$16564,Assumptions!$E$57))+K16599*IF(OR(K16600=1,J16722=1),$C$16565,IF(Assumptions!$I$58=1,MAX(K16563,Assumptions!$G$58)+Assumptions!$F$58+$C$16564,Assumptions!$E$58))</f>
        <v>138.08529</v>
      </c>
    </row>
    <row r="16571" customFormat="false" ht="15" hidden="false" customHeight="false" outlineLevel="0" collapsed="false">
      <c r="A16571" s="3" t="s">
        <v>307</v>
      </c>
      <c r="G16571" s="20" t="n">
        <f aca="false">IF(G16547&lt;=0,0,IF(AND((G16568-G16569)/G16547&lt;=$C$16566,G16547/G16570&gt;=$C$16567),1,0))</f>
        <v>1</v>
      </c>
      <c r="H16571" s="20" t="n">
        <f aca="false">IF(H16547&lt;=0,0,IF(AND((H16568-H16569)/H16547&lt;=$C$16566,H16547/H16570&gt;=$C$16567),1,0))</f>
        <v>1</v>
      </c>
      <c r="I16571" s="20" t="n">
        <f aca="false">IF(I16547&lt;=0,0,IF(AND((I16568-I16569)/I16547&lt;=$C$16566,I16547/I16570&gt;=$C$16567),1,0))</f>
        <v>1</v>
      </c>
      <c r="J16571" s="20" t="n">
        <f aca="false">IF(J16547&lt;=0,0,IF(AND((J16568-J16569)/J16547&lt;=$C$16566,J16547/J16570&gt;=$C$16567),1,0))</f>
        <v>1</v>
      </c>
      <c r="K16571" s="20" t="n">
        <f aca="false">IF(K16547&lt;=0,0,IF(AND((K16568-K16569)/K16547&lt;=$C$16566,K16547/K16570&gt;=$C$16567),1,0))</f>
        <v>1</v>
      </c>
    </row>
    <row r="16572" customFormat="false" ht="15" hidden="false" customHeight="false" outlineLevel="0" collapsed="false">
      <c r="A16572" s="23" t="s">
        <v>308</v>
      </c>
      <c r="B16572" s="24"/>
      <c r="C16572" s="24"/>
      <c r="D16572" s="24"/>
      <c r="E16572" s="24"/>
      <c r="F16572" s="24"/>
      <c r="G16572" s="24"/>
      <c r="H16572" s="24"/>
      <c r="I16572" s="24"/>
      <c r="J16572" s="24"/>
      <c r="K16572" s="24"/>
    </row>
    <row r="16573" customFormat="false" ht="15" hidden="false" customHeight="false" outlineLevel="0" collapsed="false">
      <c r="A16573" s="3" t="s">
        <v>309</v>
      </c>
      <c r="G16573" s="25" t="n">
        <f aca="false">F16584</f>
        <v>1315.098</v>
      </c>
      <c r="H16573" s="25" t="n">
        <f aca="false">G16584</f>
        <v>1315.098</v>
      </c>
      <c r="I16573" s="25" t="n">
        <f aca="false">H16584</f>
        <v>1315.098</v>
      </c>
      <c r="J16573" s="25" t="n">
        <f aca="false">I16584</f>
        <v>1315.098</v>
      </c>
      <c r="K16573" s="25" t="n">
        <f aca="false">J16584</f>
        <v>1315.098</v>
      </c>
    </row>
    <row r="16574" customFormat="false" ht="15" hidden="false" customHeight="false" outlineLevel="0" collapsed="false">
      <c r="A16574" s="3" t="s">
        <v>310</v>
      </c>
      <c r="G16574" s="20" t="n">
        <f aca="false">IF(G16537=Assumptions!$K$56,1,0)</f>
        <v>0</v>
      </c>
      <c r="H16574" s="20" t="n">
        <f aca="false">IF(H16537=Assumptions!$K$56,1,0)</f>
        <v>0</v>
      </c>
      <c r="I16574" s="20" t="n">
        <f aca="false">IF(I16537=Assumptions!$K$56,1,0)</f>
        <v>0</v>
      </c>
      <c r="J16574" s="20" t="n">
        <f aca="false">IF(J16537=Assumptions!$K$56,1,0)</f>
        <v>0</v>
      </c>
      <c r="K16574" s="20" t="n">
        <f aca="false">IF(K16537=Assumptions!$K$56,1,0)</f>
        <v>0</v>
      </c>
    </row>
    <row r="16576" customFormat="false" ht="15" hidden="false" customHeight="false" outlineLevel="0" collapsed="false">
      <c r="A16576" s="3" t="s">
        <v>311</v>
      </c>
      <c r="G16576" s="31" t="n">
        <f aca="false">IF(Assumptions!$I$56=1,MAX(G16563,Assumptions!$G$56)+Assumptions!$F$56+$C$16564,Assumptions!$E$56)</f>
        <v>0.105</v>
      </c>
      <c r="H16576" s="31" t="n">
        <f aca="false">IF(G16720=1,$C$16565,IF(Assumptions!$I$56=1,MAX(H16563,Assumptions!$G$56)+Assumptions!$F$56+$C$16564,Assumptions!$E$56))</f>
        <v>0.105</v>
      </c>
      <c r="I16576" s="31" t="n">
        <f aca="false">IF(H16720=1,$C$16565,IF(Assumptions!$I$56=1,MAX(I16563,Assumptions!$G$56)+Assumptions!$F$56+$C$16564,Assumptions!$E$56))</f>
        <v>0.105</v>
      </c>
      <c r="J16576" s="31" t="n">
        <f aca="false">IF(I16720=1,$C$16565,IF(Assumptions!$I$56=1,MAX(J16563,Assumptions!$G$56)+Assumptions!$F$56+$C$16564,Assumptions!$E$56))</f>
        <v>0.105</v>
      </c>
      <c r="K16576" s="31" t="n">
        <f aca="false">IF(J16720=1,$C$16565,IF(Assumptions!$I$56=1,MAX(K16563,Assumptions!$G$56)+Assumptions!$F$56+$C$16564,Assumptions!$E$56))</f>
        <v>0.105</v>
      </c>
    </row>
    <row r="16577" customFormat="false" ht="15" hidden="false" customHeight="false" outlineLevel="0" collapsed="false">
      <c r="A16577" s="3" t="s">
        <v>312</v>
      </c>
      <c r="G16577" s="25" t="n">
        <f aca="false">G16573*G16576</f>
        <v>138.08529</v>
      </c>
      <c r="H16577" s="25" t="n">
        <f aca="false">H16573*H16576</f>
        <v>138.08529</v>
      </c>
      <c r="I16577" s="25" t="n">
        <f aca="false">I16573*I16576</f>
        <v>138.08529</v>
      </c>
      <c r="J16577" s="25" t="n">
        <f aca="false">J16573*J16576</f>
        <v>138.08529</v>
      </c>
      <c r="K16577" s="25" t="n">
        <f aca="false">K16573*K16576</f>
        <v>138.08529</v>
      </c>
    </row>
    <row r="16578" customFormat="false" ht="15" hidden="false" customHeight="false" outlineLevel="0" collapsed="false">
      <c r="A16578" s="3" t="s">
        <v>313</v>
      </c>
      <c r="G16578" s="25" t="n">
        <f aca="false">G16573*Assumptions!$H$56</f>
        <v>0</v>
      </c>
      <c r="H16578" s="25" t="n">
        <f aca="false">H16573*Assumptions!$H$56</f>
        <v>0</v>
      </c>
      <c r="I16578" s="25" t="n">
        <f aca="false">I16573*Assumptions!$H$56</f>
        <v>0</v>
      </c>
      <c r="J16578" s="25" t="n">
        <f aca="false">J16573*Assumptions!$H$56</f>
        <v>0</v>
      </c>
      <c r="K16578" s="25" t="n">
        <f aca="false">K16573*Assumptions!$H$56</f>
        <v>0</v>
      </c>
    </row>
    <row r="16579" customFormat="false" ht="15" hidden="false" customHeight="false" outlineLevel="0" collapsed="false">
      <c r="A16579" s="3" t="s">
        <v>314</v>
      </c>
      <c r="G16579" s="25" t="n">
        <f aca="false">MIN(G16573,Assumptions!$L$56*Assumptions!$C$56)</f>
        <v>0</v>
      </c>
      <c r="H16579" s="25" t="n">
        <f aca="false">MIN(H16573,Assumptions!$L$56*Assumptions!$C$56)</f>
        <v>0</v>
      </c>
      <c r="I16579" s="25" t="n">
        <f aca="false">MIN(I16573,Assumptions!$L$56*Assumptions!$C$56)</f>
        <v>0</v>
      </c>
      <c r="J16579" s="25" t="n">
        <f aca="false">MIN(J16573,Assumptions!$L$56*Assumptions!$C$56)</f>
        <v>0</v>
      </c>
      <c r="K16579" s="25" t="n">
        <f aca="false">MIN(K16573,Assumptions!$L$56*Assumptions!$C$56)</f>
        <v>0</v>
      </c>
    </row>
    <row r="16580" customFormat="false" ht="15" hidden="false" customHeight="false" outlineLevel="0" collapsed="false">
      <c r="A16580" s="3" t="s">
        <v>315</v>
      </c>
      <c r="G16580" s="25" t="n">
        <f aca="false">IF(AND(Assumptions!$P$56=1,G16537&lt;Assumptions!$K$56),MIN(MAX(0,-G16634),MAX(0,Assumptions!$D$56-G16573)),0)</f>
        <v>0</v>
      </c>
      <c r="H16580" s="25" t="n">
        <f aca="false">IF(AND(Assumptions!$P$56=1,OR(H16537&lt;Assumptions!$K$56,G16720=1)),MIN(MAX(0,-H16634),MAX(0,Assumptions!$D$56-H16573)),0)</f>
        <v>0</v>
      </c>
      <c r="I16580" s="25" t="n">
        <f aca="false">IF(AND(Assumptions!$P$56=1,OR(I16537&lt;Assumptions!$K$56,H16720=1)),MIN(MAX(0,-I16634),MAX(0,Assumptions!$D$56-I16573)),0)</f>
        <v>0</v>
      </c>
      <c r="J16580" s="25" t="n">
        <f aca="false">IF(AND(Assumptions!$P$56=1,OR(J16537&lt;Assumptions!$K$56,I16720=1)),MIN(MAX(0,-J16634),MAX(0,Assumptions!$D$56-J16573)),0)</f>
        <v>0</v>
      </c>
      <c r="K16580" s="25" t="n">
        <f aca="false">IF(AND(Assumptions!$P$56=1,OR(K16537&lt;Assumptions!$K$56,J16720=1)),MIN(MAX(0,-K16634),MAX(0,Assumptions!$D$56-K16573)),0)</f>
        <v>0</v>
      </c>
    </row>
    <row r="16581" customFormat="false" ht="15" hidden="false" customHeight="false" outlineLevel="0" collapsed="false">
      <c r="A16581" s="3" t="s">
        <v>316</v>
      </c>
      <c r="G16581" s="25" t="n">
        <f aca="false">G16574*MIN(G16573-G16579+G16578,MAX(0,G16636-Assumptions!$C$12*G16571))</f>
        <v>0</v>
      </c>
      <c r="H16581" s="25" t="n">
        <f aca="false">H16574*MIN(H16573-H16579+H16578,MAX(0,H16636-Assumptions!$C$12*H16571))</f>
        <v>0</v>
      </c>
      <c r="I16581" s="25" t="n">
        <f aca="false">I16574*MIN(I16573-I16579+I16578,MAX(0,I16636-Assumptions!$C$12*I16571))</f>
        <v>0</v>
      </c>
      <c r="J16581" s="25" t="n">
        <f aca="false">J16574*MIN(J16573-J16579+J16578,MAX(0,J16636-Assumptions!$C$12*J16571))</f>
        <v>0</v>
      </c>
      <c r="K16581" s="25" t="n">
        <f aca="false">K16574*MIN(K16573-K16579+K16578,MAX(0,K16636-Assumptions!$C$12*K16571))</f>
        <v>0</v>
      </c>
    </row>
    <row r="16582" customFormat="false" ht="15" hidden="false" customHeight="false" outlineLevel="0" collapsed="false">
      <c r="A16582" s="3" t="s">
        <v>317</v>
      </c>
      <c r="G16582" s="25" t="n">
        <f aca="false">Assumptions!$N$56*MIN(G16573+G16580+G16578-G16579-G16581,MAX(0,G16640))</f>
        <v>0</v>
      </c>
      <c r="H16582" s="25" t="n">
        <f aca="false">Assumptions!$N$56*MIN(H16573+H16580+H16578-H16579-H16581,MAX(0,H16640))</f>
        <v>0</v>
      </c>
      <c r="I16582" s="25" t="n">
        <f aca="false">Assumptions!$N$56*MIN(I16573+I16580+I16578-I16579-I16581,MAX(0,I16640))</f>
        <v>0</v>
      </c>
      <c r="J16582" s="25" t="n">
        <f aca="false">Assumptions!$N$56*MIN(J16573+J16580+J16578-J16579-J16581,MAX(0,J16640))</f>
        <v>0</v>
      </c>
      <c r="K16582" s="25" t="n">
        <f aca="false">Assumptions!$N$56*MIN(K16573+K16580+K16578-K16579-K16581,MAX(0,K16640))</f>
        <v>0</v>
      </c>
    </row>
    <row r="16583" customFormat="false" ht="15" hidden="false" customHeight="false" outlineLevel="0" collapsed="false">
      <c r="A16583" s="3" t="s">
        <v>318</v>
      </c>
      <c r="G16583" s="25" t="n">
        <f aca="false">G16574*(1-G16571)*(G16573-G16579+G16578-G16581)</f>
        <v>0</v>
      </c>
      <c r="H16583" s="25" t="n">
        <f aca="false">H16574*(1-H16571)*(H16573-H16579+H16578-H16581)</f>
        <v>0</v>
      </c>
      <c r="I16583" s="25" t="n">
        <f aca="false">I16574*(1-I16571)*(I16573-I16579+I16578-I16581)</f>
        <v>0</v>
      </c>
      <c r="J16583" s="25" t="n">
        <f aca="false">J16574*(1-J16571)*(J16573-J16579+J16578-J16581)</f>
        <v>0</v>
      </c>
      <c r="K16583" s="25" t="n">
        <f aca="false">K16574*(1-K16571)*(K16573-K16579+K16578-K16581)</f>
        <v>0</v>
      </c>
    </row>
    <row r="16584" customFormat="false" ht="15" hidden="false" customHeight="false" outlineLevel="0" collapsed="false">
      <c r="A16584" s="2" t="s">
        <v>319</v>
      </c>
      <c r="F16584" s="28" t="n">
        <f aca="false">Assumptions!$C$56</f>
        <v>1315.098</v>
      </c>
      <c r="G16584" s="16" t="n">
        <f aca="false">G16573+G16580+G16578-G16579-G16581-G16582</f>
        <v>1315.098</v>
      </c>
      <c r="H16584" s="16" t="n">
        <f aca="false">H16573+H16580+H16578-H16579-H16581-H16582</f>
        <v>1315.098</v>
      </c>
      <c r="I16584" s="16" t="n">
        <f aca="false">I16573+I16580+I16578-I16579-I16581-I16582</f>
        <v>1315.098</v>
      </c>
      <c r="J16584" s="16" t="n">
        <f aca="false">J16573+J16580+J16578-J16579-J16581-J16582</f>
        <v>1315.098</v>
      </c>
      <c r="K16584" s="16" t="n">
        <f aca="false">K16573+K16580+K16578-K16579-K16581-K16582</f>
        <v>1315.098</v>
      </c>
    </row>
    <row r="16585" customFormat="false" ht="15" hidden="false" customHeight="false" outlineLevel="0" collapsed="false">
      <c r="A16585" s="23" t="s">
        <v>320</v>
      </c>
      <c r="B16585" s="24"/>
      <c r="C16585" s="24"/>
      <c r="D16585" s="24"/>
      <c r="E16585" s="24"/>
      <c r="F16585" s="24"/>
      <c r="G16585" s="24"/>
      <c r="H16585" s="24"/>
      <c r="I16585" s="24"/>
      <c r="J16585" s="24"/>
      <c r="K16585" s="24"/>
    </row>
    <row r="16586" customFormat="false" ht="15" hidden="false" customHeight="false" outlineLevel="0" collapsed="false">
      <c r="A16586" s="3" t="s">
        <v>309</v>
      </c>
      <c r="G16586" s="25" t="n">
        <f aca="false">F16597</f>
        <v>276.706</v>
      </c>
      <c r="H16586" s="25" t="n">
        <f aca="false">G16597</f>
        <v>276.706</v>
      </c>
      <c r="I16586" s="25" t="n">
        <f aca="false">H16597</f>
        <v>276.706</v>
      </c>
      <c r="J16586" s="25" t="n">
        <f aca="false">I16597</f>
        <v>0</v>
      </c>
      <c r="K16586" s="25" t="n">
        <f aca="false">J16597</f>
        <v>0</v>
      </c>
    </row>
    <row r="16587" customFormat="false" ht="15" hidden="false" customHeight="false" outlineLevel="0" collapsed="false">
      <c r="A16587" s="3" t="s">
        <v>310</v>
      </c>
      <c r="G16587" s="20" t="n">
        <f aca="false">IF(G16537=Assumptions!$K$57,1,0)</f>
        <v>0</v>
      </c>
      <c r="H16587" s="20" t="n">
        <f aca="false">IF(H16537=Assumptions!$K$57,1,0)</f>
        <v>0</v>
      </c>
      <c r="I16587" s="20" t="n">
        <f aca="false">IF(I16537=Assumptions!$K$57,1,0)</f>
        <v>1</v>
      </c>
      <c r="J16587" s="20" t="n">
        <f aca="false">IF(J16537=Assumptions!$K$57,1,0)</f>
        <v>0</v>
      </c>
      <c r="K16587" s="20" t="n">
        <f aca="false">IF(K16537=Assumptions!$K$57,1,0)</f>
        <v>0</v>
      </c>
    </row>
    <row r="16589" customFormat="false" ht="15" hidden="false" customHeight="false" outlineLevel="0" collapsed="false">
      <c r="A16589" s="3" t="s">
        <v>311</v>
      </c>
      <c r="G16589" s="31" t="n">
        <f aca="false">IF(Assumptions!$I$57=1,MAX(G16563,Assumptions!$G$57)+Assumptions!$F$57+$C$16564,Assumptions!$E$57)</f>
        <v>0.0425</v>
      </c>
      <c r="H16589" s="31" t="n">
        <f aca="false">IF(G16721=1,$C$16565,IF(Assumptions!$I$57=1,MAX(H16563,Assumptions!$G$57)+Assumptions!$F$57+$C$16564,Assumptions!$E$57))</f>
        <v>0.0425</v>
      </c>
      <c r="I16589" s="31" t="n">
        <f aca="false">IF(H16721=1,$C$16565,IF(Assumptions!$I$57=1,MAX(I16563,Assumptions!$G$57)+Assumptions!$F$57+$C$16564,Assumptions!$E$57))</f>
        <v>0.0425</v>
      </c>
      <c r="J16589" s="31" t="n">
        <f aca="false">IF(I16721=1,$C$16565,IF(Assumptions!$I$57=1,MAX(J16563,Assumptions!$G$57)+Assumptions!$F$57+$C$16564,Assumptions!$E$57))</f>
        <v>0.11</v>
      </c>
      <c r="K16589" s="31" t="n">
        <f aca="false">IF(J16721=1,$C$16565,IF(Assumptions!$I$57=1,MAX(K16563,Assumptions!$G$57)+Assumptions!$F$57+$C$16564,Assumptions!$E$57))</f>
        <v>0.11</v>
      </c>
    </row>
    <row r="16590" customFormat="false" ht="15" hidden="false" customHeight="false" outlineLevel="0" collapsed="false">
      <c r="A16590" s="3" t="s">
        <v>312</v>
      </c>
      <c r="G16590" s="25" t="n">
        <f aca="false">G16586*G16589</f>
        <v>11.760005</v>
      </c>
      <c r="H16590" s="25" t="n">
        <f aca="false">H16586*H16589</f>
        <v>11.760005</v>
      </c>
      <c r="I16590" s="25" t="n">
        <f aca="false">I16586*I16589</f>
        <v>11.760005</v>
      </c>
      <c r="J16590" s="25" t="n">
        <f aca="false">J16586*J16589</f>
        <v>0</v>
      </c>
      <c r="K16590" s="25" t="n">
        <f aca="false">K16586*K16589</f>
        <v>0</v>
      </c>
    </row>
    <row r="16591" customFormat="false" ht="15" hidden="false" customHeight="false" outlineLevel="0" collapsed="false">
      <c r="A16591" s="3" t="s">
        <v>313</v>
      </c>
      <c r="G16591" s="25" t="n">
        <f aca="false">G16586*Assumptions!$H$57</f>
        <v>0</v>
      </c>
      <c r="H16591" s="25" t="n">
        <f aca="false">H16586*Assumptions!$H$57</f>
        <v>0</v>
      </c>
      <c r="I16591" s="25" t="n">
        <f aca="false">I16586*Assumptions!$H$57</f>
        <v>0</v>
      </c>
      <c r="J16591" s="25" t="n">
        <f aca="false">J16586*Assumptions!$H$57</f>
        <v>0</v>
      </c>
      <c r="K16591" s="25" t="n">
        <f aca="false">K16586*Assumptions!$H$57</f>
        <v>0</v>
      </c>
    </row>
    <row r="16592" customFormat="false" ht="15" hidden="false" customHeight="false" outlineLevel="0" collapsed="false">
      <c r="A16592" s="3" t="s">
        <v>314</v>
      </c>
      <c r="G16592" s="25" t="n">
        <f aca="false">MIN(G16586,Assumptions!$L$57*Assumptions!$C$57)</f>
        <v>0</v>
      </c>
      <c r="H16592" s="25" t="n">
        <f aca="false">MIN(H16586,Assumptions!$L$57*Assumptions!$C$57)</f>
        <v>0</v>
      </c>
      <c r="I16592" s="25" t="n">
        <f aca="false">MIN(I16586,Assumptions!$L$57*Assumptions!$C$57)</f>
        <v>0</v>
      </c>
      <c r="J16592" s="25" t="n">
        <f aca="false">MIN(J16586,Assumptions!$L$57*Assumptions!$C$57)</f>
        <v>0</v>
      </c>
      <c r="K16592" s="25" t="n">
        <f aca="false">MIN(K16586,Assumptions!$L$57*Assumptions!$C$57)</f>
        <v>0</v>
      </c>
    </row>
    <row r="16593" customFormat="false" ht="15" hidden="false" customHeight="false" outlineLevel="0" collapsed="false">
      <c r="A16593" s="3" t="s">
        <v>315</v>
      </c>
      <c r="G16593" s="25" t="n">
        <f aca="false">IF(AND(Assumptions!$P$57=1,G16537&lt;Assumptions!$K$57),MIN(MAX(0,-G16634),MAX(0,Assumptions!$D$57-G16586)),0)</f>
        <v>0</v>
      </c>
      <c r="H16593" s="25" t="n">
        <f aca="false">IF(AND(Assumptions!$P$57=1,OR(H16537&lt;Assumptions!$K$57,G16721=1)),MIN(MAX(0,-H16634),MAX(0,Assumptions!$D$57-H16586)),0)</f>
        <v>0</v>
      </c>
      <c r="I16593" s="25" t="n">
        <f aca="false">IF(AND(Assumptions!$P$57=1,OR(I16537&lt;Assumptions!$K$57,H16721=1)),MIN(MAX(0,-I16634),MAX(0,Assumptions!$D$57-I16586)),0)</f>
        <v>0</v>
      </c>
      <c r="J16593" s="25" t="n">
        <f aca="false">IF(AND(Assumptions!$P$57=1,OR(J16537&lt;Assumptions!$K$57,I16721=1)),MIN(MAX(0,-J16634),MAX(0,Assumptions!$D$57-J16586)),0)</f>
        <v>0</v>
      </c>
      <c r="K16593" s="25" t="n">
        <f aca="false">IF(AND(Assumptions!$P$57=1,OR(K16537&lt;Assumptions!$K$57,J16721=1)),MIN(MAX(0,-K16634),MAX(0,Assumptions!$D$57-K16586)),0)</f>
        <v>0</v>
      </c>
    </row>
    <row r="16594" customFormat="false" ht="15" hidden="false" customHeight="false" outlineLevel="0" collapsed="false">
      <c r="A16594" s="3" t="s">
        <v>316</v>
      </c>
      <c r="G16594" s="25" t="n">
        <f aca="false">G16587*MIN(G16586-G16592+G16591,MAX(0,G16636-Assumptions!$C$12*G16571-G16581))</f>
        <v>0</v>
      </c>
      <c r="H16594" s="25" t="n">
        <f aca="false">H16587*MIN(H16586-H16592+H16591,MAX(0,H16636-Assumptions!$C$12*H16571-H16581))</f>
        <v>0</v>
      </c>
      <c r="I16594" s="25" t="n">
        <f aca="false">I16587*MIN(I16586-I16592+I16591,MAX(0,I16636-Assumptions!$C$12*I16571-I16581))</f>
        <v>276.706</v>
      </c>
      <c r="J16594" s="25" t="n">
        <f aca="false">J16587*MIN(J16586-J16592+J16591,MAX(0,J16636-Assumptions!$C$12*J16571-J16581))</f>
        <v>0</v>
      </c>
      <c r="K16594" s="25" t="n">
        <f aca="false">K16587*MIN(K16586-K16592+K16591,MAX(0,K16636-Assumptions!$C$12*K16571-K16581))</f>
        <v>0</v>
      </c>
    </row>
    <row r="16595" customFormat="false" ht="15" hidden="false" customHeight="false" outlineLevel="0" collapsed="false">
      <c r="A16595" s="3" t="s">
        <v>317</v>
      </c>
      <c r="G16595" s="25" t="n">
        <f aca="false">Assumptions!$N$57*MIN(G16586+G16593+G16591-G16592-G16594,MAX(0,G16640-G16582))</f>
        <v>0</v>
      </c>
      <c r="H16595" s="25" t="n">
        <f aca="false">Assumptions!$N$57*MIN(H16586+H16593+H16591-H16592-H16594,MAX(0,H16640-H16582))</f>
        <v>0</v>
      </c>
      <c r="I16595" s="25" t="n">
        <f aca="false">Assumptions!$N$57*MIN(I16586+I16593+I16591-I16592-I16594,MAX(0,I16640-I16582))</f>
        <v>0</v>
      </c>
      <c r="J16595" s="25" t="n">
        <f aca="false">Assumptions!$N$57*MIN(J16586+J16593+J16591-J16592-J16594,MAX(0,J16640-J16582))</f>
        <v>0</v>
      </c>
      <c r="K16595" s="25" t="n">
        <f aca="false">Assumptions!$N$57*MIN(K16586+K16593+K16591-K16592-K16594,MAX(0,K16640-K16582))</f>
        <v>0</v>
      </c>
    </row>
    <row r="16596" customFormat="false" ht="15" hidden="false" customHeight="false" outlineLevel="0" collapsed="false">
      <c r="A16596" s="3" t="s">
        <v>318</v>
      </c>
      <c r="G16596" s="25" t="n">
        <f aca="false">G16587*(1-G16571)*(G16586-G16592+G16591-G16594)</f>
        <v>0</v>
      </c>
      <c r="H16596" s="25" t="n">
        <f aca="false">H16587*(1-H16571)*(H16586-H16592+H16591-H16594)</f>
        <v>0</v>
      </c>
      <c r="I16596" s="25" t="n">
        <f aca="false">I16587*(1-I16571)*(I16586-I16592+I16591-I16594)</f>
        <v>0</v>
      </c>
      <c r="J16596" s="25" t="n">
        <f aca="false">J16587*(1-J16571)*(J16586-J16592+J16591-J16594)</f>
        <v>0</v>
      </c>
      <c r="K16596" s="25" t="n">
        <f aca="false">K16587*(1-K16571)*(K16586-K16592+K16591-K16594)</f>
        <v>0</v>
      </c>
    </row>
    <row r="16597" customFormat="false" ht="15" hidden="false" customHeight="false" outlineLevel="0" collapsed="false">
      <c r="A16597" s="2" t="s">
        <v>319</v>
      </c>
      <c r="F16597" s="28" t="n">
        <f aca="false">Assumptions!$C$57</f>
        <v>276.706</v>
      </c>
      <c r="G16597" s="16" t="n">
        <f aca="false">G16586+G16593+G16591-G16592-G16594-G16595</f>
        <v>276.706</v>
      </c>
      <c r="H16597" s="16" t="n">
        <f aca="false">H16586+H16593+H16591-H16592-H16594-H16595</f>
        <v>276.706</v>
      </c>
      <c r="I16597" s="16" t="n">
        <f aca="false">I16586+I16593+I16591-I16592-I16594-I16595</f>
        <v>0</v>
      </c>
      <c r="J16597" s="16" t="n">
        <f aca="false">J16586+J16593+J16591-J16592-J16594-J16595</f>
        <v>0</v>
      </c>
      <c r="K16597" s="16" t="n">
        <f aca="false">K16586+K16593+K16591-K16592-K16594-K16595</f>
        <v>0</v>
      </c>
    </row>
    <row r="16598" customFormat="false" ht="15" hidden="false" customHeight="false" outlineLevel="0" collapsed="false">
      <c r="A16598" s="23" t="s">
        <v>321</v>
      </c>
      <c r="B16598" s="24"/>
      <c r="C16598" s="24"/>
      <c r="D16598" s="24"/>
      <c r="E16598" s="24"/>
      <c r="F16598" s="24"/>
      <c r="G16598" s="24"/>
      <c r="H16598" s="24"/>
      <c r="I16598" s="24"/>
      <c r="J16598" s="24"/>
      <c r="K16598" s="24"/>
    </row>
    <row r="16599" customFormat="false" ht="15" hidden="false" customHeight="false" outlineLevel="0" collapsed="false">
      <c r="A16599" s="3" t="s">
        <v>309</v>
      </c>
      <c r="G16599" s="25" t="n">
        <f aca="false">F16610</f>
        <v>143.75</v>
      </c>
      <c r="H16599" s="25" t="n">
        <f aca="false">G16610</f>
        <v>143.75</v>
      </c>
      <c r="I16599" s="25" t="n">
        <f aca="false">H16610</f>
        <v>143.75</v>
      </c>
      <c r="J16599" s="25" t="n">
        <f aca="false">I16610</f>
        <v>0</v>
      </c>
      <c r="K16599" s="25" t="n">
        <f aca="false">J16610</f>
        <v>0</v>
      </c>
    </row>
    <row r="16600" customFormat="false" ht="15" hidden="false" customHeight="false" outlineLevel="0" collapsed="false">
      <c r="A16600" s="3" t="s">
        <v>310</v>
      </c>
      <c r="G16600" s="20" t="n">
        <f aca="false">IF(G16537=Assumptions!$K$58,1,0)</f>
        <v>0</v>
      </c>
      <c r="H16600" s="20" t="n">
        <f aca="false">IF(H16537=Assumptions!$K$58,1,0)</f>
        <v>0</v>
      </c>
      <c r="I16600" s="20" t="n">
        <f aca="false">IF(I16537=Assumptions!$K$58,1,0)</f>
        <v>1</v>
      </c>
      <c r="J16600" s="20" t="n">
        <f aca="false">IF(J16537=Assumptions!$K$58,1,0)</f>
        <v>0</v>
      </c>
      <c r="K16600" s="20" t="n">
        <f aca="false">IF(K16537=Assumptions!$K$58,1,0)</f>
        <v>0</v>
      </c>
    </row>
    <row r="16602" customFormat="false" ht="15" hidden="false" customHeight="false" outlineLevel="0" collapsed="false">
      <c r="A16602" s="3" t="s">
        <v>311</v>
      </c>
      <c r="G16602" s="31" t="n">
        <f aca="false">IF(Assumptions!$I$58=1,MAX(G16563,Assumptions!$G$58)+Assumptions!$F$58+$C$16564,Assumptions!$E$58)</f>
        <v>0.0425</v>
      </c>
      <c r="H16602" s="31" t="n">
        <f aca="false">IF(G16722=1,$C$16565,IF(Assumptions!$I$58=1,MAX(H16563,Assumptions!$G$58)+Assumptions!$F$58+$C$16564,Assumptions!$E$58))</f>
        <v>0.0425</v>
      </c>
      <c r="I16602" s="31" t="n">
        <f aca="false">IF(H16722=1,$C$16565,IF(Assumptions!$I$58=1,MAX(I16563,Assumptions!$G$58)+Assumptions!$F$58+$C$16564,Assumptions!$E$58))</f>
        <v>0.0425</v>
      </c>
      <c r="J16602" s="31" t="n">
        <f aca="false">IF(I16722=1,$C$16565,IF(Assumptions!$I$58=1,MAX(J16563,Assumptions!$G$58)+Assumptions!$F$58+$C$16564,Assumptions!$E$58))</f>
        <v>0.11</v>
      </c>
      <c r="K16602" s="31" t="n">
        <f aca="false">IF(J16722=1,$C$16565,IF(Assumptions!$I$58=1,MAX(K16563,Assumptions!$G$58)+Assumptions!$F$58+$C$16564,Assumptions!$E$58))</f>
        <v>0.11</v>
      </c>
    </row>
    <row r="16603" customFormat="false" ht="15" hidden="false" customHeight="false" outlineLevel="0" collapsed="false">
      <c r="A16603" s="3" t="s">
        <v>312</v>
      </c>
      <c r="G16603" s="25" t="n">
        <f aca="false">G16599*G16602</f>
        <v>6.109375</v>
      </c>
      <c r="H16603" s="25" t="n">
        <f aca="false">H16599*H16602</f>
        <v>6.109375</v>
      </c>
      <c r="I16603" s="25" t="n">
        <f aca="false">I16599*I16602</f>
        <v>6.109375</v>
      </c>
      <c r="J16603" s="25" t="n">
        <f aca="false">J16599*J16602</f>
        <v>0</v>
      </c>
      <c r="K16603" s="25" t="n">
        <f aca="false">K16599*K16602</f>
        <v>0</v>
      </c>
    </row>
    <row r="16604" customFormat="false" ht="15" hidden="false" customHeight="false" outlineLevel="0" collapsed="false">
      <c r="A16604" s="3" t="s">
        <v>313</v>
      </c>
      <c r="G16604" s="25" t="n">
        <f aca="false">G16599*Assumptions!$H$58</f>
        <v>0</v>
      </c>
      <c r="H16604" s="25" t="n">
        <f aca="false">H16599*Assumptions!$H$58</f>
        <v>0</v>
      </c>
      <c r="I16604" s="25" t="n">
        <f aca="false">I16599*Assumptions!$H$58</f>
        <v>0</v>
      </c>
      <c r="J16604" s="25" t="n">
        <f aca="false">J16599*Assumptions!$H$58</f>
        <v>0</v>
      </c>
      <c r="K16604" s="25" t="n">
        <f aca="false">K16599*Assumptions!$H$58</f>
        <v>0</v>
      </c>
    </row>
    <row r="16605" customFormat="false" ht="15" hidden="false" customHeight="false" outlineLevel="0" collapsed="false">
      <c r="A16605" s="3" t="s">
        <v>314</v>
      </c>
      <c r="G16605" s="25" t="n">
        <f aca="false">MIN(G16599,Assumptions!$L$58*Assumptions!$C$58)</f>
        <v>0</v>
      </c>
      <c r="H16605" s="25" t="n">
        <f aca="false">MIN(H16599,Assumptions!$L$58*Assumptions!$C$58)</f>
        <v>0</v>
      </c>
      <c r="I16605" s="25" t="n">
        <f aca="false">MIN(I16599,Assumptions!$L$58*Assumptions!$C$58)</f>
        <v>0</v>
      </c>
      <c r="J16605" s="25" t="n">
        <f aca="false">MIN(J16599,Assumptions!$L$58*Assumptions!$C$58)</f>
        <v>0</v>
      </c>
      <c r="K16605" s="25" t="n">
        <f aca="false">MIN(K16599,Assumptions!$L$58*Assumptions!$C$58)</f>
        <v>0</v>
      </c>
    </row>
    <row r="16606" customFormat="false" ht="15" hidden="false" customHeight="false" outlineLevel="0" collapsed="false">
      <c r="A16606" s="3" t="s">
        <v>315</v>
      </c>
      <c r="G16606" s="25" t="n">
        <f aca="false">IF(AND(Assumptions!$P$58=1,G16537&lt;Assumptions!$K$58),MIN(MAX(0,-G16634),MAX(0,Assumptions!$D$58-G16599)),0)</f>
        <v>0</v>
      </c>
      <c r="H16606" s="25" t="n">
        <f aca="false">IF(AND(Assumptions!$P$58=1,OR(H16537&lt;Assumptions!$K$58,G16722=1)),MIN(MAX(0,-H16634),MAX(0,Assumptions!$D$58-H16599)),0)</f>
        <v>0</v>
      </c>
      <c r="I16606" s="25" t="n">
        <f aca="false">IF(AND(Assumptions!$P$58=1,OR(I16537&lt;Assumptions!$K$58,H16722=1)),MIN(MAX(0,-I16634),MAX(0,Assumptions!$D$58-I16599)),0)</f>
        <v>0</v>
      </c>
      <c r="J16606" s="25" t="n">
        <f aca="false">IF(AND(Assumptions!$P$58=1,OR(J16537&lt;Assumptions!$K$58,I16722=1)),MIN(MAX(0,-J16634),MAX(0,Assumptions!$D$58-J16599)),0)</f>
        <v>0</v>
      </c>
      <c r="K16606" s="25" t="n">
        <f aca="false">IF(AND(Assumptions!$P$58=1,OR(K16537&lt;Assumptions!$K$58,J16722=1)),MIN(MAX(0,-K16634),MAX(0,Assumptions!$D$58-K16599)),0)</f>
        <v>0</v>
      </c>
    </row>
    <row r="16607" customFormat="false" ht="15" hidden="false" customHeight="false" outlineLevel="0" collapsed="false">
      <c r="A16607" s="3" t="s">
        <v>316</v>
      </c>
      <c r="G16607" s="25" t="n">
        <f aca="false">G16600*MIN(G16599-G16605+G16604,MAX(0,G16636-Assumptions!$C$12*G16571-G16581-G16594))</f>
        <v>0</v>
      </c>
      <c r="H16607" s="25" t="n">
        <f aca="false">H16600*MIN(H16599-H16605+H16604,MAX(0,H16636-Assumptions!$C$12*H16571-H16581-H16594))</f>
        <v>0</v>
      </c>
      <c r="I16607" s="25" t="n">
        <f aca="false">I16600*MIN(I16599-I16605+I16604,MAX(0,I16636-Assumptions!$C$12*I16571-I16581-I16594))</f>
        <v>143.75</v>
      </c>
      <c r="J16607" s="25" t="n">
        <f aca="false">J16600*MIN(J16599-J16605+J16604,MAX(0,J16636-Assumptions!$C$12*J16571-J16581-J16594))</f>
        <v>0</v>
      </c>
      <c r="K16607" s="25" t="n">
        <f aca="false">K16600*MIN(K16599-K16605+K16604,MAX(0,K16636-Assumptions!$C$12*K16571-K16581-K16594))</f>
        <v>0</v>
      </c>
    </row>
    <row r="16608" customFormat="false" ht="15" hidden="false" customHeight="false" outlineLevel="0" collapsed="false">
      <c r="A16608" s="3" t="s">
        <v>317</v>
      </c>
      <c r="G16608" s="25" t="n">
        <f aca="false">Assumptions!$N$58*MIN(G16599+G16606+G16604-G16605-G16607,MAX(0,G16640-G16582-G16595))</f>
        <v>0</v>
      </c>
      <c r="H16608" s="25" t="n">
        <f aca="false">Assumptions!$N$58*MIN(H16599+H16606+H16604-H16605-H16607,MAX(0,H16640-H16582-H16595))</f>
        <v>0</v>
      </c>
      <c r="I16608" s="25" t="n">
        <f aca="false">Assumptions!$N$58*MIN(I16599+I16606+I16604-I16605-I16607,MAX(0,I16640-I16582-I16595))</f>
        <v>0</v>
      </c>
      <c r="J16608" s="25" t="n">
        <f aca="false">Assumptions!$N$58*MIN(J16599+J16606+J16604-J16605-J16607,MAX(0,J16640-J16582-J16595))</f>
        <v>0</v>
      </c>
      <c r="K16608" s="25" t="n">
        <f aca="false">Assumptions!$N$58*MIN(K16599+K16606+K16604-K16605-K16607,MAX(0,K16640-K16582-K16595))</f>
        <v>0</v>
      </c>
    </row>
    <row r="16609" customFormat="false" ht="15" hidden="false" customHeight="false" outlineLevel="0" collapsed="false">
      <c r="A16609" s="3" t="s">
        <v>318</v>
      </c>
      <c r="G16609" s="25" t="n">
        <f aca="false">G16600*(1-G16571)*(G16599-G16605+G16604-G16607)</f>
        <v>0</v>
      </c>
      <c r="H16609" s="25" t="n">
        <f aca="false">H16600*(1-H16571)*(H16599-H16605+H16604-H16607)</f>
        <v>0</v>
      </c>
      <c r="I16609" s="25" t="n">
        <f aca="false">I16600*(1-I16571)*(I16599-I16605+I16604-I16607)</f>
        <v>0</v>
      </c>
      <c r="J16609" s="25" t="n">
        <f aca="false">J16600*(1-J16571)*(J16599-J16605+J16604-J16607)</f>
        <v>0</v>
      </c>
      <c r="K16609" s="25" t="n">
        <f aca="false">K16600*(1-K16571)*(K16599-K16605+K16604-K16607)</f>
        <v>0</v>
      </c>
    </row>
    <row r="16610" customFormat="false" ht="15" hidden="false" customHeight="false" outlineLevel="0" collapsed="false">
      <c r="A16610" s="2" t="s">
        <v>319</v>
      </c>
      <c r="F16610" s="28" t="n">
        <f aca="false">Assumptions!$C$58</f>
        <v>143.75</v>
      </c>
      <c r="G16610" s="16" t="n">
        <f aca="false">G16599+G16606+G16604-G16605-G16607-G16608</f>
        <v>143.75</v>
      </c>
      <c r="H16610" s="16" t="n">
        <f aca="false">H16599+H16606+H16604-H16605-H16607-H16608</f>
        <v>143.75</v>
      </c>
      <c r="I16610" s="16" t="n">
        <f aca="false">I16599+I16606+I16604-I16605-I16607-I16608</f>
        <v>0</v>
      </c>
      <c r="J16610" s="16" t="n">
        <f aca="false">J16599+J16606+J16604-J16605-J16607-J16608</f>
        <v>0</v>
      </c>
      <c r="K16610" s="16" t="n">
        <f aca="false">K16599+K16606+K16604-K16605-K16607-K16608</f>
        <v>0</v>
      </c>
    </row>
    <row r="16611" customFormat="false" ht="15" hidden="false" customHeight="false" outlineLevel="0" collapsed="false">
      <c r="A16611" s="23" t="s">
        <v>322</v>
      </c>
      <c r="B16611" s="24"/>
      <c r="C16611" s="24"/>
      <c r="D16611" s="24"/>
      <c r="E16611" s="24"/>
      <c r="F16611" s="24"/>
      <c r="G16611" s="24"/>
      <c r="H16611" s="24"/>
      <c r="I16611" s="24"/>
      <c r="J16611" s="24"/>
      <c r="K16611" s="24"/>
    </row>
    <row r="16612" customFormat="false" ht="15" hidden="false" customHeight="false" outlineLevel="0" collapsed="false">
      <c r="A16612" s="2" t="s">
        <v>323</v>
      </c>
      <c r="F16612" s="16" t="n">
        <f aca="false">F16584+F16597+F16610</f>
        <v>1735.554</v>
      </c>
      <c r="G16612" s="16" t="n">
        <f aca="false">G16584+G16597+G16610</f>
        <v>1735.554</v>
      </c>
      <c r="H16612" s="16" t="n">
        <f aca="false">H16584+H16597+H16610</f>
        <v>1735.554</v>
      </c>
      <c r="I16612" s="16" t="n">
        <f aca="false">I16584+I16597+I16610</f>
        <v>1315.098</v>
      </c>
      <c r="J16612" s="16" t="n">
        <f aca="false">J16584+J16597+J16610</f>
        <v>1315.098</v>
      </c>
      <c r="K16612" s="16" t="n">
        <f aca="false">K16584+K16597+K16610</f>
        <v>1315.098</v>
      </c>
    </row>
    <row r="16613" customFormat="false" ht="15" hidden="false" customHeight="false" outlineLevel="0" collapsed="false">
      <c r="A16613" s="3" t="s">
        <v>324</v>
      </c>
      <c r="G16613" s="25" t="n">
        <f aca="false">G16574*Assumptions!$C$56+G16587*Assumptions!$C$57+G16600*Assumptions!$C$58</f>
        <v>0</v>
      </c>
      <c r="H16613" s="25" t="n">
        <f aca="false">H16574*Assumptions!$C$56+H16587*Assumptions!$C$57+H16600*Assumptions!$C$58</f>
        <v>0</v>
      </c>
      <c r="I16613" s="25" t="n">
        <f aca="false">I16574*Assumptions!$C$56+I16587*Assumptions!$C$57+I16600*Assumptions!$C$58</f>
        <v>420.456</v>
      </c>
      <c r="J16613" s="25" t="n">
        <f aca="false">J16574*Assumptions!$C$56+J16587*Assumptions!$C$57+J16600*Assumptions!$C$58</f>
        <v>0</v>
      </c>
      <c r="K16613" s="25" t="n">
        <f aca="false">K16574*Assumptions!$C$56+K16587*Assumptions!$C$57+K16600*Assumptions!$C$58</f>
        <v>0</v>
      </c>
    </row>
    <row r="16614" customFormat="false" ht="15" hidden="false" customHeight="false" outlineLevel="0" collapsed="false">
      <c r="A16614" s="23" t="s">
        <v>325</v>
      </c>
      <c r="B16614" s="24"/>
      <c r="C16614" s="24"/>
      <c r="D16614" s="24"/>
      <c r="E16614" s="24"/>
      <c r="F16614" s="24"/>
      <c r="G16614" s="24"/>
      <c r="H16614" s="24"/>
      <c r="I16614" s="24"/>
      <c r="J16614" s="24"/>
      <c r="K16614" s="24"/>
    </row>
    <row r="16615" customFormat="false" ht="15" hidden="false" customHeight="false" outlineLevel="0" collapsed="false">
      <c r="A16615" s="3" t="s">
        <v>326</v>
      </c>
      <c r="C16615" s="25" t="n">
        <f aca="false">SUMPRODUCT($G$16574:$K$16574,$G$16573:$K$16573-$G$16579:$K$16579+$G$16578:$K$16578)</f>
        <v>0</v>
      </c>
    </row>
    <row r="16616" customFormat="false" ht="15" hidden="false" customHeight="false" outlineLevel="0" collapsed="false">
      <c r="A16616" s="3" t="s">
        <v>327</v>
      </c>
      <c r="C16616" s="25" t="n">
        <f aca="false">SUMPRODUCT($G$16574:$K$16574,$G$16581:$K$16581)</f>
        <v>0</v>
      </c>
    </row>
    <row r="16617" customFormat="false" ht="15" hidden="false" customHeight="false" outlineLevel="0" collapsed="false">
      <c r="A16617" s="3" t="s">
        <v>328</v>
      </c>
      <c r="C16617" s="3" t="str">
        <f aca="false">IF(SUM($G$16574:$K$16574)=0,"n/a (beyond horizon)",IF(SUMPRODUCT($G$16574:$K$16574,$G$16571:$K$16571)&gt;0,"REFINANCING PASS","REFINANCING FAILURE"))</f>
        <v>n/a (beyond horizon)</v>
      </c>
    </row>
    <row r="16618" customFormat="false" ht="15" hidden="false" customHeight="false" outlineLevel="0" collapsed="false">
      <c r="A16618" s="3" t="s">
        <v>329</v>
      </c>
      <c r="C16618" s="3" t="str">
        <f aca="false">IF(SUM($G$16574:$K$16574)=0,"n/a",IF(C16616&gt;=C16615-0.001,"Repaid from cash",IF(SUMPRODUCT($G$16574:$K$16574,$G$16571:$K$16571)&gt;0,IF(C16616&gt;0,"Partly repaid; remainder refinanced","Refinanced"),IF(SUM($G$16583:$K$16583)&gt;0.001,IF(C16616&gt;0,"Partial repayment; PAYMENT DEFAULT","PAYMENT DEFAULT"),"Repaid from cash"))))</f>
        <v>n/a</v>
      </c>
    </row>
    <row r="16619" customFormat="false" ht="15" hidden="false" customHeight="false" outlineLevel="0" collapsed="false">
      <c r="A16619" s="3" t="s">
        <v>330</v>
      </c>
      <c r="C16619" s="25" t="n">
        <f aca="false">SUMPRODUCT($G$16587:$K$16587,$G$16586:$K$16586-$G$16592:$K$16592+$G$16591:$K$16591)</f>
        <v>276.706</v>
      </c>
    </row>
    <row r="16620" customFormat="false" ht="15" hidden="false" customHeight="false" outlineLevel="0" collapsed="false">
      <c r="A16620" s="3" t="s">
        <v>331</v>
      </c>
      <c r="C16620" s="25" t="n">
        <f aca="false">SUMPRODUCT($G$16587:$K$16587,$G$16594:$K$16594)</f>
        <v>276.706</v>
      </c>
    </row>
    <row r="16621" customFormat="false" ht="15" hidden="false" customHeight="false" outlineLevel="0" collapsed="false">
      <c r="A16621" s="3" t="s">
        <v>332</v>
      </c>
      <c r="C16621" s="3" t="str">
        <f aca="false">IF(SUM($G$16587:$K$16587)=0,"n/a (beyond horizon)",IF(SUMPRODUCT($G$16587:$K$16587,$G$16571:$K$16571)&gt;0,"REFINANCING PASS","REFINANCING FAILURE"))</f>
        <v>REFINANCING PASS</v>
      </c>
    </row>
    <row r="16622" customFormat="false" ht="15" hidden="false" customHeight="false" outlineLevel="0" collapsed="false">
      <c r="A16622" s="3" t="s">
        <v>333</v>
      </c>
      <c r="C16622" s="3" t="str">
        <f aca="false">IF(SUM($G$16587:$K$16587)=0,"n/a",IF(C16620&gt;=C16619-0.001,"Repaid from cash",IF(SUMPRODUCT($G$16587:$K$16587,$G$16571:$K$16571)&gt;0,IF(C16620&gt;0,"Partly repaid; remainder refinanced","Refinanced"),IF(SUM($G$16596:$K$16596)&gt;0.001,IF(C16620&gt;0,"Partial repayment; PAYMENT DEFAULT","PAYMENT DEFAULT"),"Repaid from cash"))))</f>
        <v>Repaid from cash</v>
      </c>
    </row>
    <row r="16623" customFormat="false" ht="15" hidden="false" customHeight="false" outlineLevel="0" collapsed="false">
      <c r="A16623" s="3" t="s">
        <v>334</v>
      </c>
      <c r="C16623" s="25" t="n">
        <f aca="false">SUMPRODUCT($G$16600:$K$16600,$G$16599:$K$16599-$G$16605:$K$16605+$G$16604:$K$16604)</f>
        <v>143.75</v>
      </c>
    </row>
    <row r="16624" customFormat="false" ht="15" hidden="false" customHeight="false" outlineLevel="0" collapsed="false">
      <c r="A16624" s="3" t="s">
        <v>335</v>
      </c>
      <c r="C16624" s="25" t="n">
        <f aca="false">SUMPRODUCT($G$16600:$K$16600,$G$16607:$K$16607)</f>
        <v>143.75</v>
      </c>
    </row>
    <row r="16625" customFormat="false" ht="15" hidden="false" customHeight="false" outlineLevel="0" collapsed="false">
      <c r="A16625" s="3" t="s">
        <v>336</v>
      </c>
      <c r="C16625" s="3" t="str">
        <f aca="false">IF(SUM($G$16600:$K$16600)=0,"n/a (beyond horizon)",IF(SUMPRODUCT($G$16600:$K$16600,$G$16571:$K$16571)&gt;0,"REFINANCING PASS","REFINANCING FAILURE"))</f>
        <v>REFINANCING PASS</v>
      </c>
    </row>
    <row r="16626" customFormat="false" ht="15" hidden="false" customHeight="false" outlineLevel="0" collapsed="false">
      <c r="A16626" s="3" t="s">
        <v>337</v>
      </c>
      <c r="C16626" s="3" t="str">
        <f aca="false">IF(SUM($G$16600:$K$16600)=0,"n/a",IF(C16624&gt;=C16623-0.001,"Repaid from cash",IF(SUMPRODUCT($G$16600:$K$16600,$G$16571:$K$16571)&gt;0,IF(C16624&gt;0,"Partly repaid; remainder refinanced","Refinanced"),IF(SUM($G$16609:$K$16609)&gt;0.001,IF(C16624&gt;0,"Partial repayment; PAYMENT DEFAULT","PAYMENT DEFAULT"),"Repaid from cash"))))</f>
        <v>Repaid from cash</v>
      </c>
    </row>
    <row r="16627" customFormat="false" ht="15" hidden="false" customHeight="false" outlineLevel="0" collapsed="false">
      <c r="A16627" s="3" t="s">
        <v>338</v>
      </c>
      <c r="C16627" s="20" t="n">
        <f aca="false">IF(C16617="REFINANCING FAILURE",1,0)+IF(C16621="REFINANCING FAILURE",1,0)+IF(C16625="REFINANCING FAILURE",1,0)</f>
        <v>0</v>
      </c>
    </row>
    <row r="16629" customFormat="false" ht="15" hidden="false" customHeight="false" outlineLevel="0" collapsed="false">
      <c r="A16629" s="23" t="s">
        <v>340</v>
      </c>
      <c r="B16629" s="24"/>
      <c r="C16629" s="24"/>
      <c r="D16629" s="24"/>
      <c r="E16629" s="24"/>
      <c r="F16629" s="24"/>
      <c r="G16629" s="24"/>
      <c r="H16629" s="24"/>
      <c r="I16629" s="24"/>
      <c r="J16629" s="24"/>
      <c r="K16629" s="24"/>
    </row>
    <row r="16630" customFormat="false" ht="15" hidden="false" customHeight="false" outlineLevel="0" collapsed="false">
      <c r="A16630" s="3" t="s">
        <v>305</v>
      </c>
      <c r="G16630" s="25" t="n">
        <f aca="false">F16642</f>
        <v>463.996</v>
      </c>
      <c r="H16630" s="25" t="n">
        <f aca="false">G16642</f>
        <v>589.86335403</v>
      </c>
      <c r="I16630" s="25" t="n">
        <f aca="false">H16642</f>
        <v>706.0173737988</v>
      </c>
      <c r="J16630" s="25" t="n">
        <f aca="false">I16642</f>
        <v>390.575377766904</v>
      </c>
      <c r="K16630" s="25" t="n">
        <f aca="false">J16642</f>
        <v>499.440625970316</v>
      </c>
    </row>
    <row r="16631" customFormat="false" ht="15" hidden="false" customHeight="false" outlineLevel="0" collapsed="false">
      <c r="A16631" s="3" t="s">
        <v>341</v>
      </c>
      <c r="G16631" s="25" t="n">
        <f aca="false">G16560</f>
        <v>125.86735403</v>
      </c>
      <c r="H16631" s="25" t="n">
        <f aca="false">H16560</f>
        <v>116.1540197688</v>
      </c>
      <c r="I16631" s="25" t="n">
        <f aca="false">I16560</f>
        <v>105.014003968104</v>
      </c>
      <c r="J16631" s="25" t="n">
        <f aca="false">J16560</f>
        <v>108.865248203412</v>
      </c>
      <c r="K16631" s="25" t="n">
        <f aca="false">K16560</f>
        <v>99.6877228787792</v>
      </c>
    </row>
    <row r="16632" customFormat="false" ht="15" hidden="false" customHeight="false" outlineLevel="0" collapsed="false">
      <c r="A16632" s="3" t="s">
        <v>342</v>
      </c>
      <c r="G16632" s="25" t="n">
        <f aca="false">CHOOSE($C$16530,Assumptions!$G$74,Assumptions!$G$93,Assumptions!$G$112)</f>
        <v>0</v>
      </c>
      <c r="H16632" s="25" t="n">
        <f aca="false">CHOOSE($C$16530,Assumptions!$H$74,Assumptions!$H$93,Assumptions!$H$112)</f>
        <v>0</v>
      </c>
      <c r="I16632" s="25" t="n">
        <f aca="false">CHOOSE($C$16530,Assumptions!$I$74,Assumptions!$I$93,Assumptions!$I$112)</f>
        <v>0</v>
      </c>
      <c r="J16632" s="25" t="n">
        <f aca="false">CHOOSE($C$16530,Assumptions!$J$74,Assumptions!$J$93,Assumptions!$J$112)</f>
        <v>0</v>
      </c>
      <c r="K16632" s="25" t="n">
        <f aca="false">CHOOSE($C$16530,Assumptions!$K$74,Assumptions!$K$93,Assumptions!$K$112)</f>
        <v>0</v>
      </c>
    </row>
    <row r="16633" customFormat="false" ht="15" hidden="false" customHeight="false" outlineLevel="0" collapsed="false">
      <c r="A16633" s="3" t="s">
        <v>343</v>
      </c>
      <c r="G16633" s="25" t="n">
        <f aca="false">G16579+G16592+G16605</f>
        <v>0</v>
      </c>
      <c r="H16633" s="25" t="n">
        <f aca="false">H16579+H16592+H16605</f>
        <v>0</v>
      </c>
      <c r="I16633" s="25" t="n">
        <f aca="false">I16579+I16592+I16605</f>
        <v>0</v>
      </c>
      <c r="J16633" s="25" t="n">
        <f aca="false">J16579+J16592+J16605</f>
        <v>0</v>
      </c>
      <c r="K16633" s="25" t="n">
        <f aca="false">K16579+K16592+K16605</f>
        <v>0</v>
      </c>
    </row>
    <row r="16634" customFormat="false" ht="15" hidden="false" customHeight="false" outlineLevel="0" collapsed="false">
      <c r="A16634" s="2" t="s">
        <v>344</v>
      </c>
      <c r="G16634" s="16" t="n">
        <f aca="false">G16630+G16631+G16632-G16633</f>
        <v>589.86335403</v>
      </c>
      <c r="H16634" s="16" t="n">
        <f aca="false">H16630+H16631+H16632-H16633</f>
        <v>706.0173737988</v>
      </c>
      <c r="I16634" s="16" t="n">
        <f aca="false">I16630+I16631+I16632-I16633</f>
        <v>811.031377766904</v>
      </c>
      <c r="J16634" s="16" t="n">
        <f aca="false">J16630+J16631+J16632-J16633</f>
        <v>499.440625970316</v>
      </c>
      <c r="K16634" s="16" t="n">
        <f aca="false">K16630+K16631+K16632-K16633</f>
        <v>599.128348849095</v>
      </c>
    </row>
    <row r="16635" customFormat="false" ht="15" hidden="false" customHeight="false" outlineLevel="0" collapsed="false">
      <c r="A16635" s="3" t="s">
        <v>345</v>
      </c>
      <c r="G16635" s="25" t="n">
        <f aca="false">G16580+G16593+G16606</f>
        <v>0</v>
      </c>
      <c r="H16635" s="25" t="n">
        <f aca="false">H16580+H16593+H16606</f>
        <v>0</v>
      </c>
      <c r="I16635" s="25" t="n">
        <f aca="false">I16580+I16593+I16606</f>
        <v>0</v>
      </c>
      <c r="J16635" s="25" t="n">
        <f aca="false">J16580+J16593+J16606</f>
        <v>0</v>
      </c>
      <c r="K16635" s="25" t="n">
        <f aca="false">K16580+K16593+K16606</f>
        <v>0</v>
      </c>
    </row>
    <row r="16636" customFormat="false" ht="15" hidden="false" customHeight="false" outlineLevel="0" collapsed="false">
      <c r="A16636" s="2" t="s">
        <v>346</v>
      </c>
      <c r="G16636" s="16" t="n">
        <f aca="false">G16634+G16635</f>
        <v>589.86335403</v>
      </c>
      <c r="H16636" s="16" t="n">
        <f aca="false">H16634+H16635</f>
        <v>706.0173737988</v>
      </c>
      <c r="I16636" s="16" t="n">
        <f aca="false">I16634+I16635</f>
        <v>811.031377766904</v>
      </c>
      <c r="J16636" s="16" t="n">
        <f aca="false">J16634+J16635</f>
        <v>499.440625970316</v>
      </c>
      <c r="K16636" s="16" t="n">
        <f aca="false">K16634+K16635</f>
        <v>599.128348849095</v>
      </c>
    </row>
    <row r="16637" customFormat="false" ht="15" hidden="false" customHeight="false" outlineLevel="0" collapsed="false">
      <c r="A16637" s="3" t="s">
        <v>347</v>
      </c>
      <c r="G16637" s="25" t="n">
        <f aca="false">G16581+G16594+G16607</f>
        <v>0</v>
      </c>
      <c r="H16637" s="25" t="n">
        <f aca="false">H16581+H16594+H16607</f>
        <v>0</v>
      </c>
      <c r="I16637" s="25" t="n">
        <f aca="false">I16581+I16594+I16607</f>
        <v>420.456</v>
      </c>
      <c r="J16637" s="25" t="n">
        <f aca="false">J16581+J16594+J16607</f>
        <v>0</v>
      </c>
      <c r="K16637" s="25" t="n">
        <f aca="false">K16581+K16594+K16607</f>
        <v>0</v>
      </c>
    </row>
    <row r="16638" customFormat="false" ht="15" hidden="false" customHeight="false" outlineLevel="0" collapsed="false">
      <c r="A16638" s="2" t="s">
        <v>348</v>
      </c>
      <c r="G16638" s="16" t="n">
        <f aca="false">G16636-G16637</f>
        <v>589.86335403</v>
      </c>
      <c r="H16638" s="16" t="n">
        <f aca="false">H16636-H16637</f>
        <v>706.0173737988</v>
      </c>
      <c r="I16638" s="16" t="n">
        <f aca="false">I16636-I16637</f>
        <v>390.575377766904</v>
      </c>
      <c r="J16638" s="16" t="n">
        <f aca="false">J16636-J16637</f>
        <v>499.440625970316</v>
      </c>
      <c r="K16638" s="16" t="n">
        <f aca="false">K16636-K16637</f>
        <v>599.128348849095</v>
      </c>
    </row>
    <row r="16639" customFormat="false" ht="15" hidden="false" customHeight="false" outlineLevel="0" collapsed="false">
      <c r="A16639" s="3" t="s">
        <v>349</v>
      </c>
      <c r="G16639" s="25" t="n">
        <f aca="false">MAX(0,-G16638)</f>
        <v>0</v>
      </c>
      <c r="H16639" s="25" t="n">
        <f aca="false">MAX(0,-H16638)</f>
        <v>0</v>
      </c>
      <c r="I16639" s="25" t="n">
        <f aca="false">MAX(0,-I16638)</f>
        <v>0</v>
      </c>
      <c r="J16639" s="25" t="n">
        <f aca="false">MAX(0,-J16638)</f>
        <v>0</v>
      </c>
      <c r="K16639" s="25" t="n">
        <f aca="false">MAX(0,-K16638)</f>
        <v>0</v>
      </c>
    </row>
    <row r="16640" customFormat="false" ht="15" hidden="false" customHeight="false" outlineLevel="0" collapsed="false">
      <c r="A16640" s="3" t="s">
        <v>350</v>
      </c>
      <c r="G16640" s="25" t="n">
        <f aca="false">MAX(0,G16638-Assumptions!$C$12)*Assumptions!$C$13</f>
        <v>0</v>
      </c>
      <c r="H16640" s="25" t="n">
        <f aca="false">MAX(0,H16638-Assumptions!$C$12)*Assumptions!$C$13</f>
        <v>0</v>
      </c>
      <c r="I16640" s="25" t="n">
        <f aca="false">MAX(0,I16638-Assumptions!$C$12)*Assumptions!$C$13</f>
        <v>0</v>
      </c>
      <c r="J16640" s="25" t="n">
        <f aca="false">MAX(0,J16638-Assumptions!$C$12)*Assumptions!$C$13</f>
        <v>0</v>
      </c>
      <c r="K16640" s="25" t="n">
        <f aca="false">MAX(0,K16638-Assumptions!$C$12)*Assumptions!$C$13</f>
        <v>0</v>
      </c>
    </row>
    <row r="16641" customFormat="false" ht="15" hidden="false" customHeight="false" outlineLevel="0" collapsed="false">
      <c r="A16641" s="3" t="s">
        <v>351</v>
      </c>
      <c r="G16641" s="25" t="n">
        <f aca="false">G16582+G16595+G16608</f>
        <v>0</v>
      </c>
      <c r="H16641" s="25" t="n">
        <f aca="false">H16582+H16595+H16608</f>
        <v>0</v>
      </c>
      <c r="I16641" s="25" t="n">
        <f aca="false">I16582+I16595+I16608</f>
        <v>0</v>
      </c>
      <c r="J16641" s="25" t="n">
        <f aca="false">J16582+J16595+J16608</f>
        <v>0</v>
      </c>
      <c r="K16641" s="25" t="n">
        <f aca="false">K16582+K16595+K16608</f>
        <v>0</v>
      </c>
    </row>
    <row r="16642" customFormat="false" ht="15" hidden="false" customHeight="false" outlineLevel="0" collapsed="false">
      <c r="A16642" s="2" t="s">
        <v>352</v>
      </c>
      <c r="F16642" s="28" t="n">
        <f aca="false">Assumptions!$C$11</f>
        <v>463.996</v>
      </c>
      <c r="G16642" s="16" t="n">
        <f aca="false">G16638-G16641</f>
        <v>589.86335403</v>
      </c>
      <c r="H16642" s="16" t="n">
        <f aca="false">H16638-H16641</f>
        <v>706.0173737988</v>
      </c>
      <c r="I16642" s="16" t="n">
        <f aca="false">I16638-I16641</f>
        <v>390.575377766904</v>
      </c>
      <c r="J16642" s="16" t="n">
        <f aca="false">J16638-J16641</f>
        <v>499.440625970316</v>
      </c>
      <c r="K16642" s="16" t="n">
        <f aca="false">K16638-K16641</f>
        <v>599.128348849095</v>
      </c>
    </row>
    <row r="16643" customFormat="false" ht="15" hidden="false" customHeight="false" outlineLevel="0" collapsed="false">
      <c r="A16643" s="3" t="s">
        <v>353</v>
      </c>
      <c r="G16643" s="25" t="n">
        <f aca="false">G16583+G16596+G16609</f>
        <v>0</v>
      </c>
      <c r="H16643" s="25" t="n">
        <f aca="false">H16583+H16596+H16609</f>
        <v>0</v>
      </c>
      <c r="I16643" s="25" t="n">
        <f aca="false">I16583+I16596+I16609</f>
        <v>0</v>
      </c>
      <c r="J16643" s="25" t="n">
        <f aca="false">J16583+J16596+J16609</f>
        <v>0</v>
      </c>
      <c r="K16643" s="25" t="n">
        <f aca="false">K16583+K16596+K16609</f>
        <v>0</v>
      </c>
    </row>
    <row r="16644" customFormat="false" ht="15" hidden="false" customHeight="false" outlineLevel="0" collapsed="false">
      <c r="A16644" s="3" t="s">
        <v>354</v>
      </c>
      <c r="G16644" s="20" t="n">
        <f aca="false">IF(OR(G16639&gt;0.001,G16643&gt;0.001),1,0)</f>
        <v>0</v>
      </c>
      <c r="H16644" s="20" t="n">
        <f aca="false">IF(OR(H16639&gt;0.001,H16643&gt;0.001),1,0)</f>
        <v>0</v>
      </c>
      <c r="I16644" s="20" t="n">
        <f aca="false">IF(OR(I16639&gt;0.001,I16643&gt;0.001),1,0)</f>
        <v>0</v>
      </c>
      <c r="J16644" s="20" t="n">
        <f aca="false">IF(OR(J16639&gt;0.001,J16643&gt;0.001),1,0)</f>
        <v>0</v>
      </c>
      <c r="K16644" s="20" t="n">
        <f aca="false">IF(OR(K16639&gt;0.001,K16643&gt;0.001),1,0)</f>
        <v>0</v>
      </c>
    </row>
    <row r="16645" customFormat="false" ht="15" hidden="false" customHeight="false" outlineLevel="0" collapsed="false">
      <c r="A16645" s="3" t="s">
        <v>355</v>
      </c>
      <c r="G16645" s="20" t="n">
        <f aca="false">IF(G16644=1,1,0)</f>
        <v>0</v>
      </c>
      <c r="H16645" s="20" t="n">
        <f aca="false">IF(AND(H16644=1,SUM($G$16644:G16644)=0),1,0)</f>
        <v>0</v>
      </c>
      <c r="I16645" s="20" t="n">
        <f aca="false">IF(AND(I16644=1,SUM($G$16644:H16644)=0),1,0)</f>
        <v>0</v>
      </c>
      <c r="J16645" s="20" t="n">
        <f aca="false">IF(AND(J16644=1,SUM($G$16644:I16644)=0),1,0)</f>
        <v>0</v>
      </c>
      <c r="K16645" s="20" t="n">
        <f aca="false">IF(AND(K16644=1,SUM($G$16644:J16644)=0),1,0)</f>
        <v>0</v>
      </c>
    </row>
    <row r="16646" customFormat="false" ht="15" hidden="false" customHeight="false" outlineLevel="0" collapsed="false">
      <c r="A16646" s="3" t="s">
        <v>356</v>
      </c>
      <c r="G16646" s="25" t="n">
        <f aca="false">(G16612-F16612)-(G16635+G16552-G16633-G16637-G16641)</f>
        <v>0</v>
      </c>
      <c r="H16646" s="25" t="n">
        <f aca="false">(H16612-G16612)-(H16635+H16552-H16633-H16637-H16641)</f>
        <v>0</v>
      </c>
      <c r="I16646" s="25" t="n">
        <f aca="false">(I16612-H16612)-(I16635+I16552-I16633-I16637-I16641)</f>
        <v>0</v>
      </c>
      <c r="J16646" s="25" t="n">
        <f aca="false">(J16612-I16612)-(J16635+J16552-J16633-J16637-J16641)</f>
        <v>0</v>
      </c>
      <c r="K16646" s="25" t="n">
        <f aca="false">(K16612-J16612)-(K16635+K16552-K16633-K16637-K16641)</f>
        <v>0</v>
      </c>
    </row>
    <row r="16648" customFormat="false" ht="15" hidden="false" customHeight="false" outlineLevel="0" collapsed="false">
      <c r="A16648" s="23" t="s">
        <v>358</v>
      </c>
      <c r="B16648" s="24"/>
      <c r="C16648" s="24"/>
      <c r="D16648" s="24"/>
      <c r="E16648" s="24"/>
      <c r="F16648" s="24"/>
      <c r="G16648" s="24"/>
      <c r="H16648" s="24"/>
      <c r="I16648" s="24"/>
      <c r="J16648" s="24"/>
      <c r="K16648" s="24"/>
    </row>
    <row r="16649" customFormat="false" ht="15" hidden="false" customHeight="false" outlineLevel="0" collapsed="false">
      <c r="A16649" s="3" t="s">
        <v>359</v>
      </c>
      <c r="G16649" s="25" t="n">
        <f aca="false">G16612</f>
        <v>1735.554</v>
      </c>
      <c r="H16649" s="25" t="n">
        <f aca="false">H16612</f>
        <v>1735.554</v>
      </c>
      <c r="I16649" s="25" t="n">
        <f aca="false">I16612</f>
        <v>1315.098</v>
      </c>
      <c r="J16649" s="25" t="n">
        <f aca="false">J16612</f>
        <v>1315.098</v>
      </c>
      <c r="K16649" s="25" t="n">
        <f aca="false">K16612</f>
        <v>1315.098</v>
      </c>
    </row>
    <row r="16650" customFormat="false" ht="15" hidden="false" customHeight="false" outlineLevel="0" collapsed="false">
      <c r="A16650" s="3" t="s">
        <v>360</v>
      </c>
      <c r="G16650" s="25" t="n">
        <f aca="false">Assumptions!$O$56*G16584+Assumptions!$O$57*G16597+Assumptions!$O$58*G16610</f>
        <v>1315.098</v>
      </c>
      <c r="H16650" s="25" t="n">
        <f aca="false">Assumptions!$O$56*H16584+Assumptions!$O$57*H16597+Assumptions!$O$58*H16610</f>
        <v>1315.098</v>
      </c>
      <c r="I16650" s="25" t="n">
        <f aca="false">Assumptions!$O$56*I16584+Assumptions!$O$57*I16597+Assumptions!$O$58*I16610</f>
        <v>1315.098</v>
      </c>
      <c r="J16650" s="25" t="n">
        <f aca="false">Assumptions!$O$56*J16584+Assumptions!$O$57*J16597+Assumptions!$O$58*J16610</f>
        <v>1315.098</v>
      </c>
      <c r="K16650" s="25" t="n">
        <f aca="false">Assumptions!$O$56*K16584+Assumptions!$O$57*K16597+Assumptions!$O$58*K16610</f>
        <v>1315.098</v>
      </c>
    </row>
    <row r="16651" customFormat="false" ht="15" hidden="false" customHeight="false" outlineLevel="0" collapsed="false">
      <c r="A16651" s="3" t="s">
        <v>361</v>
      </c>
      <c r="G16651" s="25" t="n">
        <f aca="false">G16649-G16642</f>
        <v>1145.69064597</v>
      </c>
      <c r="H16651" s="25" t="n">
        <f aca="false">H16649-H16642</f>
        <v>1029.5366262012</v>
      </c>
      <c r="I16651" s="25" t="n">
        <f aca="false">I16649-I16642</f>
        <v>924.522622233096</v>
      </c>
      <c r="J16651" s="25" t="n">
        <f aca="false">J16649-J16642</f>
        <v>815.657374029684</v>
      </c>
      <c r="K16651" s="25" t="n">
        <f aca="false">K16649-K16642</f>
        <v>715.969651150905</v>
      </c>
    </row>
    <row r="16652" customFormat="false" ht="15" hidden="false" customHeight="false" outlineLevel="0" collapsed="false">
      <c r="A16652" s="3" t="s">
        <v>362</v>
      </c>
      <c r="G16652" s="32" t="n">
        <f aca="false">IF(G16547&gt;0,G16649/G16547,0)</f>
        <v>5.77916207762031</v>
      </c>
      <c r="H16652" s="32" t="n">
        <f aca="false">IF(H16547&gt;0,H16649/H16547,0)</f>
        <v>6.01996049752115</v>
      </c>
      <c r="I16652" s="32" t="n">
        <f aca="false">IF(I16547&gt;0,I16649/I16547,0)</f>
        <v>4.79551511119407</v>
      </c>
      <c r="J16652" s="32" t="n">
        <f aca="false">IF(J16547&gt;0,J16649/J16547,0)</f>
        <v>5.01653339406293</v>
      </c>
      <c r="K16652" s="32" t="n">
        <f aca="false">IF(K16547&gt;0,K16649/K16547,0)</f>
        <v>5.2488732235156</v>
      </c>
    </row>
    <row r="16653" customFormat="false" ht="15" hidden="false" customHeight="false" outlineLevel="0" collapsed="false">
      <c r="A16653" s="3" t="s">
        <v>363</v>
      </c>
      <c r="G16653" s="32" t="n">
        <f aca="false">IF(G16547&gt;0,G16651/G16547,0)</f>
        <v>3.81499621093561</v>
      </c>
      <c r="H16653" s="32" t="n">
        <f aca="false">IF(H16547&gt;0,H16651/H16547,0)</f>
        <v>3.57106135590274</v>
      </c>
      <c r="I16653" s="32" t="n">
        <f aca="false">IF(I16547&gt;0,I16651/I16547,0)</f>
        <v>3.37127895073947</v>
      </c>
      <c r="J16653" s="32" t="n">
        <f aca="false">IF(J16547&gt;0,J16651/J16547,0)</f>
        <v>3.11138215930188</v>
      </c>
      <c r="K16653" s="32" t="n">
        <f aca="false">IF(K16547&gt;0,K16651/K16547,0)</f>
        <v>2.85760751729209</v>
      </c>
    </row>
    <row r="16654" customFormat="false" ht="15" hidden="false" customHeight="false" outlineLevel="0" collapsed="false">
      <c r="A16654" s="3" t="s">
        <v>364</v>
      </c>
      <c r="G16654" s="32" t="n">
        <f aca="false">IF(G16551&gt;0,G16547/G16551,0)</f>
        <v>1.92563899625449</v>
      </c>
      <c r="H16654" s="32" t="n">
        <f aca="false">IF(H16551&gt;0,H16547/H16551,0)</f>
        <v>1.84861343640431</v>
      </c>
      <c r="I16654" s="32" t="n">
        <f aca="false">IF(I16551&gt;0,I16547/I16551,0)</f>
        <v>1.75842750947116</v>
      </c>
      <c r="J16654" s="32" t="n">
        <f aca="false">IF(J16551&gt;0,J16547/J16551,0)</f>
        <v>1.89848422719182</v>
      </c>
      <c r="K16654" s="32" t="n">
        <f aca="false">IF(K16551&gt;0,K16547/K16551,0)</f>
        <v>1.81444838125289</v>
      </c>
    </row>
    <row r="16655" customFormat="false" ht="15" hidden="false" customHeight="false" outlineLevel="0" collapsed="false">
      <c r="A16655" s="3" t="s">
        <v>365</v>
      </c>
      <c r="G16655" s="32" t="n">
        <f aca="false">IF(G16551&gt;0,G16550/G16551,0)</f>
        <v>1.25417683356324</v>
      </c>
      <c r="H16655" s="32" t="n">
        <f aca="false">IF(H16551&gt;0,H16550/H16551,0)</f>
        <v>1.20400976022071</v>
      </c>
      <c r="I16655" s="32" t="n">
        <f aca="false">IF(I16551&gt;0,I16550/I16551,0)</f>
        <v>1.13638496195398</v>
      </c>
      <c r="J16655" s="32" t="n">
        <f aca="false">IF(J16551&gt;0,J16550/J16551,0)</f>
        <v>1.21702042306555</v>
      </c>
      <c r="K16655" s="32" t="n">
        <f aca="false">IF(K16551&gt;0,K16550/K16551,0)</f>
        <v>1.1534284912504</v>
      </c>
    </row>
    <row r="16656" customFormat="false" ht="15" hidden="false" customHeight="false" outlineLevel="0" collapsed="false">
      <c r="A16656" s="3" t="s">
        <v>198</v>
      </c>
      <c r="G16656" s="21" t="n">
        <f aca="false">IF(G16649&gt;0,G16560/G16649,0)</f>
        <v>0.0725228682196002</v>
      </c>
      <c r="H16656" s="21" t="n">
        <f aca="false">IF(H16649&gt;0,H16560/H16649,0)</f>
        <v>0.0669261917340515</v>
      </c>
      <c r="I16656" s="21" t="n">
        <f aca="false">IF(I16649&gt;0,I16560/I16649,0)</f>
        <v>0.0798526071578726</v>
      </c>
      <c r="J16656" s="21" t="n">
        <f aca="false">IF(J16649&gt;0,J16560/J16649,0)</f>
        <v>0.0827810917539313</v>
      </c>
      <c r="K16656" s="21" t="n">
        <f aca="false">IF(K16649&gt;0,K16560/K16649,0)</f>
        <v>0.0758025051203631</v>
      </c>
    </row>
    <row r="16657" customFormat="false" ht="15" hidden="false" customHeight="false" outlineLevel="0" collapsed="false">
      <c r="A16657" s="3" t="s">
        <v>366</v>
      </c>
      <c r="G16657" s="32" t="n">
        <f aca="false">IF(G16551+G16633&gt;0,(G16547-G16558-G16555)/(G16551+G16633),0)</f>
        <v>1.66953088823823</v>
      </c>
      <c r="H16657" s="32" t="n">
        <f aca="false">IF(H16551+H16633&gt;0,(H16547-H16558-H16555)/(H16551+H16633),0)</f>
        <v>1.6127496527087</v>
      </c>
      <c r="I16657" s="32" t="n">
        <f aca="false">IF(I16551+I16633&gt;0,(I16547-I16558-I16555)/(I16551+I16633),0)</f>
        <v>1.54594007236964</v>
      </c>
      <c r="J16657" s="32" t="n">
        <f aca="false">IF(J16551+J16633&gt;0,(J16547-J16558-J16555)/(J16551+J16633),0)</f>
        <v>1.64879692156745</v>
      </c>
      <c r="K16657" s="32" t="n">
        <f aca="false">IF(K16551+K16633&gt;0,(K16547-K16558-K16555)/(K16551+K16633),0)</f>
        <v>1.58652202457805</v>
      </c>
    </row>
    <row r="16658" customFormat="false" ht="15" hidden="false" customHeight="false" outlineLevel="0" collapsed="false">
      <c r="A16658" s="3" t="s">
        <v>367</v>
      </c>
      <c r="G16658" s="25" t="n">
        <f aca="false">MAX(0,G16642)+Assumptions!$P$56*MAX(0,Assumptions!$D$56-G16584)+Assumptions!$P$57*MAX(0,Assumptions!$D$57-G16597)+Assumptions!$P$58*MAX(0,Assumptions!$D$58-G16610)</f>
        <v>589.86335403</v>
      </c>
      <c r="H16658" s="25" t="n">
        <f aca="false">MAX(0,H16642)+Assumptions!$P$56*MAX(0,Assumptions!$D$56-H16584)+Assumptions!$P$57*MAX(0,Assumptions!$D$57-H16597)+Assumptions!$P$58*MAX(0,Assumptions!$D$58-H16610)</f>
        <v>706.0173737988</v>
      </c>
      <c r="I16658" s="25" t="n">
        <f aca="false">MAX(0,I16642)+Assumptions!$P$56*MAX(0,Assumptions!$D$56-I16584)+Assumptions!$P$57*MAX(0,Assumptions!$D$57-I16597)+Assumptions!$P$58*MAX(0,Assumptions!$D$58-I16610)</f>
        <v>390.575377766904</v>
      </c>
      <c r="J16658" s="25" t="n">
        <f aca="false">MAX(0,J16642)+Assumptions!$P$56*MAX(0,Assumptions!$D$56-J16584)+Assumptions!$P$57*MAX(0,Assumptions!$D$57-J16597)+Assumptions!$P$58*MAX(0,Assumptions!$D$58-J16610)</f>
        <v>499.440625970316</v>
      </c>
      <c r="K16658" s="25" t="n">
        <f aca="false">MAX(0,K16642)+Assumptions!$P$56*MAX(0,Assumptions!$D$56-K16584)+Assumptions!$P$57*MAX(0,Assumptions!$D$57-K16597)+Assumptions!$P$58*MAX(0,Assumptions!$D$58-K16610)</f>
        <v>599.128348849095</v>
      </c>
    </row>
    <row r="16659" customFormat="false" ht="15" hidden="false" customHeight="false" outlineLevel="0" collapsed="false">
      <c r="A16659" s="3" t="s">
        <v>368</v>
      </c>
      <c r="G16659" s="21" t="n">
        <f aca="false">IF(G16649&gt;0,G16649/(G16649+MAX(0,G16547*CHOOSE($C$16530,Assumptions!$C$82,Assumptions!$C$101,Assumptions!$C$120)-G16651)),0)</f>
        <v>0.774254240974845</v>
      </c>
      <c r="H16659" s="21" t="n">
        <f aca="false">IF(H16649&gt;0,H16649/(H16649+MAX(0,H16547*CHOOSE($C$16530,Assumptions!$C$82,Assumptions!$C$101,Assumptions!$C$120)-H16651)),0)</f>
        <v>0.757332605467614</v>
      </c>
      <c r="I16659" s="21" t="n">
        <f aca="false">IF(I16649&gt;0,I16649/(I16649+MAX(0,I16547*CHOOSE($C$16530,Assumptions!$C$82,Assumptions!$C$101,Assumptions!$C$120)-I16651)),0)</f>
        <v>0.692569548476987</v>
      </c>
      <c r="J16659" s="21" t="n">
        <f aca="false">IF(J16649&gt;0,J16649/(J16649+MAX(0,J16547*CHOOSE($C$16530,Assumptions!$C$82,Assumptions!$C$101,Assumptions!$C$120)-J16651)),0)</f>
        <v>0.677438344609961</v>
      </c>
      <c r="K16659" s="21" t="n">
        <f aca="false">IF(K16649&gt;0,K16649/(K16649+MAX(0,K16547*CHOOSE($C$16530,Assumptions!$C$82,Assumptions!$C$101,Assumptions!$C$120)-K16651)),0)</f>
        <v>0.665149726155595</v>
      </c>
    </row>
    <row r="16660" customFormat="false" ht="15" hidden="false" customHeight="false" outlineLevel="0" collapsed="false">
      <c r="A16660" s="3" t="s">
        <v>369</v>
      </c>
      <c r="G16660" s="21" t="n">
        <f aca="false">IF(G16649&gt;0,MAX(0,G16642)/G16649,0)</f>
        <v>0.339870354958705</v>
      </c>
      <c r="H16660" s="21" t="n">
        <f aca="false">IF(H16649&gt;0,MAX(0,H16642)/H16649,0)</f>
        <v>0.406796546692756</v>
      </c>
      <c r="I16660" s="21" t="n">
        <f aca="false">IF(I16649&gt;0,MAX(0,I16642)/I16649,0)</f>
        <v>0.296993363055</v>
      </c>
      <c r="J16660" s="21" t="n">
        <f aca="false">IF(J16649&gt;0,MAX(0,J16642)/J16649,0)</f>
        <v>0.379774454808931</v>
      </c>
      <c r="K16660" s="21" t="n">
        <f aca="false">IF(K16649&gt;0,MAX(0,K16642)/K16649,0)</f>
        <v>0.455576959929294</v>
      </c>
    </row>
    <row r="16661" customFormat="false" ht="15" hidden="false" customHeight="false" outlineLevel="0" collapsed="false">
      <c r="A16661" s="3" t="s">
        <v>370</v>
      </c>
      <c r="G16661" s="25" t="n">
        <f aca="false">Assumptions!$C$30*(1-CHOOSE($C$16530,Assumptions!$C$85,Assumptions!$C$104,Assumptions!$C$123))</f>
        <v>2454.971</v>
      </c>
      <c r="H16661" s="25" t="n">
        <f aca="false">Assumptions!$C$30*(1-CHOOSE($C$16530,Assumptions!$C$85,Assumptions!$C$104,Assumptions!$C$123))</f>
        <v>2454.971</v>
      </c>
      <c r="I16661" s="25" t="n">
        <f aca="false">Assumptions!$C$30*(1-CHOOSE($C$16530,Assumptions!$C$85,Assumptions!$C$104,Assumptions!$C$123))</f>
        <v>2454.971</v>
      </c>
      <c r="J16661" s="25" t="n">
        <f aca="false">Assumptions!$C$30*(1-CHOOSE($C$16530,Assumptions!$C$85,Assumptions!$C$104,Assumptions!$C$123))</f>
        <v>2454.971</v>
      </c>
      <c r="K16661" s="25" t="n">
        <f aca="false">Assumptions!$C$30*(1-CHOOSE($C$16530,Assumptions!$C$85,Assumptions!$C$104,Assumptions!$C$123))</f>
        <v>2454.971</v>
      </c>
    </row>
    <row r="16662" customFormat="false" ht="15" hidden="false" customHeight="false" outlineLevel="0" collapsed="false">
      <c r="A16662" s="23" t="s">
        <v>371</v>
      </c>
      <c r="B16662" s="24"/>
      <c r="C16662" s="24"/>
      <c r="D16662" s="24"/>
      <c r="E16662" s="24"/>
      <c r="F16662" s="24"/>
      <c r="G16662" s="24"/>
      <c r="H16662" s="24"/>
      <c r="I16662" s="24"/>
      <c r="J16662" s="24"/>
      <c r="K16662" s="24"/>
    </row>
    <row r="16663" customFormat="false" ht="15" hidden="false" customHeight="false" outlineLevel="0" collapsed="false">
      <c r="A16663" s="23" t="s">
        <v>372</v>
      </c>
      <c r="B16663" s="24"/>
      <c r="C16663" s="24"/>
      <c r="D16663" s="24"/>
      <c r="E16663" s="24"/>
      <c r="F16663" s="24"/>
      <c r="G16663" s="24"/>
      <c r="H16663" s="24"/>
      <c r="I16663" s="24"/>
      <c r="J16663" s="24"/>
      <c r="K16663" s="24"/>
    </row>
    <row r="16664" customFormat="false" ht="15" hidden="false" customHeight="false" outlineLevel="0" collapsed="false">
      <c r="A16664" s="3" t="s">
        <v>373</v>
      </c>
      <c r="G16664" s="32" t="n">
        <f aca="false">IF(G16547&gt;0,G16651/G16547,99)</f>
        <v>3.81499621093561</v>
      </c>
      <c r="H16664" s="32" t="n">
        <f aca="false">IF(H16547&gt;0,H16651/H16547,99)</f>
        <v>3.57106135590274</v>
      </c>
      <c r="I16664" s="32" t="n">
        <f aca="false">IF(I16547&gt;0,I16651/I16547,99)</f>
        <v>3.37127895073947</v>
      </c>
      <c r="J16664" s="32" t="n">
        <f aca="false">IF(J16547&gt;0,J16651/J16547,99)</f>
        <v>3.11138215930188</v>
      </c>
      <c r="K16664" s="32" t="n">
        <f aca="false">IF(K16547&gt;0,K16651/K16547,99)</f>
        <v>2.85760751729209</v>
      </c>
    </row>
    <row r="16665" customFormat="false" ht="15" hidden="false" customHeight="false" outlineLevel="0" collapsed="false">
      <c r="A16665" s="3" t="s">
        <v>374</v>
      </c>
      <c r="G16665" s="33" t="n">
        <f aca="false">Assumptions!$G$65</f>
        <v>5.25</v>
      </c>
      <c r="H16665" s="33" t="n">
        <f aca="false">Assumptions!$H$65</f>
        <v>5.25</v>
      </c>
      <c r="I16665" s="33" t="n">
        <f aca="false">Assumptions!$I$65</f>
        <v>5</v>
      </c>
      <c r="J16665" s="33" t="n">
        <f aca="false">Assumptions!$J$65</f>
        <v>5</v>
      </c>
      <c r="K16665" s="33" t="n">
        <f aca="false">Assumptions!$K$65</f>
        <v>5</v>
      </c>
    </row>
    <row r="16666" customFormat="false" ht="15" hidden="false" customHeight="false" outlineLevel="0" collapsed="false">
      <c r="A16666" s="3" t="s">
        <v>375</v>
      </c>
      <c r="G16666" s="32" t="n">
        <f aca="false">G16665-G16664</f>
        <v>1.43500378906439</v>
      </c>
      <c r="H16666" s="32" t="n">
        <f aca="false">H16665-H16664</f>
        <v>1.67893864409726</v>
      </c>
      <c r="I16666" s="32" t="n">
        <f aca="false">I16665-I16664</f>
        <v>1.62872104926053</v>
      </c>
      <c r="J16666" s="32" t="n">
        <f aca="false">J16665-J16664</f>
        <v>1.88861784069812</v>
      </c>
      <c r="K16666" s="32" t="n">
        <f aca="false">K16665-K16664</f>
        <v>2.14239248270791</v>
      </c>
    </row>
    <row r="16667" customFormat="false" ht="15" hidden="false" customHeight="false" outlineLevel="0" collapsed="false">
      <c r="A16667" s="3" t="s">
        <v>376</v>
      </c>
      <c r="G16667" s="21" t="n">
        <f aca="false">IF(G16665=0,0,G16666/ABS(G16665))</f>
        <v>0.273334055059884</v>
      </c>
      <c r="H16667" s="21" t="n">
        <f aca="false">IF(H16665=0,0,H16666/ABS(H16665))</f>
        <v>0.319797836970907</v>
      </c>
      <c r="I16667" s="21" t="n">
        <f aca="false">IF(I16665=0,0,I16666/ABS(I16665))</f>
        <v>0.325744209852106</v>
      </c>
      <c r="J16667" s="21" t="n">
        <f aca="false">IF(J16665=0,0,J16666/ABS(J16665))</f>
        <v>0.377723568139623</v>
      </c>
      <c r="K16667" s="21" t="n">
        <f aca="false">IF(K16665=0,0,K16666/ABS(K16665))</f>
        <v>0.428478496541582</v>
      </c>
    </row>
    <row r="16668" customFormat="false" ht="15" hidden="false" customHeight="false" outlineLevel="0" collapsed="false">
      <c r="A16668" s="3" t="s">
        <v>377</v>
      </c>
      <c r="G16668" s="20" t="n">
        <f aca="false">IF(G16666&lt;0,1,0)</f>
        <v>0</v>
      </c>
      <c r="H16668" s="20" t="n">
        <f aca="false">IF(H16666&lt;0,1,0)</f>
        <v>0</v>
      </c>
      <c r="I16668" s="20" t="n">
        <f aca="false">IF(I16666&lt;0,1,0)</f>
        <v>0</v>
      </c>
      <c r="J16668" s="20" t="n">
        <f aca="false">IF(J16666&lt;0,1,0)</f>
        <v>0</v>
      </c>
      <c r="K16668" s="20" t="n">
        <f aca="false">IF(K16666&lt;0,1,0)</f>
        <v>0</v>
      </c>
    </row>
    <row r="16669" customFormat="false" ht="15" hidden="false" customHeight="false" outlineLevel="0" collapsed="false">
      <c r="A16669" s="3" t="s">
        <v>378</v>
      </c>
      <c r="C16669" s="20" t="n">
        <f aca="false">IFERROR(INDEX($G$16537:$K$16537,MATCH(1,$G$16668:$K$16668,0)),0)</f>
        <v>0</v>
      </c>
    </row>
    <row r="16670" customFormat="false" ht="15" hidden="false" customHeight="false" outlineLevel="0" collapsed="false">
      <c r="A16670" s="3" t="s">
        <v>379</v>
      </c>
      <c r="C16670" s="21" t="n">
        <f aca="false">MIN($G$16667:$K$16667)</f>
        <v>0.273334055059884</v>
      </c>
    </row>
    <row r="16671" customFormat="false" ht="15" hidden="false" customHeight="false" outlineLevel="0" collapsed="false">
      <c r="A16671" s="23" t="s">
        <v>380</v>
      </c>
      <c r="B16671" s="24"/>
      <c r="C16671" s="24"/>
      <c r="D16671" s="24"/>
      <c r="E16671" s="24"/>
      <c r="F16671" s="24"/>
      <c r="G16671" s="24"/>
      <c r="H16671" s="24"/>
      <c r="I16671" s="24"/>
      <c r="J16671" s="24"/>
      <c r="K16671" s="24"/>
    </row>
    <row r="16672" customFormat="false" ht="15" hidden="false" customHeight="false" outlineLevel="0" collapsed="false">
      <c r="A16672" s="3" t="s">
        <v>373</v>
      </c>
      <c r="G16672" s="32" t="n">
        <f aca="false">IF(G16551&gt;0,G16547/G16551,99)</f>
        <v>1.92563899625449</v>
      </c>
      <c r="H16672" s="32" t="n">
        <f aca="false">IF(H16551&gt;0,H16547/H16551,99)</f>
        <v>1.84861343640431</v>
      </c>
      <c r="I16672" s="32" t="n">
        <f aca="false">IF(I16551&gt;0,I16547/I16551,99)</f>
        <v>1.75842750947116</v>
      </c>
      <c r="J16672" s="32" t="n">
        <f aca="false">IF(J16551&gt;0,J16547/J16551,99)</f>
        <v>1.89848422719182</v>
      </c>
      <c r="K16672" s="32" t="n">
        <f aca="false">IF(K16551&gt;0,K16547/K16551,99)</f>
        <v>1.81444838125289</v>
      </c>
    </row>
    <row r="16673" customFormat="false" ht="15" hidden="false" customHeight="false" outlineLevel="0" collapsed="false">
      <c r="A16673" s="3" t="s">
        <v>374</v>
      </c>
      <c r="G16673" s="33" t="n">
        <f aca="false">Assumptions!$G$66</f>
        <v>1.4</v>
      </c>
      <c r="H16673" s="33" t="n">
        <f aca="false">Assumptions!$H$66</f>
        <v>1.4</v>
      </c>
      <c r="I16673" s="33" t="n">
        <f aca="false">Assumptions!$I$66</f>
        <v>1.4</v>
      </c>
      <c r="J16673" s="33" t="n">
        <f aca="false">Assumptions!$J$66</f>
        <v>1.5</v>
      </c>
      <c r="K16673" s="33" t="n">
        <f aca="false">Assumptions!$K$66</f>
        <v>1.5</v>
      </c>
    </row>
    <row r="16674" customFormat="false" ht="15" hidden="false" customHeight="false" outlineLevel="0" collapsed="false">
      <c r="A16674" s="3" t="s">
        <v>375</v>
      </c>
      <c r="G16674" s="32" t="n">
        <f aca="false">G16672-G16673</f>
        <v>0.525638996254489</v>
      </c>
      <c r="H16674" s="32" t="n">
        <f aca="false">H16672-H16673</f>
        <v>0.448613436404309</v>
      </c>
      <c r="I16674" s="32" t="n">
        <f aca="false">I16672-I16673</f>
        <v>0.358427509471156</v>
      </c>
      <c r="J16674" s="32" t="n">
        <f aca="false">J16672-J16673</f>
        <v>0.398484227191822</v>
      </c>
      <c r="K16674" s="32" t="n">
        <f aca="false">K16672-K16673</f>
        <v>0.31444838125289</v>
      </c>
    </row>
    <row r="16675" customFormat="false" ht="15" hidden="false" customHeight="false" outlineLevel="0" collapsed="false">
      <c r="A16675" s="3" t="s">
        <v>376</v>
      </c>
      <c r="G16675" s="21" t="n">
        <f aca="false">IF(G16673=0,0,G16674/ABS(G16673))</f>
        <v>0.375456425896063</v>
      </c>
      <c r="H16675" s="21" t="n">
        <f aca="false">IF(H16673=0,0,H16674/ABS(H16673))</f>
        <v>0.320438168860221</v>
      </c>
      <c r="I16675" s="21" t="n">
        <f aca="false">IF(I16673=0,0,I16674/ABS(I16673))</f>
        <v>0.256019649622254</v>
      </c>
      <c r="J16675" s="21" t="n">
        <f aca="false">IF(J16673=0,0,J16674/ABS(J16673))</f>
        <v>0.265656151461215</v>
      </c>
      <c r="K16675" s="21" t="n">
        <f aca="false">IF(K16673=0,0,K16674/ABS(K16673))</f>
        <v>0.209632254168593</v>
      </c>
    </row>
    <row r="16676" customFormat="false" ht="15" hidden="false" customHeight="false" outlineLevel="0" collapsed="false">
      <c r="A16676" s="3" t="s">
        <v>377</v>
      </c>
      <c r="G16676" s="20" t="n">
        <f aca="false">IF(G16674&lt;0,1,0)</f>
        <v>0</v>
      </c>
      <c r="H16676" s="20" t="n">
        <f aca="false">IF(H16674&lt;0,1,0)</f>
        <v>0</v>
      </c>
      <c r="I16676" s="20" t="n">
        <f aca="false">IF(I16674&lt;0,1,0)</f>
        <v>0</v>
      </c>
      <c r="J16676" s="20" t="n">
        <f aca="false">IF(J16674&lt;0,1,0)</f>
        <v>0</v>
      </c>
      <c r="K16676" s="20" t="n">
        <f aca="false">IF(K16674&lt;0,1,0)</f>
        <v>0</v>
      </c>
    </row>
    <row r="16677" customFormat="false" ht="15" hidden="false" customHeight="false" outlineLevel="0" collapsed="false">
      <c r="A16677" s="3" t="s">
        <v>378</v>
      </c>
      <c r="C16677" s="20" t="n">
        <f aca="false">IFERROR(INDEX($G$16537:$K$16537,MATCH(1,$G$16676:$K$16676,0)),0)</f>
        <v>0</v>
      </c>
    </row>
    <row r="16678" customFormat="false" ht="15" hidden="false" customHeight="false" outlineLevel="0" collapsed="false">
      <c r="A16678" s="3" t="s">
        <v>379</v>
      </c>
      <c r="C16678" s="21" t="n">
        <f aca="false">MIN($G$16675:$K$16675)</f>
        <v>0.209632254168593</v>
      </c>
    </row>
    <row r="16679" customFormat="false" ht="15" hidden="false" customHeight="false" outlineLevel="0" collapsed="false">
      <c r="A16679" s="23" t="s">
        <v>381</v>
      </c>
      <c r="B16679" s="24"/>
      <c r="C16679" s="24"/>
      <c r="D16679" s="24"/>
      <c r="E16679" s="24"/>
      <c r="F16679" s="24"/>
      <c r="G16679" s="24"/>
      <c r="H16679" s="24"/>
      <c r="I16679" s="24"/>
      <c r="J16679" s="24"/>
      <c r="K16679" s="24"/>
    </row>
    <row r="16680" customFormat="false" ht="15" hidden="false" customHeight="false" outlineLevel="0" collapsed="false">
      <c r="A16680" s="3" t="s">
        <v>373</v>
      </c>
      <c r="G16680" s="25" t="n">
        <f aca="false">G16658</f>
        <v>589.86335403</v>
      </c>
      <c r="H16680" s="25" t="n">
        <f aca="false">H16658</f>
        <v>706.0173737988</v>
      </c>
      <c r="I16680" s="25" t="n">
        <f aca="false">I16658</f>
        <v>390.575377766904</v>
      </c>
      <c r="J16680" s="25" t="n">
        <f aca="false">J16658</f>
        <v>499.440625970316</v>
      </c>
      <c r="K16680" s="25" t="n">
        <f aca="false">K16658</f>
        <v>599.128348849095</v>
      </c>
    </row>
    <row r="16681" customFormat="false" ht="15" hidden="false" customHeight="false" outlineLevel="0" collapsed="false">
      <c r="A16681" s="3" t="s">
        <v>374</v>
      </c>
      <c r="G16681" s="29" t="n">
        <f aca="false">Assumptions!$G$67</f>
        <v>200</v>
      </c>
      <c r="H16681" s="29" t="n">
        <f aca="false">Assumptions!$H$67</f>
        <v>200</v>
      </c>
      <c r="I16681" s="29" t="n">
        <f aca="false">Assumptions!$I$67</f>
        <v>200</v>
      </c>
      <c r="J16681" s="29" t="n">
        <f aca="false">Assumptions!$J$67</f>
        <v>200</v>
      </c>
      <c r="K16681" s="29" t="n">
        <f aca="false">Assumptions!$K$67</f>
        <v>200</v>
      </c>
    </row>
    <row r="16682" customFormat="false" ht="15" hidden="false" customHeight="false" outlineLevel="0" collapsed="false">
      <c r="A16682" s="3" t="s">
        <v>375</v>
      </c>
      <c r="G16682" s="25" t="n">
        <f aca="false">G16680-G16681</f>
        <v>389.86335403</v>
      </c>
      <c r="H16682" s="25" t="n">
        <f aca="false">H16680-H16681</f>
        <v>506.0173737988</v>
      </c>
      <c r="I16682" s="25" t="n">
        <f aca="false">I16680-I16681</f>
        <v>190.575377766904</v>
      </c>
      <c r="J16682" s="25" t="n">
        <f aca="false">J16680-J16681</f>
        <v>299.440625970316</v>
      </c>
      <c r="K16682" s="25" t="n">
        <f aca="false">K16680-K16681</f>
        <v>399.128348849095</v>
      </c>
    </row>
    <row r="16683" customFormat="false" ht="15" hidden="false" customHeight="false" outlineLevel="0" collapsed="false">
      <c r="A16683" s="3" t="s">
        <v>376</v>
      </c>
      <c r="G16683" s="21" t="n">
        <f aca="false">IF(G16681=0,0,G16682/ABS(G16681))</f>
        <v>1.94931677015</v>
      </c>
      <c r="H16683" s="21" t="n">
        <f aca="false">IF(H16681=0,0,H16682/ABS(H16681))</f>
        <v>2.530086868994</v>
      </c>
      <c r="I16683" s="21" t="n">
        <f aca="false">IF(I16681=0,0,I16682/ABS(I16681))</f>
        <v>0.95287688883452</v>
      </c>
      <c r="J16683" s="21" t="n">
        <f aca="false">IF(J16681=0,0,J16682/ABS(J16681))</f>
        <v>1.49720312985158</v>
      </c>
      <c r="K16683" s="21" t="n">
        <f aca="false">IF(K16681=0,0,K16682/ABS(K16681))</f>
        <v>1.99564174424547</v>
      </c>
    </row>
    <row r="16684" customFormat="false" ht="15" hidden="false" customHeight="false" outlineLevel="0" collapsed="false">
      <c r="A16684" s="3" t="s">
        <v>377</v>
      </c>
      <c r="G16684" s="20" t="n">
        <f aca="false">IF(G16682&lt;0,1,0)</f>
        <v>0</v>
      </c>
      <c r="H16684" s="20" t="n">
        <f aca="false">IF(H16682&lt;0,1,0)</f>
        <v>0</v>
      </c>
      <c r="I16684" s="20" t="n">
        <f aca="false">IF(I16682&lt;0,1,0)</f>
        <v>0</v>
      </c>
      <c r="J16684" s="20" t="n">
        <f aca="false">IF(J16682&lt;0,1,0)</f>
        <v>0</v>
      </c>
      <c r="K16684" s="20" t="n">
        <f aca="false">IF(K16682&lt;0,1,0)</f>
        <v>0</v>
      </c>
    </row>
    <row r="16685" customFormat="false" ht="15" hidden="false" customHeight="false" outlineLevel="0" collapsed="false">
      <c r="A16685" s="3" t="s">
        <v>378</v>
      </c>
      <c r="C16685" s="20" t="n">
        <f aca="false">IFERROR(INDEX($G$16537:$K$16537,MATCH(1,$G$16684:$K$16684,0)),0)</f>
        <v>0</v>
      </c>
    </row>
    <row r="16686" customFormat="false" ht="15" hidden="false" customHeight="false" outlineLevel="0" collapsed="false">
      <c r="A16686" s="3" t="s">
        <v>379</v>
      </c>
      <c r="C16686" s="21" t="n">
        <f aca="false">MIN($G$16683:$K$16683)</f>
        <v>0.95287688883452</v>
      </c>
    </row>
    <row r="16687" customFormat="false" ht="15" hidden="false" customHeight="false" outlineLevel="0" collapsed="false">
      <c r="A16687" s="3" t="s">
        <v>382</v>
      </c>
      <c r="G16687" s="20" t="n">
        <f aca="false">G16668+G16676+G16684</f>
        <v>0</v>
      </c>
      <c r="H16687" s="20" t="n">
        <f aca="false">H16668+H16676+H16684</f>
        <v>0</v>
      </c>
      <c r="I16687" s="20" t="n">
        <f aca="false">I16668+I16676+I16684</f>
        <v>0</v>
      </c>
      <c r="J16687" s="20" t="n">
        <f aca="false">J16668+J16676+J16684</f>
        <v>0</v>
      </c>
      <c r="K16687" s="20" t="n">
        <f aca="false">K16668+K16676+K16684</f>
        <v>0</v>
      </c>
    </row>
    <row r="16688" customFormat="false" ht="15" hidden="false" customHeight="false" outlineLevel="0" collapsed="false">
      <c r="A16688" s="3" t="s">
        <v>383</v>
      </c>
      <c r="C16688" s="20" t="n">
        <f aca="false">SUM($G$16687:$K$16687)</f>
        <v>0</v>
      </c>
    </row>
    <row r="16689" customFormat="false" ht="15" hidden="false" customHeight="false" outlineLevel="0" collapsed="false">
      <c r="A16689" s="3" t="s">
        <v>384</v>
      </c>
      <c r="C16689" s="21" t="n">
        <f aca="false">MIN(C16670,C16678,C16686)</f>
        <v>0.209632254168593</v>
      </c>
    </row>
    <row r="16691" customFormat="false" ht="15" hidden="false" customHeight="false" outlineLevel="0" collapsed="false">
      <c r="A16691" s="23" t="s">
        <v>486</v>
      </c>
      <c r="B16691" s="24"/>
      <c r="C16691" s="24"/>
      <c r="D16691" s="24"/>
      <c r="E16691" s="24"/>
      <c r="F16691" s="24"/>
      <c r="G16691" s="24"/>
      <c r="H16691" s="24"/>
      <c r="I16691" s="24"/>
      <c r="J16691" s="24"/>
      <c r="K16691" s="24"/>
    </row>
    <row r="16692" customFormat="false" ht="15" hidden="false" customHeight="false" outlineLevel="0" collapsed="false">
      <c r="A16692" s="3" t="s">
        <v>487</v>
      </c>
      <c r="G16692" s="20" t="n">
        <f aca="false">IF($C$16693=1,G16645,IF(G16547=MIN($G$16547:$K$16547),1,0))</f>
        <v>0</v>
      </c>
      <c r="H16692" s="20" t="n">
        <f aca="false">IF($C$16693=1,H16645,IF(AND(H16547=MIN($G$16547:$K$16547),SUM($G$16692:G16692)=0),1,0))</f>
        <v>0</v>
      </c>
      <c r="I16692" s="20" t="n">
        <f aca="false">IF($C$16693=1,I16645,IF(AND(I16547=MIN($G$16547:$K$16547),SUM($G$16692:H16692)=0),1,0))</f>
        <v>0</v>
      </c>
      <c r="J16692" s="20" t="n">
        <f aca="false">IF($C$16693=1,J16645,IF(AND(J16547=MIN($G$16547:$K$16547),SUM($G$16692:I16692)=0),1,0))</f>
        <v>0</v>
      </c>
      <c r="K16692" s="20" t="n">
        <f aca="false">IF($C$16693=1,K16645,IF(AND(K16547=MIN($G$16547:$K$16547),SUM($G$16692:J16692)=0),1,0))</f>
        <v>1</v>
      </c>
    </row>
    <row r="16693" customFormat="false" ht="15" hidden="false" customHeight="false" outlineLevel="0" collapsed="false">
      <c r="A16693" s="3" t="s">
        <v>488</v>
      </c>
      <c r="C16693" s="20" t="n">
        <f aca="false">IF(SUM($G$16645:$K$16645)&gt;0,1,0)</f>
        <v>0</v>
      </c>
    </row>
    <row r="16694" customFormat="false" ht="15" hidden="false" customHeight="false" outlineLevel="0" collapsed="false">
      <c r="A16694" s="3" t="s">
        <v>489</v>
      </c>
      <c r="C16694" s="20" t="n">
        <f aca="false">SUMPRODUCT($G$16692:$K$16692,$G$16537:$K$16537)</f>
        <v>2031</v>
      </c>
    </row>
    <row r="16695" customFormat="false" ht="15" hidden="false" customHeight="false" outlineLevel="0" collapsed="false">
      <c r="A16695" s="3" t="s">
        <v>490</v>
      </c>
      <c r="C16695" s="25" t="n">
        <f aca="false">SUMPRODUCT($G$16692:$K$16692,$G$16547:$K$16547)</f>
        <v>250.548630915336</v>
      </c>
    </row>
    <row r="16696" customFormat="false" ht="15" hidden="false" customHeight="false" outlineLevel="0" collapsed="false">
      <c r="A16696" s="3" t="s">
        <v>491</v>
      </c>
      <c r="C16696" s="25" t="n">
        <f aca="false">MAX(0,SUMPRODUCT($G$16692:$K$16692,$G$16642:$K$16642))</f>
        <v>599.128348849095</v>
      </c>
    </row>
    <row r="16697" customFormat="false" ht="15" hidden="false" customHeight="false" outlineLevel="0" collapsed="false">
      <c r="A16697" s="3" t="s">
        <v>492</v>
      </c>
      <c r="C16697" s="25" t="n">
        <f aca="false">(CHOOSE($C$16530,Assumptions!$C$84,Assumptions!$C$103,Assumptions!$C$122)+$C$16534)*C16695</f>
        <v>1503.29178549201</v>
      </c>
    </row>
    <row r="16698" customFormat="false" ht="15" hidden="false" customHeight="false" outlineLevel="0" collapsed="false">
      <c r="A16698" s="3" t="s">
        <v>493</v>
      </c>
      <c r="C16698" s="25" t="n">
        <f aca="false">Assumptions!$C$30*(1-CHOOSE($C$16530,Assumptions!$C$85,Assumptions!$C$104,Assumptions!$C$123))*CHOOSE($C$16530,Assumptions!$C$86,Assumptions!$C$105,Assumptions!$C$124)</f>
        <v>736.4913</v>
      </c>
    </row>
    <row r="16699" customFormat="false" ht="15" hidden="false" customHeight="false" outlineLevel="0" collapsed="false">
      <c r="A16699" s="3" t="s">
        <v>494</v>
      </c>
      <c r="C16699" s="25" t="n">
        <f aca="false">MAX(C16697,C16698)+C16696</f>
        <v>2102.42013434111</v>
      </c>
    </row>
    <row r="16700" customFormat="false" ht="15" hidden="false" customHeight="false" outlineLevel="0" collapsed="false">
      <c r="A16700" s="2" t="s">
        <v>495</v>
      </c>
      <c r="C16700" s="16" t="n">
        <f aca="false">IF(ISNUMBER(Assumptions!$C$14),Assumptions!$C$14,C16699)</f>
        <v>2102.42013434111</v>
      </c>
    </row>
    <row r="16701" customFormat="false" ht="15" hidden="false" customHeight="false" outlineLevel="0" collapsed="false">
      <c r="A16701" s="3" t="s">
        <v>496</v>
      </c>
      <c r="C16701" s="25" t="n">
        <f aca="false">C16700*Assumptions!$C$15</f>
        <v>84.0968053736444</v>
      </c>
    </row>
    <row r="16702" customFormat="false" ht="15" hidden="false" customHeight="false" outlineLevel="0" collapsed="false">
      <c r="A16702" s="2" t="s">
        <v>497</v>
      </c>
      <c r="C16702" s="16" t="n">
        <f aca="false">C16700-C16701</f>
        <v>2018.32332896747</v>
      </c>
    </row>
    <row r="16703" customFormat="false" ht="15" hidden="false" customHeight="false" outlineLevel="0" collapsed="false">
      <c r="A16703" s="23" t="s">
        <v>498</v>
      </c>
      <c r="B16703" s="24"/>
      <c r="C16703" s="24"/>
      <c r="D16703" s="24"/>
      <c r="E16703" s="24"/>
      <c r="F16703" s="24"/>
      <c r="G16703" s="24"/>
      <c r="H16703" s="24"/>
      <c r="I16703" s="24"/>
      <c r="J16703" s="24"/>
      <c r="K16703" s="24"/>
    </row>
    <row r="16704" customFormat="false" ht="15" hidden="false" customHeight="false" outlineLevel="0" collapsed="false">
      <c r="A16704" s="3" t="s">
        <v>499</v>
      </c>
      <c r="C16704" s="25" t="n">
        <f aca="false">SUMPRODUCT($G$16692:$K$16692,$G$16584:$K$16584)*(1+SUMPRODUCT($G$16692:$K$16692,$G$16576:$K$16576)*Assumptions!$C$16/12)</f>
        <v>1349.6193225</v>
      </c>
    </row>
    <row r="16705" customFormat="false" ht="15" hidden="false" customHeight="false" outlineLevel="0" collapsed="false">
      <c r="A16705" s="3" t="s">
        <v>500</v>
      </c>
      <c r="C16705" s="25" t="n">
        <f aca="false">SUMPRODUCT($G$16692:$K$16692,$G$16597:$K$16597)*(1+SUMPRODUCT($G$16692:$K$16692,$G$16589:$K$16589)*Assumptions!$C$16/12)</f>
        <v>0</v>
      </c>
    </row>
    <row r="16706" customFormat="false" ht="15" hidden="false" customHeight="false" outlineLevel="0" collapsed="false">
      <c r="A16706" s="3" t="s">
        <v>501</v>
      </c>
      <c r="C16706" s="25" t="n">
        <f aca="false">SUMPRODUCT($G$16692:$K$16692,$G$16610:$K$16610)*(1+SUMPRODUCT($G$16692:$K$16692,$G$16602:$K$16602)*Assumptions!$C$16/12)</f>
        <v>0</v>
      </c>
    </row>
    <row r="16707" customFormat="false" ht="15" hidden="false" customHeight="false" outlineLevel="0" collapsed="false">
      <c r="A16707" s="23" t="s">
        <v>502</v>
      </c>
      <c r="B16707" s="24"/>
      <c r="C16707" s="24"/>
      <c r="D16707" s="24"/>
      <c r="E16707" s="24"/>
      <c r="F16707" s="24"/>
      <c r="G16707" s="24"/>
      <c r="H16707" s="24"/>
      <c r="I16707" s="24"/>
      <c r="J16707" s="24"/>
      <c r="K16707" s="24"/>
    </row>
    <row r="16708" customFormat="false" ht="15" hidden="false" customHeight="false" outlineLevel="0" collapsed="false">
      <c r="A16708" s="3" t="s">
        <v>499</v>
      </c>
      <c r="C16708" s="27" t="n">
        <f aca="false">Assumptions!$M$56</f>
        <v>1</v>
      </c>
    </row>
    <row r="16709" customFormat="false" ht="15" hidden="false" customHeight="false" outlineLevel="0" collapsed="false">
      <c r="A16709" s="3" t="s">
        <v>500</v>
      </c>
      <c r="C16709" s="27" t="n">
        <f aca="false">Assumptions!$M$57</f>
        <v>2</v>
      </c>
    </row>
    <row r="16710" customFormat="false" ht="15" hidden="false" customHeight="false" outlineLevel="0" collapsed="false">
      <c r="A16710" s="3" t="s">
        <v>501</v>
      </c>
      <c r="C16710" s="27" t="n">
        <f aca="false">Assumptions!$M$58</f>
        <v>2</v>
      </c>
    </row>
    <row r="16711" customFormat="false" ht="15" hidden="false" customHeight="false" outlineLevel="0" collapsed="false">
      <c r="A16711" s="23" t="s">
        <v>503</v>
      </c>
      <c r="B16711" s="24"/>
      <c r="C16711" s="24"/>
      <c r="D16711" s="24"/>
      <c r="E16711" s="24"/>
      <c r="F16711" s="24"/>
      <c r="G16711" s="24"/>
      <c r="H16711" s="24"/>
      <c r="I16711" s="24"/>
      <c r="J16711" s="24"/>
      <c r="K16711" s="24"/>
    </row>
    <row r="16712" customFormat="false" ht="15" hidden="false" customHeight="false" outlineLevel="0" collapsed="false">
      <c r="A16712" s="3" t="s">
        <v>499</v>
      </c>
      <c r="C16712" s="35" t="n">
        <f aca="false">Assumptions!$Q$56</f>
        <v>0</v>
      </c>
    </row>
    <row r="16713" customFormat="false" ht="15" hidden="false" customHeight="false" outlineLevel="0" collapsed="false">
      <c r="A16713" s="3" t="s">
        <v>500</v>
      </c>
      <c r="C16713" s="35" t="n">
        <f aca="false">Assumptions!$Q$57</f>
        <v>0</v>
      </c>
    </row>
    <row r="16714" customFormat="false" ht="15" hidden="false" customHeight="false" outlineLevel="0" collapsed="false">
      <c r="A16714" s="3" t="s">
        <v>501</v>
      </c>
      <c r="C16714" s="35" t="n">
        <f aca="false">Assumptions!$Q$58</f>
        <v>0</v>
      </c>
    </row>
    <row r="16715" customFormat="false" ht="15" hidden="false" customHeight="false" outlineLevel="0" collapsed="false">
      <c r="A16715" s="23" t="s">
        <v>504</v>
      </c>
      <c r="B16715" s="24"/>
      <c r="C16715" s="24"/>
      <c r="D16715" s="24"/>
      <c r="E16715" s="24"/>
      <c r="F16715" s="24"/>
      <c r="G16715" s="24"/>
      <c r="H16715" s="24"/>
      <c r="I16715" s="24"/>
      <c r="J16715" s="24"/>
      <c r="K16715" s="24"/>
    </row>
    <row r="16716" customFormat="false" ht="15" hidden="false" customHeight="false" outlineLevel="0" collapsed="false">
      <c r="A16716" s="3" t="s">
        <v>499</v>
      </c>
      <c r="C16716" s="25" t="n">
        <f aca="false">IF(C16712&gt;0,MIN(C16704,C16712*$C$16702),0)</f>
        <v>0</v>
      </c>
    </row>
    <row r="16717" customFormat="false" ht="15" hidden="false" customHeight="false" outlineLevel="0" collapsed="false">
      <c r="A16717" s="3" t="s">
        <v>500</v>
      </c>
      <c r="C16717" s="25" t="n">
        <f aca="false">IF(C16713&gt;0,MIN(C16705,C16713*$C$16702),0)</f>
        <v>0</v>
      </c>
    </row>
    <row r="16718" customFormat="false" ht="15" hidden="false" customHeight="false" outlineLevel="0" collapsed="false">
      <c r="A16718" s="3" t="s">
        <v>501</v>
      </c>
      <c r="C16718" s="25" t="n">
        <f aca="false">IF(C16714&gt;0,MIN(C16706,C16714*$C$16702),0)</f>
        <v>0</v>
      </c>
    </row>
    <row r="16719" customFormat="false" ht="15" hidden="false" customHeight="false" outlineLevel="0" collapsed="false">
      <c r="A16719" s="23" t="s">
        <v>505</v>
      </c>
      <c r="B16719" s="24"/>
      <c r="C16719" s="24"/>
      <c r="D16719" s="24"/>
      <c r="E16719" s="24"/>
      <c r="F16719" s="24"/>
      <c r="G16719" s="24"/>
      <c r="H16719" s="24"/>
      <c r="I16719" s="24"/>
      <c r="J16719" s="24"/>
      <c r="K16719" s="24"/>
    </row>
    <row r="16720" customFormat="false" ht="15" hidden="false" customHeight="false" outlineLevel="0" collapsed="false">
      <c r="A16720" s="3" t="s">
        <v>499</v>
      </c>
      <c r="C16720" s="25" t="n">
        <f aca="false">IF(C16712&gt;0,C16704-C16716,0)</f>
        <v>0</v>
      </c>
      <c r="G16720" s="20" t="n">
        <f aca="false">IF(AND(G16574=1,G16571=1),1,0)</f>
        <v>0</v>
      </c>
      <c r="H16720" s="20" t="n">
        <f aca="false">IF(G16720=1,1,IF(AND(H16574=1,H16571=1),1,0))</f>
        <v>0</v>
      </c>
      <c r="I16720" s="20" t="n">
        <f aca="false">IF(H16720=1,1,IF(AND(I16574=1,I16571=1),1,0))</f>
        <v>0</v>
      </c>
      <c r="J16720" s="20" t="n">
        <f aca="false">IF(I16720=1,1,IF(AND(J16574=1,J16571=1),1,0))</f>
        <v>0</v>
      </c>
      <c r="K16720" s="20" t="n">
        <f aca="false">IF(J16720=1,1,IF(AND(K16574=1,K16571=1),1,0))</f>
        <v>0</v>
      </c>
    </row>
    <row r="16721" customFormat="false" ht="15" hidden="false" customHeight="false" outlineLevel="0" collapsed="false">
      <c r="A16721" s="3" t="s">
        <v>500</v>
      </c>
      <c r="C16721" s="25" t="n">
        <f aca="false">IF(C16713&gt;0,C16705-C16717,0)</f>
        <v>0</v>
      </c>
      <c r="G16721" s="20" t="n">
        <f aca="false">IF(AND(G16587=1,G16571=1),1,0)</f>
        <v>0</v>
      </c>
      <c r="H16721" s="20" t="n">
        <f aca="false">IF(G16721=1,1,IF(AND(H16587=1,H16571=1),1,0))</f>
        <v>0</v>
      </c>
      <c r="I16721" s="20" t="n">
        <f aca="false">IF(H16721=1,1,IF(AND(I16587=1,I16571=1),1,0))</f>
        <v>1</v>
      </c>
      <c r="J16721" s="20" t="n">
        <f aca="false">IF(I16721=1,1,IF(AND(J16587=1,J16571=1),1,0))</f>
        <v>1</v>
      </c>
      <c r="K16721" s="20" t="n">
        <f aca="false">IF(J16721=1,1,IF(AND(K16587=1,K16571=1),1,0))</f>
        <v>1</v>
      </c>
    </row>
    <row r="16722" customFormat="false" ht="15" hidden="false" customHeight="false" outlineLevel="0" collapsed="false">
      <c r="A16722" s="3" t="s">
        <v>501</v>
      </c>
      <c r="C16722" s="25" t="n">
        <f aca="false">IF(C16714&gt;0,C16706-C16718,0)</f>
        <v>0</v>
      </c>
      <c r="G16722" s="20" t="n">
        <f aca="false">IF(AND(G16600=1,G16571=1),1,0)</f>
        <v>0</v>
      </c>
      <c r="H16722" s="20" t="n">
        <f aca="false">IF(G16722=1,1,IF(AND(H16600=1,H16571=1),1,0))</f>
        <v>0</v>
      </c>
      <c r="I16722" s="20" t="n">
        <f aca="false">IF(H16722=1,1,IF(AND(I16600=1,I16571=1),1,0))</f>
        <v>1</v>
      </c>
      <c r="J16722" s="20" t="n">
        <f aca="false">IF(I16722=1,1,IF(AND(J16600=1,J16571=1),1,0))</f>
        <v>1</v>
      </c>
      <c r="K16722" s="20" t="n">
        <f aca="false">IF(J16722=1,1,IF(AND(K16600=1,K16571=1),1,0))</f>
        <v>1</v>
      </c>
    </row>
    <row r="16723" customFormat="false" ht="15" hidden="false" customHeight="false" outlineLevel="0" collapsed="false">
      <c r="A16723" s="23" t="s">
        <v>506</v>
      </c>
      <c r="B16723" s="24"/>
      <c r="C16723" s="24"/>
      <c r="D16723" s="24"/>
      <c r="E16723" s="24"/>
      <c r="F16723" s="24"/>
      <c r="G16723" s="24"/>
      <c r="H16723" s="24"/>
      <c r="I16723" s="24"/>
      <c r="J16723" s="24"/>
      <c r="K16723" s="24"/>
    </row>
    <row r="16724" customFormat="false" ht="15" hidden="false" customHeight="false" outlineLevel="0" collapsed="false">
      <c r="A16724" s="3" t="s">
        <v>499</v>
      </c>
      <c r="C16724" s="25" t="n">
        <f aca="false">IF(C16712&gt;0,C16720,C16704)</f>
        <v>1349.6193225</v>
      </c>
    </row>
    <row r="16725" customFormat="false" ht="15" hidden="false" customHeight="false" outlineLevel="0" collapsed="false">
      <c r="A16725" s="3" t="s">
        <v>500</v>
      </c>
      <c r="C16725" s="25" t="n">
        <f aca="false">IF(C16713&gt;0,C16721,C16705)</f>
        <v>0</v>
      </c>
    </row>
    <row r="16726" customFormat="false" ht="15" hidden="false" customHeight="false" outlineLevel="0" collapsed="false">
      <c r="A16726" s="3" t="s">
        <v>501</v>
      </c>
      <c r="C16726" s="25" t="n">
        <f aca="false">IF(C16714&gt;0,C16722,C16706)</f>
        <v>0</v>
      </c>
    </row>
    <row r="16727" customFormat="false" ht="15" hidden="false" customHeight="false" outlineLevel="0" collapsed="false">
      <c r="A16727" s="23" t="s">
        <v>507</v>
      </c>
      <c r="B16727" s="24"/>
      <c r="C16727" s="24"/>
      <c r="D16727" s="24"/>
      <c r="E16727" s="24"/>
      <c r="F16727" s="24"/>
      <c r="G16727" s="24"/>
      <c r="H16727" s="24"/>
      <c r="I16727" s="24"/>
      <c r="J16727" s="24"/>
      <c r="K16727" s="24"/>
    </row>
    <row r="16728" customFormat="false" ht="15" hidden="false" customHeight="false" outlineLevel="0" collapsed="false">
      <c r="A16728" s="3" t="s">
        <v>499</v>
      </c>
      <c r="C16728" s="20" t="n">
        <f aca="false">IF(C16712&gt;0,Assumptions!$C$17,C16708)</f>
        <v>1</v>
      </c>
    </row>
    <row r="16729" customFormat="false" ht="15" hidden="false" customHeight="false" outlineLevel="0" collapsed="false">
      <c r="A16729" s="3" t="s">
        <v>500</v>
      </c>
      <c r="C16729" s="20" t="n">
        <f aca="false">IF(C16713&gt;0,Assumptions!$C$17,C16709)</f>
        <v>2</v>
      </c>
    </row>
    <row r="16730" customFormat="false" ht="15" hidden="false" customHeight="false" outlineLevel="0" collapsed="false">
      <c r="A16730" s="3" t="s">
        <v>501</v>
      </c>
      <c r="C16730" s="20" t="n">
        <f aca="false">IF(C16714&gt;0,Assumptions!$C$17,C16710)</f>
        <v>2</v>
      </c>
    </row>
    <row r="16731" customFormat="false" ht="15" hidden="false" customHeight="false" outlineLevel="0" collapsed="false">
      <c r="A16731" s="23" t="s">
        <v>508</v>
      </c>
      <c r="B16731" s="24"/>
      <c r="C16731" s="24"/>
      <c r="D16731" s="24"/>
      <c r="E16731" s="24"/>
      <c r="F16731" s="24"/>
      <c r="G16731" s="24"/>
      <c r="H16731" s="24"/>
      <c r="I16731" s="24"/>
      <c r="J16731" s="24"/>
      <c r="K16731" s="24"/>
    </row>
    <row r="16732" customFormat="false" ht="15" hidden="false" customHeight="false" outlineLevel="0" collapsed="false">
      <c r="A16732" s="3" t="s">
        <v>499</v>
      </c>
      <c r="C16732" s="25" t="n">
        <f aca="false">SUMPRODUCT(($C$16728:$C$16730&lt;C16728)*$C$16724:$C$16726)</f>
        <v>0</v>
      </c>
    </row>
    <row r="16733" customFormat="false" ht="15" hidden="false" customHeight="false" outlineLevel="0" collapsed="false">
      <c r="A16733" s="3" t="s">
        <v>500</v>
      </c>
      <c r="C16733" s="25" t="n">
        <f aca="false">SUMPRODUCT(($C$16728:$C$16730&lt;C16729)*$C$16724:$C$16726)</f>
        <v>1349.6193225</v>
      </c>
    </row>
    <row r="16734" customFormat="false" ht="15" hidden="false" customHeight="false" outlineLevel="0" collapsed="false">
      <c r="A16734" s="3" t="s">
        <v>501</v>
      </c>
      <c r="C16734" s="25" t="n">
        <f aca="false">SUMPRODUCT(($C$16728:$C$16730&lt;C16730)*$C$16724:$C$16726)</f>
        <v>1349.6193225</v>
      </c>
    </row>
    <row r="16735" customFormat="false" ht="15" hidden="false" customHeight="false" outlineLevel="0" collapsed="false">
      <c r="A16735" s="23" t="s">
        <v>509</v>
      </c>
      <c r="B16735" s="24"/>
      <c r="C16735" s="24"/>
      <c r="D16735" s="24"/>
      <c r="E16735" s="24"/>
      <c r="F16735" s="24"/>
      <c r="G16735" s="24"/>
      <c r="H16735" s="24"/>
      <c r="I16735" s="24"/>
      <c r="J16735" s="24"/>
      <c r="K16735" s="24"/>
    </row>
    <row r="16736" customFormat="false" ht="15" hidden="false" customHeight="false" outlineLevel="0" collapsed="false">
      <c r="A16736" s="3" t="s">
        <v>499</v>
      </c>
      <c r="C16736" s="25" t="n">
        <f aca="false">SUMPRODUCT(($C$16728:$C$16730=C16728)*$C$16724:$C$16726)</f>
        <v>1349.6193225</v>
      </c>
    </row>
    <row r="16737" customFormat="false" ht="15" hidden="false" customHeight="false" outlineLevel="0" collapsed="false">
      <c r="A16737" s="3" t="s">
        <v>500</v>
      </c>
      <c r="C16737" s="25" t="n">
        <f aca="false">SUMPRODUCT(($C$16728:$C$16730=C16729)*$C$16724:$C$16726)</f>
        <v>0</v>
      </c>
    </row>
    <row r="16738" customFormat="false" ht="15" hidden="false" customHeight="false" outlineLevel="0" collapsed="false">
      <c r="A16738" s="3" t="s">
        <v>501</v>
      </c>
      <c r="C16738" s="25" t="n">
        <f aca="false">SUMPRODUCT(($C$16728:$C$16730=C16730)*$C$16724:$C$16726)</f>
        <v>0</v>
      </c>
    </row>
    <row r="16739" customFormat="false" ht="15" hidden="false" customHeight="false" outlineLevel="0" collapsed="false">
      <c r="A16739" s="23" t="s">
        <v>510</v>
      </c>
      <c r="B16739" s="24"/>
      <c r="C16739" s="24"/>
      <c r="D16739" s="24"/>
      <c r="E16739" s="24"/>
      <c r="F16739" s="24"/>
      <c r="G16739" s="24"/>
      <c r="H16739" s="24"/>
      <c r="I16739" s="24"/>
      <c r="J16739" s="24"/>
      <c r="K16739" s="24"/>
    </row>
    <row r="16740" customFormat="false" ht="15" hidden="false" customHeight="false" outlineLevel="0" collapsed="false">
      <c r="A16740" s="3" t="s">
        <v>499</v>
      </c>
      <c r="C16740" s="25" t="n">
        <f aca="false">IF(C16736=0,0,C16724/C16736*MAX(0,MIN(C16736,$C$16702-SUM($C$16716:$C$16718)-C16732)))</f>
        <v>1349.6193225</v>
      </c>
    </row>
    <row r="16741" customFormat="false" ht="15" hidden="false" customHeight="false" outlineLevel="0" collapsed="false">
      <c r="A16741" s="3" t="s">
        <v>500</v>
      </c>
      <c r="C16741" s="25" t="n">
        <f aca="false">IF(C16737=0,0,C16725/C16737*MAX(0,MIN(C16737,$C$16702-SUM($C$16716:$C$16718)-C16733)))</f>
        <v>0</v>
      </c>
    </row>
    <row r="16742" customFormat="false" ht="15" hidden="false" customHeight="false" outlineLevel="0" collapsed="false">
      <c r="A16742" s="3" t="s">
        <v>501</v>
      </c>
      <c r="C16742" s="25" t="n">
        <f aca="false">IF(C16738=0,0,C16726/C16738*MAX(0,MIN(C16738,$C$16702-SUM($C$16716:$C$16718)-C16734)))</f>
        <v>0</v>
      </c>
    </row>
    <row r="16743" customFormat="false" ht="15" hidden="false" customHeight="false" outlineLevel="0" collapsed="false">
      <c r="A16743" s="23" t="s">
        <v>511</v>
      </c>
      <c r="B16743" s="24"/>
      <c r="C16743" s="24"/>
      <c r="D16743" s="24"/>
      <c r="E16743" s="24"/>
      <c r="F16743" s="24"/>
      <c r="G16743" s="24"/>
      <c r="H16743" s="24"/>
      <c r="I16743" s="24"/>
      <c r="J16743" s="24"/>
      <c r="K16743" s="24"/>
    </row>
    <row r="16744" customFormat="false" ht="15" hidden="false" customHeight="false" outlineLevel="0" collapsed="false">
      <c r="A16744" s="2" t="s">
        <v>499</v>
      </c>
      <c r="C16744" s="16" t="n">
        <f aca="false">C16716+C16740</f>
        <v>1349.6193225</v>
      </c>
    </row>
    <row r="16745" customFormat="false" ht="15" hidden="false" customHeight="false" outlineLevel="0" collapsed="false">
      <c r="A16745" s="2" t="s">
        <v>500</v>
      </c>
      <c r="C16745" s="16" t="n">
        <f aca="false">C16717+C16741</f>
        <v>0</v>
      </c>
    </row>
    <row r="16746" customFormat="false" ht="15" hidden="false" customHeight="false" outlineLevel="0" collapsed="false">
      <c r="A16746" s="2" t="s">
        <v>501</v>
      </c>
      <c r="C16746" s="16" t="n">
        <f aca="false">C16718+C16742</f>
        <v>0</v>
      </c>
    </row>
    <row r="16747" customFormat="false" ht="15" hidden="false" customHeight="false" outlineLevel="0" collapsed="false">
      <c r="A16747" s="23" t="s">
        <v>512</v>
      </c>
      <c r="B16747" s="24"/>
      <c r="C16747" s="24"/>
      <c r="D16747" s="24"/>
      <c r="E16747" s="24"/>
      <c r="F16747" s="24"/>
      <c r="G16747" s="24"/>
      <c r="H16747" s="24"/>
      <c r="I16747" s="24"/>
      <c r="J16747" s="24"/>
      <c r="K16747" s="24"/>
    </row>
    <row r="16748" customFormat="false" ht="15" hidden="false" customHeight="false" outlineLevel="0" collapsed="false">
      <c r="A16748" s="3" t="s">
        <v>499</v>
      </c>
      <c r="C16748" s="21" t="n">
        <f aca="false">IF(C16704=0,1,C16744/C16704)</f>
        <v>1</v>
      </c>
    </row>
    <row r="16749" customFormat="false" ht="15" hidden="false" customHeight="false" outlineLevel="0" collapsed="false">
      <c r="A16749" s="3" t="s">
        <v>500</v>
      </c>
      <c r="C16749" s="21" t="n">
        <f aca="false">IF(C16705=0,1,C16745/C16705)</f>
        <v>1</v>
      </c>
    </row>
    <row r="16750" customFormat="false" ht="15" hidden="false" customHeight="false" outlineLevel="0" collapsed="false">
      <c r="A16750" s="3" t="s">
        <v>501</v>
      </c>
      <c r="C16750" s="21" t="n">
        <f aca="false">IF(C16706=0,1,C16746/C16706)</f>
        <v>1</v>
      </c>
    </row>
    <row r="16751" customFormat="false" ht="15" hidden="false" customHeight="false" outlineLevel="0" collapsed="false">
      <c r="A16751" s="23" t="s">
        <v>513</v>
      </c>
      <c r="B16751" s="24"/>
      <c r="C16751" s="24"/>
      <c r="D16751" s="24"/>
      <c r="E16751" s="24"/>
      <c r="F16751" s="24"/>
      <c r="G16751" s="24"/>
      <c r="H16751" s="24"/>
      <c r="I16751" s="24"/>
      <c r="J16751" s="24"/>
      <c r="K16751" s="24"/>
    </row>
    <row r="16752" customFormat="false" ht="15" hidden="false" customHeight="false" outlineLevel="0" collapsed="false">
      <c r="A16752" s="3" t="s">
        <v>499</v>
      </c>
      <c r="C16752" s="25" t="n">
        <f aca="false">C16704-C16744</f>
        <v>0</v>
      </c>
    </row>
    <row r="16753" customFormat="false" ht="15" hidden="false" customHeight="false" outlineLevel="0" collapsed="false">
      <c r="A16753" s="3" t="s">
        <v>500</v>
      </c>
      <c r="C16753" s="25" t="n">
        <f aca="false">C16705-C16745</f>
        <v>0</v>
      </c>
    </row>
    <row r="16754" customFormat="false" ht="15" hidden="false" customHeight="false" outlineLevel="0" collapsed="false">
      <c r="A16754" s="3" t="s">
        <v>501</v>
      </c>
      <c r="C16754" s="25" t="n">
        <f aca="false">C16706-C16746</f>
        <v>0</v>
      </c>
    </row>
    <row r="16755" customFormat="false" ht="15" hidden="false" customHeight="false" outlineLevel="0" collapsed="false">
      <c r="A16755" s="23" t="s">
        <v>514</v>
      </c>
      <c r="B16755" s="24"/>
      <c r="C16755" s="24"/>
      <c r="D16755" s="24"/>
      <c r="E16755" s="24"/>
      <c r="F16755" s="24"/>
      <c r="G16755" s="24"/>
      <c r="H16755" s="24"/>
      <c r="I16755" s="24"/>
      <c r="J16755" s="24"/>
      <c r="K16755" s="24"/>
    </row>
    <row r="16756" customFormat="false" ht="15" hidden="false" customHeight="false" outlineLevel="0" collapsed="false">
      <c r="A16756" s="3" t="s">
        <v>499</v>
      </c>
      <c r="C16756" s="21" t="n">
        <f aca="false">IF(C16704=0,0,C16752/C16704)</f>
        <v>0</v>
      </c>
    </row>
    <row r="16757" customFormat="false" ht="15" hidden="false" customHeight="false" outlineLevel="0" collapsed="false">
      <c r="A16757" s="3" t="s">
        <v>500</v>
      </c>
      <c r="C16757" s="21" t="n">
        <f aca="false">IF(C16705=0,0,C16753/C16705)</f>
        <v>0</v>
      </c>
    </row>
    <row r="16758" customFormat="false" ht="15" hidden="false" customHeight="false" outlineLevel="0" collapsed="false">
      <c r="A16758" s="3" t="s">
        <v>501</v>
      </c>
      <c r="C16758" s="21" t="n">
        <f aca="false">IF(C16706=0,0,C16754/C16706)</f>
        <v>0</v>
      </c>
    </row>
    <row r="16759" customFormat="false" ht="15" hidden="false" customHeight="false" outlineLevel="0" collapsed="false">
      <c r="A16759" s="2" t="s">
        <v>515</v>
      </c>
      <c r="C16759" s="16" t="n">
        <f aca="false">MAX(0,$C$16702-SUM($C$16716:$C$16718)-SUM($C$16724:$C$16726))</f>
        <v>668.704006467465</v>
      </c>
    </row>
    <row r="16760" customFormat="false" ht="15" hidden="false" customHeight="false" outlineLevel="0" collapsed="false">
      <c r="A16760" s="3" t="s">
        <v>516</v>
      </c>
      <c r="C16760" s="25" t="n">
        <f aca="false">SUM($C$16744:$C$16746)+C16759+C16701-C16700</f>
        <v>0</v>
      </c>
    </row>
    <row r="16762" customFormat="false" ht="15" hidden="false" customHeight="false" outlineLevel="0" collapsed="false">
      <c r="A16762" s="23" t="s">
        <v>519</v>
      </c>
      <c r="B16762" s="24"/>
      <c r="C16762" s="24"/>
      <c r="D16762" s="24"/>
      <c r="E16762" s="24"/>
      <c r="F16762" s="24"/>
      <c r="G16762" s="24"/>
      <c r="H16762" s="24"/>
      <c r="I16762" s="24"/>
      <c r="J16762" s="24"/>
      <c r="K16762" s="24"/>
    </row>
    <row r="16763" customFormat="false" ht="15" hidden="false" customHeight="false" outlineLevel="0" collapsed="false">
      <c r="A16763" s="3" t="s">
        <v>520</v>
      </c>
      <c r="C16763" s="27" t="n">
        <f aca="false">Assumptions!$C$33</f>
        <v>1</v>
      </c>
    </row>
    <row r="16764" customFormat="false" ht="15" hidden="false" customHeight="false" outlineLevel="0" collapsed="false">
      <c r="A16764" s="3" t="s">
        <v>521</v>
      </c>
      <c r="C16764" s="29" t="n">
        <f aca="false">Assumptions!$C$34</f>
        <v>100</v>
      </c>
    </row>
    <row r="16765" customFormat="false" ht="15" hidden="false" customHeight="false" outlineLevel="0" collapsed="false">
      <c r="A16765" s="3" t="s">
        <v>522</v>
      </c>
      <c r="C16765" s="40" t="n">
        <f aca="false">Assumptions!$C$35</f>
        <v>95</v>
      </c>
    </row>
    <row r="16766" customFormat="false" ht="15" hidden="false" customHeight="false" outlineLevel="0" collapsed="false">
      <c r="A16766" s="3" t="s">
        <v>523</v>
      </c>
      <c r="C16766" s="25" t="n">
        <f aca="false">C16764*C16765/100*(1+Assumptions!$C$36)</f>
        <v>95</v>
      </c>
    </row>
    <row r="16767" customFormat="false" ht="15" hidden="false" customHeight="false" outlineLevel="0" collapsed="false">
      <c r="A16767" s="3" t="s">
        <v>524</v>
      </c>
      <c r="C16767" s="27" t="n">
        <f aca="false">Assumptions!$C$37</f>
        <v>3</v>
      </c>
    </row>
    <row r="16768" customFormat="false" ht="15" hidden="false" customHeight="false" outlineLevel="0" collapsed="false">
      <c r="A16768" s="3" t="s">
        <v>525</v>
      </c>
      <c r="C16768" s="20" t="n">
        <f aca="false">IF(C16693=1,SUMPRODUCT($G$16645:$K$16645,$G$16538:$K$16538),0)</f>
        <v>0</v>
      </c>
    </row>
    <row r="16769" customFormat="false" ht="15" hidden="false" customHeight="false" outlineLevel="0" collapsed="false">
      <c r="A16769" s="3" t="s">
        <v>526</v>
      </c>
      <c r="C16769" s="21" t="n">
        <f aca="false">IFERROR(C16764/CHOOSE(C16763,SUMPRODUCT($G$16692:$K$16692,$G$16584:$K$16584),SUMPRODUCT($G$16692:$K$16692,$G$16597:$K$16597),SUMPRODUCT($G$16692:$K$16692,$G$16610:$K$16610)),0)</f>
        <v>0.0760399605200525</v>
      </c>
    </row>
    <row r="16770" customFormat="false" ht="15" hidden="false" customHeight="false" outlineLevel="0" collapsed="false">
      <c r="A16770" s="3" t="s">
        <v>527</v>
      </c>
      <c r="C16770" s="25" t="n">
        <f aca="false">CHOOSE(C16763,C16744,C16745,C16746)*C16769</f>
        <v>102.625</v>
      </c>
    </row>
    <row r="16771" customFormat="false" ht="15" hidden="false" customHeight="false" outlineLevel="0" collapsed="false">
      <c r="A16771" s="3" t="s">
        <v>528</v>
      </c>
      <c r="C16771" s="21" t="n">
        <f aca="false">CHOOSE(C16763,C16748,C16749,C16750)</f>
        <v>1</v>
      </c>
    </row>
    <row r="16772" customFormat="false" ht="15" hidden="false" customHeight="false" outlineLevel="0" collapsed="false">
      <c r="A16772" s="3" t="s">
        <v>529</v>
      </c>
      <c r="C16772" s="20" t="n">
        <f aca="false">IF(C16693=1,C16768,C16767)</f>
        <v>3</v>
      </c>
    </row>
    <row r="16773" customFormat="false" ht="15" hidden="false" customHeight="false" outlineLevel="0" collapsed="false">
      <c r="A16773" s="3" t="s">
        <v>530</v>
      </c>
      <c r="C16773" s="34" t="n">
        <f aca="false">CHOOSE($C$16530,Assumptions!$C$83,Assumptions!$C$102,Assumptions!$C$121)</f>
        <v>100</v>
      </c>
    </row>
    <row r="16774" customFormat="false" ht="15" hidden="false" customHeight="false" outlineLevel="0" collapsed="false">
      <c r="A16774" s="3" t="s">
        <v>531</v>
      </c>
      <c r="C16774" s="25" t="n">
        <f aca="false">INDEX($G$16547:$K$16547,C16767)*CHOOSE($C$16530,Assumptions!$C$82,Assumptions!$C$101,Assumptions!$C$120)+MAX(0,INDEX($G$16642:$K$16642,C16767))</f>
        <v>1898.86777853863</v>
      </c>
    </row>
    <row r="16775" customFormat="false" ht="15" hidden="false" customHeight="false" outlineLevel="0" collapsed="false">
      <c r="A16775" s="23" t="s">
        <v>532</v>
      </c>
      <c r="B16775" s="24"/>
      <c r="C16775" s="24"/>
      <c r="D16775" s="24"/>
      <c r="E16775" s="24"/>
      <c r="F16775" s="24"/>
      <c r="G16775" s="24"/>
      <c r="H16775" s="24"/>
      <c r="I16775" s="24"/>
      <c r="J16775" s="24"/>
      <c r="K16775" s="24"/>
    </row>
    <row r="16776" customFormat="false" ht="15" hidden="false" customHeight="false" outlineLevel="0" collapsed="false">
      <c r="A16776" s="3" t="s">
        <v>499</v>
      </c>
      <c r="C16776" s="25" t="n">
        <f aca="false">INDEX($G$16584:$K$16584,C16767)</f>
        <v>1315.098</v>
      </c>
    </row>
    <row r="16777" customFormat="false" ht="15" hidden="false" customHeight="false" outlineLevel="0" collapsed="false">
      <c r="A16777" s="3" t="s">
        <v>500</v>
      </c>
      <c r="C16777" s="25" t="n">
        <f aca="false">INDEX($G$16597:$K$16597,C16767)</f>
        <v>0</v>
      </c>
    </row>
    <row r="16778" customFormat="false" ht="15" hidden="false" customHeight="false" outlineLevel="0" collapsed="false">
      <c r="A16778" s="3" t="s">
        <v>501</v>
      </c>
      <c r="C16778" s="25" t="n">
        <f aca="false">INDEX($G$16610:$K$16610,C16767)</f>
        <v>0</v>
      </c>
    </row>
    <row r="16779" customFormat="false" ht="15" hidden="false" customHeight="false" outlineLevel="0" collapsed="false">
      <c r="A16779" s="23" t="s">
        <v>502</v>
      </c>
      <c r="B16779" s="24"/>
      <c r="C16779" s="24"/>
      <c r="D16779" s="24"/>
      <c r="E16779" s="24"/>
      <c r="F16779" s="24"/>
      <c r="G16779" s="24"/>
      <c r="H16779" s="24"/>
      <c r="I16779" s="24"/>
      <c r="J16779" s="24"/>
      <c r="K16779" s="24"/>
    </row>
    <row r="16780" customFormat="false" ht="15" hidden="false" customHeight="false" outlineLevel="0" collapsed="false">
      <c r="A16780" s="3" t="s">
        <v>499</v>
      </c>
      <c r="C16780" s="27" t="n">
        <f aca="false">Assumptions!$M$56</f>
        <v>1</v>
      </c>
    </row>
    <row r="16781" customFormat="false" ht="15" hidden="false" customHeight="false" outlineLevel="0" collapsed="false">
      <c r="A16781" s="3" t="s">
        <v>500</v>
      </c>
      <c r="C16781" s="27" t="n">
        <f aca="false">Assumptions!$M$57</f>
        <v>2</v>
      </c>
    </row>
    <row r="16782" customFormat="false" ht="15" hidden="false" customHeight="false" outlineLevel="0" collapsed="false">
      <c r="A16782" s="3" t="s">
        <v>501</v>
      </c>
      <c r="C16782" s="27" t="n">
        <f aca="false">Assumptions!$M$58</f>
        <v>2</v>
      </c>
    </row>
    <row r="16783" customFormat="false" ht="15" hidden="false" customHeight="false" outlineLevel="0" collapsed="false">
      <c r="A16783" s="23" t="s">
        <v>503</v>
      </c>
      <c r="B16783" s="24"/>
      <c r="C16783" s="24"/>
      <c r="D16783" s="24"/>
      <c r="E16783" s="24"/>
      <c r="F16783" s="24"/>
      <c r="G16783" s="24"/>
      <c r="H16783" s="24"/>
      <c r="I16783" s="24"/>
      <c r="J16783" s="24"/>
      <c r="K16783" s="24"/>
    </row>
    <row r="16784" customFormat="false" ht="15" hidden="false" customHeight="false" outlineLevel="0" collapsed="false">
      <c r="A16784" s="3" t="s">
        <v>499</v>
      </c>
      <c r="C16784" s="35" t="n">
        <f aca="false">Assumptions!$Q$56</f>
        <v>0</v>
      </c>
    </row>
    <row r="16785" customFormat="false" ht="15" hidden="false" customHeight="false" outlineLevel="0" collapsed="false">
      <c r="A16785" s="3" t="s">
        <v>500</v>
      </c>
      <c r="C16785" s="35" t="n">
        <f aca="false">Assumptions!$Q$57</f>
        <v>0</v>
      </c>
    </row>
    <row r="16786" customFormat="false" ht="15" hidden="false" customHeight="false" outlineLevel="0" collapsed="false">
      <c r="A16786" s="3" t="s">
        <v>501</v>
      </c>
      <c r="C16786" s="35" t="n">
        <f aca="false">Assumptions!$Q$58</f>
        <v>0</v>
      </c>
    </row>
    <row r="16787" customFormat="false" ht="15" hidden="false" customHeight="false" outlineLevel="0" collapsed="false">
      <c r="A16787" s="23" t="s">
        <v>504</v>
      </c>
      <c r="B16787" s="24"/>
      <c r="C16787" s="24"/>
      <c r="D16787" s="24"/>
      <c r="E16787" s="24"/>
      <c r="F16787" s="24"/>
      <c r="G16787" s="24"/>
      <c r="H16787" s="24"/>
      <c r="I16787" s="24"/>
      <c r="J16787" s="24"/>
      <c r="K16787" s="24"/>
    </row>
    <row r="16788" customFormat="false" ht="15" hidden="false" customHeight="false" outlineLevel="0" collapsed="false">
      <c r="A16788" s="3" t="s">
        <v>499</v>
      </c>
      <c r="C16788" s="25" t="n">
        <f aca="false">IF(C16784&gt;0,MIN(C16776,C16784*$C$16774),0)</f>
        <v>0</v>
      </c>
    </row>
    <row r="16789" customFormat="false" ht="15" hidden="false" customHeight="false" outlineLevel="0" collapsed="false">
      <c r="A16789" s="3" t="s">
        <v>500</v>
      </c>
      <c r="C16789" s="25" t="n">
        <f aca="false">IF(C16785&gt;0,MIN(C16777,C16785*$C$16774),0)</f>
        <v>0</v>
      </c>
    </row>
    <row r="16790" customFormat="false" ht="15" hidden="false" customHeight="false" outlineLevel="0" collapsed="false">
      <c r="A16790" s="3" t="s">
        <v>501</v>
      </c>
      <c r="C16790" s="25" t="n">
        <f aca="false">IF(C16786&gt;0,MIN(C16778,C16786*$C$16774),0)</f>
        <v>0</v>
      </c>
    </row>
    <row r="16791" customFormat="false" ht="15" hidden="false" customHeight="false" outlineLevel="0" collapsed="false">
      <c r="A16791" s="23" t="s">
        <v>505</v>
      </c>
      <c r="B16791" s="24"/>
      <c r="C16791" s="24"/>
      <c r="D16791" s="24"/>
      <c r="E16791" s="24"/>
      <c r="F16791" s="24"/>
      <c r="G16791" s="24"/>
      <c r="H16791" s="24"/>
      <c r="I16791" s="24"/>
      <c r="J16791" s="24"/>
      <c r="K16791" s="24"/>
    </row>
    <row r="16792" customFormat="false" ht="15" hidden="false" customHeight="false" outlineLevel="0" collapsed="false">
      <c r="A16792" s="3" t="s">
        <v>499</v>
      </c>
      <c r="C16792" s="25" t="n">
        <f aca="false">IF(C16784&gt;0,C16776-C16788,0)</f>
        <v>0</v>
      </c>
    </row>
    <row r="16793" customFormat="false" ht="15" hidden="false" customHeight="false" outlineLevel="0" collapsed="false">
      <c r="A16793" s="3" t="s">
        <v>500</v>
      </c>
      <c r="C16793" s="25" t="n">
        <f aca="false">IF(C16785&gt;0,C16777-C16789,0)</f>
        <v>0</v>
      </c>
    </row>
    <row r="16794" customFormat="false" ht="15" hidden="false" customHeight="false" outlineLevel="0" collapsed="false">
      <c r="A16794" s="3" t="s">
        <v>501</v>
      </c>
      <c r="C16794" s="25" t="n">
        <f aca="false">IF(C16786&gt;0,C16778-C16790,0)</f>
        <v>0</v>
      </c>
    </row>
    <row r="16795" customFormat="false" ht="15" hidden="false" customHeight="false" outlineLevel="0" collapsed="false">
      <c r="A16795" s="23" t="s">
        <v>506</v>
      </c>
      <c r="B16795" s="24"/>
      <c r="C16795" s="24"/>
      <c r="D16795" s="24"/>
      <c r="E16795" s="24"/>
      <c r="F16795" s="24"/>
      <c r="G16795" s="24"/>
      <c r="H16795" s="24"/>
      <c r="I16795" s="24"/>
      <c r="J16795" s="24"/>
      <c r="K16795" s="24"/>
    </row>
    <row r="16796" customFormat="false" ht="15" hidden="false" customHeight="false" outlineLevel="0" collapsed="false">
      <c r="A16796" s="3" t="s">
        <v>499</v>
      </c>
      <c r="C16796" s="25" t="n">
        <f aca="false">IF(C16784&gt;0,C16792,C16776)</f>
        <v>1315.098</v>
      </c>
    </row>
    <row r="16797" customFormat="false" ht="15" hidden="false" customHeight="false" outlineLevel="0" collapsed="false">
      <c r="A16797" s="3" t="s">
        <v>500</v>
      </c>
      <c r="C16797" s="25" t="n">
        <f aca="false">IF(C16785&gt;0,C16793,C16777)</f>
        <v>0</v>
      </c>
    </row>
    <row r="16798" customFormat="false" ht="15" hidden="false" customHeight="false" outlineLevel="0" collapsed="false">
      <c r="A16798" s="3" t="s">
        <v>501</v>
      </c>
      <c r="C16798" s="25" t="n">
        <f aca="false">IF(C16786&gt;0,C16794,C16778)</f>
        <v>0</v>
      </c>
    </row>
    <row r="16799" customFormat="false" ht="15" hidden="false" customHeight="false" outlineLevel="0" collapsed="false">
      <c r="A16799" s="23" t="s">
        <v>507</v>
      </c>
      <c r="B16799" s="24"/>
      <c r="C16799" s="24"/>
      <c r="D16799" s="24"/>
      <c r="E16799" s="24"/>
      <c r="F16799" s="24"/>
      <c r="G16799" s="24"/>
      <c r="H16799" s="24"/>
      <c r="I16799" s="24"/>
      <c r="J16799" s="24"/>
      <c r="K16799" s="24"/>
    </row>
    <row r="16800" customFormat="false" ht="15" hidden="false" customHeight="false" outlineLevel="0" collapsed="false">
      <c r="A16800" s="3" t="s">
        <v>499</v>
      </c>
      <c r="C16800" s="20" t="n">
        <f aca="false">IF(C16784&gt;0,Assumptions!$C$17,C16780)</f>
        <v>1</v>
      </c>
    </row>
    <row r="16801" customFormat="false" ht="15" hidden="false" customHeight="false" outlineLevel="0" collapsed="false">
      <c r="A16801" s="3" t="s">
        <v>500</v>
      </c>
      <c r="C16801" s="20" t="n">
        <f aca="false">IF(C16785&gt;0,Assumptions!$C$17,C16781)</f>
        <v>2</v>
      </c>
    </row>
    <row r="16802" customFormat="false" ht="15" hidden="false" customHeight="false" outlineLevel="0" collapsed="false">
      <c r="A16802" s="3" t="s">
        <v>501</v>
      </c>
      <c r="C16802" s="20" t="n">
        <f aca="false">IF(C16786&gt;0,Assumptions!$C$17,C16782)</f>
        <v>2</v>
      </c>
    </row>
    <row r="16803" customFormat="false" ht="15" hidden="false" customHeight="false" outlineLevel="0" collapsed="false">
      <c r="A16803" s="23" t="s">
        <v>508</v>
      </c>
      <c r="B16803" s="24"/>
      <c r="C16803" s="24"/>
      <c r="D16803" s="24"/>
      <c r="E16803" s="24"/>
      <c r="F16803" s="24"/>
      <c r="G16803" s="24"/>
      <c r="H16803" s="24"/>
      <c r="I16803" s="24"/>
      <c r="J16803" s="24"/>
      <c r="K16803" s="24"/>
    </row>
    <row r="16804" customFormat="false" ht="15" hidden="false" customHeight="false" outlineLevel="0" collapsed="false">
      <c r="A16804" s="3" t="s">
        <v>499</v>
      </c>
      <c r="C16804" s="25" t="n">
        <f aca="false">SUMPRODUCT(($C$16800:$C$16802&lt;C16800)*$C$16796:$C$16798)</f>
        <v>0</v>
      </c>
    </row>
    <row r="16805" customFormat="false" ht="15" hidden="false" customHeight="false" outlineLevel="0" collapsed="false">
      <c r="A16805" s="3" t="s">
        <v>500</v>
      </c>
      <c r="C16805" s="25" t="n">
        <f aca="false">SUMPRODUCT(($C$16800:$C$16802&lt;C16801)*$C$16796:$C$16798)</f>
        <v>1315.098</v>
      </c>
    </row>
    <row r="16806" customFormat="false" ht="15" hidden="false" customHeight="false" outlineLevel="0" collapsed="false">
      <c r="A16806" s="3" t="s">
        <v>501</v>
      </c>
      <c r="C16806" s="25" t="n">
        <f aca="false">SUMPRODUCT(($C$16800:$C$16802&lt;C16802)*$C$16796:$C$16798)</f>
        <v>1315.098</v>
      </c>
    </row>
    <row r="16807" customFormat="false" ht="15" hidden="false" customHeight="false" outlineLevel="0" collapsed="false">
      <c r="A16807" s="23" t="s">
        <v>509</v>
      </c>
      <c r="B16807" s="24"/>
      <c r="C16807" s="24"/>
      <c r="D16807" s="24"/>
      <c r="E16807" s="24"/>
      <c r="F16807" s="24"/>
      <c r="G16807" s="24"/>
      <c r="H16807" s="24"/>
      <c r="I16807" s="24"/>
      <c r="J16807" s="24"/>
      <c r="K16807" s="24"/>
    </row>
    <row r="16808" customFormat="false" ht="15" hidden="false" customHeight="false" outlineLevel="0" collapsed="false">
      <c r="A16808" s="3" t="s">
        <v>499</v>
      </c>
      <c r="C16808" s="25" t="n">
        <f aca="false">SUMPRODUCT(($C$16800:$C$16802=C16800)*$C$16796:$C$16798)</f>
        <v>1315.098</v>
      </c>
    </row>
    <row r="16809" customFormat="false" ht="15" hidden="false" customHeight="false" outlineLevel="0" collapsed="false">
      <c r="A16809" s="3" t="s">
        <v>500</v>
      </c>
      <c r="C16809" s="25" t="n">
        <f aca="false">SUMPRODUCT(($C$16800:$C$16802=C16801)*$C$16796:$C$16798)</f>
        <v>0</v>
      </c>
    </row>
    <row r="16810" customFormat="false" ht="15" hidden="false" customHeight="false" outlineLevel="0" collapsed="false">
      <c r="A16810" s="3" t="s">
        <v>501</v>
      </c>
      <c r="C16810" s="25" t="n">
        <f aca="false">SUMPRODUCT(($C$16800:$C$16802=C16802)*$C$16796:$C$16798)</f>
        <v>0</v>
      </c>
    </row>
    <row r="16811" customFormat="false" ht="15" hidden="false" customHeight="false" outlineLevel="0" collapsed="false">
      <c r="A16811" s="23" t="s">
        <v>510</v>
      </c>
      <c r="B16811" s="24"/>
      <c r="C16811" s="24"/>
      <c r="D16811" s="24"/>
      <c r="E16811" s="24"/>
      <c r="F16811" s="24"/>
      <c r="G16811" s="24"/>
      <c r="H16811" s="24"/>
      <c r="I16811" s="24"/>
      <c r="J16811" s="24"/>
      <c r="K16811" s="24"/>
    </row>
    <row r="16812" customFormat="false" ht="15" hidden="false" customHeight="false" outlineLevel="0" collapsed="false">
      <c r="A16812" s="3" t="s">
        <v>499</v>
      </c>
      <c r="C16812" s="25" t="n">
        <f aca="false">IF(C16808=0,0,C16796/C16808*MAX(0,MIN(C16808,$C$16774-SUM($C$16788:$C$16790)-C16804)))</f>
        <v>1315.098</v>
      </c>
    </row>
    <row r="16813" customFormat="false" ht="15" hidden="false" customHeight="false" outlineLevel="0" collapsed="false">
      <c r="A16813" s="3" t="s">
        <v>500</v>
      </c>
      <c r="C16813" s="25" t="n">
        <f aca="false">IF(C16809=0,0,C16797/C16809*MAX(0,MIN(C16809,$C$16774-SUM($C$16788:$C$16790)-C16805)))</f>
        <v>0</v>
      </c>
    </row>
    <row r="16814" customFormat="false" ht="15" hidden="false" customHeight="false" outlineLevel="0" collapsed="false">
      <c r="A16814" s="3" t="s">
        <v>501</v>
      </c>
      <c r="C16814" s="25" t="n">
        <f aca="false">IF(C16810=0,0,C16798/C16810*MAX(0,MIN(C16810,$C$16774-SUM($C$16788:$C$16790)-C16806)))</f>
        <v>0</v>
      </c>
    </row>
    <row r="16815" customFormat="false" ht="15" hidden="false" customHeight="false" outlineLevel="0" collapsed="false">
      <c r="A16815" s="23" t="s">
        <v>511</v>
      </c>
      <c r="B16815" s="24"/>
      <c r="C16815" s="24"/>
      <c r="D16815" s="24"/>
      <c r="E16815" s="24"/>
      <c r="F16815" s="24"/>
      <c r="G16815" s="24"/>
      <c r="H16815" s="24"/>
      <c r="I16815" s="24"/>
      <c r="J16815" s="24"/>
      <c r="K16815" s="24"/>
    </row>
    <row r="16816" customFormat="false" ht="15" hidden="false" customHeight="false" outlineLevel="0" collapsed="false">
      <c r="A16816" s="2" t="s">
        <v>499</v>
      </c>
      <c r="C16816" s="16" t="n">
        <f aca="false">C16788+C16812</f>
        <v>1315.098</v>
      </c>
    </row>
    <row r="16817" customFormat="false" ht="15" hidden="false" customHeight="false" outlineLevel="0" collapsed="false">
      <c r="A16817" s="2" t="s">
        <v>500</v>
      </c>
      <c r="C16817" s="16" t="n">
        <f aca="false">C16789+C16813</f>
        <v>0</v>
      </c>
    </row>
    <row r="16818" customFormat="false" ht="15" hidden="false" customHeight="false" outlineLevel="0" collapsed="false">
      <c r="A16818" s="2" t="s">
        <v>501</v>
      </c>
      <c r="C16818" s="16" t="n">
        <f aca="false">C16790+C16814</f>
        <v>0</v>
      </c>
    </row>
    <row r="16819" customFormat="false" ht="15" hidden="false" customHeight="false" outlineLevel="0" collapsed="false">
      <c r="A16819" s="23" t="s">
        <v>512</v>
      </c>
      <c r="B16819" s="24"/>
      <c r="C16819" s="24"/>
      <c r="D16819" s="24"/>
      <c r="E16819" s="24"/>
      <c r="F16819" s="24"/>
      <c r="G16819" s="24"/>
      <c r="H16819" s="24"/>
      <c r="I16819" s="24"/>
      <c r="J16819" s="24"/>
      <c r="K16819" s="24"/>
    </row>
    <row r="16820" customFormat="false" ht="15" hidden="false" customHeight="false" outlineLevel="0" collapsed="false">
      <c r="A16820" s="3" t="s">
        <v>499</v>
      </c>
      <c r="C16820" s="21" t="n">
        <f aca="false">IF(C16776=0,1,C16816/C16776)</f>
        <v>1</v>
      </c>
    </row>
    <row r="16821" customFormat="false" ht="15" hidden="false" customHeight="false" outlineLevel="0" collapsed="false">
      <c r="A16821" s="3" t="s">
        <v>500</v>
      </c>
      <c r="C16821" s="21" t="n">
        <f aca="false">IF(C16777=0,1,C16817/C16777)</f>
        <v>1</v>
      </c>
    </row>
    <row r="16822" customFormat="false" ht="15" hidden="false" customHeight="false" outlineLevel="0" collapsed="false">
      <c r="A16822" s="3" t="s">
        <v>501</v>
      </c>
      <c r="C16822" s="21" t="n">
        <f aca="false">IF(C16778=0,1,C16818/C16778)</f>
        <v>1</v>
      </c>
    </row>
    <row r="16823" customFormat="false" ht="15" hidden="false" customHeight="false" outlineLevel="0" collapsed="false">
      <c r="A16823" s="23" t="s">
        <v>513</v>
      </c>
      <c r="B16823" s="24"/>
      <c r="C16823" s="24"/>
      <c r="D16823" s="24"/>
      <c r="E16823" s="24"/>
      <c r="F16823" s="24"/>
      <c r="G16823" s="24"/>
      <c r="H16823" s="24"/>
      <c r="I16823" s="24"/>
      <c r="J16823" s="24"/>
      <c r="K16823" s="24"/>
    </row>
    <row r="16824" customFormat="false" ht="15" hidden="false" customHeight="false" outlineLevel="0" collapsed="false">
      <c r="A16824" s="3" t="s">
        <v>499</v>
      </c>
      <c r="C16824" s="25" t="n">
        <f aca="false">C16776-C16816</f>
        <v>0</v>
      </c>
    </row>
    <row r="16825" customFormat="false" ht="15" hidden="false" customHeight="false" outlineLevel="0" collapsed="false">
      <c r="A16825" s="3" t="s">
        <v>500</v>
      </c>
      <c r="C16825" s="25" t="n">
        <f aca="false">C16777-C16817</f>
        <v>0</v>
      </c>
    </row>
    <row r="16826" customFormat="false" ht="15" hidden="false" customHeight="false" outlineLevel="0" collapsed="false">
      <c r="A16826" s="3" t="s">
        <v>501</v>
      </c>
      <c r="C16826" s="25" t="n">
        <f aca="false">C16778-C16818</f>
        <v>0</v>
      </c>
    </row>
    <row r="16827" customFormat="false" ht="15" hidden="false" customHeight="false" outlineLevel="0" collapsed="false">
      <c r="A16827" s="23" t="s">
        <v>514</v>
      </c>
      <c r="B16827" s="24"/>
      <c r="C16827" s="24"/>
      <c r="D16827" s="24"/>
      <c r="E16827" s="24"/>
      <c r="F16827" s="24"/>
      <c r="G16827" s="24"/>
      <c r="H16827" s="24"/>
      <c r="I16827" s="24"/>
      <c r="J16827" s="24"/>
      <c r="K16827" s="24"/>
    </row>
    <row r="16828" customFormat="false" ht="15" hidden="false" customHeight="false" outlineLevel="0" collapsed="false">
      <c r="A16828" s="3" t="s">
        <v>499</v>
      </c>
      <c r="C16828" s="21" t="n">
        <f aca="false">IF(C16776=0,0,C16824/C16776)</f>
        <v>0</v>
      </c>
    </row>
    <row r="16829" customFormat="false" ht="15" hidden="false" customHeight="false" outlineLevel="0" collapsed="false">
      <c r="A16829" s="3" t="s">
        <v>500</v>
      </c>
      <c r="C16829" s="21" t="n">
        <f aca="false">IF(C16777=0,0,C16825/C16777)</f>
        <v>0</v>
      </c>
    </row>
    <row r="16830" customFormat="false" ht="15" hidden="false" customHeight="false" outlineLevel="0" collapsed="false">
      <c r="A16830" s="3" t="s">
        <v>501</v>
      </c>
      <c r="C16830" s="21" t="n">
        <f aca="false">IF(C16778=0,0,C16826/C16778)</f>
        <v>0</v>
      </c>
    </row>
    <row r="16831" customFormat="false" ht="15" hidden="false" customHeight="false" outlineLevel="0" collapsed="false">
      <c r="A16831" s="2" t="s">
        <v>515</v>
      </c>
      <c r="C16831" s="16" t="n">
        <f aca="false">MAX(0,$C$16774-SUM($C$16788:$C$16790)-SUM($C$16796:$C$16798))</f>
        <v>583.769778538632</v>
      </c>
    </row>
    <row r="16832" customFormat="false" ht="15" hidden="false" customHeight="false" outlineLevel="0" collapsed="false">
      <c r="A16832" s="3" t="s">
        <v>533</v>
      </c>
      <c r="C16832" s="34" t="n">
        <f aca="false">MIN(C16773,100*CHOOSE(C16763,C16820,C16821,C16822))</f>
        <v>100</v>
      </c>
    </row>
    <row r="16833" customFormat="false" ht="15" hidden="false" customHeight="false" outlineLevel="0" collapsed="false">
      <c r="A16833" s="3" t="s">
        <v>534</v>
      </c>
      <c r="C16833" s="20" t="n">
        <f aca="false">IF(C16693=1,C16768+Assumptions!$C$39,C16767)</f>
        <v>3</v>
      </c>
    </row>
    <row r="16834" customFormat="false" ht="15" hidden="false" customHeight="false" outlineLevel="0" collapsed="false">
      <c r="A16834" s="23" t="s">
        <v>535</v>
      </c>
      <c r="B16834" s="24"/>
      <c r="C16834" s="24"/>
      <c r="D16834" s="24"/>
      <c r="E16834" s="24"/>
      <c r="F16834" s="24"/>
      <c r="G16834" s="24"/>
      <c r="H16834" s="24"/>
      <c r="I16834" s="24"/>
      <c r="J16834" s="24"/>
      <c r="K16834" s="24"/>
    </row>
    <row r="16835" customFormat="false" ht="15" hidden="false" customHeight="false" outlineLevel="0" collapsed="false">
      <c r="A16835" s="3" t="s">
        <v>536</v>
      </c>
      <c r="C16835" s="20" t="n">
        <f aca="false">COLUMN()-COLUMN($C$1)</f>
        <v>0</v>
      </c>
      <c r="D16835" s="20" t="n">
        <f aca="false">COLUMN()-COLUMN($C$1)</f>
        <v>1</v>
      </c>
      <c r="E16835" s="20" t="n">
        <f aca="false">COLUMN()-COLUMN($C$1)</f>
        <v>2</v>
      </c>
      <c r="F16835" s="20" t="n">
        <f aca="false">COLUMN()-COLUMN($C$1)</f>
        <v>3</v>
      </c>
      <c r="G16835" s="20" t="n">
        <f aca="false">COLUMN()-COLUMN($C$1)</f>
        <v>4</v>
      </c>
      <c r="H16835" s="20" t="n">
        <f aca="false">COLUMN()-COLUMN($C$1)</f>
        <v>5</v>
      </c>
      <c r="I16835" s="20" t="n">
        <f aca="false">COLUMN()-COLUMN($C$1)</f>
        <v>6</v>
      </c>
    </row>
    <row r="16836" customFormat="false" ht="15" hidden="false" customHeight="false" outlineLevel="0" collapsed="false">
      <c r="A16836" s="3" t="s">
        <v>537</v>
      </c>
      <c r="D16836" s="31" t="n">
        <f aca="false">CHOOSE($C$16763,G16576,G16589,G16602)</f>
        <v>0.105</v>
      </c>
      <c r="E16836" s="31" t="n">
        <f aca="false">CHOOSE($C$16763,H16576,H16589,H16602)</f>
        <v>0.105</v>
      </c>
      <c r="F16836" s="31" t="n">
        <f aca="false">CHOOSE($C$16763,I16576,I16589,I16602)</f>
        <v>0.105</v>
      </c>
      <c r="G16836" s="31" t="n">
        <f aca="false">CHOOSE($C$16763,J16576,J16589,J16602)</f>
        <v>0.105</v>
      </c>
      <c r="H16836" s="31" t="n">
        <f aca="false">CHOOSE($C$16763,K16576,K16589,K16602)</f>
        <v>0.105</v>
      </c>
    </row>
    <row r="16837" customFormat="false" ht="15" hidden="false" customHeight="false" outlineLevel="0" collapsed="false">
      <c r="A16837" s="3" t="s">
        <v>538</v>
      </c>
      <c r="D16837" s="25" t="n">
        <f aca="false">IF(D16835&lt;=$C$16772,$C$16764*D16836,0)</f>
        <v>10.5</v>
      </c>
      <c r="E16837" s="25" t="n">
        <f aca="false">IF(E16835&lt;=$C$16772,$C$16764*E16836,0)</f>
        <v>10.5</v>
      </c>
      <c r="F16837" s="25" t="n">
        <f aca="false">IF(F16835&lt;=$C$16772,$C$16764*F16836,0)</f>
        <v>10.5</v>
      </c>
      <c r="G16837" s="25" t="n">
        <f aca="false">IF(G16835&lt;=$C$16772,$C$16764*G16836,0)</f>
        <v>0</v>
      </c>
      <c r="H16837" s="25" t="n">
        <f aca="false">IF(H16835&lt;=$C$16772,$C$16764*H16836,0)</f>
        <v>0</v>
      </c>
    </row>
    <row r="16838" customFormat="false" ht="15" hidden="false" customHeight="false" outlineLevel="0" collapsed="false">
      <c r="A16838" s="3" t="s">
        <v>539</v>
      </c>
      <c r="D16838" s="25" t="n">
        <f aca="false">IF(AND($C$16693=0,D16835=$C$16767),$C$16764*$C$16832/100,0)+IF(AND($C$16693=1,D16835=$C$16833),$C$16770,0)</f>
        <v>0</v>
      </c>
      <c r="E16838" s="25" t="n">
        <f aca="false">IF(AND($C$16693=0,E16835=$C$16767),$C$16764*$C$16832/100,0)+IF(AND($C$16693=1,E16835=$C$16833),$C$16770,0)</f>
        <v>0</v>
      </c>
      <c r="F16838" s="25" t="n">
        <f aca="false">IF(AND($C$16693=0,F16835=$C$16767),$C$16764*$C$16832/100,0)+IF(AND($C$16693=1,F16835=$C$16833),$C$16770,0)</f>
        <v>100</v>
      </c>
      <c r="G16838" s="25" t="n">
        <f aca="false">IF(AND($C$16693=0,G16835=$C$16767),$C$16764*$C$16832/100,0)+IF(AND($C$16693=1,G16835=$C$16833),$C$16770,0)</f>
        <v>0</v>
      </c>
      <c r="H16838" s="25" t="n">
        <f aca="false">IF(AND($C$16693=0,H16835=$C$16767),$C$16764*$C$16832/100,0)+IF(AND($C$16693=1,H16835=$C$16833),$C$16770,0)</f>
        <v>0</v>
      </c>
      <c r="I16838" s="25" t="n">
        <f aca="false">IF(AND($C$16693=0,I16835=$C$16767),$C$16764*$C$16832/100,0)+IF(AND($C$16693=1,I16835=$C$16833),$C$16770,0)</f>
        <v>0</v>
      </c>
    </row>
    <row r="16839" customFormat="false" ht="15" hidden="false" customHeight="false" outlineLevel="0" collapsed="false">
      <c r="A16839" s="2" t="s">
        <v>540</v>
      </c>
      <c r="C16839" s="16" t="n">
        <f aca="false">-$C$16766</f>
        <v>-95</v>
      </c>
      <c r="D16839" s="16" t="n">
        <f aca="false">D16837+D16838</f>
        <v>10.5</v>
      </c>
      <c r="E16839" s="16" t="n">
        <f aca="false">E16837+E16838</f>
        <v>10.5</v>
      </c>
      <c r="F16839" s="16" t="n">
        <f aca="false">F16837+F16838</f>
        <v>110.5</v>
      </c>
      <c r="G16839" s="16" t="n">
        <f aca="false">G16837+G16838</f>
        <v>0</v>
      </c>
      <c r="H16839" s="16" t="n">
        <f aca="false">H16837+H16838</f>
        <v>0</v>
      </c>
      <c r="I16839" s="16" t="n">
        <f aca="false">I16837+I16838</f>
        <v>0</v>
      </c>
    </row>
    <row r="16840" customFormat="false" ht="15" hidden="false" customHeight="false" outlineLevel="0" collapsed="false">
      <c r="A16840" s="3" t="s">
        <v>541</v>
      </c>
      <c r="C16840" s="25" t="n">
        <f aca="false">SUM($C$16837:$I$16837)</f>
        <v>31.5</v>
      </c>
    </row>
    <row r="16841" customFormat="false" ht="15" hidden="false" customHeight="false" outlineLevel="0" collapsed="false">
      <c r="A16841" s="3" t="s">
        <v>542</v>
      </c>
      <c r="C16841" s="25" t="n">
        <f aca="false">SUM($C$16838:$I$16838)</f>
        <v>100</v>
      </c>
    </row>
    <row r="16842" customFormat="false" ht="15" hidden="false" customHeight="false" outlineLevel="0" collapsed="false">
      <c r="A16842" s="3" t="s">
        <v>543</v>
      </c>
      <c r="C16842" s="25" t="n">
        <f aca="false">C16840+C16841</f>
        <v>131.5</v>
      </c>
    </row>
    <row r="16843" customFormat="false" ht="15" hidden="false" customHeight="false" outlineLevel="0" collapsed="false">
      <c r="A16843" s="3" t="s">
        <v>544</v>
      </c>
      <c r="C16843" s="25" t="n">
        <f aca="false">C16841-C16764*C16765/100</f>
        <v>5</v>
      </c>
    </row>
    <row r="16844" customFormat="false" ht="15" hidden="false" customHeight="false" outlineLevel="0" collapsed="false">
      <c r="A16844" s="3" t="s">
        <v>545</v>
      </c>
      <c r="C16844" s="25" t="n">
        <f aca="false">C16842-C16766</f>
        <v>36.5</v>
      </c>
    </row>
    <row r="16845" customFormat="false" ht="15" hidden="false" customHeight="false" outlineLevel="0" collapsed="false">
      <c r="A16845" s="2" t="s">
        <v>427</v>
      </c>
      <c r="C16845" s="44" t="n">
        <f aca="false">C16842/C16766</f>
        <v>1.38421052631579</v>
      </c>
    </row>
    <row r="16846" customFormat="false" ht="15" hidden="false" customHeight="false" outlineLevel="0" collapsed="false">
      <c r="A16846" s="2" t="s">
        <v>426</v>
      </c>
      <c r="C16846" s="42" t="n">
        <f aca="false">IF(C16842&lt;=0,-1,IFERROR(IRR($C$16839:$I$16839,MAX(-0.9,C16845^(1/C16833)-1)),IRR($C$16839:$I$16839,0.1)))</f>
        <v>0.126033624615204</v>
      </c>
    </row>
    <row r="16847" customFormat="false" ht="15" hidden="false" customHeight="false" outlineLevel="0" collapsed="false">
      <c r="A16847" s="3" t="s">
        <v>546</v>
      </c>
      <c r="C16847" s="32" t="n">
        <f aca="false">MAX($G$16653:$K$16653)</f>
        <v>3.81499621093561</v>
      </c>
    </row>
    <row r="16848" customFormat="false" ht="15" hidden="false" customHeight="false" outlineLevel="0" collapsed="false">
      <c r="A16848" s="3" t="s">
        <v>547</v>
      </c>
      <c r="C16848" s="32" t="n">
        <f aca="false">MIN($G$16654:$K$16654)</f>
        <v>1.75842750947116</v>
      </c>
    </row>
    <row r="16849" customFormat="false" ht="15" hidden="false" customHeight="false" outlineLevel="0" collapsed="false">
      <c r="A16849" s="3" t="s">
        <v>548</v>
      </c>
      <c r="C16849" s="25" t="n">
        <f aca="false">SUM($G$16560:$K$16560)</f>
        <v>555.588348849095</v>
      </c>
    </row>
    <row r="16853" customFormat="false" ht="15" hidden="false" customHeight="false" outlineLevel="0" collapsed="false">
      <c r="A16853" s="9" t="s">
        <v>1066</v>
      </c>
      <c r="B16853" s="10"/>
      <c r="C16853" s="10"/>
      <c r="D16853" s="10"/>
      <c r="E16853" s="10"/>
      <c r="F16853" s="10"/>
      <c r="G16853" s="10"/>
      <c r="H16853" s="10"/>
      <c r="I16853" s="10"/>
      <c r="J16853" s="10"/>
      <c r="K16853" s="10"/>
    </row>
    <row r="16854" customFormat="false" ht="15" hidden="false" customHeight="false" outlineLevel="0" collapsed="false">
      <c r="A16854" s="3" t="s">
        <v>1010</v>
      </c>
      <c r="C16854" s="11" t="n">
        <v>1</v>
      </c>
    </row>
    <row r="16855" customFormat="false" ht="15" hidden="false" customHeight="false" outlineLevel="0" collapsed="false">
      <c r="A16855" s="3" t="s">
        <v>1011</v>
      </c>
      <c r="C16855" s="18" t="n">
        <v>0</v>
      </c>
    </row>
    <row r="16856" customFormat="false" ht="15" hidden="false" customHeight="false" outlineLevel="0" collapsed="false">
      <c r="A16856" s="3" t="s">
        <v>1012</v>
      </c>
      <c r="C16856" s="18" t="n">
        <v>0</v>
      </c>
    </row>
    <row r="16857" customFormat="false" ht="15" hidden="false" customHeight="false" outlineLevel="0" collapsed="false">
      <c r="A16857" s="3" t="s">
        <v>1013</v>
      </c>
      <c r="C16857" s="18" t="n">
        <v>0</v>
      </c>
    </row>
    <row r="16858" customFormat="false" ht="15" hidden="false" customHeight="false" outlineLevel="0" collapsed="false">
      <c r="A16858" s="3" t="s">
        <v>1014</v>
      </c>
      <c r="C16858" s="33" t="n">
        <f aca="false">Sensitivities!$A$64</f>
        <v>2</v>
      </c>
    </row>
    <row r="16860" customFormat="false" ht="15" hidden="false" customHeight="false" outlineLevel="0" collapsed="false">
      <c r="A16860" s="23" t="s">
        <v>281</v>
      </c>
      <c r="B16860" s="24"/>
      <c r="C16860" s="24"/>
      <c r="D16860" s="24"/>
      <c r="E16860" s="24"/>
      <c r="F16860" s="24"/>
      <c r="G16860" s="24"/>
      <c r="H16860" s="24"/>
      <c r="I16860" s="24"/>
      <c r="J16860" s="24"/>
      <c r="K16860" s="24"/>
    </row>
    <row r="16861" customFormat="false" ht="15" hidden="false" customHeight="false" outlineLevel="0" collapsed="false">
      <c r="A16861" s="3" t="s">
        <v>282</v>
      </c>
      <c r="F16861" s="27" t="n">
        <f aca="false">Assumptions!$C$6</f>
        <v>2026</v>
      </c>
      <c r="G16861" s="20" t="n">
        <f aca="false">F16861+1</f>
        <v>2027</v>
      </c>
      <c r="H16861" s="20" t="n">
        <f aca="false">G16861+1</f>
        <v>2028</v>
      </c>
      <c r="I16861" s="20" t="n">
        <f aca="false">H16861+1</f>
        <v>2029</v>
      </c>
      <c r="J16861" s="20" t="n">
        <f aca="false">I16861+1</f>
        <v>2030</v>
      </c>
      <c r="K16861" s="20" t="n">
        <f aca="false">J16861+1</f>
        <v>2031</v>
      </c>
    </row>
    <row r="16862" customFormat="false" ht="15" hidden="false" customHeight="false" outlineLevel="0" collapsed="false">
      <c r="A16862" s="3" t="s">
        <v>283</v>
      </c>
      <c r="G16862" s="20" t="n">
        <f aca="false">G16861-Assumptions!$C$6</f>
        <v>1</v>
      </c>
      <c r="H16862" s="20" t="n">
        <f aca="false">H16861-Assumptions!$C$6</f>
        <v>2</v>
      </c>
      <c r="I16862" s="20" t="n">
        <f aca="false">I16861-Assumptions!$C$6</f>
        <v>3</v>
      </c>
      <c r="J16862" s="20" t="n">
        <f aca="false">J16861-Assumptions!$C$6</f>
        <v>4</v>
      </c>
      <c r="K16862" s="20" t="n">
        <f aca="false">K16861-Assumptions!$C$6</f>
        <v>5</v>
      </c>
    </row>
    <row r="16863" customFormat="false" ht="15" hidden="false" customHeight="false" outlineLevel="0" collapsed="false">
      <c r="A16863" s="3" t="s">
        <v>165</v>
      </c>
      <c r="G16863" s="21" t="n">
        <f aca="false">CHOOSE($C$16854,Assumptions!$G$71,Assumptions!$G$90,Assumptions!$G$109)+$C$16855</f>
        <v>-0.045</v>
      </c>
      <c r="H16863" s="21" t="n">
        <f aca="false">CHOOSE($C$16854,Assumptions!$H$71,Assumptions!$H$90,Assumptions!$H$109)+$C$16855</f>
        <v>-0.04</v>
      </c>
      <c r="I16863" s="21" t="n">
        <f aca="false">CHOOSE($C$16854,Assumptions!$I$71,Assumptions!$I$90,Assumptions!$I$109)+$C$16855</f>
        <v>-0.035</v>
      </c>
      <c r="J16863" s="21" t="n">
        <f aca="false">CHOOSE($C$16854,Assumptions!$J$71,Assumptions!$J$90,Assumptions!$J$109)+$C$16855</f>
        <v>-0.03</v>
      </c>
      <c r="K16863" s="21" t="n">
        <f aca="false">CHOOSE($C$16854,Assumptions!$K$71,Assumptions!$K$90,Assumptions!$K$109)+$C$16855</f>
        <v>-0.03</v>
      </c>
    </row>
    <row r="16864" customFormat="false" ht="15" hidden="false" customHeight="false" outlineLevel="0" collapsed="false">
      <c r="A16864" s="3" t="s">
        <v>166</v>
      </c>
      <c r="G16864" s="21" t="n">
        <f aca="false">CHOOSE($C$16854,Assumptions!$G$72,Assumptions!$G$91,Assumptions!$G$110)</f>
        <v>0.483246670103635</v>
      </c>
      <c r="H16864" s="21" t="n">
        <f aca="false">CHOOSE($C$16854,Assumptions!$H$72,Assumptions!$H$91,Assumptions!$H$110)</f>
        <v>0.483246670103635</v>
      </c>
      <c r="I16864" s="21" t="n">
        <f aca="false">CHOOSE($C$16854,Assumptions!$I$72,Assumptions!$I$91,Assumptions!$I$110)</f>
        <v>0.481246670103635</v>
      </c>
      <c r="J16864" s="21" t="n">
        <f aca="false">CHOOSE($C$16854,Assumptions!$J$72,Assumptions!$J$91,Assumptions!$J$110)</f>
        <v>0.479246670103635</v>
      </c>
      <c r="K16864" s="21" t="n">
        <f aca="false">CHOOSE($C$16854,Assumptions!$K$72,Assumptions!$K$91,Assumptions!$K$110)</f>
        <v>0.477246670103635</v>
      </c>
    </row>
    <row r="16865" customFormat="false" ht="15" hidden="false" customHeight="false" outlineLevel="0" collapsed="false">
      <c r="A16865" s="3" t="s">
        <v>167</v>
      </c>
      <c r="G16865" s="21" t="n">
        <f aca="false">CHOOSE($C$16854,Assumptions!$G$73,Assumptions!$G$92,Assumptions!$G$111)+$C$16856</f>
        <v>0.14</v>
      </c>
      <c r="H16865" s="21" t="n">
        <f aca="false">CHOOSE($C$16854,Assumptions!$H$73,Assumptions!$H$92,Assumptions!$H$111)+$C$16856</f>
        <v>0.14</v>
      </c>
      <c r="I16865" s="21" t="n">
        <f aca="false">CHOOSE($C$16854,Assumptions!$I$73,Assumptions!$I$92,Assumptions!$I$111)+$C$16856</f>
        <v>0.138</v>
      </c>
      <c r="J16865" s="21" t="n">
        <f aca="false">CHOOSE($C$16854,Assumptions!$J$73,Assumptions!$J$92,Assumptions!$J$111)+$C$16856</f>
        <v>0.136</v>
      </c>
      <c r="K16865" s="21" t="n">
        <f aca="false">CHOOSE($C$16854,Assumptions!$K$73,Assumptions!$K$92,Assumptions!$K$111)+$C$16856</f>
        <v>0.134</v>
      </c>
    </row>
    <row r="16866" customFormat="false" ht="15" hidden="false" customHeight="false" outlineLevel="0" collapsed="false">
      <c r="A16866" s="23" t="s">
        <v>284</v>
      </c>
      <c r="B16866" s="24"/>
      <c r="C16866" s="24"/>
      <c r="D16866" s="24"/>
      <c r="E16866" s="24"/>
      <c r="F16866" s="24"/>
      <c r="G16866" s="24"/>
      <c r="H16866" s="24"/>
      <c r="I16866" s="24"/>
      <c r="J16866" s="24"/>
      <c r="K16866" s="24"/>
    </row>
    <row r="16867" customFormat="false" ht="15" hidden="false" customHeight="false" outlineLevel="0" collapsed="false">
      <c r="A16867" s="2" t="s">
        <v>256</v>
      </c>
      <c r="F16867" s="28" t="n">
        <f aca="false">'Historical Financials'!G23</f>
        <v>2246.166</v>
      </c>
      <c r="G16867" s="16" t="n">
        <f aca="false">F16867*(1+G16863)</f>
        <v>2145.08853</v>
      </c>
      <c r="H16867" s="16" t="n">
        <f aca="false">G16867*(1+H16863)</f>
        <v>2059.2849888</v>
      </c>
      <c r="I16867" s="16" t="n">
        <f aca="false">H16867*(1+I16863)</f>
        <v>1987.210014192</v>
      </c>
      <c r="J16867" s="16" t="n">
        <f aca="false">I16867*(1+J16863)</f>
        <v>1927.59371376624</v>
      </c>
      <c r="K16867" s="16" t="n">
        <f aca="false">J16867*(1+K16863)</f>
        <v>1869.76590235325</v>
      </c>
    </row>
    <row r="16868" customFormat="false" ht="15" hidden="false" customHeight="false" outlineLevel="0" collapsed="false">
      <c r="A16868" s="3" t="s">
        <v>257</v>
      </c>
      <c r="G16868" s="25" t="n">
        <f aca="false">G16867*(1-G16864)</f>
        <v>1108.4816408</v>
      </c>
      <c r="H16868" s="25" t="n">
        <f aca="false">H16867*(1-H16864)</f>
        <v>1064.142375168</v>
      </c>
      <c r="I16868" s="25" t="n">
        <f aca="false">I16867*(1-I16864)</f>
        <v>1030.8718120655</v>
      </c>
      <c r="J16868" s="25" t="n">
        <f aca="false">J16867*(1-J16864)</f>
        <v>1003.80084513107</v>
      </c>
      <c r="K16868" s="25" t="n">
        <f aca="false">K16867*(1-K16864)</f>
        <v>977.426351581845</v>
      </c>
    </row>
    <row r="16869" customFormat="false" ht="15" hidden="false" customHeight="false" outlineLevel="0" collapsed="false">
      <c r="A16869" s="2" t="s">
        <v>258</v>
      </c>
      <c r="G16869" s="16" t="n">
        <f aca="false">G16867-G16868</f>
        <v>1036.6068892</v>
      </c>
      <c r="H16869" s="16" t="n">
        <f aca="false">H16867-H16868</f>
        <v>995.142613632</v>
      </c>
      <c r="I16869" s="16" t="n">
        <f aca="false">I16867-I16868</f>
        <v>956.338202126496</v>
      </c>
      <c r="J16869" s="16" t="n">
        <f aca="false">J16867-J16868</f>
        <v>923.792868635169</v>
      </c>
      <c r="K16869" s="16" t="n">
        <f aca="false">K16867-K16868</f>
        <v>892.339550771407</v>
      </c>
    </row>
    <row r="16870" customFormat="false" ht="15" hidden="false" customHeight="false" outlineLevel="0" collapsed="false">
      <c r="A16870" s="3" t="s">
        <v>285</v>
      </c>
      <c r="G16870" s="25" t="n">
        <f aca="false">G16869-G16871</f>
        <v>736.294495</v>
      </c>
      <c r="H16870" s="25" t="n">
        <f aca="false">H16869-H16871</f>
        <v>706.8427152</v>
      </c>
      <c r="I16870" s="25" t="n">
        <f aca="false">I16869-I16871</f>
        <v>682.103220168</v>
      </c>
      <c r="J16870" s="25" t="n">
        <f aca="false">J16869-J16871</f>
        <v>661.64012356296</v>
      </c>
      <c r="K16870" s="25" t="n">
        <f aca="false">K16869-K16871</f>
        <v>641.790919856071</v>
      </c>
    </row>
    <row r="16871" customFormat="false" ht="15" hidden="false" customHeight="false" outlineLevel="0" collapsed="false">
      <c r="A16871" s="2" t="s">
        <v>286</v>
      </c>
      <c r="G16871" s="16" t="n">
        <f aca="false">G16867*G16865</f>
        <v>300.3123942</v>
      </c>
      <c r="H16871" s="16" t="n">
        <f aca="false">H16867*H16865</f>
        <v>288.299898432</v>
      </c>
      <c r="I16871" s="16" t="n">
        <f aca="false">I16867*I16865</f>
        <v>274.234981958496</v>
      </c>
      <c r="J16871" s="16" t="n">
        <f aca="false">J16867*J16865</f>
        <v>262.152745072209</v>
      </c>
      <c r="K16871" s="16" t="n">
        <f aca="false">K16867*K16865</f>
        <v>250.548630915336</v>
      </c>
    </row>
    <row r="16872" customFormat="false" ht="15" hidden="false" customHeight="false" outlineLevel="0" collapsed="false">
      <c r="A16872" s="3" t="s">
        <v>287</v>
      </c>
      <c r="G16872" s="25" t="n">
        <f aca="false">G16867*'Historical Financials'!G28/'Historical Financials'!G23</f>
        <v>81.45768</v>
      </c>
      <c r="H16872" s="25" t="n">
        <f aca="false">H16867*'Historical Financials'!G28/'Historical Financials'!G23</f>
        <v>78.1993728</v>
      </c>
      <c r="I16872" s="25" t="n">
        <f aca="false">I16867*'Historical Financials'!G28/'Historical Financials'!G23</f>
        <v>75.462394752</v>
      </c>
      <c r="J16872" s="25" t="n">
        <f aca="false">J16867*'Historical Financials'!G28/'Historical Financials'!G23</f>
        <v>73.19852290944</v>
      </c>
      <c r="K16872" s="25" t="n">
        <f aca="false">K16867*'Historical Financials'!G28/'Historical Financials'!G23</f>
        <v>71.0025672221568</v>
      </c>
    </row>
    <row r="16873" customFormat="false" ht="15" hidden="false" customHeight="false" outlineLevel="0" collapsed="false">
      <c r="A16873" s="3" t="s">
        <v>288</v>
      </c>
      <c r="G16873" s="25" t="n">
        <f aca="false">G16867*'Historical Financials'!G29/'Historical Financials'!G23</f>
        <v>23.25998</v>
      </c>
      <c r="H16873" s="25" t="n">
        <f aca="false">H16867*'Historical Financials'!G29/'Historical Financials'!G23</f>
        <v>22.3295808</v>
      </c>
      <c r="I16873" s="25" t="n">
        <f aca="false">I16867*'Historical Financials'!G29/'Historical Financials'!G23</f>
        <v>21.548045472</v>
      </c>
      <c r="J16873" s="25" t="n">
        <f aca="false">J16867*'Historical Financials'!G29/'Historical Financials'!G23</f>
        <v>20.90160410784</v>
      </c>
      <c r="K16873" s="25" t="n">
        <f aca="false">K16867*'Historical Financials'!G29/'Historical Financials'!G23</f>
        <v>20.2745559846048</v>
      </c>
    </row>
    <row r="16874" customFormat="false" ht="15" hidden="false" customHeight="false" outlineLevel="0" collapsed="false">
      <c r="A16874" s="2" t="s">
        <v>289</v>
      </c>
      <c r="G16874" s="16" t="n">
        <f aca="false">G16871-G16872-G16873</f>
        <v>195.5947342</v>
      </c>
      <c r="H16874" s="16" t="n">
        <f aca="false">H16871-H16872-H16873</f>
        <v>187.770944832</v>
      </c>
      <c r="I16874" s="16" t="n">
        <f aca="false">I16871-I16872-I16873</f>
        <v>177.224541734496</v>
      </c>
      <c r="J16874" s="16" t="n">
        <f aca="false">J16871-J16872-J16873</f>
        <v>168.052618054929</v>
      </c>
      <c r="K16874" s="16" t="n">
        <f aca="false">K16871-K16872-K16873</f>
        <v>159.271507708574</v>
      </c>
    </row>
    <row r="16875" customFormat="false" ht="15" hidden="false" customHeight="false" outlineLevel="0" collapsed="false">
      <c r="A16875" s="3" t="s">
        <v>290</v>
      </c>
      <c r="G16875" s="25" t="n">
        <f aca="false">G16901+G16914+G16927</f>
        <v>155.95467</v>
      </c>
      <c r="H16875" s="25" t="n">
        <f aca="false">H16901+H16914+H16927</f>
        <v>155.95467</v>
      </c>
      <c r="I16875" s="25" t="n">
        <f aca="false">I16901+I16914+I16927</f>
        <v>155.95467</v>
      </c>
      <c r="J16875" s="25" t="n">
        <f aca="false">J16901+J16914+J16927</f>
        <v>138.08529</v>
      </c>
      <c r="K16875" s="25" t="n">
        <f aca="false">K16901+K16914+K16927</f>
        <v>138.08529</v>
      </c>
    </row>
    <row r="16876" customFormat="false" ht="15" hidden="false" customHeight="false" outlineLevel="0" collapsed="false">
      <c r="A16876" s="3" t="s">
        <v>291</v>
      </c>
      <c r="G16876" s="25" t="n">
        <f aca="false">G16902+G16915+G16928</f>
        <v>0</v>
      </c>
      <c r="H16876" s="25" t="n">
        <f aca="false">H16902+H16915+H16928</f>
        <v>0</v>
      </c>
      <c r="I16876" s="25" t="n">
        <f aca="false">I16902+I16915+I16928</f>
        <v>0</v>
      </c>
      <c r="J16876" s="25" t="n">
        <f aca="false">J16902+J16915+J16928</f>
        <v>0</v>
      </c>
      <c r="K16876" s="25" t="n">
        <f aca="false">K16902+K16915+K16928</f>
        <v>0</v>
      </c>
    </row>
    <row r="16877" customFormat="false" ht="15" hidden="false" customHeight="false" outlineLevel="0" collapsed="false">
      <c r="A16877" s="3" t="s">
        <v>239</v>
      </c>
      <c r="G16877" s="25" t="n">
        <f aca="false">G16875+G16876</f>
        <v>155.95467</v>
      </c>
      <c r="H16877" s="25" t="n">
        <f aca="false">H16875+H16876</f>
        <v>155.95467</v>
      </c>
      <c r="I16877" s="25" t="n">
        <f aca="false">I16875+I16876</f>
        <v>155.95467</v>
      </c>
      <c r="J16877" s="25" t="n">
        <f aca="false">J16875+J16876</f>
        <v>138.08529</v>
      </c>
      <c r="K16877" s="25" t="n">
        <f aca="false">K16875+K16876</f>
        <v>138.08529</v>
      </c>
    </row>
    <row r="16878" customFormat="false" ht="15" hidden="false" customHeight="false" outlineLevel="0" collapsed="false">
      <c r="A16878" s="2" t="s">
        <v>264</v>
      </c>
      <c r="G16878" s="16" t="n">
        <f aca="false">G16874-G16877</f>
        <v>39.6400642</v>
      </c>
      <c r="H16878" s="16" t="n">
        <f aca="false">H16874-H16877</f>
        <v>31.816274832</v>
      </c>
      <c r="I16878" s="16" t="n">
        <f aca="false">I16874-I16877</f>
        <v>21.269871734496</v>
      </c>
      <c r="J16878" s="16" t="n">
        <f aca="false">J16874-J16877</f>
        <v>29.9673280549286</v>
      </c>
      <c r="K16878" s="16" t="n">
        <f aca="false">K16874-K16877</f>
        <v>21.1862177085742</v>
      </c>
    </row>
    <row r="16879" customFormat="false" ht="15" hidden="false" customHeight="false" outlineLevel="0" collapsed="false">
      <c r="A16879" s="3" t="s">
        <v>292</v>
      </c>
      <c r="G16879" s="25" t="n">
        <f aca="false">MAX(0,G16878)*Assumptions!$C$9</f>
        <v>9.91001604999999</v>
      </c>
      <c r="H16879" s="25" t="n">
        <f aca="false">MAX(0,H16878)*Assumptions!$C$9</f>
        <v>7.95406870799999</v>
      </c>
      <c r="I16879" s="25" t="n">
        <f aca="false">MAX(0,I16878)*Assumptions!$C$9</f>
        <v>5.317467933624</v>
      </c>
      <c r="J16879" s="25" t="n">
        <f aca="false">MAX(0,J16878)*Assumptions!$C$9</f>
        <v>7.49183201373215</v>
      </c>
      <c r="K16879" s="25" t="n">
        <f aca="false">MAX(0,K16878)*Assumptions!$C$9</f>
        <v>5.29655442714356</v>
      </c>
    </row>
    <row r="16880" customFormat="false" ht="15" hidden="false" customHeight="false" outlineLevel="0" collapsed="false">
      <c r="A16880" s="2" t="s">
        <v>293</v>
      </c>
      <c r="G16880" s="16" t="n">
        <f aca="false">G16878-G16879</f>
        <v>29.73004815</v>
      </c>
      <c r="H16880" s="16" t="n">
        <f aca="false">H16878-H16879</f>
        <v>23.862206124</v>
      </c>
      <c r="I16880" s="16" t="n">
        <f aca="false">I16878-I16879</f>
        <v>15.952403800872</v>
      </c>
      <c r="J16880" s="16" t="n">
        <f aca="false">J16878-J16879</f>
        <v>22.4754960411965</v>
      </c>
      <c r="K16880" s="16" t="n">
        <f aca="false">K16878-K16879</f>
        <v>15.8896632814307</v>
      </c>
    </row>
    <row r="16881" customFormat="false" ht="15" hidden="false" customHeight="false" outlineLevel="0" collapsed="false">
      <c r="A16881" s="23" t="s">
        <v>294</v>
      </c>
      <c r="B16881" s="24"/>
      <c r="C16881" s="24"/>
      <c r="D16881" s="24"/>
      <c r="E16881" s="24"/>
      <c r="F16881" s="24"/>
      <c r="G16881" s="24"/>
      <c r="H16881" s="24"/>
      <c r="I16881" s="24"/>
      <c r="J16881" s="24"/>
      <c r="K16881" s="24"/>
    </row>
    <row r="16882" customFormat="false" ht="15" hidden="false" customHeight="false" outlineLevel="0" collapsed="false">
      <c r="A16882" s="3" t="s">
        <v>169</v>
      </c>
      <c r="G16882" s="25" t="n">
        <f aca="false">G16867*CHOOSE($C$16854,Assumptions!$C$75,Assumptions!$C$94,Assumptions!$C$113)</f>
        <v>30.03123942</v>
      </c>
      <c r="H16882" s="25" t="n">
        <f aca="false">H16867*CHOOSE($C$16854,Assumptions!$C$75,Assumptions!$C$94,Assumptions!$C$113)</f>
        <v>28.8299898432</v>
      </c>
      <c r="I16882" s="25" t="n">
        <f aca="false">I16867*CHOOSE($C$16854,Assumptions!$C$75,Assumptions!$C$94,Assumptions!$C$113)</f>
        <v>27.820940198688</v>
      </c>
      <c r="J16882" s="25" t="n">
        <f aca="false">J16867*CHOOSE($C$16854,Assumptions!$C$75,Assumptions!$C$94,Assumptions!$C$113)</f>
        <v>26.9863119927274</v>
      </c>
      <c r="K16882" s="25" t="n">
        <f aca="false">K16867*CHOOSE($C$16854,Assumptions!$C$75,Assumptions!$C$94,Assumptions!$C$113)</f>
        <v>26.1767226329455</v>
      </c>
    </row>
    <row r="16883" customFormat="false" ht="15" hidden="false" customHeight="false" outlineLevel="0" collapsed="false">
      <c r="A16883" s="3" t="s">
        <v>295</v>
      </c>
      <c r="G16883" s="25" t="n">
        <f aca="false">CHOOSE($C$16854,Assumptions!$C$76,Assumptions!$C$95,Assumptions!$C$114)*(G16867-F16867)+CHOOSE($C$16854,Assumptions!$C$77,Assumptions!$C$96,Assumptions!$C$115)*G16867</f>
        <v>-21.4508853</v>
      </c>
      <c r="H16883" s="25" t="n">
        <f aca="false">CHOOSE($C$16854,Assumptions!$C$76,Assumptions!$C$95,Assumptions!$C$114)*(H16867-G16867)+CHOOSE($C$16854,Assumptions!$C$77,Assumptions!$C$96,Assumptions!$C$115)*H16867</f>
        <v>-20.592849888</v>
      </c>
      <c r="I16883" s="25" t="n">
        <f aca="false">CHOOSE($C$16854,Assumptions!$C$76,Assumptions!$C$95,Assumptions!$C$114)*(I16867-H16867)+CHOOSE($C$16854,Assumptions!$C$77,Assumptions!$C$96,Assumptions!$C$115)*I16867</f>
        <v>-19.87210014192</v>
      </c>
      <c r="J16883" s="25" t="n">
        <f aca="false">CHOOSE($C$16854,Assumptions!$C$76,Assumptions!$C$95,Assumptions!$C$114)*(J16867-I16867)+CHOOSE($C$16854,Assumptions!$C$77,Assumptions!$C$96,Assumptions!$C$115)*J16867</f>
        <v>-19.2759371376624</v>
      </c>
      <c r="K16883" s="25" t="n">
        <f aca="false">CHOOSE($C$16854,Assumptions!$C$76,Assumptions!$C$95,Assumptions!$C$114)*(K16867-J16867)+CHOOSE($C$16854,Assumptions!$C$77,Assumptions!$C$96,Assumptions!$C$115)*K16867</f>
        <v>-18.6976590235325</v>
      </c>
    </row>
    <row r="16884" customFormat="false" ht="15" hidden="false" customHeight="false" outlineLevel="0" collapsed="false">
      <c r="A16884" s="2" t="s">
        <v>296</v>
      </c>
      <c r="G16884" s="16" t="n">
        <f aca="false">G16880+G16872+G16873+G16876-G16882-G16883</f>
        <v>125.86735403</v>
      </c>
      <c r="H16884" s="16" t="n">
        <f aca="false">H16880+H16872+H16873+H16876-H16882-H16883</f>
        <v>116.1540197688</v>
      </c>
      <c r="I16884" s="16" t="n">
        <f aca="false">I16880+I16872+I16873+I16876-I16882-I16883</f>
        <v>105.014003968104</v>
      </c>
      <c r="J16884" s="16" t="n">
        <f aca="false">J16880+J16872+J16873+J16876-J16882-J16883</f>
        <v>108.865248203412</v>
      </c>
      <c r="K16884" s="16" t="n">
        <f aca="false">K16880+K16872+K16873+K16876-K16882-K16883</f>
        <v>99.6877228787792</v>
      </c>
    </row>
    <row r="16886" customFormat="false" ht="15" hidden="false" customHeight="false" outlineLevel="0" collapsed="false">
      <c r="A16886" s="23" t="s">
        <v>298</v>
      </c>
      <c r="B16886" s="24"/>
      <c r="C16886" s="24"/>
      <c r="D16886" s="24"/>
      <c r="E16886" s="24"/>
      <c r="F16886" s="24"/>
      <c r="G16886" s="24"/>
      <c r="H16886" s="24"/>
      <c r="I16886" s="24"/>
      <c r="J16886" s="24"/>
      <c r="K16886" s="24"/>
    </row>
    <row r="16887" customFormat="false" ht="15" hidden="false" customHeight="false" outlineLevel="0" collapsed="false">
      <c r="A16887" s="3" t="s">
        <v>299</v>
      </c>
      <c r="G16887" s="30" t="n">
        <f aca="false">Assumptions!$G$52</f>
        <v>0.039</v>
      </c>
      <c r="H16887" s="30" t="n">
        <f aca="false">Assumptions!$H$52</f>
        <v>0.0375</v>
      </c>
      <c r="I16887" s="30" t="n">
        <f aca="false">Assumptions!$I$52</f>
        <v>0.035</v>
      </c>
      <c r="J16887" s="30" t="n">
        <f aca="false">Assumptions!$J$52</f>
        <v>0.035</v>
      </c>
      <c r="K16887" s="30" t="n">
        <f aca="false">Assumptions!$K$52</f>
        <v>0.035</v>
      </c>
    </row>
    <row r="16888" customFormat="false" ht="15" hidden="false" customHeight="false" outlineLevel="0" collapsed="false">
      <c r="A16888" s="3" t="s">
        <v>300</v>
      </c>
      <c r="C16888" s="31" t="n">
        <f aca="false">CHOOSE($C$16854,Assumptions!$C$78,Assumptions!$C$97,Assumptions!$C$116)+$C$16857</f>
        <v>0</v>
      </c>
    </row>
    <row r="16889" customFormat="false" ht="15" hidden="false" customHeight="false" outlineLevel="0" collapsed="false">
      <c r="A16889" s="3" t="s">
        <v>301</v>
      </c>
      <c r="C16889" s="31" t="n">
        <f aca="false">CHOOSE($C$16854,Assumptions!$C$79,Assumptions!$C$98,Assumptions!$C$117)</f>
        <v>0.11</v>
      </c>
    </row>
    <row r="16890" customFormat="false" ht="15" hidden="false" customHeight="false" outlineLevel="0" collapsed="false">
      <c r="A16890" s="3" t="s">
        <v>302</v>
      </c>
      <c r="C16890" s="32" t="n">
        <f aca="false">CHOOSE($C$16854,Assumptions!$C$80,Assumptions!$C$99,Assumptions!$C$118)</f>
        <v>6</v>
      </c>
    </row>
    <row r="16891" customFormat="false" ht="15" hidden="false" customHeight="false" outlineLevel="0" collapsed="false">
      <c r="A16891" s="3" t="s">
        <v>303</v>
      </c>
      <c r="C16891" s="32" t="n">
        <f aca="false">CHOOSE($C$16854,Assumptions!$C$81,Assumptions!$C$100,Assumptions!$C$119)</f>
        <v>1.25</v>
      </c>
    </row>
    <row r="16892" customFormat="false" ht="15" hidden="false" customHeight="false" outlineLevel="0" collapsed="false">
      <c r="A16892" s="3" t="s">
        <v>304</v>
      </c>
      <c r="G16892" s="25" t="n">
        <f aca="false">G16897+G16910+G16923</f>
        <v>1735.554</v>
      </c>
      <c r="H16892" s="25" t="n">
        <f aca="false">H16897+H16910+H16923</f>
        <v>1735.554</v>
      </c>
      <c r="I16892" s="25" t="n">
        <f aca="false">I16897+I16910+I16923</f>
        <v>1735.554</v>
      </c>
      <c r="J16892" s="25" t="n">
        <f aca="false">J16897+J16910+J16923</f>
        <v>1315.098</v>
      </c>
      <c r="K16892" s="25" t="n">
        <f aca="false">K16897+K16910+K16923</f>
        <v>1315.098</v>
      </c>
    </row>
    <row r="16893" customFormat="false" ht="15" hidden="false" customHeight="false" outlineLevel="0" collapsed="false">
      <c r="A16893" s="3" t="s">
        <v>305</v>
      </c>
      <c r="G16893" s="25" t="n">
        <f aca="false">F16966</f>
        <v>463.996</v>
      </c>
      <c r="H16893" s="25" t="n">
        <f aca="false">G16966</f>
        <v>589.86335403</v>
      </c>
      <c r="I16893" s="25" t="n">
        <f aca="false">H16966</f>
        <v>706.0173737988</v>
      </c>
      <c r="J16893" s="25" t="n">
        <f aca="false">I16966</f>
        <v>390.575377766904</v>
      </c>
      <c r="K16893" s="25" t="n">
        <f aca="false">J16966</f>
        <v>499.440625970316</v>
      </c>
    </row>
    <row r="16894" customFormat="false" ht="15" hidden="false" customHeight="false" outlineLevel="0" collapsed="false">
      <c r="A16894" s="3" t="s">
        <v>306</v>
      </c>
      <c r="G16894" s="25" t="n">
        <f aca="false">G16897*IF(G16898=1,$C$16889,IF(Assumptions!$I$56=1,MAX(G16887,Assumptions!$G$56)+Assumptions!$F$56+$C$16888,Assumptions!$E$56))+G16910*IF(G16911=1,$C$16889,IF(Assumptions!$I$57=1,MAX(G16887,Assumptions!$G$57)+Assumptions!$F$57+$C$16888,Assumptions!$E$57))+G16923*IF(G16924=1,$C$16889,IF(Assumptions!$I$58=1,MAX(G16887,Assumptions!$G$58)+Assumptions!$F$58+$C$16888,Assumptions!$E$58))</f>
        <v>155.95467</v>
      </c>
      <c r="H16894" s="25" t="n">
        <f aca="false">H16897*IF(OR(H16898=1,G17044=1),$C$16889,IF(Assumptions!$I$56=1,MAX(H16887,Assumptions!$G$56)+Assumptions!$F$56+$C$16888,Assumptions!$E$56))+H16910*IF(OR(H16911=1,G17045=1),$C$16889,IF(Assumptions!$I$57=1,MAX(H16887,Assumptions!$G$57)+Assumptions!$F$57+$C$16888,Assumptions!$E$57))+H16923*IF(OR(H16924=1,G17046=1),$C$16889,IF(Assumptions!$I$58=1,MAX(H16887,Assumptions!$G$58)+Assumptions!$F$58+$C$16888,Assumptions!$E$58))</f>
        <v>155.95467</v>
      </c>
      <c r="I16894" s="25" t="n">
        <f aca="false">I16897*IF(OR(I16898=1,H17044=1),$C$16889,IF(Assumptions!$I$56=1,MAX(I16887,Assumptions!$G$56)+Assumptions!$F$56+$C$16888,Assumptions!$E$56))+I16910*IF(OR(I16911=1,H17045=1),$C$16889,IF(Assumptions!$I$57=1,MAX(I16887,Assumptions!$G$57)+Assumptions!$F$57+$C$16888,Assumptions!$E$57))+I16923*IF(OR(I16924=1,H17046=1),$C$16889,IF(Assumptions!$I$58=1,MAX(I16887,Assumptions!$G$58)+Assumptions!$F$58+$C$16888,Assumptions!$E$58))</f>
        <v>184.33545</v>
      </c>
      <c r="J16894" s="25" t="n">
        <f aca="false">J16897*IF(OR(J16898=1,I17044=1),$C$16889,IF(Assumptions!$I$56=1,MAX(J16887,Assumptions!$G$56)+Assumptions!$F$56+$C$16888,Assumptions!$E$56))+J16910*IF(OR(J16911=1,I17045=1),$C$16889,IF(Assumptions!$I$57=1,MAX(J16887,Assumptions!$G$57)+Assumptions!$F$57+$C$16888,Assumptions!$E$57))+J16923*IF(OR(J16924=1,I17046=1),$C$16889,IF(Assumptions!$I$58=1,MAX(J16887,Assumptions!$G$58)+Assumptions!$F$58+$C$16888,Assumptions!$E$58))</f>
        <v>138.08529</v>
      </c>
      <c r="K16894" s="25" t="n">
        <f aca="false">K16897*IF(OR(K16898=1,J17044=1),$C$16889,IF(Assumptions!$I$56=1,MAX(K16887,Assumptions!$G$56)+Assumptions!$F$56+$C$16888,Assumptions!$E$56))+K16910*IF(OR(K16911=1,J17045=1),$C$16889,IF(Assumptions!$I$57=1,MAX(K16887,Assumptions!$G$57)+Assumptions!$F$57+$C$16888,Assumptions!$E$57))+K16923*IF(OR(K16924=1,J17046=1),$C$16889,IF(Assumptions!$I$58=1,MAX(K16887,Assumptions!$G$58)+Assumptions!$F$58+$C$16888,Assumptions!$E$58))</f>
        <v>138.08529</v>
      </c>
    </row>
    <row r="16895" customFormat="false" ht="15" hidden="false" customHeight="false" outlineLevel="0" collapsed="false">
      <c r="A16895" s="3" t="s">
        <v>307</v>
      </c>
      <c r="G16895" s="20" t="n">
        <f aca="false">IF(G16871&lt;=0,0,IF(AND((G16892-G16893)/G16871&lt;=$C$16890,G16871/G16894&gt;=$C$16891),1,0))</f>
        <v>1</v>
      </c>
      <c r="H16895" s="20" t="n">
        <f aca="false">IF(H16871&lt;=0,0,IF(AND((H16892-H16893)/H16871&lt;=$C$16890,H16871/H16894&gt;=$C$16891),1,0))</f>
        <v>1</v>
      </c>
      <c r="I16895" s="20" t="n">
        <f aca="false">IF(I16871&lt;=0,0,IF(AND((I16892-I16893)/I16871&lt;=$C$16890,I16871/I16894&gt;=$C$16891),1,0))</f>
        <v>1</v>
      </c>
      <c r="J16895" s="20" t="n">
        <f aca="false">IF(J16871&lt;=0,0,IF(AND((J16892-J16893)/J16871&lt;=$C$16890,J16871/J16894&gt;=$C$16891),1,0))</f>
        <v>1</v>
      </c>
      <c r="K16895" s="20" t="n">
        <f aca="false">IF(K16871&lt;=0,0,IF(AND((K16892-K16893)/K16871&lt;=$C$16890,K16871/K16894&gt;=$C$16891),1,0))</f>
        <v>1</v>
      </c>
    </row>
    <row r="16896" customFormat="false" ht="15" hidden="false" customHeight="false" outlineLevel="0" collapsed="false">
      <c r="A16896" s="23" t="s">
        <v>308</v>
      </c>
      <c r="B16896" s="24"/>
      <c r="C16896" s="24"/>
      <c r="D16896" s="24"/>
      <c r="E16896" s="24"/>
      <c r="F16896" s="24"/>
      <c r="G16896" s="24"/>
      <c r="H16896" s="24"/>
      <c r="I16896" s="24"/>
      <c r="J16896" s="24"/>
      <c r="K16896" s="24"/>
    </row>
    <row r="16897" customFormat="false" ht="15" hidden="false" customHeight="false" outlineLevel="0" collapsed="false">
      <c r="A16897" s="3" t="s">
        <v>309</v>
      </c>
      <c r="G16897" s="25" t="n">
        <f aca="false">F16908</f>
        <v>1315.098</v>
      </c>
      <c r="H16897" s="25" t="n">
        <f aca="false">G16908</f>
        <v>1315.098</v>
      </c>
      <c r="I16897" s="25" t="n">
        <f aca="false">H16908</f>
        <v>1315.098</v>
      </c>
      <c r="J16897" s="25" t="n">
        <f aca="false">I16908</f>
        <v>1315.098</v>
      </c>
      <c r="K16897" s="25" t="n">
        <f aca="false">J16908</f>
        <v>1315.098</v>
      </c>
    </row>
    <row r="16898" customFormat="false" ht="15" hidden="false" customHeight="false" outlineLevel="0" collapsed="false">
      <c r="A16898" s="3" t="s">
        <v>310</v>
      </c>
      <c r="G16898" s="20" t="n">
        <f aca="false">IF(G16861=Assumptions!$K$56,1,0)</f>
        <v>0</v>
      </c>
      <c r="H16898" s="20" t="n">
        <f aca="false">IF(H16861=Assumptions!$K$56,1,0)</f>
        <v>0</v>
      </c>
      <c r="I16898" s="20" t="n">
        <f aca="false">IF(I16861=Assumptions!$K$56,1,0)</f>
        <v>0</v>
      </c>
      <c r="J16898" s="20" t="n">
        <f aca="false">IF(J16861=Assumptions!$K$56,1,0)</f>
        <v>0</v>
      </c>
      <c r="K16898" s="20" t="n">
        <f aca="false">IF(K16861=Assumptions!$K$56,1,0)</f>
        <v>0</v>
      </c>
    </row>
    <row r="16900" customFormat="false" ht="15" hidden="false" customHeight="false" outlineLevel="0" collapsed="false">
      <c r="A16900" s="3" t="s">
        <v>311</v>
      </c>
      <c r="G16900" s="31" t="n">
        <f aca="false">IF(Assumptions!$I$56=1,MAX(G16887,Assumptions!$G$56)+Assumptions!$F$56+$C$16888,Assumptions!$E$56)</f>
        <v>0.105</v>
      </c>
      <c r="H16900" s="31" t="n">
        <f aca="false">IF(G17044=1,$C$16889,IF(Assumptions!$I$56=1,MAX(H16887,Assumptions!$G$56)+Assumptions!$F$56+$C$16888,Assumptions!$E$56))</f>
        <v>0.105</v>
      </c>
      <c r="I16900" s="31" t="n">
        <f aca="false">IF(H17044=1,$C$16889,IF(Assumptions!$I$56=1,MAX(I16887,Assumptions!$G$56)+Assumptions!$F$56+$C$16888,Assumptions!$E$56))</f>
        <v>0.105</v>
      </c>
      <c r="J16900" s="31" t="n">
        <f aca="false">IF(I17044=1,$C$16889,IF(Assumptions!$I$56=1,MAX(J16887,Assumptions!$G$56)+Assumptions!$F$56+$C$16888,Assumptions!$E$56))</f>
        <v>0.105</v>
      </c>
      <c r="K16900" s="31" t="n">
        <f aca="false">IF(J17044=1,$C$16889,IF(Assumptions!$I$56=1,MAX(K16887,Assumptions!$G$56)+Assumptions!$F$56+$C$16888,Assumptions!$E$56))</f>
        <v>0.105</v>
      </c>
    </row>
    <row r="16901" customFormat="false" ht="15" hidden="false" customHeight="false" outlineLevel="0" collapsed="false">
      <c r="A16901" s="3" t="s">
        <v>312</v>
      </c>
      <c r="G16901" s="25" t="n">
        <f aca="false">G16897*G16900</f>
        <v>138.08529</v>
      </c>
      <c r="H16901" s="25" t="n">
        <f aca="false">H16897*H16900</f>
        <v>138.08529</v>
      </c>
      <c r="I16901" s="25" t="n">
        <f aca="false">I16897*I16900</f>
        <v>138.08529</v>
      </c>
      <c r="J16901" s="25" t="n">
        <f aca="false">J16897*J16900</f>
        <v>138.08529</v>
      </c>
      <c r="K16901" s="25" t="n">
        <f aca="false">K16897*K16900</f>
        <v>138.08529</v>
      </c>
    </row>
    <row r="16902" customFormat="false" ht="15" hidden="false" customHeight="false" outlineLevel="0" collapsed="false">
      <c r="A16902" s="3" t="s">
        <v>313</v>
      </c>
      <c r="G16902" s="25" t="n">
        <f aca="false">G16897*Assumptions!$H$56</f>
        <v>0</v>
      </c>
      <c r="H16902" s="25" t="n">
        <f aca="false">H16897*Assumptions!$H$56</f>
        <v>0</v>
      </c>
      <c r="I16902" s="25" t="n">
        <f aca="false">I16897*Assumptions!$H$56</f>
        <v>0</v>
      </c>
      <c r="J16902" s="25" t="n">
        <f aca="false">J16897*Assumptions!$H$56</f>
        <v>0</v>
      </c>
      <c r="K16902" s="25" t="n">
        <f aca="false">K16897*Assumptions!$H$56</f>
        <v>0</v>
      </c>
    </row>
    <row r="16903" customFormat="false" ht="15" hidden="false" customHeight="false" outlineLevel="0" collapsed="false">
      <c r="A16903" s="3" t="s">
        <v>314</v>
      </c>
      <c r="G16903" s="25" t="n">
        <f aca="false">MIN(G16897,Assumptions!$L$56*Assumptions!$C$56)</f>
        <v>0</v>
      </c>
      <c r="H16903" s="25" t="n">
        <f aca="false">MIN(H16897,Assumptions!$L$56*Assumptions!$C$56)</f>
        <v>0</v>
      </c>
      <c r="I16903" s="25" t="n">
        <f aca="false">MIN(I16897,Assumptions!$L$56*Assumptions!$C$56)</f>
        <v>0</v>
      </c>
      <c r="J16903" s="25" t="n">
        <f aca="false">MIN(J16897,Assumptions!$L$56*Assumptions!$C$56)</f>
        <v>0</v>
      </c>
      <c r="K16903" s="25" t="n">
        <f aca="false">MIN(K16897,Assumptions!$L$56*Assumptions!$C$56)</f>
        <v>0</v>
      </c>
    </row>
    <row r="16904" customFormat="false" ht="15" hidden="false" customHeight="false" outlineLevel="0" collapsed="false">
      <c r="A16904" s="3" t="s">
        <v>315</v>
      </c>
      <c r="G16904" s="25" t="n">
        <f aca="false">IF(AND(Assumptions!$P$56=1,G16861&lt;Assumptions!$K$56),MIN(MAX(0,-G16958),MAX(0,Assumptions!$D$56-G16897)),0)</f>
        <v>0</v>
      </c>
      <c r="H16904" s="25" t="n">
        <f aca="false">IF(AND(Assumptions!$P$56=1,OR(H16861&lt;Assumptions!$K$56,G17044=1)),MIN(MAX(0,-H16958),MAX(0,Assumptions!$D$56-H16897)),0)</f>
        <v>0</v>
      </c>
      <c r="I16904" s="25" t="n">
        <f aca="false">IF(AND(Assumptions!$P$56=1,OR(I16861&lt;Assumptions!$K$56,H17044=1)),MIN(MAX(0,-I16958),MAX(0,Assumptions!$D$56-I16897)),0)</f>
        <v>0</v>
      </c>
      <c r="J16904" s="25" t="n">
        <f aca="false">IF(AND(Assumptions!$P$56=1,OR(J16861&lt;Assumptions!$K$56,I17044=1)),MIN(MAX(0,-J16958),MAX(0,Assumptions!$D$56-J16897)),0)</f>
        <v>0</v>
      </c>
      <c r="K16904" s="25" t="n">
        <f aca="false">IF(AND(Assumptions!$P$56=1,OR(K16861&lt;Assumptions!$K$56,J17044=1)),MIN(MAX(0,-K16958),MAX(0,Assumptions!$D$56-K16897)),0)</f>
        <v>0</v>
      </c>
    </row>
    <row r="16905" customFormat="false" ht="15" hidden="false" customHeight="false" outlineLevel="0" collapsed="false">
      <c r="A16905" s="3" t="s">
        <v>316</v>
      </c>
      <c r="G16905" s="25" t="n">
        <f aca="false">G16898*MIN(G16897-G16903+G16902,MAX(0,G16960-Assumptions!$C$12*G16895))</f>
        <v>0</v>
      </c>
      <c r="H16905" s="25" t="n">
        <f aca="false">H16898*MIN(H16897-H16903+H16902,MAX(0,H16960-Assumptions!$C$12*H16895))</f>
        <v>0</v>
      </c>
      <c r="I16905" s="25" t="n">
        <f aca="false">I16898*MIN(I16897-I16903+I16902,MAX(0,I16960-Assumptions!$C$12*I16895))</f>
        <v>0</v>
      </c>
      <c r="J16905" s="25" t="n">
        <f aca="false">J16898*MIN(J16897-J16903+J16902,MAX(0,J16960-Assumptions!$C$12*J16895))</f>
        <v>0</v>
      </c>
      <c r="K16905" s="25" t="n">
        <f aca="false">K16898*MIN(K16897-K16903+K16902,MAX(0,K16960-Assumptions!$C$12*K16895))</f>
        <v>0</v>
      </c>
    </row>
    <row r="16906" customFormat="false" ht="15" hidden="false" customHeight="false" outlineLevel="0" collapsed="false">
      <c r="A16906" s="3" t="s">
        <v>317</v>
      </c>
      <c r="G16906" s="25" t="n">
        <f aca="false">Assumptions!$N$56*MIN(G16897+G16904+G16902-G16903-G16905,MAX(0,G16964))</f>
        <v>0</v>
      </c>
      <c r="H16906" s="25" t="n">
        <f aca="false">Assumptions!$N$56*MIN(H16897+H16904+H16902-H16903-H16905,MAX(0,H16964))</f>
        <v>0</v>
      </c>
      <c r="I16906" s="25" t="n">
        <f aca="false">Assumptions!$N$56*MIN(I16897+I16904+I16902-I16903-I16905,MAX(0,I16964))</f>
        <v>0</v>
      </c>
      <c r="J16906" s="25" t="n">
        <f aca="false">Assumptions!$N$56*MIN(J16897+J16904+J16902-J16903-J16905,MAX(0,J16964))</f>
        <v>0</v>
      </c>
      <c r="K16906" s="25" t="n">
        <f aca="false">Assumptions!$N$56*MIN(K16897+K16904+K16902-K16903-K16905,MAX(0,K16964))</f>
        <v>0</v>
      </c>
    </row>
    <row r="16907" customFormat="false" ht="15" hidden="false" customHeight="false" outlineLevel="0" collapsed="false">
      <c r="A16907" s="3" t="s">
        <v>318</v>
      </c>
      <c r="G16907" s="25" t="n">
        <f aca="false">G16898*(1-G16895)*(G16897-G16903+G16902-G16905)</f>
        <v>0</v>
      </c>
      <c r="H16907" s="25" t="n">
        <f aca="false">H16898*(1-H16895)*(H16897-H16903+H16902-H16905)</f>
        <v>0</v>
      </c>
      <c r="I16907" s="25" t="n">
        <f aca="false">I16898*(1-I16895)*(I16897-I16903+I16902-I16905)</f>
        <v>0</v>
      </c>
      <c r="J16907" s="25" t="n">
        <f aca="false">J16898*(1-J16895)*(J16897-J16903+J16902-J16905)</f>
        <v>0</v>
      </c>
      <c r="K16907" s="25" t="n">
        <f aca="false">K16898*(1-K16895)*(K16897-K16903+K16902-K16905)</f>
        <v>0</v>
      </c>
    </row>
    <row r="16908" customFormat="false" ht="15" hidden="false" customHeight="false" outlineLevel="0" collapsed="false">
      <c r="A16908" s="2" t="s">
        <v>319</v>
      </c>
      <c r="F16908" s="28" t="n">
        <f aca="false">Assumptions!$C$56</f>
        <v>1315.098</v>
      </c>
      <c r="G16908" s="16" t="n">
        <f aca="false">G16897+G16904+G16902-G16903-G16905-G16906</f>
        <v>1315.098</v>
      </c>
      <c r="H16908" s="16" t="n">
        <f aca="false">H16897+H16904+H16902-H16903-H16905-H16906</f>
        <v>1315.098</v>
      </c>
      <c r="I16908" s="16" t="n">
        <f aca="false">I16897+I16904+I16902-I16903-I16905-I16906</f>
        <v>1315.098</v>
      </c>
      <c r="J16908" s="16" t="n">
        <f aca="false">J16897+J16904+J16902-J16903-J16905-J16906</f>
        <v>1315.098</v>
      </c>
      <c r="K16908" s="16" t="n">
        <f aca="false">K16897+K16904+K16902-K16903-K16905-K16906</f>
        <v>1315.098</v>
      </c>
    </row>
    <row r="16909" customFormat="false" ht="15" hidden="false" customHeight="false" outlineLevel="0" collapsed="false">
      <c r="A16909" s="23" t="s">
        <v>320</v>
      </c>
      <c r="B16909" s="24"/>
      <c r="C16909" s="24"/>
      <c r="D16909" s="24"/>
      <c r="E16909" s="24"/>
      <c r="F16909" s="24"/>
      <c r="G16909" s="24"/>
      <c r="H16909" s="24"/>
      <c r="I16909" s="24"/>
      <c r="J16909" s="24"/>
      <c r="K16909" s="24"/>
    </row>
    <row r="16910" customFormat="false" ht="15" hidden="false" customHeight="false" outlineLevel="0" collapsed="false">
      <c r="A16910" s="3" t="s">
        <v>309</v>
      </c>
      <c r="G16910" s="25" t="n">
        <f aca="false">F16921</f>
        <v>276.706</v>
      </c>
      <c r="H16910" s="25" t="n">
        <f aca="false">G16921</f>
        <v>276.706</v>
      </c>
      <c r="I16910" s="25" t="n">
        <f aca="false">H16921</f>
        <v>276.706</v>
      </c>
      <c r="J16910" s="25" t="n">
        <f aca="false">I16921</f>
        <v>0</v>
      </c>
      <c r="K16910" s="25" t="n">
        <f aca="false">J16921</f>
        <v>0</v>
      </c>
    </row>
    <row r="16911" customFormat="false" ht="15" hidden="false" customHeight="false" outlineLevel="0" collapsed="false">
      <c r="A16911" s="3" t="s">
        <v>310</v>
      </c>
      <c r="G16911" s="20" t="n">
        <f aca="false">IF(G16861=Assumptions!$K$57,1,0)</f>
        <v>0</v>
      </c>
      <c r="H16911" s="20" t="n">
        <f aca="false">IF(H16861=Assumptions!$K$57,1,0)</f>
        <v>0</v>
      </c>
      <c r="I16911" s="20" t="n">
        <f aca="false">IF(I16861=Assumptions!$K$57,1,0)</f>
        <v>1</v>
      </c>
      <c r="J16911" s="20" t="n">
        <f aca="false">IF(J16861=Assumptions!$K$57,1,0)</f>
        <v>0</v>
      </c>
      <c r="K16911" s="20" t="n">
        <f aca="false">IF(K16861=Assumptions!$K$57,1,0)</f>
        <v>0</v>
      </c>
    </row>
    <row r="16913" customFormat="false" ht="15" hidden="false" customHeight="false" outlineLevel="0" collapsed="false">
      <c r="A16913" s="3" t="s">
        <v>311</v>
      </c>
      <c r="G16913" s="31" t="n">
        <f aca="false">IF(Assumptions!$I$57=1,MAX(G16887,Assumptions!$G$57)+Assumptions!$F$57+$C$16888,Assumptions!$E$57)</f>
        <v>0.0425</v>
      </c>
      <c r="H16913" s="31" t="n">
        <f aca="false">IF(G17045=1,$C$16889,IF(Assumptions!$I$57=1,MAX(H16887,Assumptions!$G$57)+Assumptions!$F$57+$C$16888,Assumptions!$E$57))</f>
        <v>0.0425</v>
      </c>
      <c r="I16913" s="31" t="n">
        <f aca="false">IF(H17045=1,$C$16889,IF(Assumptions!$I$57=1,MAX(I16887,Assumptions!$G$57)+Assumptions!$F$57+$C$16888,Assumptions!$E$57))</f>
        <v>0.0425</v>
      </c>
      <c r="J16913" s="31" t="n">
        <f aca="false">IF(I17045=1,$C$16889,IF(Assumptions!$I$57=1,MAX(J16887,Assumptions!$G$57)+Assumptions!$F$57+$C$16888,Assumptions!$E$57))</f>
        <v>0.11</v>
      </c>
      <c r="K16913" s="31" t="n">
        <f aca="false">IF(J17045=1,$C$16889,IF(Assumptions!$I$57=1,MAX(K16887,Assumptions!$G$57)+Assumptions!$F$57+$C$16888,Assumptions!$E$57))</f>
        <v>0.11</v>
      </c>
    </row>
    <row r="16914" customFormat="false" ht="15" hidden="false" customHeight="false" outlineLevel="0" collapsed="false">
      <c r="A16914" s="3" t="s">
        <v>312</v>
      </c>
      <c r="G16914" s="25" t="n">
        <f aca="false">G16910*G16913</f>
        <v>11.760005</v>
      </c>
      <c r="H16914" s="25" t="n">
        <f aca="false">H16910*H16913</f>
        <v>11.760005</v>
      </c>
      <c r="I16914" s="25" t="n">
        <f aca="false">I16910*I16913</f>
        <v>11.760005</v>
      </c>
      <c r="J16914" s="25" t="n">
        <f aca="false">J16910*J16913</f>
        <v>0</v>
      </c>
      <c r="K16914" s="25" t="n">
        <f aca="false">K16910*K16913</f>
        <v>0</v>
      </c>
    </row>
    <row r="16915" customFormat="false" ht="15" hidden="false" customHeight="false" outlineLevel="0" collapsed="false">
      <c r="A16915" s="3" t="s">
        <v>313</v>
      </c>
      <c r="G16915" s="25" t="n">
        <f aca="false">G16910*Assumptions!$H$57</f>
        <v>0</v>
      </c>
      <c r="H16915" s="25" t="n">
        <f aca="false">H16910*Assumptions!$H$57</f>
        <v>0</v>
      </c>
      <c r="I16915" s="25" t="n">
        <f aca="false">I16910*Assumptions!$H$57</f>
        <v>0</v>
      </c>
      <c r="J16915" s="25" t="n">
        <f aca="false">J16910*Assumptions!$H$57</f>
        <v>0</v>
      </c>
      <c r="K16915" s="25" t="n">
        <f aca="false">K16910*Assumptions!$H$57</f>
        <v>0</v>
      </c>
    </row>
    <row r="16916" customFormat="false" ht="15" hidden="false" customHeight="false" outlineLevel="0" collapsed="false">
      <c r="A16916" s="3" t="s">
        <v>314</v>
      </c>
      <c r="G16916" s="25" t="n">
        <f aca="false">MIN(G16910,Assumptions!$L$57*Assumptions!$C$57)</f>
        <v>0</v>
      </c>
      <c r="H16916" s="25" t="n">
        <f aca="false">MIN(H16910,Assumptions!$L$57*Assumptions!$C$57)</f>
        <v>0</v>
      </c>
      <c r="I16916" s="25" t="n">
        <f aca="false">MIN(I16910,Assumptions!$L$57*Assumptions!$C$57)</f>
        <v>0</v>
      </c>
      <c r="J16916" s="25" t="n">
        <f aca="false">MIN(J16910,Assumptions!$L$57*Assumptions!$C$57)</f>
        <v>0</v>
      </c>
      <c r="K16916" s="25" t="n">
        <f aca="false">MIN(K16910,Assumptions!$L$57*Assumptions!$C$57)</f>
        <v>0</v>
      </c>
    </row>
    <row r="16917" customFormat="false" ht="15" hidden="false" customHeight="false" outlineLevel="0" collapsed="false">
      <c r="A16917" s="3" t="s">
        <v>315</v>
      </c>
      <c r="G16917" s="25" t="n">
        <f aca="false">IF(AND(Assumptions!$P$57=1,G16861&lt;Assumptions!$K$57),MIN(MAX(0,-G16958),MAX(0,Assumptions!$D$57-G16910)),0)</f>
        <v>0</v>
      </c>
      <c r="H16917" s="25" t="n">
        <f aca="false">IF(AND(Assumptions!$P$57=1,OR(H16861&lt;Assumptions!$K$57,G17045=1)),MIN(MAX(0,-H16958),MAX(0,Assumptions!$D$57-H16910)),0)</f>
        <v>0</v>
      </c>
      <c r="I16917" s="25" t="n">
        <f aca="false">IF(AND(Assumptions!$P$57=1,OR(I16861&lt;Assumptions!$K$57,H17045=1)),MIN(MAX(0,-I16958),MAX(0,Assumptions!$D$57-I16910)),0)</f>
        <v>0</v>
      </c>
      <c r="J16917" s="25" t="n">
        <f aca="false">IF(AND(Assumptions!$P$57=1,OR(J16861&lt;Assumptions!$K$57,I17045=1)),MIN(MAX(0,-J16958),MAX(0,Assumptions!$D$57-J16910)),0)</f>
        <v>0</v>
      </c>
      <c r="K16917" s="25" t="n">
        <f aca="false">IF(AND(Assumptions!$P$57=1,OR(K16861&lt;Assumptions!$K$57,J17045=1)),MIN(MAX(0,-K16958),MAX(0,Assumptions!$D$57-K16910)),0)</f>
        <v>0</v>
      </c>
    </row>
    <row r="16918" customFormat="false" ht="15" hidden="false" customHeight="false" outlineLevel="0" collapsed="false">
      <c r="A16918" s="3" t="s">
        <v>316</v>
      </c>
      <c r="G16918" s="25" t="n">
        <f aca="false">G16911*MIN(G16910-G16916+G16915,MAX(0,G16960-Assumptions!$C$12*G16895-G16905))</f>
        <v>0</v>
      </c>
      <c r="H16918" s="25" t="n">
        <f aca="false">H16911*MIN(H16910-H16916+H16915,MAX(0,H16960-Assumptions!$C$12*H16895-H16905))</f>
        <v>0</v>
      </c>
      <c r="I16918" s="25" t="n">
        <f aca="false">I16911*MIN(I16910-I16916+I16915,MAX(0,I16960-Assumptions!$C$12*I16895-I16905))</f>
        <v>276.706</v>
      </c>
      <c r="J16918" s="25" t="n">
        <f aca="false">J16911*MIN(J16910-J16916+J16915,MAX(0,J16960-Assumptions!$C$12*J16895-J16905))</f>
        <v>0</v>
      </c>
      <c r="K16918" s="25" t="n">
        <f aca="false">K16911*MIN(K16910-K16916+K16915,MAX(0,K16960-Assumptions!$C$12*K16895-K16905))</f>
        <v>0</v>
      </c>
    </row>
    <row r="16919" customFormat="false" ht="15" hidden="false" customHeight="false" outlineLevel="0" collapsed="false">
      <c r="A16919" s="3" t="s">
        <v>317</v>
      </c>
      <c r="G16919" s="25" t="n">
        <f aca="false">Assumptions!$N$57*MIN(G16910+G16917+G16915-G16916-G16918,MAX(0,G16964-G16906))</f>
        <v>0</v>
      </c>
      <c r="H16919" s="25" t="n">
        <f aca="false">Assumptions!$N$57*MIN(H16910+H16917+H16915-H16916-H16918,MAX(0,H16964-H16906))</f>
        <v>0</v>
      </c>
      <c r="I16919" s="25" t="n">
        <f aca="false">Assumptions!$N$57*MIN(I16910+I16917+I16915-I16916-I16918,MAX(0,I16964-I16906))</f>
        <v>0</v>
      </c>
      <c r="J16919" s="25" t="n">
        <f aca="false">Assumptions!$N$57*MIN(J16910+J16917+J16915-J16916-J16918,MAX(0,J16964-J16906))</f>
        <v>0</v>
      </c>
      <c r="K16919" s="25" t="n">
        <f aca="false">Assumptions!$N$57*MIN(K16910+K16917+K16915-K16916-K16918,MAX(0,K16964-K16906))</f>
        <v>0</v>
      </c>
    </row>
    <row r="16920" customFormat="false" ht="15" hidden="false" customHeight="false" outlineLevel="0" collapsed="false">
      <c r="A16920" s="3" t="s">
        <v>318</v>
      </c>
      <c r="G16920" s="25" t="n">
        <f aca="false">G16911*(1-G16895)*(G16910-G16916+G16915-G16918)</f>
        <v>0</v>
      </c>
      <c r="H16920" s="25" t="n">
        <f aca="false">H16911*(1-H16895)*(H16910-H16916+H16915-H16918)</f>
        <v>0</v>
      </c>
      <c r="I16920" s="25" t="n">
        <f aca="false">I16911*(1-I16895)*(I16910-I16916+I16915-I16918)</f>
        <v>0</v>
      </c>
      <c r="J16920" s="25" t="n">
        <f aca="false">J16911*(1-J16895)*(J16910-J16916+J16915-J16918)</f>
        <v>0</v>
      </c>
      <c r="K16920" s="25" t="n">
        <f aca="false">K16911*(1-K16895)*(K16910-K16916+K16915-K16918)</f>
        <v>0</v>
      </c>
    </row>
    <row r="16921" customFormat="false" ht="15" hidden="false" customHeight="false" outlineLevel="0" collapsed="false">
      <c r="A16921" s="2" t="s">
        <v>319</v>
      </c>
      <c r="F16921" s="28" t="n">
        <f aca="false">Assumptions!$C$57</f>
        <v>276.706</v>
      </c>
      <c r="G16921" s="16" t="n">
        <f aca="false">G16910+G16917+G16915-G16916-G16918-G16919</f>
        <v>276.706</v>
      </c>
      <c r="H16921" s="16" t="n">
        <f aca="false">H16910+H16917+H16915-H16916-H16918-H16919</f>
        <v>276.706</v>
      </c>
      <c r="I16921" s="16" t="n">
        <f aca="false">I16910+I16917+I16915-I16916-I16918-I16919</f>
        <v>0</v>
      </c>
      <c r="J16921" s="16" t="n">
        <f aca="false">J16910+J16917+J16915-J16916-J16918-J16919</f>
        <v>0</v>
      </c>
      <c r="K16921" s="16" t="n">
        <f aca="false">K16910+K16917+K16915-K16916-K16918-K16919</f>
        <v>0</v>
      </c>
    </row>
    <row r="16922" customFormat="false" ht="15" hidden="false" customHeight="false" outlineLevel="0" collapsed="false">
      <c r="A16922" s="23" t="s">
        <v>321</v>
      </c>
      <c r="B16922" s="24"/>
      <c r="C16922" s="24"/>
      <c r="D16922" s="24"/>
      <c r="E16922" s="24"/>
      <c r="F16922" s="24"/>
      <c r="G16922" s="24"/>
      <c r="H16922" s="24"/>
      <c r="I16922" s="24"/>
      <c r="J16922" s="24"/>
      <c r="K16922" s="24"/>
    </row>
    <row r="16923" customFormat="false" ht="15" hidden="false" customHeight="false" outlineLevel="0" collapsed="false">
      <c r="A16923" s="3" t="s">
        <v>309</v>
      </c>
      <c r="G16923" s="25" t="n">
        <f aca="false">F16934</f>
        <v>143.75</v>
      </c>
      <c r="H16923" s="25" t="n">
        <f aca="false">G16934</f>
        <v>143.75</v>
      </c>
      <c r="I16923" s="25" t="n">
        <f aca="false">H16934</f>
        <v>143.75</v>
      </c>
      <c r="J16923" s="25" t="n">
        <f aca="false">I16934</f>
        <v>0</v>
      </c>
      <c r="K16923" s="25" t="n">
        <f aca="false">J16934</f>
        <v>0</v>
      </c>
    </row>
    <row r="16924" customFormat="false" ht="15" hidden="false" customHeight="false" outlineLevel="0" collapsed="false">
      <c r="A16924" s="3" t="s">
        <v>310</v>
      </c>
      <c r="G16924" s="20" t="n">
        <f aca="false">IF(G16861=Assumptions!$K$58,1,0)</f>
        <v>0</v>
      </c>
      <c r="H16924" s="20" t="n">
        <f aca="false">IF(H16861=Assumptions!$K$58,1,0)</f>
        <v>0</v>
      </c>
      <c r="I16924" s="20" t="n">
        <f aca="false">IF(I16861=Assumptions!$K$58,1,0)</f>
        <v>1</v>
      </c>
      <c r="J16924" s="20" t="n">
        <f aca="false">IF(J16861=Assumptions!$K$58,1,0)</f>
        <v>0</v>
      </c>
      <c r="K16924" s="20" t="n">
        <f aca="false">IF(K16861=Assumptions!$K$58,1,0)</f>
        <v>0</v>
      </c>
    </row>
    <row r="16926" customFormat="false" ht="15" hidden="false" customHeight="false" outlineLevel="0" collapsed="false">
      <c r="A16926" s="3" t="s">
        <v>311</v>
      </c>
      <c r="G16926" s="31" t="n">
        <f aca="false">IF(Assumptions!$I$58=1,MAX(G16887,Assumptions!$G$58)+Assumptions!$F$58+$C$16888,Assumptions!$E$58)</f>
        <v>0.0425</v>
      </c>
      <c r="H16926" s="31" t="n">
        <f aca="false">IF(G17046=1,$C$16889,IF(Assumptions!$I$58=1,MAX(H16887,Assumptions!$G$58)+Assumptions!$F$58+$C$16888,Assumptions!$E$58))</f>
        <v>0.0425</v>
      </c>
      <c r="I16926" s="31" t="n">
        <f aca="false">IF(H17046=1,$C$16889,IF(Assumptions!$I$58=1,MAX(I16887,Assumptions!$G$58)+Assumptions!$F$58+$C$16888,Assumptions!$E$58))</f>
        <v>0.0425</v>
      </c>
      <c r="J16926" s="31" t="n">
        <f aca="false">IF(I17046=1,$C$16889,IF(Assumptions!$I$58=1,MAX(J16887,Assumptions!$G$58)+Assumptions!$F$58+$C$16888,Assumptions!$E$58))</f>
        <v>0.11</v>
      </c>
      <c r="K16926" s="31" t="n">
        <f aca="false">IF(J17046=1,$C$16889,IF(Assumptions!$I$58=1,MAX(K16887,Assumptions!$G$58)+Assumptions!$F$58+$C$16888,Assumptions!$E$58))</f>
        <v>0.11</v>
      </c>
    </row>
    <row r="16927" customFormat="false" ht="15" hidden="false" customHeight="false" outlineLevel="0" collapsed="false">
      <c r="A16927" s="3" t="s">
        <v>312</v>
      </c>
      <c r="G16927" s="25" t="n">
        <f aca="false">G16923*G16926</f>
        <v>6.109375</v>
      </c>
      <c r="H16927" s="25" t="n">
        <f aca="false">H16923*H16926</f>
        <v>6.109375</v>
      </c>
      <c r="I16927" s="25" t="n">
        <f aca="false">I16923*I16926</f>
        <v>6.109375</v>
      </c>
      <c r="J16927" s="25" t="n">
        <f aca="false">J16923*J16926</f>
        <v>0</v>
      </c>
      <c r="K16927" s="25" t="n">
        <f aca="false">K16923*K16926</f>
        <v>0</v>
      </c>
    </row>
    <row r="16928" customFormat="false" ht="15" hidden="false" customHeight="false" outlineLevel="0" collapsed="false">
      <c r="A16928" s="3" t="s">
        <v>313</v>
      </c>
      <c r="G16928" s="25" t="n">
        <f aca="false">G16923*Assumptions!$H$58</f>
        <v>0</v>
      </c>
      <c r="H16928" s="25" t="n">
        <f aca="false">H16923*Assumptions!$H$58</f>
        <v>0</v>
      </c>
      <c r="I16928" s="25" t="n">
        <f aca="false">I16923*Assumptions!$H$58</f>
        <v>0</v>
      </c>
      <c r="J16928" s="25" t="n">
        <f aca="false">J16923*Assumptions!$H$58</f>
        <v>0</v>
      </c>
      <c r="K16928" s="25" t="n">
        <f aca="false">K16923*Assumptions!$H$58</f>
        <v>0</v>
      </c>
    </row>
    <row r="16929" customFormat="false" ht="15" hidden="false" customHeight="false" outlineLevel="0" collapsed="false">
      <c r="A16929" s="3" t="s">
        <v>314</v>
      </c>
      <c r="G16929" s="25" t="n">
        <f aca="false">MIN(G16923,Assumptions!$L$58*Assumptions!$C$58)</f>
        <v>0</v>
      </c>
      <c r="H16929" s="25" t="n">
        <f aca="false">MIN(H16923,Assumptions!$L$58*Assumptions!$C$58)</f>
        <v>0</v>
      </c>
      <c r="I16929" s="25" t="n">
        <f aca="false">MIN(I16923,Assumptions!$L$58*Assumptions!$C$58)</f>
        <v>0</v>
      </c>
      <c r="J16929" s="25" t="n">
        <f aca="false">MIN(J16923,Assumptions!$L$58*Assumptions!$C$58)</f>
        <v>0</v>
      </c>
      <c r="K16929" s="25" t="n">
        <f aca="false">MIN(K16923,Assumptions!$L$58*Assumptions!$C$58)</f>
        <v>0</v>
      </c>
    </row>
    <row r="16930" customFormat="false" ht="15" hidden="false" customHeight="false" outlineLevel="0" collapsed="false">
      <c r="A16930" s="3" t="s">
        <v>315</v>
      </c>
      <c r="G16930" s="25" t="n">
        <f aca="false">IF(AND(Assumptions!$P$58=1,G16861&lt;Assumptions!$K$58),MIN(MAX(0,-G16958),MAX(0,Assumptions!$D$58-G16923)),0)</f>
        <v>0</v>
      </c>
      <c r="H16930" s="25" t="n">
        <f aca="false">IF(AND(Assumptions!$P$58=1,OR(H16861&lt;Assumptions!$K$58,G17046=1)),MIN(MAX(0,-H16958),MAX(0,Assumptions!$D$58-H16923)),0)</f>
        <v>0</v>
      </c>
      <c r="I16930" s="25" t="n">
        <f aca="false">IF(AND(Assumptions!$P$58=1,OR(I16861&lt;Assumptions!$K$58,H17046=1)),MIN(MAX(0,-I16958),MAX(0,Assumptions!$D$58-I16923)),0)</f>
        <v>0</v>
      </c>
      <c r="J16930" s="25" t="n">
        <f aca="false">IF(AND(Assumptions!$P$58=1,OR(J16861&lt;Assumptions!$K$58,I17046=1)),MIN(MAX(0,-J16958),MAX(0,Assumptions!$D$58-J16923)),0)</f>
        <v>0</v>
      </c>
      <c r="K16930" s="25" t="n">
        <f aca="false">IF(AND(Assumptions!$P$58=1,OR(K16861&lt;Assumptions!$K$58,J17046=1)),MIN(MAX(0,-K16958),MAX(0,Assumptions!$D$58-K16923)),0)</f>
        <v>0</v>
      </c>
    </row>
    <row r="16931" customFormat="false" ht="15" hidden="false" customHeight="false" outlineLevel="0" collapsed="false">
      <c r="A16931" s="3" t="s">
        <v>316</v>
      </c>
      <c r="G16931" s="25" t="n">
        <f aca="false">G16924*MIN(G16923-G16929+G16928,MAX(0,G16960-Assumptions!$C$12*G16895-G16905-G16918))</f>
        <v>0</v>
      </c>
      <c r="H16931" s="25" t="n">
        <f aca="false">H16924*MIN(H16923-H16929+H16928,MAX(0,H16960-Assumptions!$C$12*H16895-H16905-H16918))</f>
        <v>0</v>
      </c>
      <c r="I16931" s="25" t="n">
        <f aca="false">I16924*MIN(I16923-I16929+I16928,MAX(0,I16960-Assumptions!$C$12*I16895-I16905-I16918))</f>
        <v>143.75</v>
      </c>
      <c r="J16931" s="25" t="n">
        <f aca="false">J16924*MIN(J16923-J16929+J16928,MAX(0,J16960-Assumptions!$C$12*J16895-J16905-J16918))</f>
        <v>0</v>
      </c>
      <c r="K16931" s="25" t="n">
        <f aca="false">K16924*MIN(K16923-K16929+K16928,MAX(0,K16960-Assumptions!$C$12*K16895-K16905-K16918))</f>
        <v>0</v>
      </c>
    </row>
    <row r="16932" customFormat="false" ht="15" hidden="false" customHeight="false" outlineLevel="0" collapsed="false">
      <c r="A16932" s="3" t="s">
        <v>317</v>
      </c>
      <c r="G16932" s="25" t="n">
        <f aca="false">Assumptions!$N$58*MIN(G16923+G16930+G16928-G16929-G16931,MAX(0,G16964-G16906-G16919))</f>
        <v>0</v>
      </c>
      <c r="H16932" s="25" t="n">
        <f aca="false">Assumptions!$N$58*MIN(H16923+H16930+H16928-H16929-H16931,MAX(0,H16964-H16906-H16919))</f>
        <v>0</v>
      </c>
      <c r="I16932" s="25" t="n">
        <f aca="false">Assumptions!$N$58*MIN(I16923+I16930+I16928-I16929-I16931,MAX(0,I16964-I16906-I16919))</f>
        <v>0</v>
      </c>
      <c r="J16932" s="25" t="n">
        <f aca="false">Assumptions!$N$58*MIN(J16923+J16930+J16928-J16929-J16931,MAX(0,J16964-J16906-J16919))</f>
        <v>0</v>
      </c>
      <c r="K16932" s="25" t="n">
        <f aca="false">Assumptions!$N$58*MIN(K16923+K16930+K16928-K16929-K16931,MAX(0,K16964-K16906-K16919))</f>
        <v>0</v>
      </c>
    </row>
    <row r="16933" customFormat="false" ht="15" hidden="false" customHeight="false" outlineLevel="0" collapsed="false">
      <c r="A16933" s="3" t="s">
        <v>318</v>
      </c>
      <c r="G16933" s="25" t="n">
        <f aca="false">G16924*(1-G16895)*(G16923-G16929+G16928-G16931)</f>
        <v>0</v>
      </c>
      <c r="H16933" s="25" t="n">
        <f aca="false">H16924*(1-H16895)*(H16923-H16929+H16928-H16931)</f>
        <v>0</v>
      </c>
      <c r="I16933" s="25" t="n">
        <f aca="false">I16924*(1-I16895)*(I16923-I16929+I16928-I16931)</f>
        <v>0</v>
      </c>
      <c r="J16933" s="25" t="n">
        <f aca="false">J16924*(1-J16895)*(J16923-J16929+J16928-J16931)</f>
        <v>0</v>
      </c>
      <c r="K16933" s="25" t="n">
        <f aca="false">K16924*(1-K16895)*(K16923-K16929+K16928-K16931)</f>
        <v>0</v>
      </c>
    </row>
    <row r="16934" customFormat="false" ht="15" hidden="false" customHeight="false" outlineLevel="0" collapsed="false">
      <c r="A16934" s="2" t="s">
        <v>319</v>
      </c>
      <c r="F16934" s="28" t="n">
        <f aca="false">Assumptions!$C$58</f>
        <v>143.75</v>
      </c>
      <c r="G16934" s="16" t="n">
        <f aca="false">G16923+G16930+G16928-G16929-G16931-G16932</f>
        <v>143.75</v>
      </c>
      <c r="H16934" s="16" t="n">
        <f aca="false">H16923+H16930+H16928-H16929-H16931-H16932</f>
        <v>143.75</v>
      </c>
      <c r="I16934" s="16" t="n">
        <f aca="false">I16923+I16930+I16928-I16929-I16931-I16932</f>
        <v>0</v>
      </c>
      <c r="J16934" s="16" t="n">
        <f aca="false">J16923+J16930+J16928-J16929-J16931-J16932</f>
        <v>0</v>
      </c>
      <c r="K16934" s="16" t="n">
        <f aca="false">K16923+K16930+K16928-K16929-K16931-K16932</f>
        <v>0</v>
      </c>
    </row>
    <row r="16935" customFormat="false" ht="15" hidden="false" customHeight="false" outlineLevel="0" collapsed="false">
      <c r="A16935" s="23" t="s">
        <v>322</v>
      </c>
      <c r="B16935" s="24"/>
      <c r="C16935" s="24"/>
      <c r="D16935" s="24"/>
      <c r="E16935" s="24"/>
      <c r="F16935" s="24"/>
      <c r="G16935" s="24"/>
      <c r="H16935" s="24"/>
      <c r="I16935" s="24"/>
      <c r="J16935" s="24"/>
      <c r="K16935" s="24"/>
    </row>
    <row r="16936" customFormat="false" ht="15" hidden="false" customHeight="false" outlineLevel="0" collapsed="false">
      <c r="A16936" s="2" t="s">
        <v>323</v>
      </c>
      <c r="F16936" s="16" t="n">
        <f aca="false">F16908+F16921+F16934</f>
        <v>1735.554</v>
      </c>
      <c r="G16936" s="16" t="n">
        <f aca="false">G16908+G16921+G16934</f>
        <v>1735.554</v>
      </c>
      <c r="H16936" s="16" t="n">
        <f aca="false">H16908+H16921+H16934</f>
        <v>1735.554</v>
      </c>
      <c r="I16936" s="16" t="n">
        <f aca="false">I16908+I16921+I16934</f>
        <v>1315.098</v>
      </c>
      <c r="J16936" s="16" t="n">
        <f aca="false">J16908+J16921+J16934</f>
        <v>1315.098</v>
      </c>
      <c r="K16936" s="16" t="n">
        <f aca="false">K16908+K16921+K16934</f>
        <v>1315.098</v>
      </c>
    </row>
    <row r="16937" customFormat="false" ht="15" hidden="false" customHeight="false" outlineLevel="0" collapsed="false">
      <c r="A16937" s="3" t="s">
        <v>324</v>
      </c>
      <c r="G16937" s="25" t="n">
        <f aca="false">G16898*Assumptions!$C$56+G16911*Assumptions!$C$57+G16924*Assumptions!$C$58</f>
        <v>0</v>
      </c>
      <c r="H16937" s="25" t="n">
        <f aca="false">H16898*Assumptions!$C$56+H16911*Assumptions!$C$57+H16924*Assumptions!$C$58</f>
        <v>0</v>
      </c>
      <c r="I16937" s="25" t="n">
        <f aca="false">I16898*Assumptions!$C$56+I16911*Assumptions!$C$57+I16924*Assumptions!$C$58</f>
        <v>420.456</v>
      </c>
      <c r="J16937" s="25" t="n">
        <f aca="false">J16898*Assumptions!$C$56+J16911*Assumptions!$C$57+J16924*Assumptions!$C$58</f>
        <v>0</v>
      </c>
      <c r="K16937" s="25" t="n">
        <f aca="false">K16898*Assumptions!$C$56+K16911*Assumptions!$C$57+K16924*Assumptions!$C$58</f>
        <v>0</v>
      </c>
    </row>
    <row r="16938" customFormat="false" ht="15" hidden="false" customHeight="false" outlineLevel="0" collapsed="false">
      <c r="A16938" s="23" t="s">
        <v>325</v>
      </c>
      <c r="B16938" s="24"/>
      <c r="C16938" s="24"/>
      <c r="D16938" s="24"/>
      <c r="E16938" s="24"/>
      <c r="F16938" s="24"/>
      <c r="G16938" s="24"/>
      <c r="H16938" s="24"/>
      <c r="I16938" s="24"/>
      <c r="J16938" s="24"/>
      <c r="K16938" s="24"/>
    </row>
    <row r="16939" customFormat="false" ht="15" hidden="false" customHeight="false" outlineLevel="0" collapsed="false">
      <c r="A16939" s="3" t="s">
        <v>326</v>
      </c>
      <c r="C16939" s="25" t="n">
        <f aca="false">SUMPRODUCT($G$16898:$K$16898,$G$16897:$K$16897-$G$16903:$K$16903+$G$16902:$K$16902)</f>
        <v>0</v>
      </c>
    </row>
    <row r="16940" customFormat="false" ht="15" hidden="false" customHeight="false" outlineLevel="0" collapsed="false">
      <c r="A16940" s="3" t="s">
        <v>327</v>
      </c>
      <c r="C16940" s="25" t="n">
        <f aca="false">SUMPRODUCT($G$16898:$K$16898,$G$16905:$K$16905)</f>
        <v>0</v>
      </c>
    </row>
    <row r="16941" customFormat="false" ht="15" hidden="false" customHeight="false" outlineLevel="0" collapsed="false">
      <c r="A16941" s="3" t="s">
        <v>328</v>
      </c>
      <c r="C16941" s="3" t="str">
        <f aca="false">IF(SUM($G$16898:$K$16898)=0,"n/a (beyond horizon)",IF(SUMPRODUCT($G$16898:$K$16898,$G$16895:$K$16895)&gt;0,"REFINANCING PASS","REFINANCING FAILURE"))</f>
        <v>n/a (beyond horizon)</v>
      </c>
    </row>
    <row r="16942" customFormat="false" ht="15" hidden="false" customHeight="false" outlineLevel="0" collapsed="false">
      <c r="A16942" s="3" t="s">
        <v>329</v>
      </c>
      <c r="C16942" s="3" t="str">
        <f aca="false">IF(SUM($G$16898:$K$16898)=0,"n/a",IF(C16940&gt;=C16939-0.001,"Repaid from cash",IF(SUMPRODUCT($G$16898:$K$16898,$G$16895:$K$16895)&gt;0,IF(C16940&gt;0,"Partly repaid; remainder refinanced","Refinanced"),IF(SUM($G$16907:$K$16907)&gt;0.001,IF(C16940&gt;0,"Partial repayment; PAYMENT DEFAULT","PAYMENT DEFAULT"),"Repaid from cash"))))</f>
        <v>n/a</v>
      </c>
    </row>
    <row r="16943" customFormat="false" ht="15" hidden="false" customHeight="false" outlineLevel="0" collapsed="false">
      <c r="A16943" s="3" t="s">
        <v>330</v>
      </c>
      <c r="C16943" s="25" t="n">
        <f aca="false">SUMPRODUCT($G$16911:$K$16911,$G$16910:$K$16910-$G$16916:$K$16916+$G$16915:$K$16915)</f>
        <v>276.706</v>
      </c>
    </row>
    <row r="16944" customFormat="false" ht="15" hidden="false" customHeight="false" outlineLevel="0" collapsed="false">
      <c r="A16944" s="3" t="s">
        <v>331</v>
      </c>
      <c r="C16944" s="25" t="n">
        <f aca="false">SUMPRODUCT($G$16911:$K$16911,$G$16918:$K$16918)</f>
        <v>276.706</v>
      </c>
    </row>
    <row r="16945" customFormat="false" ht="15" hidden="false" customHeight="false" outlineLevel="0" collapsed="false">
      <c r="A16945" s="3" t="s">
        <v>332</v>
      </c>
      <c r="C16945" s="3" t="str">
        <f aca="false">IF(SUM($G$16911:$K$16911)=0,"n/a (beyond horizon)",IF(SUMPRODUCT($G$16911:$K$16911,$G$16895:$K$16895)&gt;0,"REFINANCING PASS","REFINANCING FAILURE"))</f>
        <v>REFINANCING PASS</v>
      </c>
    </row>
    <row r="16946" customFormat="false" ht="15" hidden="false" customHeight="false" outlineLevel="0" collapsed="false">
      <c r="A16946" s="3" t="s">
        <v>333</v>
      </c>
      <c r="C16946" s="3" t="str">
        <f aca="false">IF(SUM($G$16911:$K$16911)=0,"n/a",IF(C16944&gt;=C16943-0.001,"Repaid from cash",IF(SUMPRODUCT($G$16911:$K$16911,$G$16895:$K$16895)&gt;0,IF(C16944&gt;0,"Partly repaid; remainder refinanced","Refinanced"),IF(SUM($G$16920:$K$16920)&gt;0.001,IF(C16944&gt;0,"Partial repayment; PAYMENT DEFAULT","PAYMENT DEFAULT"),"Repaid from cash"))))</f>
        <v>Repaid from cash</v>
      </c>
    </row>
    <row r="16947" customFormat="false" ht="15" hidden="false" customHeight="false" outlineLevel="0" collapsed="false">
      <c r="A16947" s="3" t="s">
        <v>334</v>
      </c>
      <c r="C16947" s="25" t="n">
        <f aca="false">SUMPRODUCT($G$16924:$K$16924,$G$16923:$K$16923-$G$16929:$K$16929+$G$16928:$K$16928)</f>
        <v>143.75</v>
      </c>
    </row>
    <row r="16948" customFormat="false" ht="15" hidden="false" customHeight="false" outlineLevel="0" collapsed="false">
      <c r="A16948" s="3" t="s">
        <v>335</v>
      </c>
      <c r="C16948" s="25" t="n">
        <f aca="false">SUMPRODUCT($G$16924:$K$16924,$G$16931:$K$16931)</f>
        <v>143.75</v>
      </c>
    </row>
    <row r="16949" customFormat="false" ht="15" hidden="false" customHeight="false" outlineLevel="0" collapsed="false">
      <c r="A16949" s="3" t="s">
        <v>336</v>
      </c>
      <c r="C16949" s="3" t="str">
        <f aca="false">IF(SUM($G$16924:$K$16924)=0,"n/a (beyond horizon)",IF(SUMPRODUCT($G$16924:$K$16924,$G$16895:$K$16895)&gt;0,"REFINANCING PASS","REFINANCING FAILURE"))</f>
        <v>REFINANCING PASS</v>
      </c>
    </row>
    <row r="16950" customFormat="false" ht="15" hidden="false" customHeight="false" outlineLevel="0" collapsed="false">
      <c r="A16950" s="3" t="s">
        <v>337</v>
      </c>
      <c r="C16950" s="3" t="str">
        <f aca="false">IF(SUM($G$16924:$K$16924)=0,"n/a",IF(C16948&gt;=C16947-0.001,"Repaid from cash",IF(SUMPRODUCT($G$16924:$K$16924,$G$16895:$K$16895)&gt;0,IF(C16948&gt;0,"Partly repaid; remainder refinanced","Refinanced"),IF(SUM($G$16933:$K$16933)&gt;0.001,IF(C16948&gt;0,"Partial repayment; PAYMENT DEFAULT","PAYMENT DEFAULT"),"Repaid from cash"))))</f>
        <v>Repaid from cash</v>
      </c>
    </row>
    <row r="16951" customFormat="false" ht="15" hidden="false" customHeight="false" outlineLevel="0" collapsed="false">
      <c r="A16951" s="3" t="s">
        <v>338</v>
      </c>
      <c r="C16951" s="20" t="n">
        <f aca="false">IF(C16941="REFINANCING FAILURE",1,0)+IF(C16945="REFINANCING FAILURE",1,0)+IF(C16949="REFINANCING FAILURE",1,0)</f>
        <v>0</v>
      </c>
    </row>
    <row r="16953" customFormat="false" ht="15" hidden="false" customHeight="false" outlineLevel="0" collapsed="false">
      <c r="A16953" s="23" t="s">
        <v>340</v>
      </c>
      <c r="B16953" s="24"/>
      <c r="C16953" s="24"/>
      <c r="D16953" s="24"/>
      <c r="E16953" s="24"/>
      <c r="F16953" s="24"/>
      <c r="G16953" s="24"/>
      <c r="H16953" s="24"/>
      <c r="I16953" s="24"/>
      <c r="J16953" s="24"/>
      <c r="K16953" s="24"/>
    </row>
    <row r="16954" customFormat="false" ht="15" hidden="false" customHeight="false" outlineLevel="0" collapsed="false">
      <c r="A16954" s="3" t="s">
        <v>305</v>
      </c>
      <c r="G16954" s="25" t="n">
        <f aca="false">F16966</f>
        <v>463.996</v>
      </c>
      <c r="H16954" s="25" t="n">
        <f aca="false">G16966</f>
        <v>589.86335403</v>
      </c>
      <c r="I16954" s="25" t="n">
        <f aca="false">H16966</f>
        <v>706.0173737988</v>
      </c>
      <c r="J16954" s="25" t="n">
        <f aca="false">I16966</f>
        <v>390.575377766904</v>
      </c>
      <c r="K16954" s="25" t="n">
        <f aca="false">J16966</f>
        <v>499.440625970316</v>
      </c>
    </row>
    <row r="16955" customFormat="false" ht="15" hidden="false" customHeight="false" outlineLevel="0" collapsed="false">
      <c r="A16955" s="3" t="s">
        <v>341</v>
      </c>
      <c r="G16955" s="25" t="n">
        <f aca="false">G16884</f>
        <v>125.86735403</v>
      </c>
      <c r="H16955" s="25" t="n">
        <f aca="false">H16884</f>
        <v>116.1540197688</v>
      </c>
      <c r="I16955" s="25" t="n">
        <f aca="false">I16884</f>
        <v>105.014003968104</v>
      </c>
      <c r="J16955" s="25" t="n">
        <f aca="false">J16884</f>
        <v>108.865248203412</v>
      </c>
      <c r="K16955" s="25" t="n">
        <f aca="false">K16884</f>
        <v>99.6877228787792</v>
      </c>
    </row>
    <row r="16956" customFormat="false" ht="15" hidden="false" customHeight="false" outlineLevel="0" collapsed="false">
      <c r="A16956" s="3" t="s">
        <v>342</v>
      </c>
      <c r="G16956" s="25" t="n">
        <f aca="false">CHOOSE($C$16854,Assumptions!$G$74,Assumptions!$G$93,Assumptions!$G$112)</f>
        <v>0</v>
      </c>
      <c r="H16956" s="25" t="n">
        <f aca="false">CHOOSE($C$16854,Assumptions!$H$74,Assumptions!$H$93,Assumptions!$H$112)</f>
        <v>0</v>
      </c>
      <c r="I16956" s="25" t="n">
        <f aca="false">CHOOSE($C$16854,Assumptions!$I$74,Assumptions!$I$93,Assumptions!$I$112)</f>
        <v>0</v>
      </c>
      <c r="J16956" s="25" t="n">
        <f aca="false">CHOOSE($C$16854,Assumptions!$J$74,Assumptions!$J$93,Assumptions!$J$112)</f>
        <v>0</v>
      </c>
      <c r="K16956" s="25" t="n">
        <f aca="false">CHOOSE($C$16854,Assumptions!$K$74,Assumptions!$K$93,Assumptions!$K$112)</f>
        <v>0</v>
      </c>
    </row>
    <row r="16957" customFormat="false" ht="15" hidden="false" customHeight="false" outlineLevel="0" collapsed="false">
      <c r="A16957" s="3" t="s">
        <v>343</v>
      </c>
      <c r="G16957" s="25" t="n">
        <f aca="false">G16903+G16916+G16929</f>
        <v>0</v>
      </c>
      <c r="H16957" s="25" t="n">
        <f aca="false">H16903+H16916+H16929</f>
        <v>0</v>
      </c>
      <c r="I16957" s="25" t="n">
        <f aca="false">I16903+I16916+I16929</f>
        <v>0</v>
      </c>
      <c r="J16957" s="25" t="n">
        <f aca="false">J16903+J16916+J16929</f>
        <v>0</v>
      </c>
      <c r="K16957" s="25" t="n">
        <f aca="false">K16903+K16916+K16929</f>
        <v>0</v>
      </c>
    </row>
    <row r="16958" customFormat="false" ht="15" hidden="false" customHeight="false" outlineLevel="0" collapsed="false">
      <c r="A16958" s="2" t="s">
        <v>344</v>
      </c>
      <c r="G16958" s="16" t="n">
        <f aca="false">G16954+G16955+G16956-G16957</f>
        <v>589.86335403</v>
      </c>
      <c r="H16958" s="16" t="n">
        <f aca="false">H16954+H16955+H16956-H16957</f>
        <v>706.0173737988</v>
      </c>
      <c r="I16958" s="16" t="n">
        <f aca="false">I16954+I16955+I16956-I16957</f>
        <v>811.031377766904</v>
      </c>
      <c r="J16958" s="16" t="n">
        <f aca="false">J16954+J16955+J16956-J16957</f>
        <v>499.440625970316</v>
      </c>
      <c r="K16958" s="16" t="n">
        <f aca="false">K16954+K16955+K16956-K16957</f>
        <v>599.128348849095</v>
      </c>
    </row>
    <row r="16959" customFormat="false" ht="15" hidden="false" customHeight="false" outlineLevel="0" collapsed="false">
      <c r="A16959" s="3" t="s">
        <v>345</v>
      </c>
      <c r="G16959" s="25" t="n">
        <f aca="false">G16904+G16917+G16930</f>
        <v>0</v>
      </c>
      <c r="H16959" s="25" t="n">
        <f aca="false">H16904+H16917+H16930</f>
        <v>0</v>
      </c>
      <c r="I16959" s="25" t="n">
        <f aca="false">I16904+I16917+I16930</f>
        <v>0</v>
      </c>
      <c r="J16959" s="25" t="n">
        <f aca="false">J16904+J16917+J16930</f>
        <v>0</v>
      </c>
      <c r="K16959" s="25" t="n">
        <f aca="false">K16904+K16917+K16930</f>
        <v>0</v>
      </c>
    </row>
    <row r="16960" customFormat="false" ht="15" hidden="false" customHeight="false" outlineLevel="0" collapsed="false">
      <c r="A16960" s="2" t="s">
        <v>346</v>
      </c>
      <c r="G16960" s="16" t="n">
        <f aca="false">G16958+G16959</f>
        <v>589.86335403</v>
      </c>
      <c r="H16960" s="16" t="n">
        <f aca="false">H16958+H16959</f>
        <v>706.0173737988</v>
      </c>
      <c r="I16960" s="16" t="n">
        <f aca="false">I16958+I16959</f>
        <v>811.031377766904</v>
      </c>
      <c r="J16960" s="16" t="n">
        <f aca="false">J16958+J16959</f>
        <v>499.440625970316</v>
      </c>
      <c r="K16960" s="16" t="n">
        <f aca="false">K16958+K16959</f>
        <v>599.128348849095</v>
      </c>
    </row>
    <row r="16961" customFormat="false" ht="15" hidden="false" customHeight="false" outlineLevel="0" collapsed="false">
      <c r="A16961" s="3" t="s">
        <v>347</v>
      </c>
      <c r="G16961" s="25" t="n">
        <f aca="false">G16905+G16918+G16931</f>
        <v>0</v>
      </c>
      <c r="H16961" s="25" t="n">
        <f aca="false">H16905+H16918+H16931</f>
        <v>0</v>
      </c>
      <c r="I16961" s="25" t="n">
        <f aca="false">I16905+I16918+I16931</f>
        <v>420.456</v>
      </c>
      <c r="J16961" s="25" t="n">
        <f aca="false">J16905+J16918+J16931</f>
        <v>0</v>
      </c>
      <c r="K16961" s="25" t="n">
        <f aca="false">K16905+K16918+K16931</f>
        <v>0</v>
      </c>
    </row>
    <row r="16962" customFormat="false" ht="15" hidden="false" customHeight="false" outlineLevel="0" collapsed="false">
      <c r="A16962" s="2" t="s">
        <v>348</v>
      </c>
      <c r="G16962" s="16" t="n">
        <f aca="false">G16960-G16961</f>
        <v>589.86335403</v>
      </c>
      <c r="H16962" s="16" t="n">
        <f aca="false">H16960-H16961</f>
        <v>706.0173737988</v>
      </c>
      <c r="I16962" s="16" t="n">
        <f aca="false">I16960-I16961</f>
        <v>390.575377766904</v>
      </c>
      <c r="J16962" s="16" t="n">
        <f aca="false">J16960-J16961</f>
        <v>499.440625970316</v>
      </c>
      <c r="K16962" s="16" t="n">
        <f aca="false">K16960-K16961</f>
        <v>599.128348849095</v>
      </c>
    </row>
    <row r="16963" customFormat="false" ht="15" hidden="false" customHeight="false" outlineLevel="0" collapsed="false">
      <c r="A16963" s="3" t="s">
        <v>349</v>
      </c>
      <c r="G16963" s="25" t="n">
        <f aca="false">MAX(0,-G16962)</f>
        <v>0</v>
      </c>
      <c r="H16963" s="25" t="n">
        <f aca="false">MAX(0,-H16962)</f>
        <v>0</v>
      </c>
      <c r="I16963" s="25" t="n">
        <f aca="false">MAX(0,-I16962)</f>
        <v>0</v>
      </c>
      <c r="J16963" s="25" t="n">
        <f aca="false">MAX(0,-J16962)</f>
        <v>0</v>
      </c>
      <c r="K16963" s="25" t="n">
        <f aca="false">MAX(0,-K16962)</f>
        <v>0</v>
      </c>
    </row>
    <row r="16964" customFormat="false" ht="15" hidden="false" customHeight="false" outlineLevel="0" collapsed="false">
      <c r="A16964" s="3" t="s">
        <v>350</v>
      </c>
      <c r="G16964" s="25" t="n">
        <f aca="false">MAX(0,G16962-Assumptions!$C$12)*Assumptions!$C$13</f>
        <v>0</v>
      </c>
      <c r="H16964" s="25" t="n">
        <f aca="false">MAX(0,H16962-Assumptions!$C$12)*Assumptions!$C$13</f>
        <v>0</v>
      </c>
      <c r="I16964" s="25" t="n">
        <f aca="false">MAX(0,I16962-Assumptions!$C$12)*Assumptions!$C$13</f>
        <v>0</v>
      </c>
      <c r="J16964" s="25" t="n">
        <f aca="false">MAX(0,J16962-Assumptions!$C$12)*Assumptions!$C$13</f>
        <v>0</v>
      </c>
      <c r="K16964" s="25" t="n">
        <f aca="false">MAX(0,K16962-Assumptions!$C$12)*Assumptions!$C$13</f>
        <v>0</v>
      </c>
    </row>
    <row r="16965" customFormat="false" ht="15" hidden="false" customHeight="false" outlineLevel="0" collapsed="false">
      <c r="A16965" s="3" t="s">
        <v>351</v>
      </c>
      <c r="G16965" s="25" t="n">
        <f aca="false">G16906+G16919+G16932</f>
        <v>0</v>
      </c>
      <c r="H16965" s="25" t="n">
        <f aca="false">H16906+H16919+H16932</f>
        <v>0</v>
      </c>
      <c r="I16965" s="25" t="n">
        <f aca="false">I16906+I16919+I16932</f>
        <v>0</v>
      </c>
      <c r="J16965" s="25" t="n">
        <f aca="false">J16906+J16919+J16932</f>
        <v>0</v>
      </c>
      <c r="K16965" s="25" t="n">
        <f aca="false">K16906+K16919+K16932</f>
        <v>0</v>
      </c>
    </row>
    <row r="16966" customFormat="false" ht="15" hidden="false" customHeight="false" outlineLevel="0" collapsed="false">
      <c r="A16966" s="2" t="s">
        <v>352</v>
      </c>
      <c r="F16966" s="28" t="n">
        <f aca="false">Assumptions!$C$11</f>
        <v>463.996</v>
      </c>
      <c r="G16966" s="16" t="n">
        <f aca="false">G16962-G16965</f>
        <v>589.86335403</v>
      </c>
      <c r="H16966" s="16" t="n">
        <f aca="false">H16962-H16965</f>
        <v>706.0173737988</v>
      </c>
      <c r="I16966" s="16" t="n">
        <f aca="false">I16962-I16965</f>
        <v>390.575377766904</v>
      </c>
      <c r="J16966" s="16" t="n">
        <f aca="false">J16962-J16965</f>
        <v>499.440625970316</v>
      </c>
      <c r="K16966" s="16" t="n">
        <f aca="false">K16962-K16965</f>
        <v>599.128348849095</v>
      </c>
    </row>
    <row r="16967" customFormat="false" ht="15" hidden="false" customHeight="false" outlineLevel="0" collapsed="false">
      <c r="A16967" s="3" t="s">
        <v>353</v>
      </c>
      <c r="G16967" s="25" t="n">
        <f aca="false">G16907+G16920+G16933</f>
        <v>0</v>
      </c>
      <c r="H16967" s="25" t="n">
        <f aca="false">H16907+H16920+H16933</f>
        <v>0</v>
      </c>
      <c r="I16967" s="25" t="n">
        <f aca="false">I16907+I16920+I16933</f>
        <v>0</v>
      </c>
      <c r="J16967" s="25" t="n">
        <f aca="false">J16907+J16920+J16933</f>
        <v>0</v>
      </c>
      <c r="K16967" s="25" t="n">
        <f aca="false">K16907+K16920+K16933</f>
        <v>0</v>
      </c>
    </row>
    <row r="16968" customFormat="false" ht="15" hidden="false" customHeight="false" outlineLevel="0" collapsed="false">
      <c r="A16968" s="3" t="s">
        <v>354</v>
      </c>
      <c r="G16968" s="20" t="n">
        <f aca="false">IF(OR(G16963&gt;0.001,G16967&gt;0.001),1,0)</f>
        <v>0</v>
      </c>
      <c r="H16968" s="20" t="n">
        <f aca="false">IF(OR(H16963&gt;0.001,H16967&gt;0.001),1,0)</f>
        <v>0</v>
      </c>
      <c r="I16968" s="20" t="n">
        <f aca="false">IF(OR(I16963&gt;0.001,I16967&gt;0.001),1,0)</f>
        <v>0</v>
      </c>
      <c r="J16968" s="20" t="n">
        <f aca="false">IF(OR(J16963&gt;0.001,J16967&gt;0.001),1,0)</f>
        <v>0</v>
      </c>
      <c r="K16968" s="20" t="n">
        <f aca="false">IF(OR(K16963&gt;0.001,K16967&gt;0.001),1,0)</f>
        <v>0</v>
      </c>
    </row>
    <row r="16969" customFormat="false" ht="15" hidden="false" customHeight="false" outlineLevel="0" collapsed="false">
      <c r="A16969" s="3" t="s">
        <v>355</v>
      </c>
      <c r="G16969" s="20" t="n">
        <f aca="false">IF(G16968=1,1,0)</f>
        <v>0</v>
      </c>
      <c r="H16969" s="20" t="n">
        <f aca="false">IF(AND(H16968=1,SUM($G$16968:G16968)=0),1,0)</f>
        <v>0</v>
      </c>
      <c r="I16969" s="20" t="n">
        <f aca="false">IF(AND(I16968=1,SUM($G$16968:H16968)=0),1,0)</f>
        <v>0</v>
      </c>
      <c r="J16969" s="20" t="n">
        <f aca="false">IF(AND(J16968=1,SUM($G$16968:I16968)=0),1,0)</f>
        <v>0</v>
      </c>
      <c r="K16969" s="20" t="n">
        <f aca="false">IF(AND(K16968=1,SUM($G$16968:J16968)=0),1,0)</f>
        <v>0</v>
      </c>
    </row>
    <row r="16970" customFormat="false" ht="15" hidden="false" customHeight="false" outlineLevel="0" collapsed="false">
      <c r="A16970" s="3" t="s">
        <v>356</v>
      </c>
      <c r="G16970" s="25" t="n">
        <f aca="false">(G16936-F16936)-(G16959+G16876-G16957-G16961-G16965)</f>
        <v>0</v>
      </c>
      <c r="H16970" s="25" t="n">
        <f aca="false">(H16936-G16936)-(H16959+H16876-H16957-H16961-H16965)</f>
        <v>0</v>
      </c>
      <c r="I16970" s="25" t="n">
        <f aca="false">(I16936-H16936)-(I16959+I16876-I16957-I16961-I16965)</f>
        <v>0</v>
      </c>
      <c r="J16970" s="25" t="n">
        <f aca="false">(J16936-I16936)-(J16959+J16876-J16957-J16961-J16965)</f>
        <v>0</v>
      </c>
      <c r="K16970" s="25" t="n">
        <f aca="false">(K16936-J16936)-(K16959+K16876-K16957-K16961-K16965)</f>
        <v>0</v>
      </c>
    </row>
    <row r="16972" customFormat="false" ht="15" hidden="false" customHeight="false" outlineLevel="0" collapsed="false">
      <c r="A16972" s="23" t="s">
        <v>358</v>
      </c>
      <c r="B16972" s="24"/>
      <c r="C16972" s="24"/>
      <c r="D16972" s="24"/>
      <c r="E16972" s="24"/>
      <c r="F16972" s="24"/>
      <c r="G16972" s="24"/>
      <c r="H16972" s="24"/>
      <c r="I16972" s="24"/>
      <c r="J16972" s="24"/>
      <c r="K16972" s="24"/>
    </row>
    <row r="16973" customFormat="false" ht="15" hidden="false" customHeight="false" outlineLevel="0" collapsed="false">
      <c r="A16973" s="3" t="s">
        <v>359</v>
      </c>
      <c r="G16973" s="25" t="n">
        <f aca="false">G16936</f>
        <v>1735.554</v>
      </c>
      <c r="H16973" s="25" t="n">
        <f aca="false">H16936</f>
        <v>1735.554</v>
      </c>
      <c r="I16973" s="25" t="n">
        <f aca="false">I16936</f>
        <v>1315.098</v>
      </c>
      <c r="J16973" s="25" t="n">
        <f aca="false">J16936</f>
        <v>1315.098</v>
      </c>
      <c r="K16973" s="25" t="n">
        <f aca="false">K16936</f>
        <v>1315.098</v>
      </c>
    </row>
    <row r="16974" customFormat="false" ht="15" hidden="false" customHeight="false" outlineLevel="0" collapsed="false">
      <c r="A16974" s="3" t="s">
        <v>360</v>
      </c>
      <c r="G16974" s="25" t="n">
        <f aca="false">Assumptions!$O$56*G16908+Assumptions!$O$57*G16921+Assumptions!$O$58*G16934</f>
        <v>1315.098</v>
      </c>
      <c r="H16974" s="25" t="n">
        <f aca="false">Assumptions!$O$56*H16908+Assumptions!$O$57*H16921+Assumptions!$O$58*H16934</f>
        <v>1315.098</v>
      </c>
      <c r="I16974" s="25" t="n">
        <f aca="false">Assumptions!$O$56*I16908+Assumptions!$O$57*I16921+Assumptions!$O$58*I16934</f>
        <v>1315.098</v>
      </c>
      <c r="J16974" s="25" t="n">
        <f aca="false">Assumptions!$O$56*J16908+Assumptions!$O$57*J16921+Assumptions!$O$58*J16934</f>
        <v>1315.098</v>
      </c>
      <c r="K16974" s="25" t="n">
        <f aca="false">Assumptions!$O$56*K16908+Assumptions!$O$57*K16921+Assumptions!$O$58*K16934</f>
        <v>1315.098</v>
      </c>
    </row>
    <row r="16975" customFormat="false" ht="15" hidden="false" customHeight="false" outlineLevel="0" collapsed="false">
      <c r="A16975" s="3" t="s">
        <v>361</v>
      </c>
      <c r="G16975" s="25" t="n">
        <f aca="false">G16973-G16966</f>
        <v>1145.69064597</v>
      </c>
      <c r="H16975" s="25" t="n">
        <f aca="false">H16973-H16966</f>
        <v>1029.5366262012</v>
      </c>
      <c r="I16975" s="25" t="n">
        <f aca="false">I16973-I16966</f>
        <v>924.522622233096</v>
      </c>
      <c r="J16975" s="25" t="n">
        <f aca="false">J16973-J16966</f>
        <v>815.657374029684</v>
      </c>
      <c r="K16975" s="25" t="n">
        <f aca="false">K16973-K16966</f>
        <v>715.969651150905</v>
      </c>
    </row>
    <row r="16976" customFormat="false" ht="15" hidden="false" customHeight="false" outlineLevel="0" collapsed="false">
      <c r="A16976" s="3" t="s">
        <v>362</v>
      </c>
      <c r="G16976" s="32" t="n">
        <f aca="false">IF(G16871&gt;0,G16973/G16871,0)</f>
        <v>5.77916207762031</v>
      </c>
      <c r="H16976" s="32" t="n">
        <f aca="false">IF(H16871&gt;0,H16973/H16871,0)</f>
        <v>6.01996049752115</v>
      </c>
      <c r="I16976" s="32" t="n">
        <f aca="false">IF(I16871&gt;0,I16973/I16871,0)</f>
        <v>4.79551511119407</v>
      </c>
      <c r="J16976" s="32" t="n">
        <f aca="false">IF(J16871&gt;0,J16973/J16871,0)</f>
        <v>5.01653339406293</v>
      </c>
      <c r="K16976" s="32" t="n">
        <f aca="false">IF(K16871&gt;0,K16973/K16871,0)</f>
        <v>5.2488732235156</v>
      </c>
    </row>
    <row r="16977" customFormat="false" ht="15" hidden="false" customHeight="false" outlineLevel="0" collapsed="false">
      <c r="A16977" s="3" t="s">
        <v>363</v>
      </c>
      <c r="G16977" s="32" t="n">
        <f aca="false">IF(G16871&gt;0,G16975/G16871,0)</f>
        <v>3.81499621093561</v>
      </c>
      <c r="H16977" s="32" t="n">
        <f aca="false">IF(H16871&gt;0,H16975/H16871,0)</f>
        <v>3.57106135590274</v>
      </c>
      <c r="I16977" s="32" t="n">
        <f aca="false">IF(I16871&gt;0,I16975/I16871,0)</f>
        <v>3.37127895073947</v>
      </c>
      <c r="J16977" s="32" t="n">
        <f aca="false">IF(J16871&gt;0,J16975/J16871,0)</f>
        <v>3.11138215930188</v>
      </c>
      <c r="K16977" s="32" t="n">
        <f aca="false">IF(K16871&gt;0,K16975/K16871,0)</f>
        <v>2.85760751729209</v>
      </c>
    </row>
    <row r="16978" customFormat="false" ht="15" hidden="false" customHeight="false" outlineLevel="0" collapsed="false">
      <c r="A16978" s="3" t="s">
        <v>364</v>
      </c>
      <c r="G16978" s="32" t="n">
        <f aca="false">IF(G16875&gt;0,G16871/G16875,0)</f>
        <v>1.92563899625449</v>
      </c>
      <c r="H16978" s="32" t="n">
        <f aca="false">IF(H16875&gt;0,H16871/H16875,0)</f>
        <v>1.84861343640431</v>
      </c>
      <c r="I16978" s="32" t="n">
        <f aca="false">IF(I16875&gt;0,I16871/I16875,0)</f>
        <v>1.75842750947116</v>
      </c>
      <c r="J16978" s="32" t="n">
        <f aca="false">IF(J16875&gt;0,J16871/J16875,0)</f>
        <v>1.89848422719182</v>
      </c>
      <c r="K16978" s="32" t="n">
        <f aca="false">IF(K16875&gt;0,K16871/K16875,0)</f>
        <v>1.81444838125289</v>
      </c>
    </row>
    <row r="16979" customFormat="false" ht="15" hidden="false" customHeight="false" outlineLevel="0" collapsed="false">
      <c r="A16979" s="3" t="s">
        <v>365</v>
      </c>
      <c r="G16979" s="32" t="n">
        <f aca="false">IF(G16875&gt;0,G16874/G16875,0)</f>
        <v>1.25417683356324</v>
      </c>
      <c r="H16979" s="32" t="n">
        <f aca="false">IF(H16875&gt;0,H16874/H16875,0)</f>
        <v>1.20400976022071</v>
      </c>
      <c r="I16979" s="32" t="n">
        <f aca="false">IF(I16875&gt;0,I16874/I16875,0)</f>
        <v>1.13638496195398</v>
      </c>
      <c r="J16979" s="32" t="n">
        <f aca="false">IF(J16875&gt;0,J16874/J16875,0)</f>
        <v>1.21702042306555</v>
      </c>
      <c r="K16979" s="32" t="n">
        <f aca="false">IF(K16875&gt;0,K16874/K16875,0)</f>
        <v>1.1534284912504</v>
      </c>
    </row>
    <row r="16980" customFormat="false" ht="15" hidden="false" customHeight="false" outlineLevel="0" collapsed="false">
      <c r="A16980" s="3" t="s">
        <v>198</v>
      </c>
      <c r="G16980" s="21" t="n">
        <f aca="false">IF(G16973&gt;0,G16884/G16973,0)</f>
        <v>0.0725228682196002</v>
      </c>
      <c r="H16980" s="21" t="n">
        <f aca="false">IF(H16973&gt;0,H16884/H16973,0)</f>
        <v>0.0669261917340515</v>
      </c>
      <c r="I16980" s="21" t="n">
        <f aca="false">IF(I16973&gt;0,I16884/I16973,0)</f>
        <v>0.0798526071578726</v>
      </c>
      <c r="J16980" s="21" t="n">
        <f aca="false">IF(J16973&gt;0,J16884/J16973,0)</f>
        <v>0.0827810917539313</v>
      </c>
      <c r="K16980" s="21" t="n">
        <f aca="false">IF(K16973&gt;0,K16884/K16973,0)</f>
        <v>0.0758025051203631</v>
      </c>
    </row>
    <row r="16981" customFormat="false" ht="15" hidden="false" customHeight="false" outlineLevel="0" collapsed="false">
      <c r="A16981" s="3" t="s">
        <v>366</v>
      </c>
      <c r="G16981" s="32" t="n">
        <f aca="false">IF(G16875+G16957&gt;0,(G16871-G16882-G16879)/(G16875+G16957),0)</f>
        <v>1.66953088823823</v>
      </c>
      <c r="H16981" s="32" t="n">
        <f aca="false">IF(H16875+H16957&gt;0,(H16871-H16882-H16879)/(H16875+H16957),0)</f>
        <v>1.6127496527087</v>
      </c>
      <c r="I16981" s="32" t="n">
        <f aca="false">IF(I16875+I16957&gt;0,(I16871-I16882-I16879)/(I16875+I16957),0)</f>
        <v>1.54594007236964</v>
      </c>
      <c r="J16981" s="32" t="n">
        <f aca="false">IF(J16875+J16957&gt;0,(J16871-J16882-J16879)/(J16875+J16957),0)</f>
        <v>1.64879692156745</v>
      </c>
      <c r="K16981" s="32" t="n">
        <f aca="false">IF(K16875+K16957&gt;0,(K16871-K16882-K16879)/(K16875+K16957),0)</f>
        <v>1.58652202457805</v>
      </c>
    </row>
    <row r="16982" customFormat="false" ht="15" hidden="false" customHeight="false" outlineLevel="0" collapsed="false">
      <c r="A16982" s="3" t="s">
        <v>367</v>
      </c>
      <c r="G16982" s="25" t="n">
        <f aca="false">MAX(0,G16966)+Assumptions!$P$56*MAX(0,Assumptions!$D$56-G16908)+Assumptions!$P$57*MAX(0,Assumptions!$D$57-G16921)+Assumptions!$P$58*MAX(0,Assumptions!$D$58-G16934)</f>
        <v>589.86335403</v>
      </c>
      <c r="H16982" s="25" t="n">
        <f aca="false">MAX(0,H16966)+Assumptions!$P$56*MAX(0,Assumptions!$D$56-H16908)+Assumptions!$P$57*MAX(0,Assumptions!$D$57-H16921)+Assumptions!$P$58*MAX(0,Assumptions!$D$58-H16934)</f>
        <v>706.0173737988</v>
      </c>
      <c r="I16982" s="25" t="n">
        <f aca="false">MAX(0,I16966)+Assumptions!$P$56*MAX(0,Assumptions!$D$56-I16908)+Assumptions!$P$57*MAX(0,Assumptions!$D$57-I16921)+Assumptions!$P$58*MAX(0,Assumptions!$D$58-I16934)</f>
        <v>390.575377766904</v>
      </c>
      <c r="J16982" s="25" t="n">
        <f aca="false">MAX(0,J16966)+Assumptions!$P$56*MAX(0,Assumptions!$D$56-J16908)+Assumptions!$P$57*MAX(0,Assumptions!$D$57-J16921)+Assumptions!$P$58*MAX(0,Assumptions!$D$58-J16934)</f>
        <v>499.440625970316</v>
      </c>
      <c r="K16982" s="25" t="n">
        <f aca="false">MAX(0,K16966)+Assumptions!$P$56*MAX(0,Assumptions!$D$56-K16908)+Assumptions!$P$57*MAX(0,Assumptions!$D$57-K16921)+Assumptions!$P$58*MAX(0,Assumptions!$D$58-K16934)</f>
        <v>599.128348849095</v>
      </c>
    </row>
    <row r="16983" customFormat="false" ht="15" hidden="false" customHeight="false" outlineLevel="0" collapsed="false">
      <c r="A16983" s="3" t="s">
        <v>368</v>
      </c>
      <c r="G16983" s="21" t="n">
        <f aca="false">IF(G16973&gt;0,G16973/(G16973+MAX(0,G16871*CHOOSE($C$16854,Assumptions!$C$82,Assumptions!$C$101,Assumptions!$C$120)-G16975)),0)</f>
        <v>0.774254240974845</v>
      </c>
      <c r="H16983" s="21" t="n">
        <f aca="false">IF(H16973&gt;0,H16973/(H16973+MAX(0,H16871*CHOOSE($C$16854,Assumptions!$C$82,Assumptions!$C$101,Assumptions!$C$120)-H16975)),0)</f>
        <v>0.757332605467614</v>
      </c>
      <c r="I16983" s="21" t="n">
        <f aca="false">IF(I16973&gt;0,I16973/(I16973+MAX(0,I16871*CHOOSE($C$16854,Assumptions!$C$82,Assumptions!$C$101,Assumptions!$C$120)-I16975)),0)</f>
        <v>0.692569548476987</v>
      </c>
      <c r="J16983" s="21" t="n">
        <f aca="false">IF(J16973&gt;0,J16973/(J16973+MAX(0,J16871*CHOOSE($C$16854,Assumptions!$C$82,Assumptions!$C$101,Assumptions!$C$120)-J16975)),0)</f>
        <v>0.677438344609961</v>
      </c>
      <c r="K16983" s="21" t="n">
        <f aca="false">IF(K16973&gt;0,K16973/(K16973+MAX(0,K16871*CHOOSE($C$16854,Assumptions!$C$82,Assumptions!$C$101,Assumptions!$C$120)-K16975)),0)</f>
        <v>0.665149726155595</v>
      </c>
    </row>
    <row r="16984" customFormat="false" ht="15" hidden="false" customHeight="false" outlineLevel="0" collapsed="false">
      <c r="A16984" s="3" t="s">
        <v>369</v>
      </c>
      <c r="G16984" s="21" t="n">
        <f aca="false">IF(G16973&gt;0,MAX(0,G16966)/G16973,0)</f>
        <v>0.339870354958705</v>
      </c>
      <c r="H16984" s="21" t="n">
        <f aca="false">IF(H16973&gt;0,MAX(0,H16966)/H16973,0)</f>
        <v>0.406796546692756</v>
      </c>
      <c r="I16984" s="21" t="n">
        <f aca="false">IF(I16973&gt;0,MAX(0,I16966)/I16973,0)</f>
        <v>0.296993363055</v>
      </c>
      <c r="J16984" s="21" t="n">
        <f aca="false">IF(J16973&gt;0,MAX(0,J16966)/J16973,0)</f>
        <v>0.379774454808931</v>
      </c>
      <c r="K16984" s="21" t="n">
        <f aca="false">IF(K16973&gt;0,MAX(0,K16966)/K16973,0)</f>
        <v>0.455576959929294</v>
      </c>
    </row>
    <row r="16985" customFormat="false" ht="15" hidden="false" customHeight="false" outlineLevel="0" collapsed="false">
      <c r="A16985" s="3" t="s">
        <v>370</v>
      </c>
      <c r="G16985" s="25" t="n">
        <f aca="false">Assumptions!$C$30*(1-CHOOSE($C$16854,Assumptions!$C$85,Assumptions!$C$104,Assumptions!$C$123))</f>
        <v>2454.971</v>
      </c>
      <c r="H16985" s="25" t="n">
        <f aca="false">Assumptions!$C$30*(1-CHOOSE($C$16854,Assumptions!$C$85,Assumptions!$C$104,Assumptions!$C$123))</f>
        <v>2454.971</v>
      </c>
      <c r="I16985" s="25" t="n">
        <f aca="false">Assumptions!$C$30*(1-CHOOSE($C$16854,Assumptions!$C$85,Assumptions!$C$104,Assumptions!$C$123))</f>
        <v>2454.971</v>
      </c>
      <c r="J16985" s="25" t="n">
        <f aca="false">Assumptions!$C$30*(1-CHOOSE($C$16854,Assumptions!$C$85,Assumptions!$C$104,Assumptions!$C$123))</f>
        <v>2454.971</v>
      </c>
      <c r="K16985" s="25" t="n">
        <f aca="false">Assumptions!$C$30*(1-CHOOSE($C$16854,Assumptions!$C$85,Assumptions!$C$104,Assumptions!$C$123))</f>
        <v>2454.971</v>
      </c>
    </row>
    <row r="16986" customFormat="false" ht="15" hidden="false" customHeight="false" outlineLevel="0" collapsed="false">
      <c r="A16986" s="23" t="s">
        <v>371</v>
      </c>
      <c r="B16986" s="24"/>
      <c r="C16986" s="24"/>
      <c r="D16986" s="24"/>
      <c r="E16986" s="24"/>
      <c r="F16986" s="24"/>
      <c r="G16986" s="24"/>
      <c r="H16986" s="24"/>
      <c r="I16986" s="24"/>
      <c r="J16986" s="24"/>
      <c r="K16986" s="24"/>
    </row>
    <row r="16987" customFormat="false" ht="15" hidden="false" customHeight="false" outlineLevel="0" collapsed="false">
      <c r="A16987" s="23" t="s">
        <v>372</v>
      </c>
      <c r="B16987" s="24"/>
      <c r="C16987" s="24"/>
      <c r="D16987" s="24"/>
      <c r="E16987" s="24"/>
      <c r="F16987" s="24"/>
      <c r="G16987" s="24"/>
      <c r="H16987" s="24"/>
      <c r="I16987" s="24"/>
      <c r="J16987" s="24"/>
      <c r="K16987" s="24"/>
    </row>
    <row r="16988" customFormat="false" ht="15" hidden="false" customHeight="false" outlineLevel="0" collapsed="false">
      <c r="A16988" s="3" t="s">
        <v>373</v>
      </c>
      <c r="G16988" s="32" t="n">
        <f aca="false">IF(G16871&gt;0,G16975/G16871,99)</f>
        <v>3.81499621093561</v>
      </c>
      <c r="H16988" s="32" t="n">
        <f aca="false">IF(H16871&gt;0,H16975/H16871,99)</f>
        <v>3.57106135590274</v>
      </c>
      <c r="I16988" s="32" t="n">
        <f aca="false">IF(I16871&gt;0,I16975/I16871,99)</f>
        <v>3.37127895073947</v>
      </c>
      <c r="J16988" s="32" t="n">
        <f aca="false">IF(J16871&gt;0,J16975/J16871,99)</f>
        <v>3.11138215930188</v>
      </c>
      <c r="K16988" s="32" t="n">
        <f aca="false">IF(K16871&gt;0,K16975/K16871,99)</f>
        <v>2.85760751729209</v>
      </c>
    </row>
    <row r="16989" customFormat="false" ht="15" hidden="false" customHeight="false" outlineLevel="0" collapsed="false">
      <c r="A16989" s="3" t="s">
        <v>374</v>
      </c>
      <c r="G16989" s="33" t="n">
        <f aca="false">Assumptions!$G$65</f>
        <v>5.25</v>
      </c>
      <c r="H16989" s="33" t="n">
        <f aca="false">Assumptions!$H$65</f>
        <v>5.25</v>
      </c>
      <c r="I16989" s="33" t="n">
        <f aca="false">Assumptions!$I$65</f>
        <v>5</v>
      </c>
      <c r="J16989" s="33" t="n">
        <f aca="false">Assumptions!$J$65</f>
        <v>5</v>
      </c>
      <c r="K16989" s="33" t="n">
        <f aca="false">Assumptions!$K$65</f>
        <v>5</v>
      </c>
    </row>
    <row r="16990" customFormat="false" ht="15" hidden="false" customHeight="false" outlineLevel="0" collapsed="false">
      <c r="A16990" s="3" t="s">
        <v>375</v>
      </c>
      <c r="G16990" s="32" t="n">
        <f aca="false">G16989-G16988</f>
        <v>1.43500378906439</v>
      </c>
      <c r="H16990" s="32" t="n">
        <f aca="false">H16989-H16988</f>
        <v>1.67893864409726</v>
      </c>
      <c r="I16990" s="32" t="n">
        <f aca="false">I16989-I16988</f>
        <v>1.62872104926053</v>
      </c>
      <c r="J16990" s="32" t="n">
        <f aca="false">J16989-J16988</f>
        <v>1.88861784069812</v>
      </c>
      <c r="K16990" s="32" t="n">
        <f aca="false">K16989-K16988</f>
        <v>2.14239248270791</v>
      </c>
    </row>
    <row r="16991" customFormat="false" ht="15" hidden="false" customHeight="false" outlineLevel="0" collapsed="false">
      <c r="A16991" s="3" t="s">
        <v>376</v>
      </c>
      <c r="G16991" s="21" t="n">
        <f aca="false">IF(G16989=0,0,G16990/ABS(G16989))</f>
        <v>0.273334055059884</v>
      </c>
      <c r="H16991" s="21" t="n">
        <f aca="false">IF(H16989=0,0,H16990/ABS(H16989))</f>
        <v>0.319797836970907</v>
      </c>
      <c r="I16991" s="21" t="n">
        <f aca="false">IF(I16989=0,0,I16990/ABS(I16989))</f>
        <v>0.325744209852106</v>
      </c>
      <c r="J16991" s="21" t="n">
        <f aca="false">IF(J16989=0,0,J16990/ABS(J16989))</f>
        <v>0.377723568139623</v>
      </c>
      <c r="K16991" s="21" t="n">
        <f aca="false">IF(K16989=0,0,K16990/ABS(K16989))</f>
        <v>0.428478496541582</v>
      </c>
    </row>
    <row r="16992" customFormat="false" ht="15" hidden="false" customHeight="false" outlineLevel="0" collapsed="false">
      <c r="A16992" s="3" t="s">
        <v>377</v>
      </c>
      <c r="G16992" s="20" t="n">
        <f aca="false">IF(G16990&lt;0,1,0)</f>
        <v>0</v>
      </c>
      <c r="H16992" s="20" t="n">
        <f aca="false">IF(H16990&lt;0,1,0)</f>
        <v>0</v>
      </c>
      <c r="I16992" s="20" t="n">
        <f aca="false">IF(I16990&lt;0,1,0)</f>
        <v>0</v>
      </c>
      <c r="J16992" s="20" t="n">
        <f aca="false">IF(J16990&lt;0,1,0)</f>
        <v>0</v>
      </c>
      <c r="K16992" s="20" t="n">
        <f aca="false">IF(K16990&lt;0,1,0)</f>
        <v>0</v>
      </c>
    </row>
    <row r="16993" customFormat="false" ht="15" hidden="false" customHeight="false" outlineLevel="0" collapsed="false">
      <c r="A16993" s="3" t="s">
        <v>378</v>
      </c>
      <c r="C16993" s="20" t="n">
        <f aca="false">IFERROR(INDEX($G$16861:$K$16861,MATCH(1,$G$16992:$K$16992,0)),0)</f>
        <v>0</v>
      </c>
    </row>
    <row r="16994" customFormat="false" ht="15" hidden="false" customHeight="false" outlineLevel="0" collapsed="false">
      <c r="A16994" s="3" t="s">
        <v>379</v>
      </c>
      <c r="C16994" s="21" t="n">
        <f aca="false">MIN($G$16991:$K$16991)</f>
        <v>0.273334055059884</v>
      </c>
    </row>
    <row r="16995" customFormat="false" ht="15" hidden="false" customHeight="false" outlineLevel="0" collapsed="false">
      <c r="A16995" s="23" t="s">
        <v>380</v>
      </c>
      <c r="B16995" s="24"/>
      <c r="C16995" s="24"/>
      <c r="D16995" s="24"/>
      <c r="E16995" s="24"/>
      <c r="F16995" s="24"/>
      <c r="G16995" s="24"/>
      <c r="H16995" s="24"/>
      <c r="I16995" s="24"/>
      <c r="J16995" s="24"/>
      <c r="K16995" s="24"/>
    </row>
    <row r="16996" customFormat="false" ht="15" hidden="false" customHeight="false" outlineLevel="0" collapsed="false">
      <c r="A16996" s="3" t="s">
        <v>373</v>
      </c>
      <c r="G16996" s="32" t="n">
        <f aca="false">IF(G16875&gt;0,G16871/G16875,99)</f>
        <v>1.92563899625449</v>
      </c>
      <c r="H16996" s="32" t="n">
        <f aca="false">IF(H16875&gt;0,H16871/H16875,99)</f>
        <v>1.84861343640431</v>
      </c>
      <c r="I16996" s="32" t="n">
        <f aca="false">IF(I16875&gt;0,I16871/I16875,99)</f>
        <v>1.75842750947116</v>
      </c>
      <c r="J16996" s="32" t="n">
        <f aca="false">IF(J16875&gt;0,J16871/J16875,99)</f>
        <v>1.89848422719182</v>
      </c>
      <c r="K16996" s="32" t="n">
        <f aca="false">IF(K16875&gt;0,K16871/K16875,99)</f>
        <v>1.81444838125289</v>
      </c>
    </row>
    <row r="16997" customFormat="false" ht="15" hidden="false" customHeight="false" outlineLevel="0" collapsed="false">
      <c r="A16997" s="3" t="s">
        <v>374</v>
      </c>
      <c r="G16997" s="33" t="n">
        <f aca="false">Assumptions!$G$66</f>
        <v>1.4</v>
      </c>
      <c r="H16997" s="33" t="n">
        <f aca="false">Assumptions!$H$66</f>
        <v>1.4</v>
      </c>
      <c r="I16997" s="33" t="n">
        <f aca="false">Assumptions!$I$66</f>
        <v>1.4</v>
      </c>
      <c r="J16997" s="33" t="n">
        <f aca="false">Assumptions!$J$66</f>
        <v>1.5</v>
      </c>
      <c r="K16997" s="33" t="n">
        <f aca="false">Assumptions!$K$66</f>
        <v>1.5</v>
      </c>
    </row>
    <row r="16998" customFormat="false" ht="15" hidden="false" customHeight="false" outlineLevel="0" collapsed="false">
      <c r="A16998" s="3" t="s">
        <v>375</v>
      </c>
      <c r="G16998" s="32" t="n">
        <f aca="false">G16996-G16997</f>
        <v>0.525638996254489</v>
      </c>
      <c r="H16998" s="32" t="n">
        <f aca="false">H16996-H16997</f>
        <v>0.448613436404309</v>
      </c>
      <c r="I16998" s="32" t="n">
        <f aca="false">I16996-I16997</f>
        <v>0.358427509471156</v>
      </c>
      <c r="J16998" s="32" t="n">
        <f aca="false">J16996-J16997</f>
        <v>0.398484227191822</v>
      </c>
      <c r="K16998" s="32" t="n">
        <f aca="false">K16996-K16997</f>
        <v>0.31444838125289</v>
      </c>
    </row>
    <row r="16999" customFormat="false" ht="15" hidden="false" customHeight="false" outlineLevel="0" collapsed="false">
      <c r="A16999" s="3" t="s">
        <v>376</v>
      </c>
      <c r="G16999" s="21" t="n">
        <f aca="false">IF(G16997=0,0,G16998/ABS(G16997))</f>
        <v>0.375456425896063</v>
      </c>
      <c r="H16999" s="21" t="n">
        <f aca="false">IF(H16997=0,0,H16998/ABS(H16997))</f>
        <v>0.320438168860221</v>
      </c>
      <c r="I16999" s="21" t="n">
        <f aca="false">IF(I16997=0,0,I16998/ABS(I16997))</f>
        <v>0.256019649622254</v>
      </c>
      <c r="J16999" s="21" t="n">
        <f aca="false">IF(J16997=0,0,J16998/ABS(J16997))</f>
        <v>0.265656151461215</v>
      </c>
      <c r="K16999" s="21" t="n">
        <f aca="false">IF(K16997=0,0,K16998/ABS(K16997))</f>
        <v>0.209632254168593</v>
      </c>
    </row>
    <row r="17000" customFormat="false" ht="15" hidden="false" customHeight="false" outlineLevel="0" collapsed="false">
      <c r="A17000" s="3" t="s">
        <v>377</v>
      </c>
      <c r="G17000" s="20" t="n">
        <f aca="false">IF(G16998&lt;0,1,0)</f>
        <v>0</v>
      </c>
      <c r="H17000" s="20" t="n">
        <f aca="false">IF(H16998&lt;0,1,0)</f>
        <v>0</v>
      </c>
      <c r="I17000" s="20" t="n">
        <f aca="false">IF(I16998&lt;0,1,0)</f>
        <v>0</v>
      </c>
      <c r="J17000" s="20" t="n">
        <f aca="false">IF(J16998&lt;0,1,0)</f>
        <v>0</v>
      </c>
      <c r="K17000" s="20" t="n">
        <f aca="false">IF(K16998&lt;0,1,0)</f>
        <v>0</v>
      </c>
    </row>
    <row r="17001" customFormat="false" ht="15" hidden="false" customHeight="false" outlineLevel="0" collapsed="false">
      <c r="A17001" s="3" t="s">
        <v>378</v>
      </c>
      <c r="C17001" s="20" t="n">
        <f aca="false">IFERROR(INDEX($G$16861:$K$16861,MATCH(1,$G$17000:$K$17000,0)),0)</f>
        <v>0</v>
      </c>
    </row>
    <row r="17002" customFormat="false" ht="15" hidden="false" customHeight="false" outlineLevel="0" collapsed="false">
      <c r="A17002" s="3" t="s">
        <v>379</v>
      </c>
      <c r="C17002" s="21" t="n">
        <f aca="false">MIN($G$16999:$K$16999)</f>
        <v>0.209632254168593</v>
      </c>
    </row>
    <row r="17003" customFormat="false" ht="15" hidden="false" customHeight="false" outlineLevel="0" collapsed="false">
      <c r="A17003" s="23" t="s">
        <v>381</v>
      </c>
      <c r="B17003" s="24"/>
      <c r="C17003" s="24"/>
      <c r="D17003" s="24"/>
      <c r="E17003" s="24"/>
      <c r="F17003" s="24"/>
      <c r="G17003" s="24"/>
      <c r="H17003" s="24"/>
      <c r="I17003" s="24"/>
      <c r="J17003" s="24"/>
      <c r="K17003" s="24"/>
    </row>
    <row r="17004" customFormat="false" ht="15" hidden="false" customHeight="false" outlineLevel="0" collapsed="false">
      <c r="A17004" s="3" t="s">
        <v>373</v>
      </c>
      <c r="G17004" s="25" t="n">
        <f aca="false">G16982</f>
        <v>589.86335403</v>
      </c>
      <c r="H17004" s="25" t="n">
        <f aca="false">H16982</f>
        <v>706.0173737988</v>
      </c>
      <c r="I17004" s="25" t="n">
        <f aca="false">I16982</f>
        <v>390.575377766904</v>
      </c>
      <c r="J17004" s="25" t="n">
        <f aca="false">J16982</f>
        <v>499.440625970316</v>
      </c>
      <c r="K17004" s="25" t="n">
        <f aca="false">K16982</f>
        <v>599.128348849095</v>
      </c>
    </row>
    <row r="17005" customFormat="false" ht="15" hidden="false" customHeight="false" outlineLevel="0" collapsed="false">
      <c r="A17005" s="3" t="s">
        <v>374</v>
      </c>
      <c r="G17005" s="29" t="n">
        <f aca="false">Assumptions!$G$67</f>
        <v>200</v>
      </c>
      <c r="H17005" s="29" t="n">
        <f aca="false">Assumptions!$H$67</f>
        <v>200</v>
      </c>
      <c r="I17005" s="29" t="n">
        <f aca="false">Assumptions!$I$67</f>
        <v>200</v>
      </c>
      <c r="J17005" s="29" t="n">
        <f aca="false">Assumptions!$J$67</f>
        <v>200</v>
      </c>
      <c r="K17005" s="29" t="n">
        <f aca="false">Assumptions!$K$67</f>
        <v>200</v>
      </c>
    </row>
    <row r="17006" customFormat="false" ht="15" hidden="false" customHeight="false" outlineLevel="0" collapsed="false">
      <c r="A17006" s="3" t="s">
        <v>375</v>
      </c>
      <c r="G17006" s="25" t="n">
        <f aca="false">G17004-G17005</f>
        <v>389.86335403</v>
      </c>
      <c r="H17006" s="25" t="n">
        <f aca="false">H17004-H17005</f>
        <v>506.0173737988</v>
      </c>
      <c r="I17006" s="25" t="n">
        <f aca="false">I17004-I17005</f>
        <v>190.575377766904</v>
      </c>
      <c r="J17006" s="25" t="n">
        <f aca="false">J17004-J17005</f>
        <v>299.440625970316</v>
      </c>
      <c r="K17006" s="25" t="n">
        <f aca="false">K17004-K17005</f>
        <v>399.128348849095</v>
      </c>
    </row>
    <row r="17007" customFormat="false" ht="15" hidden="false" customHeight="false" outlineLevel="0" collapsed="false">
      <c r="A17007" s="3" t="s">
        <v>376</v>
      </c>
      <c r="G17007" s="21" t="n">
        <f aca="false">IF(G17005=0,0,G17006/ABS(G17005))</f>
        <v>1.94931677015</v>
      </c>
      <c r="H17007" s="21" t="n">
        <f aca="false">IF(H17005=0,0,H17006/ABS(H17005))</f>
        <v>2.530086868994</v>
      </c>
      <c r="I17007" s="21" t="n">
        <f aca="false">IF(I17005=0,0,I17006/ABS(I17005))</f>
        <v>0.95287688883452</v>
      </c>
      <c r="J17007" s="21" t="n">
        <f aca="false">IF(J17005=0,0,J17006/ABS(J17005))</f>
        <v>1.49720312985158</v>
      </c>
      <c r="K17007" s="21" t="n">
        <f aca="false">IF(K17005=0,0,K17006/ABS(K17005))</f>
        <v>1.99564174424547</v>
      </c>
    </row>
    <row r="17008" customFormat="false" ht="15" hidden="false" customHeight="false" outlineLevel="0" collapsed="false">
      <c r="A17008" s="3" t="s">
        <v>377</v>
      </c>
      <c r="G17008" s="20" t="n">
        <f aca="false">IF(G17006&lt;0,1,0)</f>
        <v>0</v>
      </c>
      <c r="H17008" s="20" t="n">
        <f aca="false">IF(H17006&lt;0,1,0)</f>
        <v>0</v>
      </c>
      <c r="I17008" s="20" t="n">
        <f aca="false">IF(I17006&lt;0,1,0)</f>
        <v>0</v>
      </c>
      <c r="J17008" s="20" t="n">
        <f aca="false">IF(J17006&lt;0,1,0)</f>
        <v>0</v>
      </c>
      <c r="K17008" s="20" t="n">
        <f aca="false">IF(K17006&lt;0,1,0)</f>
        <v>0</v>
      </c>
    </row>
    <row r="17009" customFormat="false" ht="15" hidden="false" customHeight="false" outlineLevel="0" collapsed="false">
      <c r="A17009" s="3" t="s">
        <v>378</v>
      </c>
      <c r="C17009" s="20" t="n">
        <f aca="false">IFERROR(INDEX($G$16861:$K$16861,MATCH(1,$G$17008:$K$17008,0)),0)</f>
        <v>0</v>
      </c>
    </row>
    <row r="17010" customFormat="false" ht="15" hidden="false" customHeight="false" outlineLevel="0" collapsed="false">
      <c r="A17010" s="3" t="s">
        <v>379</v>
      </c>
      <c r="C17010" s="21" t="n">
        <f aca="false">MIN($G$17007:$K$17007)</f>
        <v>0.95287688883452</v>
      </c>
    </row>
    <row r="17011" customFormat="false" ht="15" hidden="false" customHeight="false" outlineLevel="0" collapsed="false">
      <c r="A17011" s="3" t="s">
        <v>382</v>
      </c>
      <c r="G17011" s="20" t="n">
        <f aca="false">G16992+G17000+G17008</f>
        <v>0</v>
      </c>
      <c r="H17011" s="20" t="n">
        <f aca="false">H16992+H17000+H17008</f>
        <v>0</v>
      </c>
      <c r="I17011" s="20" t="n">
        <f aca="false">I16992+I17000+I17008</f>
        <v>0</v>
      </c>
      <c r="J17011" s="20" t="n">
        <f aca="false">J16992+J17000+J17008</f>
        <v>0</v>
      </c>
      <c r="K17011" s="20" t="n">
        <f aca="false">K16992+K17000+K17008</f>
        <v>0</v>
      </c>
    </row>
    <row r="17012" customFormat="false" ht="15" hidden="false" customHeight="false" outlineLevel="0" collapsed="false">
      <c r="A17012" s="3" t="s">
        <v>383</v>
      </c>
      <c r="C17012" s="20" t="n">
        <f aca="false">SUM($G$17011:$K$17011)</f>
        <v>0</v>
      </c>
    </row>
    <row r="17013" customFormat="false" ht="15" hidden="false" customHeight="false" outlineLevel="0" collapsed="false">
      <c r="A17013" s="3" t="s">
        <v>384</v>
      </c>
      <c r="C17013" s="21" t="n">
        <f aca="false">MIN(C16994,C17002,C17010)</f>
        <v>0.209632254168593</v>
      </c>
    </row>
    <row r="17015" customFormat="false" ht="15" hidden="false" customHeight="false" outlineLevel="0" collapsed="false">
      <c r="A17015" s="23" t="s">
        <v>486</v>
      </c>
      <c r="B17015" s="24"/>
      <c r="C17015" s="24"/>
      <c r="D17015" s="24"/>
      <c r="E17015" s="24"/>
      <c r="F17015" s="24"/>
      <c r="G17015" s="24"/>
      <c r="H17015" s="24"/>
      <c r="I17015" s="24"/>
      <c r="J17015" s="24"/>
      <c r="K17015" s="24"/>
    </row>
    <row r="17016" customFormat="false" ht="15" hidden="false" customHeight="false" outlineLevel="0" collapsed="false">
      <c r="A17016" s="3" t="s">
        <v>487</v>
      </c>
      <c r="G17016" s="20" t="n">
        <f aca="false">IF($C$17017=1,G16969,IF(G16871=MIN($G$16871:$K$16871),1,0))</f>
        <v>0</v>
      </c>
      <c r="H17016" s="20" t="n">
        <f aca="false">IF($C$17017=1,H16969,IF(AND(H16871=MIN($G$16871:$K$16871),SUM($G$17016:G17016)=0),1,0))</f>
        <v>0</v>
      </c>
      <c r="I17016" s="20" t="n">
        <f aca="false">IF($C$17017=1,I16969,IF(AND(I16871=MIN($G$16871:$K$16871),SUM($G$17016:H17016)=0),1,0))</f>
        <v>0</v>
      </c>
      <c r="J17016" s="20" t="n">
        <f aca="false">IF($C$17017=1,J16969,IF(AND(J16871=MIN($G$16871:$K$16871),SUM($G$17016:I17016)=0),1,0))</f>
        <v>0</v>
      </c>
      <c r="K17016" s="20" t="n">
        <f aca="false">IF($C$17017=1,K16969,IF(AND(K16871=MIN($G$16871:$K$16871),SUM($G$17016:J17016)=0),1,0))</f>
        <v>1</v>
      </c>
    </row>
    <row r="17017" customFormat="false" ht="15" hidden="false" customHeight="false" outlineLevel="0" collapsed="false">
      <c r="A17017" s="3" t="s">
        <v>488</v>
      </c>
      <c r="C17017" s="20" t="n">
        <f aca="false">IF(SUM($G$16969:$K$16969)&gt;0,1,0)</f>
        <v>0</v>
      </c>
    </row>
    <row r="17018" customFormat="false" ht="15" hidden="false" customHeight="false" outlineLevel="0" collapsed="false">
      <c r="A17018" s="3" t="s">
        <v>489</v>
      </c>
      <c r="C17018" s="20" t="n">
        <f aca="false">SUMPRODUCT($G$17016:$K$17016,$G$16861:$K$16861)</f>
        <v>2031</v>
      </c>
    </row>
    <row r="17019" customFormat="false" ht="15" hidden="false" customHeight="false" outlineLevel="0" collapsed="false">
      <c r="A17019" s="3" t="s">
        <v>490</v>
      </c>
      <c r="C17019" s="25" t="n">
        <f aca="false">SUMPRODUCT($G$17016:$K$17016,$G$16871:$K$16871)</f>
        <v>250.548630915336</v>
      </c>
    </row>
    <row r="17020" customFormat="false" ht="15" hidden="false" customHeight="false" outlineLevel="0" collapsed="false">
      <c r="A17020" s="3" t="s">
        <v>491</v>
      </c>
      <c r="C17020" s="25" t="n">
        <f aca="false">MAX(0,SUMPRODUCT($G$17016:$K$17016,$G$16966:$K$16966))</f>
        <v>599.128348849095</v>
      </c>
    </row>
    <row r="17021" customFormat="false" ht="15" hidden="false" customHeight="false" outlineLevel="0" collapsed="false">
      <c r="A17021" s="3" t="s">
        <v>492</v>
      </c>
      <c r="C17021" s="25" t="n">
        <f aca="false">(CHOOSE($C$16854,Assumptions!$C$84,Assumptions!$C$103,Assumptions!$C$122)+$C$16858)*C17019</f>
        <v>1753.84041640735</v>
      </c>
    </row>
    <row r="17022" customFormat="false" ht="15" hidden="false" customHeight="false" outlineLevel="0" collapsed="false">
      <c r="A17022" s="3" t="s">
        <v>493</v>
      </c>
      <c r="C17022" s="25" t="n">
        <f aca="false">Assumptions!$C$30*(1-CHOOSE($C$16854,Assumptions!$C$85,Assumptions!$C$104,Assumptions!$C$123))*CHOOSE($C$16854,Assumptions!$C$86,Assumptions!$C$105,Assumptions!$C$124)</f>
        <v>736.4913</v>
      </c>
    </row>
    <row r="17023" customFormat="false" ht="15" hidden="false" customHeight="false" outlineLevel="0" collapsed="false">
      <c r="A17023" s="3" t="s">
        <v>494</v>
      </c>
      <c r="C17023" s="25" t="n">
        <f aca="false">MAX(C17021,C17022)+C17020</f>
        <v>2352.96876525645</v>
      </c>
    </row>
    <row r="17024" customFormat="false" ht="15" hidden="false" customHeight="false" outlineLevel="0" collapsed="false">
      <c r="A17024" s="2" t="s">
        <v>495</v>
      </c>
      <c r="C17024" s="16" t="n">
        <f aca="false">IF(ISNUMBER(Assumptions!$C$14),Assumptions!$C$14,C17023)</f>
        <v>2352.96876525645</v>
      </c>
    </row>
    <row r="17025" customFormat="false" ht="15" hidden="false" customHeight="false" outlineLevel="0" collapsed="false">
      <c r="A17025" s="3" t="s">
        <v>496</v>
      </c>
      <c r="C17025" s="25" t="n">
        <f aca="false">C17024*Assumptions!$C$15</f>
        <v>94.1187506102578</v>
      </c>
    </row>
    <row r="17026" customFormat="false" ht="15" hidden="false" customHeight="false" outlineLevel="0" collapsed="false">
      <c r="A17026" s="2" t="s">
        <v>497</v>
      </c>
      <c r="C17026" s="16" t="n">
        <f aca="false">C17024-C17025</f>
        <v>2258.85001464619</v>
      </c>
    </row>
    <row r="17027" customFormat="false" ht="15" hidden="false" customHeight="false" outlineLevel="0" collapsed="false">
      <c r="A17027" s="23" t="s">
        <v>498</v>
      </c>
      <c r="B17027" s="24"/>
      <c r="C17027" s="24"/>
      <c r="D17027" s="24"/>
      <c r="E17027" s="24"/>
      <c r="F17027" s="24"/>
      <c r="G17027" s="24"/>
      <c r="H17027" s="24"/>
      <c r="I17027" s="24"/>
      <c r="J17027" s="24"/>
      <c r="K17027" s="24"/>
    </row>
    <row r="17028" customFormat="false" ht="15" hidden="false" customHeight="false" outlineLevel="0" collapsed="false">
      <c r="A17028" s="3" t="s">
        <v>499</v>
      </c>
      <c r="C17028" s="25" t="n">
        <f aca="false">SUMPRODUCT($G$17016:$K$17016,$G$16908:$K$16908)*(1+SUMPRODUCT($G$17016:$K$17016,$G$16900:$K$16900)*Assumptions!$C$16/12)</f>
        <v>1349.6193225</v>
      </c>
    </row>
    <row r="17029" customFormat="false" ht="15" hidden="false" customHeight="false" outlineLevel="0" collapsed="false">
      <c r="A17029" s="3" t="s">
        <v>500</v>
      </c>
      <c r="C17029" s="25" t="n">
        <f aca="false">SUMPRODUCT($G$17016:$K$17016,$G$16921:$K$16921)*(1+SUMPRODUCT($G$17016:$K$17016,$G$16913:$K$16913)*Assumptions!$C$16/12)</f>
        <v>0</v>
      </c>
    </row>
    <row r="17030" customFormat="false" ht="15" hidden="false" customHeight="false" outlineLevel="0" collapsed="false">
      <c r="A17030" s="3" t="s">
        <v>501</v>
      </c>
      <c r="C17030" s="25" t="n">
        <f aca="false">SUMPRODUCT($G$17016:$K$17016,$G$16934:$K$16934)*(1+SUMPRODUCT($G$17016:$K$17016,$G$16926:$K$16926)*Assumptions!$C$16/12)</f>
        <v>0</v>
      </c>
    </row>
    <row r="17031" customFormat="false" ht="15" hidden="false" customHeight="false" outlineLevel="0" collapsed="false">
      <c r="A17031" s="23" t="s">
        <v>502</v>
      </c>
      <c r="B17031" s="24"/>
      <c r="C17031" s="24"/>
      <c r="D17031" s="24"/>
      <c r="E17031" s="24"/>
      <c r="F17031" s="24"/>
      <c r="G17031" s="24"/>
      <c r="H17031" s="24"/>
      <c r="I17031" s="24"/>
      <c r="J17031" s="24"/>
      <c r="K17031" s="24"/>
    </row>
    <row r="17032" customFormat="false" ht="15" hidden="false" customHeight="false" outlineLevel="0" collapsed="false">
      <c r="A17032" s="3" t="s">
        <v>499</v>
      </c>
      <c r="C17032" s="27" t="n">
        <f aca="false">Assumptions!$M$56</f>
        <v>1</v>
      </c>
    </row>
    <row r="17033" customFormat="false" ht="15" hidden="false" customHeight="false" outlineLevel="0" collapsed="false">
      <c r="A17033" s="3" t="s">
        <v>500</v>
      </c>
      <c r="C17033" s="27" t="n">
        <f aca="false">Assumptions!$M$57</f>
        <v>2</v>
      </c>
    </row>
    <row r="17034" customFormat="false" ht="15" hidden="false" customHeight="false" outlineLevel="0" collapsed="false">
      <c r="A17034" s="3" t="s">
        <v>501</v>
      </c>
      <c r="C17034" s="27" t="n">
        <f aca="false">Assumptions!$M$58</f>
        <v>2</v>
      </c>
    </row>
    <row r="17035" customFormat="false" ht="15" hidden="false" customHeight="false" outlineLevel="0" collapsed="false">
      <c r="A17035" s="23" t="s">
        <v>503</v>
      </c>
      <c r="B17035" s="24"/>
      <c r="C17035" s="24"/>
      <c r="D17035" s="24"/>
      <c r="E17035" s="24"/>
      <c r="F17035" s="24"/>
      <c r="G17035" s="24"/>
      <c r="H17035" s="24"/>
      <c r="I17035" s="24"/>
      <c r="J17035" s="24"/>
      <c r="K17035" s="24"/>
    </row>
    <row r="17036" customFormat="false" ht="15" hidden="false" customHeight="false" outlineLevel="0" collapsed="false">
      <c r="A17036" s="3" t="s">
        <v>499</v>
      </c>
      <c r="C17036" s="35" t="n">
        <f aca="false">Assumptions!$Q$56</f>
        <v>0</v>
      </c>
    </row>
    <row r="17037" customFormat="false" ht="15" hidden="false" customHeight="false" outlineLevel="0" collapsed="false">
      <c r="A17037" s="3" t="s">
        <v>500</v>
      </c>
      <c r="C17037" s="35" t="n">
        <f aca="false">Assumptions!$Q$57</f>
        <v>0</v>
      </c>
    </row>
    <row r="17038" customFormat="false" ht="15" hidden="false" customHeight="false" outlineLevel="0" collapsed="false">
      <c r="A17038" s="3" t="s">
        <v>501</v>
      </c>
      <c r="C17038" s="35" t="n">
        <f aca="false">Assumptions!$Q$58</f>
        <v>0</v>
      </c>
    </row>
    <row r="17039" customFormat="false" ht="15" hidden="false" customHeight="false" outlineLevel="0" collapsed="false">
      <c r="A17039" s="23" t="s">
        <v>504</v>
      </c>
      <c r="B17039" s="24"/>
      <c r="C17039" s="24"/>
      <c r="D17039" s="24"/>
      <c r="E17039" s="24"/>
      <c r="F17039" s="24"/>
      <c r="G17039" s="24"/>
      <c r="H17039" s="24"/>
      <c r="I17039" s="24"/>
      <c r="J17039" s="24"/>
      <c r="K17039" s="24"/>
    </row>
    <row r="17040" customFormat="false" ht="15" hidden="false" customHeight="false" outlineLevel="0" collapsed="false">
      <c r="A17040" s="3" t="s">
        <v>499</v>
      </c>
      <c r="C17040" s="25" t="n">
        <f aca="false">IF(C17036&gt;0,MIN(C17028,C17036*$C$17026),0)</f>
        <v>0</v>
      </c>
    </row>
    <row r="17041" customFormat="false" ht="15" hidden="false" customHeight="false" outlineLevel="0" collapsed="false">
      <c r="A17041" s="3" t="s">
        <v>500</v>
      </c>
      <c r="C17041" s="25" t="n">
        <f aca="false">IF(C17037&gt;0,MIN(C17029,C17037*$C$17026),0)</f>
        <v>0</v>
      </c>
    </row>
    <row r="17042" customFormat="false" ht="15" hidden="false" customHeight="false" outlineLevel="0" collapsed="false">
      <c r="A17042" s="3" t="s">
        <v>501</v>
      </c>
      <c r="C17042" s="25" t="n">
        <f aca="false">IF(C17038&gt;0,MIN(C17030,C17038*$C$17026),0)</f>
        <v>0</v>
      </c>
    </row>
    <row r="17043" customFormat="false" ht="15" hidden="false" customHeight="false" outlineLevel="0" collapsed="false">
      <c r="A17043" s="23" t="s">
        <v>505</v>
      </c>
      <c r="B17043" s="24"/>
      <c r="C17043" s="24"/>
      <c r="D17043" s="24"/>
      <c r="E17043" s="24"/>
      <c r="F17043" s="24"/>
      <c r="G17043" s="24"/>
      <c r="H17043" s="24"/>
      <c r="I17043" s="24"/>
      <c r="J17043" s="24"/>
      <c r="K17043" s="24"/>
    </row>
    <row r="17044" customFormat="false" ht="15" hidden="false" customHeight="false" outlineLevel="0" collapsed="false">
      <c r="A17044" s="3" t="s">
        <v>499</v>
      </c>
      <c r="C17044" s="25" t="n">
        <f aca="false">IF(C17036&gt;0,C17028-C17040,0)</f>
        <v>0</v>
      </c>
      <c r="G17044" s="20" t="n">
        <f aca="false">IF(AND(G16898=1,G16895=1),1,0)</f>
        <v>0</v>
      </c>
      <c r="H17044" s="20" t="n">
        <f aca="false">IF(G17044=1,1,IF(AND(H16898=1,H16895=1),1,0))</f>
        <v>0</v>
      </c>
      <c r="I17044" s="20" t="n">
        <f aca="false">IF(H17044=1,1,IF(AND(I16898=1,I16895=1),1,0))</f>
        <v>0</v>
      </c>
      <c r="J17044" s="20" t="n">
        <f aca="false">IF(I17044=1,1,IF(AND(J16898=1,J16895=1),1,0))</f>
        <v>0</v>
      </c>
      <c r="K17044" s="20" t="n">
        <f aca="false">IF(J17044=1,1,IF(AND(K16898=1,K16895=1),1,0))</f>
        <v>0</v>
      </c>
    </row>
    <row r="17045" customFormat="false" ht="15" hidden="false" customHeight="false" outlineLevel="0" collapsed="false">
      <c r="A17045" s="3" t="s">
        <v>500</v>
      </c>
      <c r="C17045" s="25" t="n">
        <f aca="false">IF(C17037&gt;0,C17029-C17041,0)</f>
        <v>0</v>
      </c>
      <c r="G17045" s="20" t="n">
        <f aca="false">IF(AND(G16911=1,G16895=1),1,0)</f>
        <v>0</v>
      </c>
      <c r="H17045" s="20" t="n">
        <f aca="false">IF(G17045=1,1,IF(AND(H16911=1,H16895=1),1,0))</f>
        <v>0</v>
      </c>
      <c r="I17045" s="20" t="n">
        <f aca="false">IF(H17045=1,1,IF(AND(I16911=1,I16895=1),1,0))</f>
        <v>1</v>
      </c>
      <c r="J17045" s="20" t="n">
        <f aca="false">IF(I17045=1,1,IF(AND(J16911=1,J16895=1),1,0))</f>
        <v>1</v>
      </c>
      <c r="K17045" s="20" t="n">
        <f aca="false">IF(J17045=1,1,IF(AND(K16911=1,K16895=1),1,0))</f>
        <v>1</v>
      </c>
    </row>
    <row r="17046" customFormat="false" ht="15" hidden="false" customHeight="false" outlineLevel="0" collapsed="false">
      <c r="A17046" s="3" t="s">
        <v>501</v>
      </c>
      <c r="C17046" s="25" t="n">
        <f aca="false">IF(C17038&gt;0,C17030-C17042,0)</f>
        <v>0</v>
      </c>
      <c r="G17046" s="20" t="n">
        <f aca="false">IF(AND(G16924=1,G16895=1),1,0)</f>
        <v>0</v>
      </c>
      <c r="H17046" s="20" t="n">
        <f aca="false">IF(G17046=1,1,IF(AND(H16924=1,H16895=1),1,0))</f>
        <v>0</v>
      </c>
      <c r="I17046" s="20" t="n">
        <f aca="false">IF(H17046=1,1,IF(AND(I16924=1,I16895=1),1,0))</f>
        <v>1</v>
      </c>
      <c r="J17046" s="20" t="n">
        <f aca="false">IF(I17046=1,1,IF(AND(J16924=1,J16895=1),1,0))</f>
        <v>1</v>
      </c>
      <c r="K17046" s="20" t="n">
        <f aca="false">IF(J17046=1,1,IF(AND(K16924=1,K16895=1),1,0))</f>
        <v>1</v>
      </c>
    </row>
    <row r="17047" customFormat="false" ht="15" hidden="false" customHeight="false" outlineLevel="0" collapsed="false">
      <c r="A17047" s="23" t="s">
        <v>506</v>
      </c>
      <c r="B17047" s="24"/>
      <c r="C17047" s="24"/>
      <c r="D17047" s="24"/>
      <c r="E17047" s="24"/>
      <c r="F17047" s="24"/>
      <c r="G17047" s="24"/>
      <c r="H17047" s="24"/>
      <c r="I17047" s="24"/>
      <c r="J17047" s="24"/>
      <c r="K17047" s="24"/>
    </row>
    <row r="17048" customFormat="false" ht="15" hidden="false" customHeight="false" outlineLevel="0" collapsed="false">
      <c r="A17048" s="3" t="s">
        <v>499</v>
      </c>
      <c r="C17048" s="25" t="n">
        <f aca="false">IF(C17036&gt;0,C17044,C17028)</f>
        <v>1349.6193225</v>
      </c>
    </row>
    <row r="17049" customFormat="false" ht="15" hidden="false" customHeight="false" outlineLevel="0" collapsed="false">
      <c r="A17049" s="3" t="s">
        <v>500</v>
      </c>
      <c r="C17049" s="25" t="n">
        <f aca="false">IF(C17037&gt;0,C17045,C17029)</f>
        <v>0</v>
      </c>
    </row>
    <row r="17050" customFormat="false" ht="15" hidden="false" customHeight="false" outlineLevel="0" collapsed="false">
      <c r="A17050" s="3" t="s">
        <v>501</v>
      </c>
      <c r="C17050" s="25" t="n">
        <f aca="false">IF(C17038&gt;0,C17046,C17030)</f>
        <v>0</v>
      </c>
    </row>
    <row r="17051" customFormat="false" ht="15" hidden="false" customHeight="false" outlineLevel="0" collapsed="false">
      <c r="A17051" s="23" t="s">
        <v>507</v>
      </c>
      <c r="B17051" s="24"/>
      <c r="C17051" s="24"/>
      <c r="D17051" s="24"/>
      <c r="E17051" s="24"/>
      <c r="F17051" s="24"/>
      <c r="G17051" s="24"/>
      <c r="H17051" s="24"/>
      <c r="I17051" s="24"/>
      <c r="J17051" s="24"/>
      <c r="K17051" s="24"/>
    </row>
    <row r="17052" customFormat="false" ht="15" hidden="false" customHeight="false" outlineLevel="0" collapsed="false">
      <c r="A17052" s="3" t="s">
        <v>499</v>
      </c>
      <c r="C17052" s="20" t="n">
        <f aca="false">IF(C17036&gt;0,Assumptions!$C$17,C17032)</f>
        <v>1</v>
      </c>
    </row>
    <row r="17053" customFormat="false" ht="15" hidden="false" customHeight="false" outlineLevel="0" collapsed="false">
      <c r="A17053" s="3" t="s">
        <v>500</v>
      </c>
      <c r="C17053" s="20" t="n">
        <f aca="false">IF(C17037&gt;0,Assumptions!$C$17,C17033)</f>
        <v>2</v>
      </c>
    </row>
    <row r="17054" customFormat="false" ht="15" hidden="false" customHeight="false" outlineLevel="0" collapsed="false">
      <c r="A17054" s="3" t="s">
        <v>501</v>
      </c>
      <c r="C17054" s="20" t="n">
        <f aca="false">IF(C17038&gt;0,Assumptions!$C$17,C17034)</f>
        <v>2</v>
      </c>
    </row>
    <row r="17055" customFormat="false" ht="15" hidden="false" customHeight="false" outlineLevel="0" collapsed="false">
      <c r="A17055" s="23" t="s">
        <v>508</v>
      </c>
      <c r="B17055" s="24"/>
      <c r="C17055" s="24"/>
      <c r="D17055" s="24"/>
      <c r="E17055" s="24"/>
      <c r="F17055" s="24"/>
      <c r="G17055" s="24"/>
      <c r="H17055" s="24"/>
      <c r="I17055" s="24"/>
      <c r="J17055" s="24"/>
      <c r="K17055" s="24"/>
    </row>
    <row r="17056" customFormat="false" ht="15" hidden="false" customHeight="false" outlineLevel="0" collapsed="false">
      <c r="A17056" s="3" t="s">
        <v>499</v>
      </c>
      <c r="C17056" s="25" t="n">
        <f aca="false">SUMPRODUCT(($C$17052:$C$17054&lt;C17052)*$C$17048:$C$17050)</f>
        <v>0</v>
      </c>
    </row>
    <row r="17057" customFormat="false" ht="15" hidden="false" customHeight="false" outlineLevel="0" collapsed="false">
      <c r="A17057" s="3" t="s">
        <v>500</v>
      </c>
      <c r="C17057" s="25" t="n">
        <f aca="false">SUMPRODUCT(($C$17052:$C$17054&lt;C17053)*$C$17048:$C$17050)</f>
        <v>1349.6193225</v>
      </c>
    </row>
    <row r="17058" customFormat="false" ht="15" hidden="false" customHeight="false" outlineLevel="0" collapsed="false">
      <c r="A17058" s="3" t="s">
        <v>501</v>
      </c>
      <c r="C17058" s="25" t="n">
        <f aca="false">SUMPRODUCT(($C$17052:$C$17054&lt;C17054)*$C$17048:$C$17050)</f>
        <v>1349.6193225</v>
      </c>
    </row>
    <row r="17059" customFormat="false" ht="15" hidden="false" customHeight="false" outlineLevel="0" collapsed="false">
      <c r="A17059" s="23" t="s">
        <v>509</v>
      </c>
      <c r="B17059" s="24"/>
      <c r="C17059" s="24"/>
      <c r="D17059" s="24"/>
      <c r="E17059" s="24"/>
      <c r="F17059" s="24"/>
      <c r="G17059" s="24"/>
      <c r="H17059" s="24"/>
      <c r="I17059" s="24"/>
      <c r="J17059" s="24"/>
      <c r="K17059" s="24"/>
    </row>
    <row r="17060" customFormat="false" ht="15" hidden="false" customHeight="false" outlineLevel="0" collapsed="false">
      <c r="A17060" s="3" t="s">
        <v>499</v>
      </c>
      <c r="C17060" s="25" t="n">
        <f aca="false">SUMPRODUCT(($C$17052:$C$17054=C17052)*$C$17048:$C$17050)</f>
        <v>1349.6193225</v>
      </c>
    </row>
    <row r="17061" customFormat="false" ht="15" hidden="false" customHeight="false" outlineLevel="0" collapsed="false">
      <c r="A17061" s="3" t="s">
        <v>500</v>
      </c>
      <c r="C17061" s="25" t="n">
        <f aca="false">SUMPRODUCT(($C$17052:$C$17054=C17053)*$C$17048:$C$17050)</f>
        <v>0</v>
      </c>
    </row>
    <row r="17062" customFormat="false" ht="15" hidden="false" customHeight="false" outlineLevel="0" collapsed="false">
      <c r="A17062" s="3" t="s">
        <v>501</v>
      </c>
      <c r="C17062" s="25" t="n">
        <f aca="false">SUMPRODUCT(($C$17052:$C$17054=C17054)*$C$17048:$C$17050)</f>
        <v>0</v>
      </c>
    </row>
    <row r="17063" customFormat="false" ht="15" hidden="false" customHeight="false" outlineLevel="0" collapsed="false">
      <c r="A17063" s="23" t="s">
        <v>510</v>
      </c>
      <c r="B17063" s="24"/>
      <c r="C17063" s="24"/>
      <c r="D17063" s="24"/>
      <c r="E17063" s="24"/>
      <c r="F17063" s="24"/>
      <c r="G17063" s="24"/>
      <c r="H17063" s="24"/>
      <c r="I17063" s="24"/>
      <c r="J17063" s="24"/>
      <c r="K17063" s="24"/>
    </row>
    <row r="17064" customFormat="false" ht="15" hidden="false" customHeight="false" outlineLevel="0" collapsed="false">
      <c r="A17064" s="3" t="s">
        <v>499</v>
      </c>
      <c r="C17064" s="25" t="n">
        <f aca="false">IF(C17060=0,0,C17048/C17060*MAX(0,MIN(C17060,$C$17026-SUM($C$17040:$C$17042)-C17056)))</f>
        <v>1349.6193225</v>
      </c>
    </row>
    <row r="17065" customFormat="false" ht="15" hidden="false" customHeight="false" outlineLevel="0" collapsed="false">
      <c r="A17065" s="3" t="s">
        <v>500</v>
      </c>
      <c r="C17065" s="25" t="n">
        <f aca="false">IF(C17061=0,0,C17049/C17061*MAX(0,MIN(C17061,$C$17026-SUM($C$17040:$C$17042)-C17057)))</f>
        <v>0</v>
      </c>
    </row>
    <row r="17066" customFormat="false" ht="15" hidden="false" customHeight="false" outlineLevel="0" collapsed="false">
      <c r="A17066" s="3" t="s">
        <v>501</v>
      </c>
      <c r="C17066" s="25" t="n">
        <f aca="false">IF(C17062=0,0,C17050/C17062*MAX(0,MIN(C17062,$C$17026-SUM($C$17040:$C$17042)-C17058)))</f>
        <v>0</v>
      </c>
    </row>
    <row r="17067" customFormat="false" ht="15" hidden="false" customHeight="false" outlineLevel="0" collapsed="false">
      <c r="A17067" s="23" t="s">
        <v>511</v>
      </c>
      <c r="B17067" s="24"/>
      <c r="C17067" s="24"/>
      <c r="D17067" s="24"/>
      <c r="E17067" s="24"/>
      <c r="F17067" s="24"/>
      <c r="G17067" s="24"/>
      <c r="H17067" s="24"/>
      <c r="I17067" s="24"/>
      <c r="J17067" s="24"/>
      <c r="K17067" s="24"/>
    </row>
    <row r="17068" customFormat="false" ht="15" hidden="false" customHeight="false" outlineLevel="0" collapsed="false">
      <c r="A17068" s="2" t="s">
        <v>499</v>
      </c>
      <c r="C17068" s="16" t="n">
        <f aca="false">C17040+C17064</f>
        <v>1349.6193225</v>
      </c>
    </row>
    <row r="17069" customFormat="false" ht="15" hidden="false" customHeight="false" outlineLevel="0" collapsed="false">
      <c r="A17069" s="2" t="s">
        <v>500</v>
      </c>
      <c r="C17069" s="16" t="n">
        <f aca="false">C17041+C17065</f>
        <v>0</v>
      </c>
    </row>
    <row r="17070" customFormat="false" ht="15" hidden="false" customHeight="false" outlineLevel="0" collapsed="false">
      <c r="A17070" s="2" t="s">
        <v>501</v>
      </c>
      <c r="C17070" s="16" t="n">
        <f aca="false">C17042+C17066</f>
        <v>0</v>
      </c>
    </row>
    <row r="17071" customFormat="false" ht="15" hidden="false" customHeight="false" outlineLevel="0" collapsed="false">
      <c r="A17071" s="23" t="s">
        <v>512</v>
      </c>
      <c r="B17071" s="24"/>
      <c r="C17071" s="24"/>
      <c r="D17071" s="24"/>
      <c r="E17071" s="24"/>
      <c r="F17071" s="24"/>
      <c r="G17071" s="24"/>
      <c r="H17071" s="24"/>
      <c r="I17071" s="24"/>
      <c r="J17071" s="24"/>
      <c r="K17071" s="24"/>
    </row>
    <row r="17072" customFormat="false" ht="15" hidden="false" customHeight="false" outlineLevel="0" collapsed="false">
      <c r="A17072" s="3" t="s">
        <v>499</v>
      </c>
      <c r="C17072" s="21" t="n">
        <f aca="false">IF(C17028=0,1,C17068/C17028)</f>
        <v>1</v>
      </c>
    </row>
    <row r="17073" customFormat="false" ht="15" hidden="false" customHeight="false" outlineLevel="0" collapsed="false">
      <c r="A17073" s="3" t="s">
        <v>500</v>
      </c>
      <c r="C17073" s="21" t="n">
        <f aca="false">IF(C17029=0,1,C17069/C17029)</f>
        <v>1</v>
      </c>
    </row>
    <row r="17074" customFormat="false" ht="15" hidden="false" customHeight="false" outlineLevel="0" collapsed="false">
      <c r="A17074" s="3" t="s">
        <v>501</v>
      </c>
      <c r="C17074" s="21" t="n">
        <f aca="false">IF(C17030=0,1,C17070/C17030)</f>
        <v>1</v>
      </c>
    </row>
    <row r="17075" customFormat="false" ht="15" hidden="false" customHeight="false" outlineLevel="0" collapsed="false">
      <c r="A17075" s="23" t="s">
        <v>513</v>
      </c>
      <c r="B17075" s="24"/>
      <c r="C17075" s="24"/>
      <c r="D17075" s="24"/>
      <c r="E17075" s="24"/>
      <c r="F17075" s="24"/>
      <c r="G17075" s="24"/>
      <c r="H17075" s="24"/>
      <c r="I17075" s="24"/>
      <c r="J17075" s="24"/>
      <c r="K17075" s="24"/>
    </row>
    <row r="17076" customFormat="false" ht="15" hidden="false" customHeight="false" outlineLevel="0" collapsed="false">
      <c r="A17076" s="3" t="s">
        <v>499</v>
      </c>
      <c r="C17076" s="25" t="n">
        <f aca="false">C17028-C17068</f>
        <v>0</v>
      </c>
    </row>
    <row r="17077" customFormat="false" ht="15" hidden="false" customHeight="false" outlineLevel="0" collapsed="false">
      <c r="A17077" s="3" t="s">
        <v>500</v>
      </c>
      <c r="C17077" s="25" t="n">
        <f aca="false">C17029-C17069</f>
        <v>0</v>
      </c>
    </row>
    <row r="17078" customFormat="false" ht="15" hidden="false" customHeight="false" outlineLevel="0" collapsed="false">
      <c r="A17078" s="3" t="s">
        <v>501</v>
      </c>
      <c r="C17078" s="25" t="n">
        <f aca="false">C17030-C17070</f>
        <v>0</v>
      </c>
    </row>
    <row r="17079" customFormat="false" ht="15" hidden="false" customHeight="false" outlineLevel="0" collapsed="false">
      <c r="A17079" s="23" t="s">
        <v>514</v>
      </c>
      <c r="B17079" s="24"/>
      <c r="C17079" s="24"/>
      <c r="D17079" s="24"/>
      <c r="E17079" s="24"/>
      <c r="F17079" s="24"/>
      <c r="G17079" s="24"/>
      <c r="H17079" s="24"/>
      <c r="I17079" s="24"/>
      <c r="J17079" s="24"/>
      <c r="K17079" s="24"/>
    </row>
    <row r="17080" customFormat="false" ht="15" hidden="false" customHeight="false" outlineLevel="0" collapsed="false">
      <c r="A17080" s="3" t="s">
        <v>499</v>
      </c>
      <c r="C17080" s="21" t="n">
        <f aca="false">IF(C17028=0,0,C17076/C17028)</f>
        <v>0</v>
      </c>
    </row>
    <row r="17081" customFormat="false" ht="15" hidden="false" customHeight="false" outlineLevel="0" collapsed="false">
      <c r="A17081" s="3" t="s">
        <v>500</v>
      </c>
      <c r="C17081" s="21" t="n">
        <f aca="false">IF(C17029=0,0,C17077/C17029)</f>
        <v>0</v>
      </c>
    </row>
    <row r="17082" customFormat="false" ht="15" hidden="false" customHeight="false" outlineLevel="0" collapsed="false">
      <c r="A17082" s="3" t="s">
        <v>501</v>
      </c>
      <c r="C17082" s="21" t="n">
        <f aca="false">IF(C17030=0,0,C17078/C17030)</f>
        <v>0</v>
      </c>
    </row>
    <row r="17083" customFormat="false" ht="15" hidden="false" customHeight="false" outlineLevel="0" collapsed="false">
      <c r="A17083" s="2" t="s">
        <v>515</v>
      </c>
      <c r="C17083" s="16" t="n">
        <f aca="false">MAX(0,$C$17026-SUM($C$17040:$C$17042)-SUM($C$17048:$C$17050))</f>
        <v>909.230692146187</v>
      </c>
    </row>
    <row r="17084" customFormat="false" ht="15" hidden="false" customHeight="false" outlineLevel="0" collapsed="false">
      <c r="A17084" s="3" t="s">
        <v>516</v>
      </c>
      <c r="C17084" s="25" t="n">
        <f aca="false">SUM($C$17068:$C$17070)+C17083+C17025-C17024</f>
        <v>0</v>
      </c>
    </row>
    <row r="17086" customFormat="false" ht="15" hidden="false" customHeight="false" outlineLevel="0" collapsed="false">
      <c r="A17086" s="23" t="s">
        <v>519</v>
      </c>
      <c r="B17086" s="24"/>
      <c r="C17086" s="24"/>
      <c r="D17086" s="24"/>
      <c r="E17086" s="24"/>
      <c r="F17086" s="24"/>
      <c r="G17086" s="24"/>
      <c r="H17086" s="24"/>
      <c r="I17086" s="24"/>
      <c r="J17086" s="24"/>
      <c r="K17086" s="24"/>
    </row>
    <row r="17087" customFormat="false" ht="15" hidden="false" customHeight="false" outlineLevel="0" collapsed="false">
      <c r="A17087" s="3" t="s">
        <v>520</v>
      </c>
      <c r="C17087" s="27" t="n">
        <f aca="false">Assumptions!$C$33</f>
        <v>1</v>
      </c>
    </row>
    <row r="17088" customFormat="false" ht="15" hidden="false" customHeight="false" outlineLevel="0" collapsed="false">
      <c r="A17088" s="3" t="s">
        <v>521</v>
      </c>
      <c r="C17088" s="29" t="n">
        <f aca="false">Assumptions!$C$34</f>
        <v>100</v>
      </c>
    </row>
    <row r="17089" customFormat="false" ht="15" hidden="false" customHeight="false" outlineLevel="0" collapsed="false">
      <c r="A17089" s="3" t="s">
        <v>522</v>
      </c>
      <c r="C17089" s="40" t="n">
        <f aca="false">Assumptions!$C$35</f>
        <v>95</v>
      </c>
    </row>
    <row r="17090" customFormat="false" ht="15" hidden="false" customHeight="false" outlineLevel="0" collapsed="false">
      <c r="A17090" s="3" t="s">
        <v>523</v>
      </c>
      <c r="C17090" s="25" t="n">
        <f aca="false">C17088*C17089/100*(1+Assumptions!$C$36)</f>
        <v>95</v>
      </c>
    </row>
    <row r="17091" customFormat="false" ht="15" hidden="false" customHeight="false" outlineLevel="0" collapsed="false">
      <c r="A17091" s="3" t="s">
        <v>524</v>
      </c>
      <c r="C17091" s="27" t="n">
        <f aca="false">Assumptions!$C$37</f>
        <v>3</v>
      </c>
    </row>
    <row r="17092" customFormat="false" ht="15" hidden="false" customHeight="false" outlineLevel="0" collapsed="false">
      <c r="A17092" s="3" t="s">
        <v>525</v>
      </c>
      <c r="C17092" s="20" t="n">
        <f aca="false">IF(C17017=1,SUMPRODUCT($G$16969:$K$16969,$G$16862:$K$16862),0)</f>
        <v>0</v>
      </c>
    </row>
    <row r="17093" customFormat="false" ht="15" hidden="false" customHeight="false" outlineLevel="0" collapsed="false">
      <c r="A17093" s="3" t="s">
        <v>526</v>
      </c>
      <c r="C17093" s="21" t="n">
        <f aca="false">IFERROR(C17088/CHOOSE(C17087,SUMPRODUCT($G$17016:$K$17016,$G$16908:$K$16908),SUMPRODUCT($G$17016:$K$17016,$G$16921:$K$16921),SUMPRODUCT($G$17016:$K$17016,$G$16934:$K$16934)),0)</f>
        <v>0.0760399605200525</v>
      </c>
    </row>
    <row r="17094" customFormat="false" ht="15" hidden="false" customHeight="false" outlineLevel="0" collapsed="false">
      <c r="A17094" s="3" t="s">
        <v>527</v>
      </c>
      <c r="C17094" s="25" t="n">
        <f aca="false">CHOOSE(C17087,C17068,C17069,C17070)*C17093</f>
        <v>102.625</v>
      </c>
    </row>
    <row r="17095" customFormat="false" ht="15" hidden="false" customHeight="false" outlineLevel="0" collapsed="false">
      <c r="A17095" s="3" t="s">
        <v>528</v>
      </c>
      <c r="C17095" s="21" t="n">
        <f aca="false">CHOOSE(C17087,C17072,C17073,C17074)</f>
        <v>1</v>
      </c>
    </row>
    <row r="17096" customFormat="false" ht="15" hidden="false" customHeight="false" outlineLevel="0" collapsed="false">
      <c r="A17096" s="3" t="s">
        <v>529</v>
      </c>
      <c r="C17096" s="20" t="n">
        <f aca="false">IF(C17017=1,C17092,C17091)</f>
        <v>3</v>
      </c>
    </row>
    <row r="17097" customFormat="false" ht="15" hidden="false" customHeight="false" outlineLevel="0" collapsed="false">
      <c r="A17097" s="3" t="s">
        <v>530</v>
      </c>
      <c r="C17097" s="34" t="n">
        <f aca="false">CHOOSE($C$16854,Assumptions!$C$83,Assumptions!$C$102,Assumptions!$C$121)</f>
        <v>100</v>
      </c>
    </row>
    <row r="17098" customFormat="false" ht="15" hidden="false" customHeight="false" outlineLevel="0" collapsed="false">
      <c r="A17098" s="3" t="s">
        <v>531</v>
      </c>
      <c r="C17098" s="25" t="n">
        <f aca="false">INDEX($G$16871:$K$16871,C17091)*CHOOSE($C$16854,Assumptions!$C$82,Assumptions!$C$101,Assumptions!$C$120)+MAX(0,INDEX($G$16966:$K$16966,C17091))</f>
        <v>1898.86777853863</v>
      </c>
    </row>
    <row r="17099" customFormat="false" ht="15" hidden="false" customHeight="false" outlineLevel="0" collapsed="false">
      <c r="A17099" s="23" t="s">
        <v>532</v>
      </c>
      <c r="B17099" s="24"/>
      <c r="C17099" s="24"/>
      <c r="D17099" s="24"/>
      <c r="E17099" s="24"/>
      <c r="F17099" s="24"/>
      <c r="G17099" s="24"/>
      <c r="H17099" s="24"/>
      <c r="I17099" s="24"/>
      <c r="J17099" s="24"/>
      <c r="K17099" s="24"/>
    </row>
    <row r="17100" customFormat="false" ht="15" hidden="false" customHeight="false" outlineLevel="0" collapsed="false">
      <c r="A17100" s="3" t="s">
        <v>499</v>
      </c>
      <c r="C17100" s="25" t="n">
        <f aca="false">INDEX($G$16908:$K$16908,C17091)</f>
        <v>1315.098</v>
      </c>
    </row>
    <row r="17101" customFormat="false" ht="15" hidden="false" customHeight="false" outlineLevel="0" collapsed="false">
      <c r="A17101" s="3" t="s">
        <v>500</v>
      </c>
      <c r="C17101" s="25" t="n">
        <f aca="false">INDEX($G$16921:$K$16921,C17091)</f>
        <v>0</v>
      </c>
    </row>
    <row r="17102" customFormat="false" ht="15" hidden="false" customHeight="false" outlineLevel="0" collapsed="false">
      <c r="A17102" s="3" t="s">
        <v>501</v>
      </c>
      <c r="C17102" s="25" t="n">
        <f aca="false">INDEX($G$16934:$K$16934,C17091)</f>
        <v>0</v>
      </c>
    </row>
    <row r="17103" customFormat="false" ht="15" hidden="false" customHeight="false" outlineLevel="0" collapsed="false">
      <c r="A17103" s="23" t="s">
        <v>502</v>
      </c>
      <c r="B17103" s="24"/>
      <c r="C17103" s="24"/>
      <c r="D17103" s="24"/>
      <c r="E17103" s="24"/>
      <c r="F17103" s="24"/>
      <c r="G17103" s="24"/>
      <c r="H17103" s="24"/>
      <c r="I17103" s="24"/>
      <c r="J17103" s="24"/>
      <c r="K17103" s="24"/>
    </row>
    <row r="17104" customFormat="false" ht="15" hidden="false" customHeight="false" outlineLevel="0" collapsed="false">
      <c r="A17104" s="3" t="s">
        <v>499</v>
      </c>
      <c r="C17104" s="27" t="n">
        <f aca="false">Assumptions!$M$56</f>
        <v>1</v>
      </c>
    </row>
    <row r="17105" customFormat="false" ht="15" hidden="false" customHeight="false" outlineLevel="0" collapsed="false">
      <c r="A17105" s="3" t="s">
        <v>500</v>
      </c>
      <c r="C17105" s="27" t="n">
        <f aca="false">Assumptions!$M$57</f>
        <v>2</v>
      </c>
    </row>
    <row r="17106" customFormat="false" ht="15" hidden="false" customHeight="false" outlineLevel="0" collapsed="false">
      <c r="A17106" s="3" t="s">
        <v>501</v>
      </c>
      <c r="C17106" s="27" t="n">
        <f aca="false">Assumptions!$M$58</f>
        <v>2</v>
      </c>
    </row>
    <row r="17107" customFormat="false" ht="15" hidden="false" customHeight="false" outlineLevel="0" collapsed="false">
      <c r="A17107" s="23" t="s">
        <v>503</v>
      </c>
      <c r="B17107" s="24"/>
      <c r="C17107" s="24"/>
      <c r="D17107" s="24"/>
      <c r="E17107" s="24"/>
      <c r="F17107" s="24"/>
      <c r="G17107" s="24"/>
      <c r="H17107" s="24"/>
      <c r="I17107" s="24"/>
      <c r="J17107" s="24"/>
      <c r="K17107" s="24"/>
    </row>
    <row r="17108" customFormat="false" ht="15" hidden="false" customHeight="false" outlineLevel="0" collapsed="false">
      <c r="A17108" s="3" t="s">
        <v>499</v>
      </c>
      <c r="C17108" s="35" t="n">
        <f aca="false">Assumptions!$Q$56</f>
        <v>0</v>
      </c>
    </row>
    <row r="17109" customFormat="false" ht="15" hidden="false" customHeight="false" outlineLevel="0" collapsed="false">
      <c r="A17109" s="3" t="s">
        <v>500</v>
      </c>
      <c r="C17109" s="35" t="n">
        <f aca="false">Assumptions!$Q$57</f>
        <v>0</v>
      </c>
    </row>
    <row r="17110" customFormat="false" ht="15" hidden="false" customHeight="false" outlineLevel="0" collapsed="false">
      <c r="A17110" s="3" t="s">
        <v>501</v>
      </c>
      <c r="C17110" s="35" t="n">
        <f aca="false">Assumptions!$Q$58</f>
        <v>0</v>
      </c>
    </row>
    <row r="17111" customFormat="false" ht="15" hidden="false" customHeight="false" outlineLevel="0" collapsed="false">
      <c r="A17111" s="23" t="s">
        <v>504</v>
      </c>
      <c r="B17111" s="24"/>
      <c r="C17111" s="24"/>
      <c r="D17111" s="24"/>
      <c r="E17111" s="24"/>
      <c r="F17111" s="24"/>
      <c r="G17111" s="24"/>
      <c r="H17111" s="24"/>
      <c r="I17111" s="24"/>
      <c r="J17111" s="24"/>
      <c r="K17111" s="24"/>
    </row>
    <row r="17112" customFormat="false" ht="15" hidden="false" customHeight="false" outlineLevel="0" collapsed="false">
      <c r="A17112" s="3" t="s">
        <v>499</v>
      </c>
      <c r="C17112" s="25" t="n">
        <f aca="false">IF(C17108&gt;0,MIN(C17100,C17108*$C$17098),0)</f>
        <v>0</v>
      </c>
    </row>
    <row r="17113" customFormat="false" ht="15" hidden="false" customHeight="false" outlineLevel="0" collapsed="false">
      <c r="A17113" s="3" t="s">
        <v>500</v>
      </c>
      <c r="C17113" s="25" t="n">
        <f aca="false">IF(C17109&gt;0,MIN(C17101,C17109*$C$17098),0)</f>
        <v>0</v>
      </c>
    </row>
    <row r="17114" customFormat="false" ht="15" hidden="false" customHeight="false" outlineLevel="0" collapsed="false">
      <c r="A17114" s="3" t="s">
        <v>501</v>
      </c>
      <c r="C17114" s="25" t="n">
        <f aca="false">IF(C17110&gt;0,MIN(C17102,C17110*$C$17098),0)</f>
        <v>0</v>
      </c>
    </row>
    <row r="17115" customFormat="false" ht="15" hidden="false" customHeight="false" outlineLevel="0" collapsed="false">
      <c r="A17115" s="23" t="s">
        <v>505</v>
      </c>
      <c r="B17115" s="24"/>
      <c r="C17115" s="24"/>
      <c r="D17115" s="24"/>
      <c r="E17115" s="24"/>
      <c r="F17115" s="24"/>
      <c r="G17115" s="24"/>
      <c r="H17115" s="24"/>
      <c r="I17115" s="24"/>
      <c r="J17115" s="24"/>
      <c r="K17115" s="24"/>
    </row>
    <row r="17116" customFormat="false" ht="15" hidden="false" customHeight="false" outlineLevel="0" collapsed="false">
      <c r="A17116" s="3" t="s">
        <v>499</v>
      </c>
      <c r="C17116" s="25" t="n">
        <f aca="false">IF(C17108&gt;0,C17100-C17112,0)</f>
        <v>0</v>
      </c>
    </row>
    <row r="17117" customFormat="false" ht="15" hidden="false" customHeight="false" outlineLevel="0" collapsed="false">
      <c r="A17117" s="3" t="s">
        <v>500</v>
      </c>
      <c r="C17117" s="25" t="n">
        <f aca="false">IF(C17109&gt;0,C17101-C17113,0)</f>
        <v>0</v>
      </c>
    </row>
    <row r="17118" customFormat="false" ht="15" hidden="false" customHeight="false" outlineLevel="0" collapsed="false">
      <c r="A17118" s="3" t="s">
        <v>501</v>
      </c>
      <c r="C17118" s="25" t="n">
        <f aca="false">IF(C17110&gt;0,C17102-C17114,0)</f>
        <v>0</v>
      </c>
    </row>
    <row r="17119" customFormat="false" ht="15" hidden="false" customHeight="false" outlineLevel="0" collapsed="false">
      <c r="A17119" s="23" t="s">
        <v>506</v>
      </c>
      <c r="B17119" s="24"/>
      <c r="C17119" s="24"/>
      <c r="D17119" s="24"/>
      <c r="E17119" s="24"/>
      <c r="F17119" s="24"/>
      <c r="G17119" s="24"/>
      <c r="H17119" s="24"/>
      <c r="I17119" s="24"/>
      <c r="J17119" s="24"/>
      <c r="K17119" s="24"/>
    </row>
    <row r="17120" customFormat="false" ht="15" hidden="false" customHeight="false" outlineLevel="0" collapsed="false">
      <c r="A17120" s="3" t="s">
        <v>499</v>
      </c>
      <c r="C17120" s="25" t="n">
        <f aca="false">IF(C17108&gt;0,C17116,C17100)</f>
        <v>1315.098</v>
      </c>
    </row>
    <row r="17121" customFormat="false" ht="15" hidden="false" customHeight="false" outlineLevel="0" collapsed="false">
      <c r="A17121" s="3" t="s">
        <v>500</v>
      </c>
      <c r="C17121" s="25" t="n">
        <f aca="false">IF(C17109&gt;0,C17117,C17101)</f>
        <v>0</v>
      </c>
    </row>
    <row r="17122" customFormat="false" ht="15" hidden="false" customHeight="false" outlineLevel="0" collapsed="false">
      <c r="A17122" s="3" t="s">
        <v>501</v>
      </c>
      <c r="C17122" s="25" t="n">
        <f aca="false">IF(C17110&gt;0,C17118,C17102)</f>
        <v>0</v>
      </c>
    </row>
    <row r="17123" customFormat="false" ht="15" hidden="false" customHeight="false" outlineLevel="0" collapsed="false">
      <c r="A17123" s="23" t="s">
        <v>507</v>
      </c>
      <c r="B17123" s="24"/>
      <c r="C17123" s="24"/>
      <c r="D17123" s="24"/>
      <c r="E17123" s="24"/>
      <c r="F17123" s="24"/>
      <c r="G17123" s="24"/>
      <c r="H17123" s="24"/>
      <c r="I17123" s="24"/>
      <c r="J17123" s="24"/>
      <c r="K17123" s="24"/>
    </row>
    <row r="17124" customFormat="false" ht="15" hidden="false" customHeight="false" outlineLevel="0" collapsed="false">
      <c r="A17124" s="3" t="s">
        <v>499</v>
      </c>
      <c r="C17124" s="20" t="n">
        <f aca="false">IF(C17108&gt;0,Assumptions!$C$17,C17104)</f>
        <v>1</v>
      </c>
    </row>
    <row r="17125" customFormat="false" ht="15" hidden="false" customHeight="false" outlineLevel="0" collapsed="false">
      <c r="A17125" s="3" t="s">
        <v>500</v>
      </c>
      <c r="C17125" s="20" t="n">
        <f aca="false">IF(C17109&gt;0,Assumptions!$C$17,C17105)</f>
        <v>2</v>
      </c>
    </row>
    <row r="17126" customFormat="false" ht="15" hidden="false" customHeight="false" outlineLevel="0" collapsed="false">
      <c r="A17126" s="3" t="s">
        <v>501</v>
      </c>
      <c r="C17126" s="20" t="n">
        <f aca="false">IF(C17110&gt;0,Assumptions!$C$17,C17106)</f>
        <v>2</v>
      </c>
    </row>
    <row r="17127" customFormat="false" ht="15" hidden="false" customHeight="false" outlineLevel="0" collapsed="false">
      <c r="A17127" s="23" t="s">
        <v>508</v>
      </c>
      <c r="B17127" s="24"/>
      <c r="C17127" s="24"/>
      <c r="D17127" s="24"/>
      <c r="E17127" s="24"/>
      <c r="F17127" s="24"/>
      <c r="G17127" s="24"/>
      <c r="H17127" s="24"/>
      <c r="I17127" s="24"/>
      <c r="J17127" s="24"/>
      <c r="K17127" s="24"/>
    </row>
    <row r="17128" customFormat="false" ht="15" hidden="false" customHeight="false" outlineLevel="0" collapsed="false">
      <c r="A17128" s="3" t="s">
        <v>499</v>
      </c>
      <c r="C17128" s="25" t="n">
        <f aca="false">SUMPRODUCT(($C$17124:$C$17126&lt;C17124)*$C$17120:$C$17122)</f>
        <v>0</v>
      </c>
    </row>
    <row r="17129" customFormat="false" ht="15" hidden="false" customHeight="false" outlineLevel="0" collapsed="false">
      <c r="A17129" s="3" t="s">
        <v>500</v>
      </c>
      <c r="C17129" s="25" t="n">
        <f aca="false">SUMPRODUCT(($C$17124:$C$17126&lt;C17125)*$C$17120:$C$17122)</f>
        <v>1315.098</v>
      </c>
    </row>
    <row r="17130" customFormat="false" ht="15" hidden="false" customHeight="false" outlineLevel="0" collapsed="false">
      <c r="A17130" s="3" t="s">
        <v>501</v>
      </c>
      <c r="C17130" s="25" t="n">
        <f aca="false">SUMPRODUCT(($C$17124:$C$17126&lt;C17126)*$C$17120:$C$17122)</f>
        <v>1315.098</v>
      </c>
    </row>
    <row r="17131" customFormat="false" ht="15" hidden="false" customHeight="false" outlineLevel="0" collapsed="false">
      <c r="A17131" s="23" t="s">
        <v>509</v>
      </c>
      <c r="B17131" s="24"/>
      <c r="C17131" s="24"/>
      <c r="D17131" s="24"/>
      <c r="E17131" s="24"/>
      <c r="F17131" s="24"/>
      <c r="G17131" s="24"/>
      <c r="H17131" s="24"/>
      <c r="I17131" s="24"/>
      <c r="J17131" s="24"/>
      <c r="K17131" s="24"/>
    </row>
    <row r="17132" customFormat="false" ht="15" hidden="false" customHeight="false" outlineLevel="0" collapsed="false">
      <c r="A17132" s="3" t="s">
        <v>499</v>
      </c>
      <c r="C17132" s="25" t="n">
        <f aca="false">SUMPRODUCT(($C$17124:$C$17126=C17124)*$C$17120:$C$17122)</f>
        <v>1315.098</v>
      </c>
    </row>
    <row r="17133" customFormat="false" ht="15" hidden="false" customHeight="false" outlineLevel="0" collapsed="false">
      <c r="A17133" s="3" t="s">
        <v>500</v>
      </c>
      <c r="C17133" s="25" t="n">
        <f aca="false">SUMPRODUCT(($C$17124:$C$17126=C17125)*$C$17120:$C$17122)</f>
        <v>0</v>
      </c>
    </row>
    <row r="17134" customFormat="false" ht="15" hidden="false" customHeight="false" outlineLevel="0" collapsed="false">
      <c r="A17134" s="3" t="s">
        <v>501</v>
      </c>
      <c r="C17134" s="25" t="n">
        <f aca="false">SUMPRODUCT(($C$17124:$C$17126=C17126)*$C$17120:$C$17122)</f>
        <v>0</v>
      </c>
    </row>
    <row r="17135" customFormat="false" ht="15" hidden="false" customHeight="false" outlineLevel="0" collapsed="false">
      <c r="A17135" s="23" t="s">
        <v>510</v>
      </c>
      <c r="B17135" s="24"/>
      <c r="C17135" s="24"/>
      <c r="D17135" s="24"/>
      <c r="E17135" s="24"/>
      <c r="F17135" s="24"/>
      <c r="G17135" s="24"/>
      <c r="H17135" s="24"/>
      <c r="I17135" s="24"/>
      <c r="J17135" s="24"/>
      <c r="K17135" s="24"/>
    </row>
    <row r="17136" customFormat="false" ht="15" hidden="false" customHeight="false" outlineLevel="0" collapsed="false">
      <c r="A17136" s="3" t="s">
        <v>499</v>
      </c>
      <c r="C17136" s="25" t="n">
        <f aca="false">IF(C17132=0,0,C17120/C17132*MAX(0,MIN(C17132,$C$17098-SUM($C$17112:$C$17114)-C17128)))</f>
        <v>1315.098</v>
      </c>
    </row>
    <row r="17137" customFormat="false" ht="15" hidden="false" customHeight="false" outlineLevel="0" collapsed="false">
      <c r="A17137" s="3" t="s">
        <v>500</v>
      </c>
      <c r="C17137" s="25" t="n">
        <f aca="false">IF(C17133=0,0,C17121/C17133*MAX(0,MIN(C17133,$C$17098-SUM($C$17112:$C$17114)-C17129)))</f>
        <v>0</v>
      </c>
    </row>
    <row r="17138" customFormat="false" ht="15" hidden="false" customHeight="false" outlineLevel="0" collapsed="false">
      <c r="A17138" s="3" t="s">
        <v>501</v>
      </c>
      <c r="C17138" s="25" t="n">
        <f aca="false">IF(C17134=0,0,C17122/C17134*MAX(0,MIN(C17134,$C$17098-SUM($C$17112:$C$17114)-C17130)))</f>
        <v>0</v>
      </c>
    </row>
    <row r="17139" customFormat="false" ht="15" hidden="false" customHeight="false" outlineLevel="0" collapsed="false">
      <c r="A17139" s="23" t="s">
        <v>511</v>
      </c>
      <c r="B17139" s="24"/>
      <c r="C17139" s="24"/>
      <c r="D17139" s="24"/>
      <c r="E17139" s="24"/>
      <c r="F17139" s="24"/>
      <c r="G17139" s="24"/>
      <c r="H17139" s="24"/>
      <c r="I17139" s="24"/>
      <c r="J17139" s="24"/>
      <c r="K17139" s="24"/>
    </row>
    <row r="17140" customFormat="false" ht="15" hidden="false" customHeight="false" outlineLevel="0" collapsed="false">
      <c r="A17140" s="2" t="s">
        <v>499</v>
      </c>
      <c r="C17140" s="16" t="n">
        <f aca="false">C17112+C17136</f>
        <v>1315.098</v>
      </c>
    </row>
    <row r="17141" customFormat="false" ht="15" hidden="false" customHeight="false" outlineLevel="0" collapsed="false">
      <c r="A17141" s="2" t="s">
        <v>500</v>
      </c>
      <c r="C17141" s="16" t="n">
        <f aca="false">C17113+C17137</f>
        <v>0</v>
      </c>
    </row>
    <row r="17142" customFormat="false" ht="15" hidden="false" customHeight="false" outlineLevel="0" collapsed="false">
      <c r="A17142" s="2" t="s">
        <v>501</v>
      </c>
      <c r="C17142" s="16" t="n">
        <f aca="false">C17114+C17138</f>
        <v>0</v>
      </c>
    </row>
    <row r="17143" customFormat="false" ht="15" hidden="false" customHeight="false" outlineLevel="0" collapsed="false">
      <c r="A17143" s="23" t="s">
        <v>512</v>
      </c>
      <c r="B17143" s="24"/>
      <c r="C17143" s="24"/>
      <c r="D17143" s="24"/>
      <c r="E17143" s="24"/>
      <c r="F17143" s="24"/>
      <c r="G17143" s="24"/>
      <c r="H17143" s="24"/>
      <c r="I17143" s="24"/>
      <c r="J17143" s="24"/>
      <c r="K17143" s="24"/>
    </row>
    <row r="17144" customFormat="false" ht="15" hidden="false" customHeight="false" outlineLevel="0" collapsed="false">
      <c r="A17144" s="3" t="s">
        <v>499</v>
      </c>
      <c r="C17144" s="21" t="n">
        <f aca="false">IF(C17100=0,1,C17140/C17100)</f>
        <v>1</v>
      </c>
    </row>
    <row r="17145" customFormat="false" ht="15" hidden="false" customHeight="false" outlineLevel="0" collapsed="false">
      <c r="A17145" s="3" t="s">
        <v>500</v>
      </c>
      <c r="C17145" s="21" t="n">
        <f aca="false">IF(C17101=0,1,C17141/C17101)</f>
        <v>1</v>
      </c>
    </row>
    <row r="17146" customFormat="false" ht="15" hidden="false" customHeight="false" outlineLevel="0" collapsed="false">
      <c r="A17146" s="3" t="s">
        <v>501</v>
      </c>
      <c r="C17146" s="21" t="n">
        <f aca="false">IF(C17102=0,1,C17142/C17102)</f>
        <v>1</v>
      </c>
    </row>
    <row r="17147" customFormat="false" ht="15" hidden="false" customHeight="false" outlineLevel="0" collapsed="false">
      <c r="A17147" s="23" t="s">
        <v>513</v>
      </c>
      <c r="B17147" s="24"/>
      <c r="C17147" s="24"/>
      <c r="D17147" s="24"/>
      <c r="E17147" s="24"/>
      <c r="F17147" s="24"/>
      <c r="G17147" s="24"/>
      <c r="H17147" s="24"/>
      <c r="I17147" s="24"/>
      <c r="J17147" s="24"/>
      <c r="K17147" s="24"/>
    </row>
    <row r="17148" customFormat="false" ht="15" hidden="false" customHeight="false" outlineLevel="0" collapsed="false">
      <c r="A17148" s="3" t="s">
        <v>499</v>
      </c>
      <c r="C17148" s="25" t="n">
        <f aca="false">C17100-C17140</f>
        <v>0</v>
      </c>
    </row>
    <row r="17149" customFormat="false" ht="15" hidden="false" customHeight="false" outlineLevel="0" collapsed="false">
      <c r="A17149" s="3" t="s">
        <v>500</v>
      </c>
      <c r="C17149" s="25" t="n">
        <f aca="false">C17101-C17141</f>
        <v>0</v>
      </c>
    </row>
    <row r="17150" customFormat="false" ht="15" hidden="false" customHeight="false" outlineLevel="0" collapsed="false">
      <c r="A17150" s="3" t="s">
        <v>501</v>
      </c>
      <c r="C17150" s="25" t="n">
        <f aca="false">C17102-C17142</f>
        <v>0</v>
      </c>
    </row>
    <row r="17151" customFormat="false" ht="15" hidden="false" customHeight="false" outlineLevel="0" collapsed="false">
      <c r="A17151" s="23" t="s">
        <v>514</v>
      </c>
      <c r="B17151" s="24"/>
      <c r="C17151" s="24"/>
      <c r="D17151" s="24"/>
      <c r="E17151" s="24"/>
      <c r="F17151" s="24"/>
      <c r="G17151" s="24"/>
      <c r="H17151" s="24"/>
      <c r="I17151" s="24"/>
      <c r="J17151" s="24"/>
      <c r="K17151" s="24"/>
    </row>
    <row r="17152" customFormat="false" ht="15" hidden="false" customHeight="false" outlineLevel="0" collapsed="false">
      <c r="A17152" s="3" t="s">
        <v>499</v>
      </c>
      <c r="C17152" s="21" t="n">
        <f aca="false">IF(C17100=0,0,C17148/C17100)</f>
        <v>0</v>
      </c>
    </row>
    <row r="17153" customFormat="false" ht="15" hidden="false" customHeight="false" outlineLevel="0" collapsed="false">
      <c r="A17153" s="3" t="s">
        <v>500</v>
      </c>
      <c r="C17153" s="21" t="n">
        <f aca="false">IF(C17101=0,0,C17149/C17101)</f>
        <v>0</v>
      </c>
    </row>
    <row r="17154" customFormat="false" ht="15" hidden="false" customHeight="false" outlineLevel="0" collapsed="false">
      <c r="A17154" s="3" t="s">
        <v>501</v>
      </c>
      <c r="C17154" s="21" t="n">
        <f aca="false">IF(C17102=0,0,C17150/C17102)</f>
        <v>0</v>
      </c>
    </row>
    <row r="17155" customFormat="false" ht="15" hidden="false" customHeight="false" outlineLevel="0" collapsed="false">
      <c r="A17155" s="2" t="s">
        <v>515</v>
      </c>
      <c r="C17155" s="16" t="n">
        <f aca="false">MAX(0,$C$17098-SUM($C$17112:$C$17114)-SUM($C$17120:$C$17122))</f>
        <v>583.769778538632</v>
      </c>
    </row>
    <row r="17156" customFormat="false" ht="15" hidden="false" customHeight="false" outlineLevel="0" collapsed="false">
      <c r="A17156" s="3" t="s">
        <v>533</v>
      </c>
      <c r="C17156" s="34" t="n">
        <f aca="false">MIN(C17097,100*CHOOSE(C17087,C17144,C17145,C17146))</f>
        <v>100</v>
      </c>
    </row>
    <row r="17157" customFormat="false" ht="15" hidden="false" customHeight="false" outlineLevel="0" collapsed="false">
      <c r="A17157" s="3" t="s">
        <v>534</v>
      </c>
      <c r="C17157" s="20" t="n">
        <f aca="false">IF(C17017=1,C17092+Assumptions!$C$39,C17091)</f>
        <v>3</v>
      </c>
    </row>
    <row r="17158" customFormat="false" ht="15" hidden="false" customHeight="false" outlineLevel="0" collapsed="false">
      <c r="A17158" s="23" t="s">
        <v>535</v>
      </c>
      <c r="B17158" s="24"/>
      <c r="C17158" s="24"/>
      <c r="D17158" s="24"/>
      <c r="E17158" s="24"/>
      <c r="F17158" s="24"/>
      <c r="G17158" s="24"/>
      <c r="H17158" s="24"/>
      <c r="I17158" s="24"/>
      <c r="J17158" s="24"/>
      <c r="K17158" s="24"/>
    </row>
    <row r="17159" customFormat="false" ht="15" hidden="false" customHeight="false" outlineLevel="0" collapsed="false">
      <c r="A17159" s="3" t="s">
        <v>536</v>
      </c>
      <c r="C17159" s="20" t="n">
        <f aca="false">COLUMN()-COLUMN($C$1)</f>
        <v>0</v>
      </c>
      <c r="D17159" s="20" t="n">
        <f aca="false">COLUMN()-COLUMN($C$1)</f>
        <v>1</v>
      </c>
      <c r="E17159" s="20" t="n">
        <f aca="false">COLUMN()-COLUMN($C$1)</f>
        <v>2</v>
      </c>
      <c r="F17159" s="20" t="n">
        <f aca="false">COLUMN()-COLUMN($C$1)</f>
        <v>3</v>
      </c>
      <c r="G17159" s="20" t="n">
        <f aca="false">COLUMN()-COLUMN($C$1)</f>
        <v>4</v>
      </c>
      <c r="H17159" s="20" t="n">
        <f aca="false">COLUMN()-COLUMN($C$1)</f>
        <v>5</v>
      </c>
      <c r="I17159" s="20" t="n">
        <f aca="false">COLUMN()-COLUMN($C$1)</f>
        <v>6</v>
      </c>
    </row>
    <row r="17160" customFormat="false" ht="15" hidden="false" customHeight="false" outlineLevel="0" collapsed="false">
      <c r="A17160" s="3" t="s">
        <v>537</v>
      </c>
      <c r="D17160" s="31" t="n">
        <f aca="false">CHOOSE($C$17087,G16900,G16913,G16926)</f>
        <v>0.105</v>
      </c>
      <c r="E17160" s="31" t="n">
        <f aca="false">CHOOSE($C$17087,H16900,H16913,H16926)</f>
        <v>0.105</v>
      </c>
      <c r="F17160" s="31" t="n">
        <f aca="false">CHOOSE($C$17087,I16900,I16913,I16926)</f>
        <v>0.105</v>
      </c>
      <c r="G17160" s="31" t="n">
        <f aca="false">CHOOSE($C$17087,J16900,J16913,J16926)</f>
        <v>0.105</v>
      </c>
      <c r="H17160" s="31" t="n">
        <f aca="false">CHOOSE($C$17087,K16900,K16913,K16926)</f>
        <v>0.105</v>
      </c>
    </row>
    <row r="17161" customFormat="false" ht="15" hidden="false" customHeight="false" outlineLevel="0" collapsed="false">
      <c r="A17161" s="3" t="s">
        <v>538</v>
      </c>
      <c r="D17161" s="25" t="n">
        <f aca="false">IF(D17159&lt;=$C$17096,$C$17088*D17160,0)</f>
        <v>10.5</v>
      </c>
      <c r="E17161" s="25" t="n">
        <f aca="false">IF(E17159&lt;=$C$17096,$C$17088*E17160,0)</f>
        <v>10.5</v>
      </c>
      <c r="F17161" s="25" t="n">
        <f aca="false">IF(F17159&lt;=$C$17096,$C$17088*F17160,0)</f>
        <v>10.5</v>
      </c>
      <c r="G17161" s="25" t="n">
        <f aca="false">IF(G17159&lt;=$C$17096,$C$17088*G17160,0)</f>
        <v>0</v>
      </c>
      <c r="H17161" s="25" t="n">
        <f aca="false">IF(H17159&lt;=$C$17096,$C$17088*H17160,0)</f>
        <v>0</v>
      </c>
    </row>
    <row r="17162" customFormat="false" ht="15" hidden="false" customHeight="false" outlineLevel="0" collapsed="false">
      <c r="A17162" s="3" t="s">
        <v>539</v>
      </c>
      <c r="D17162" s="25" t="n">
        <f aca="false">IF(AND($C$17017=0,D17159=$C$17091),$C$17088*$C$17156/100,0)+IF(AND($C$17017=1,D17159=$C$17157),$C$17094,0)</f>
        <v>0</v>
      </c>
      <c r="E17162" s="25" t="n">
        <f aca="false">IF(AND($C$17017=0,E17159=$C$17091),$C$17088*$C$17156/100,0)+IF(AND($C$17017=1,E17159=$C$17157),$C$17094,0)</f>
        <v>0</v>
      </c>
      <c r="F17162" s="25" t="n">
        <f aca="false">IF(AND($C$17017=0,F17159=$C$17091),$C$17088*$C$17156/100,0)+IF(AND($C$17017=1,F17159=$C$17157),$C$17094,0)</f>
        <v>100</v>
      </c>
      <c r="G17162" s="25" t="n">
        <f aca="false">IF(AND($C$17017=0,G17159=$C$17091),$C$17088*$C$17156/100,0)+IF(AND($C$17017=1,G17159=$C$17157),$C$17094,0)</f>
        <v>0</v>
      </c>
      <c r="H17162" s="25" t="n">
        <f aca="false">IF(AND($C$17017=0,H17159=$C$17091),$C$17088*$C$17156/100,0)+IF(AND($C$17017=1,H17159=$C$17157),$C$17094,0)</f>
        <v>0</v>
      </c>
      <c r="I17162" s="25" t="n">
        <f aca="false">IF(AND($C$17017=0,I17159=$C$17091),$C$17088*$C$17156/100,0)+IF(AND($C$17017=1,I17159=$C$17157),$C$17094,0)</f>
        <v>0</v>
      </c>
    </row>
    <row r="17163" customFormat="false" ht="15" hidden="false" customHeight="false" outlineLevel="0" collapsed="false">
      <c r="A17163" s="2" t="s">
        <v>540</v>
      </c>
      <c r="C17163" s="16" t="n">
        <f aca="false">-$C$17090</f>
        <v>-95</v>
      </c>
      <c r="D17163" s="16" t="n">
        <f aca="false">D17161+D17162</f>
        <v>10.5</v>
      </c>
      <c r="E17163" s="16" t="n">
        <f aca="false">E17161+E17162</f>
        <v>10.5</v>
      </c>
      <c r="F17163" s="16" t="n">
        <f aca="false">F17161+F17162</f>
        <v>110.5</v>
      </c>
      <c r="G17163" s="16" t="n">
        <f aca="false">G17161+G17162</f>
        <v>0</v>
      </c>
      <c r="H17163" s="16" t="n">
        <f aca="false">H17161+H17162</f>
        <v>0</v>
      </c>
      <c r="I17163" s="16" t="n">
        <f aca="false">I17161+I17162</f>
        <v>0</v>
      </c>
    </row>
    <row r="17164" customFormat="false" ht="15" hidden="false" customHeight="false" outlineLevel="0" collapsed="false">
      <c r="A17164" s="3" t="s">
        <v>541</v>
      </c>
      <c r="C17164" s="25" t="n">
        <f aca="false">SUM($C$17161:$I$17161)</f>
        <v>31.5</v>
      </c>
    </row>
    <row r="17165" customFormat="false" ht="15" hidden="false" customHeight="false" outlineLevel="0" collapsed="false">
      <c r="A17165" s="3" t="s">
        <v>542</v>
      </c>
      <c r="C17165" s="25" t="n">
        <f aca="false">SUM($C$17162:$I$17162)</f>
        <v>100</v>
      </c>
    </row>
    <row r="17166" customFormat="false" ht="15" hidden="false" customHeight="false" outlineLevel="0" collapsed="false">
      <c r="A17166" s="3" t="s">
        <v>543</v>
      </c>
      <c r="C17166" s="25" t="n">
        <f aca="false">C17164+C17165</f>
        <v>131.5</v>
      </c>
    </row>
    <row r="17167" customFormat="false" ht="15" hidden="false" customHeight="false" outlineLevel="0" collapsed="false">
      <c r="A17167" s="3" t="s">
        <v>544</v>
      </c>
      <c r="C17167" s="25" t="n">
        <f aca="false">C17165-C17088*C17089/100</f>
        <v>5</v>
      </c>
    </row>
    <row r="17168" customFormat="false" ht="15" hidden="false" customHeight="false" outlineLevel="0" collapsed="false">
      <c r="A17168" s="3" t="s">
        <v>545</v>
      </c>
      <c r="C17168" s="25" t="n">
        <f aca="false">C17166-C17090</f>
        <v>36.5</v>
      </c>
    </row>
    <row r="17169" customFormat="false" ht="15" hidden="false" customHeight="false" outlineLevel="0" collapsed="false">
      <c r="A17169" s="2" t="s">
        <v>427</v>
      </c>
      <c r="C17169" s="44" t="n">
        <f aca="false">C17166/C17090</f>
        <v>1.38421052631579</v>
      </c>
    </row>
    <row r="17170" customFormat="false" ht="15" hidden="false" customHeight="false" outlineLevel="0" collapsed="false">
      <c r="A17170" s="2" t="s">
        <v>426</v>
      </c>
      <c r="C17170" s="42" t="n">
        <f aca="false">IF(C17166&lt;=0,-1,IFERROR(IRR($C$17163:$I$17163,MAX(-0.9,C17169^(1/C17157)-1)),IRR($C$17163:$I$17163,0.1)))</f>
        <v>0.126033624615204</v>
      </c>
    </row>
    <row r="17171" customFormat="false" ht="15" hidden="false" customHeight="false" outlineLevel="0" collapsed="false">
      <c r="A17171" s="3" t="s">
        <v>546</v>
      </c>
      <c r="C17171" s="32" t="n">
        <f aca="false">MAX($G$16977:$K$16977)</f>
        <v>3.81499621093561</v>
      </c>
    </row>
    <row r="17172" customFormat="false" ht="15" hidden="false" customHeight="false" outlineLevel="0" collapsed="false">
      <c r="A17172" s="3" t="s">
        <v>547</v>
      </c>
      <c r="C17172" s="32" t="n">
        <f aca="false">MIN($G$16978:$K$16978)</f>
        <v>1.75842750947116</v>
      </c>
    </row>
    <row r="17173" customFormat="false" ht="15" hidden="false" customHeight="false" outlineLevel="0" collapsed="false">
      <c r="A17173" s="3" t="s">
        <v>548</v>
      </c>
      <c r="C17173" s="25" t="n">
        <f aca="false">SUM($G$16884:$K$16884)</f>
        <v>555.588348849095</v>
      </c>
    </row>
    <row r="17177" customFormat="false" ht="15" hidden="false" customHeight="false" outlineLevel="0" collapsed="false">
      <c r="A17177" s="9" t="s">
        <v>1067</v>
      </c>
      <c r="B17177" s="10"/>
      <c r="C17177" s="10"/>
      <c r="D17177" s="10"/>
      <c r="E17177" s="10"/>
      <c r="F17177" s="10"/>
      <c r="G17177" s="10"/>
      <c r="H17177" s="10"/>
      <c r="I17177" s="10"/>
      <c r="J17177" s="10"/>
      <c r="K17177" s="10"/>
    </row>
    <row r="17178" customFormat="false" ht="15" hidden="false" customHeight="false" outlineLevel="0" collapsed="false">
      <c r="A17178" s="3" t="s">
        <v>1010</v>
      </c>
      <c r="C17178" s="11" t="n">
        <v>2</v>
      </c>
    </row>
    <row r="17179" customFormat="false" ht="15" hidden="false" customHeight="false" outlineLevel="0" collapsed="false">
      <c r="A17179" s="3" t="s">
        <v>1011</v>
      </c>
      <c r="C17179" s="18" t="n">
        <v>0</v>
      </c>
    </row>
    <row r="17180" customFormat="false" ht="15" hidden="false" customHeight="false" outlineLevel="0" collapsed="false">
      <c r="A17180" s="3" t="s">
        <v>1012</v>
      </c>
      <c r="C17180" s="18" t="n">
        <v>0</v>
      </c>
    </row>
    <row r="17181" customFormat="false" ht="15" hidden="false" customHeight="false" outlineLevel="0" collapsed="false">
      <c r="A17181" s="3" t="s">
        <v>1013</v>
      </c>
      <c r="C17181" s="18" t="n">
        <v>0</v>
      </c>
    </row>
    <row r="17182" customFormat="false" ht="15" hidden="false" customHeight="false" outlineLevel="0" collapsed="false">
      <c r="A17182" s="3" t="s">
        <v>1014</v>
      </c>
      <c r="C17182" s="33" t="n">
        <f aca="false">Sensitivities!$A$60</f>
        <v>-2</v>
      </c>
    </row>
    <row r="17184" customFormat="false" ht="15" hidden="false" customHeight="false" outlineLevel="0" collapsed="false">
      <c r="A17184" s="23" t="s">
        <v>281</v>
      </c>
      <c r="B17184" s="24"/>
      <c r="C17184" s="24"/>
      <c r="D17184" s="24"/>
      <c r="E17184" s="24"/>
      <c r="F17184" s="24"/>
      <c r="G17184" s="24"/>
      <c r="H17184" s="24"/>
      <c r="I17184" s="24"/>
      <c r="J17184" s="24"/>
      <c r="K17184" s="24"/>
    </row>
    <row r="17185" customFormat="false" ht="15" hidden="false" customHeight="false" outlineLevel="0" collapsed="false">
      <c r="A17185" s="3" t="s">
        <v>282</v>
      </c>
      <c r="F17185" s="27" t="n">
        <f aca="false">Assumptions!$C$6</f>
        <v>2026</v>
      </c>
      <c r="G17185" s="20" t="n">
        <f aca="false">F17185+1</f>
        <v>2027</v>
      </c>
      <c r="H17185" s="20" t="n">
        <f aca="false">G17185+1</f>
        <v>2028</v>
      </c>
      <c r="I17185" s="20" t="n">
        <f aca="false">H17185+1</f>
        <v>2029</v>
      </c>
      <c r="J17185" s="20" t="n">
        <f aca="false">I17185+1</f>
        <v>2030</v>
      </c>
      <c r="K17185" s="20" t="n">
        <f aca="false">J17185+1</f>
        <v>2031</v>
      </c>
    </row>
    <row r="17186" customFormat="false" ht="15" hidden="false" customHeight="false" outlineLevel="0" collapsed="false">
      <c r="A17186" s="3" t="s">
        <v>283</v>
      </c>
      <c r="G17186" s="20" t="n">
        <f aca="false">G17185-Assumptions!$C$6</f>
        <v>1</v>
      </c>
      <c r="H17186" s="20" t="n">
        <f aca="false">H17185-Assumptions!$C$6</f>
        <v>2</v>
      </c>
      <c r="I17186" s="20" t="n">
        <f aca="false">I17185-Assumptions!$C$6</f>
        <v>3</v>
      </c>
      <c r="J17186" s="20" t="n">
        <f aca="false">J17185-Assumptions!$C$6</f>
        <v>4</v>
      </c>
      <c r="K17186" s="20" t="n">
        <f aca="false">K17185-Assumptions!$C$6</f>
        <v>5</v>
      </c>
    </row>
    <row r="17187" customFormat="false" ht="15" hidden="false" customHeight="false" outlineLevel="0" collapsed="false">
      <c r="A17187" s="3" t="s">
        <v>165</v>
      </c>
      <c r="G17187" s="21" t="n">
        <f aca="false">CHOOSE($C$17178,Assumptions!$G$71,Assumptions!$G$90,Assumptions!$G$109)+$C$17179</f>
        <v>-0.08</v>
      </c>
      <c r="H17187" s="21" t="n">
        <f aca="false">CHOOSE($C$17178,Assumptions!$H$71,Assumptions!$H$90,Assumptions!$H$109)+$C$17179</f>
        <v>-0.07</v>
      </c>
      <c r="I17187" s="21" t="n">
        <f aca="false">CHOOSE($C$17178,Assumptions!$I$71,Assumptions!$I$90,Assumptions!$I$109)+$C$17179</f>
        <v>-0.06</v>
      </c>
      <c r="J17187" s="21" t="n">
        <f aca="false">CHOOSE($C$17178,Assumptions!$J$71,Assumptions!$J$90,Assumptions!$J$109)+$C$17179</f>
        <v>-0.05</v>
      </c>
      <c r="K17187" s="21" t="n">
        <f aca="false">CHOOSE($C$17178,Assumptions!$K$71,Assumptions!$K$90,Assumptions!$K$109)+$C$17179</f>
        <v>-0.05</v>
      </c>
    </row>
    <row r="17188" customFormat="false" ht="15" hidden="false" customHeight="false" outlineLevel="0" collapsed="false">
      <c r="A17188" s="3" t="s">
        <v>166</v>
      </c>
      <c r="G17188" s="21" t="n">
        <f aca="false">CHOOSE($C$17178,Assumptions!$G$72,Assumptions!$G$91,Assumptions!$G$110)</f>
        <v>0.463246670103635</v>
      </c>
      <c r="H17188" s="21" t="n">
        <f aca="false">CHOOSE($C$17178,Assumptions!$H$72,Assumptions!$H$91,Assumptions!$H$110)</f>
        <v>0.453246670103635</v>
      </c>
      <c r="I17188" s="21" t="n">
        <f aca="false">CHOOSE($C$17178,Assumptions!$I$72,Assumptions!$I$91,Assumptions!$I$110)</f>
        <v>0.448246670103634</v>
      </c>
      <c r="J17188" s="21" t="n">
        <f aca="false">CHOOSE($C$17178,Assumptions!$J$72,Assumptions!$J$91,Assumptions!$J$110)</f>
        <v>0.443246670103635</v>
      </c>
      <c r="K17188" s="21" t="n">
        <f aca="false">CHOOSE($C$17178,Assumptions!$K$72,Assumptions!$K$91,Assumptions!$K$110)</f>
        <v>0.443246670103635</v>
      </c>
    </row>
    <row r="17189" customFormat="false" ht="15" hidden="false" customHeight="false" outlineLevel="0" collapsed="false">
      <c r="A17189" s="3" t="s">
        <v>167</v>
      </c>
      <c r="G17189" s="21" t="n">
        <f aca="false">CHOOSE($C$17178,Assumptions!$G$73,Assumptions!$G$92,Assumptions!$G$111)+$C$17180</f>
        <v>0.12</v>
      </c>
      <c r="H17189" s="21" t="n">
        <f aca="false">CHOOSE($C$17178,Assumptions!$H$73,Assumptions!$H$92,Assumptions!$H$111)+$C$17180</f>
        <v>0.11</v>
      </c>
      <c r="I17189" s="21" t="n">
        <f aca="false">CHOOSE($C$17178,Assumptions!$I$73,Assumptions!$I$92,Assumptions!$I$111)+$C$17180</f>
        <v>0.105</v>
      </c>
      <c r="J17189" s="21" t="n">
        <f aca="false">CHOOSE($C$17178,Assumptions!$J$73,Assumptions!$J$92,Assumptions!$J$111)+$C$17180</f>
        <v>0.1</v>
      </c>
      <c r="K17189" s="21" t="n">
        <f aca="false">CHOOSE($C$17178,Assumptions!$K$73,Assumptions!$K$92,Assumptions!$K$111)+$C$17180</f>
        <v>0.1</v>
      </c>
    </row>
    <row r="17190" customFormat="false" ht="15" hidden="false" customHeight="false" outlineLevel="0" collapsed="false">
      <c r="A17190" s="23" t="s">
        <v>284</v>
      </c>
      <c r="B17190" s="24"/>
      <c r="C17190" s="24"/>
      <c r="D17190" s="24"/>
      <c r="E17190" s="24"/>
      <c r="F17190" s="24"/>
      <c r="G17190" s="24"/>
      <c r="H17190" s="24"/>
      <c r="I17190" s="24"/>
      <c r="J17190" s="24"/>
      <c r="K17190" s="24"/>
    </row>
    <row r="17191" customFormat="false" ht="15" hidden="false" customHeight="false" outlineLevel="0" collapsed="false">
      <c r="A17191" s="2" t="s">
        <v>256</v>
      </c>
      <c r="F17191" s="28" t="n">
        <f aca="false">'Historical Financials'!G23</f>
        <v>2246.166</v>
      </c>
      <c r="G17191" s="16" t="n">
        <f aca="false">F17191*(1+G17187)</f>
        <v>2066.47272</v>
      </c>
      <c r="H17191" s="16" t="n">
        <f aca="false">G17191*(1+H17187)</f>
        <v>1921.8196296</v>
      </c>
      <c r="I17191" s="16" t="n">
        <f aca="false">H17191*(1+I17187)</f>
        <v>1806.510451824</v>
      </c>
      <c r="J17191" s="16" t="n">
        <f aca="false">I17191*(1+J17187)</f>
        <v>1716.1849292328</v>
      </c>
      <c r="K17191" s="16" t="n">
        <f aca="false">J17191*(1+K17187)</f>
        <v>1630.37568277116</v>
      </c>
    </row>
    <row r="17192" customFormat="false" ht="15" hidden="false" customHeight="false" outlineLevel="0" collapsed="false">
      <c r="A17192" s="3" t="s">
        <v>257</v>
      </c>
      <c r="G17192" s="25" t="n">
        <f aca="false">G17191*(1-G17188)</f>
        <v>1109.1861136</v>
      </c>
      <c r="H17192" s="25" t="n">
        <f aca="false">H17191*(1-H17188)</f>
        <v>1050.761281944</v>
      </c>
      <c r="I17192" s="25" t="n">
        <f aca="false">I17191*(1-I17188)</f>
        <v>996.74815728648</v>
      </c>
      <c r="J17192" s="25" t="n">
        <f aca="false">J17191*(1-J17188)</f>
        <v>955.49167406832</v>
      </c>
      <c r="K17192" s="25" t="n">
        <f aca="false">K17191*(1-K17188)</f>
        <v>907.717090364904</v>
      </c>
    </row>
    <row r="17193" customFormat="false" ht="15" hidden="false" customHeight="false" outlineLevel="0" collapsed="false">
      <c r="A17193" s="2" t="s">
        <v>258</v>
      </c>
      <c r="G17193" s="16" t="n">
        <f aca="false">G17191-G17192</f>
        <v>957.2866064</v>
      </c>
      <c r="H17193" s="16" t="n">
        <f aca="false">H17191-H17192</f>
        <v>871.058347656</v>
      </c>
      <c r="I17193" s="16" t="n">
        <f aca="false">I17191-I17192</f>
        <v>809.76229453752</v>
      </c>
      <c r="J17193" s="16" t="n">
        <f aca="false">J17191-J17192</f>
        <v>760.69325516448</v>
      </c>
      <c r="K17193" s="16" t="n">
        <f aca="false">K17191-K17192</f>
        <v>722.658592406256</v>
      </c>
    </row>
    <row r="17194" customFormat="false" ht="15" hidden="false" customHeight="false" outlineLevel="0" collapsed="false">
      <c r="A17194" s="3" t="s">
        <v>285</v>
      </c>
      <c r="G17194" s="25" t="n">
        <f aca="false">G17193-G17195</f>
        <v>709.30988</v>
      </c>
      <c r="H17194" s="25" t="n">
        <f aca="false">H17193-H17195</f>
        <v>659.6581884</v>
      </c>
      <c r="I17194" s="25" t="n">
        <f aca="false">I17193-I17195</f>
        <v>620.078697096</v>
      </c>
      <c r="J17194" s="25" t="n">
        <f aca="false">J17193-J17195</f>
        <v>589.0747622412</v>
      </c>
      <c r="K17194" s="25" t="n">
        <f aca="false">K17193-K17195</f>
        <v>559.62102412914</v>
      </c>
    </row>
    <row r="17195" customFormat="false" ht="15" hidden="false" customHeight="false" outlineLevel="0" collapsed="false">
      <c r="A17195" s="2" t="s">
        <v>286</v>
      </c>
      <c r="G17195" s="16" t="n">
        <f aca="false">G17191*G17189</f>
        <v>247.9767264</v>
      </c>
      <c r="H17195" s="16" t="n">
        <f aca="false">H17191*H17189</f>
        <v>211.400159256</v>
      </c>
      <c r="I17195" s="16" t="n">
        <f aca="false">I17191*I17189</f>
        <v>189.68359744152</v>
      </c>
      <c r="J17195" s="16" t="n">
        <f aca="false">J17191*J17189</f>
        <v>171.61849292328</v>
      </c>
      <c r="K17195" s="16" t="n">
        <f aca="false">K17191*K17189</f>
        <v>163.037568277116</v>
      </c>
    </row>
    <row r="17196" customFormat="false" ht="15" hidden="false" customHeight="false" outlineLevel="0" collapsed="false">
      <c r="A17196" s="3" t="s">
        <v>287</v>
      </c>
      <c r="G17196" s="25" t="n">
        <f aca="false">G17191*'Historical Financials'!G28/'Historical Financials'!G23</f>
        <v>78.47232</v>
      </c>
      <c r="H17196" s="25" t="n">
        <f aca="false">H17191*'Historical Financials'!G28/'Historical Financials'!G23</f>
        <v>72.9792576</v>
      </c>
      <c r="I17196" s="25" t="n">
        <f aca="false">I17191*'Historical Financials'!G28/'Historical Financials'!G23</f>
        <v>68.600502144</v>
      </c>
      <c r="J17196" s="25" t="n">
        <f aca="false">J17191*'Historical Financials'!G28/'Historical Financials'!G23</f>
        <v>65.1704770368</v>
      </c>
      <c r="K17196" s="25" t="n">
        <f aca="false">K17191*'Historical Financials'!G28/'Historical Financials'!G23</f>
        <v>61.91195318496</v>
      </c>
    </row>
    <row r="17197" customFormat="false" ht="15" hidden="false" customHeight="false" outlineLevel="0" collapsed="false">
      <c r="A17197" s="3" t="s">
        <v>288</v>
      </c>
      <c r="G17197" s="25" t="n">
        <f aca="false">G17191*'Historical Financials'!G29/'Historical Financials'!G23</f>
        <v>22.40752</v>
      </c>
      <c r="H17197" s="25" t="n">
        <f aca="false">H17191*'Historical Financials'!G29/'Historical Financials'!G23</f>
        <v>20.8389936</v>
      </c>
      <c r="I17197" s="25" t="n">
        <f aca="false">I17191*'Historical Financials'!G29/'Historical Financials'!G23</f>
        <v>19.588653984</v>
      </c>
      <c r="J17197" s="25" t="n">
        <f aca="false">J17191*'Historical Financials'!G29/'Historical Financials'!G23</f>
        <v>18.6092212848</v>
      </c>
      <c r="K17197" s="25" t="n">
        <f aca="false">K17191*'Historical Financials'!G29/'Historical Financials'!G23</f>
        <v>17.67876022056</v>
      </c>
    </row>
    <row r="17198" customFormat="false" ht="15" hidden="false" customHeight="false" outlineLevel="0" collapsed="false">
      <c r="A17198" s="2" t="s">
        <v>289</v>
      </c>
      <c r="G17198" s="16" t="n">
        <f aca="false">G17195-G17196-G17197</f>
        <v>147.0968864</v>
      </c>
      <c r="H17198" s="16" t="n">
        <f aca="false">H17195-H17196-H17197</f>
        <v>117.581908056</v>
      </c>
      <c r="I17198" s="16" t="n">
        <f aca="false">I17195-I17196-I17197</f>
        <v>101.49444131352</v>
      </c>
      <c r="J17198" s="16" t="n">
        <f aca="false">J17195-J17196-J17197</f>
        <v>87.83879460168</v>
      </c>
      <c r="K17198" s="16" t="n">
        <f aca="false">K17195-K17196-K17197</f>
        <v>83.446854871596</v>
      </c>
    </row>
    <row r="17199" customFormat="false" ht="15" hidden="false" customHeight="false" outlineLevel="0" collapsed="false">
      <c r="A17199" s="3" t="s">
        <v>290</v>
      </c>
      <c r="G17199" s="25" t="n">
        <f aca="false">G17225+G17238+G17251</f>
        <v>155.95467</v>
      </c>
      <c r="H17199" s="25" t="n">
        <f aca="false">H17225+H17238+H17251</f>
        <v>155.95467</v>
      </c>
      <c r="I17199" s="25" t="n">
        <f aca="false">I17225+I17238+I17251</f>
        <v>155.95467</v>
      </c>
      <c r="J17199" s="25" t="n">
        <f aca="false">J17225+J17238+J17251</f>
        <v>138.08529</v>
      </c>
      <c r="K17199" s="25" t="n">
        <f aca="false">K17225+K17238+K17251</f>
        <v>138.08529</v>
      </c>
    </row>
    <row r="17200" customFormat="false" ht="15" hidden="false" customHeight="false" outlineLevel="0" collapsed="false">
      <c r="A17200" s="3" t="s">
        <v>291</v>
      </c>
      <c r="G17200" s="25" t="n">
        <f aca="false">G17226+G17239+G17252</f>
        <v>0</v>
      </c>
      <c r="H17200" s="25" t="n">
        <f aca="false">H17226+H17239+H17252</f>
        <v>0</v>
      </c>
      <c r="I17200" s="25" t="n">
        <f aca="false">I17226+I17239+I17252</f>
        <v>0</v>
      </c>
      <c r="J17200" s="25" t="n">
        <f aca="false">J17226+J17239+J17252</f>
        <v>0</v>
      </c>
      <c r="K17200" s="25" t="n">
        <f aca="false">K17226+K17239+K17252</f>
        <v>0</v>
      </c>
    </row>
    <row r="17201" customFormat="false" ht="15" hidden="false" customHeight="false" outlineLevel="0" collapsed="false">
      <c r="A17201" s="3" t="s">
        <v>239</v>
      </c>
      <c r="G17201" s="25" t="n">
        <f aca="false">G17199+G17200</f>
        <v>155.95467</v>
      </c>
      <c r="H17201" s="25" t="n">
        <f aca="false">H17199+H17200</f>
        <v>155.95467</v>
      </c>
      <c r="I17201" s="25" t="n">
        <f aca="false">I17199+I17200</f>
        <v>155.95467</v>
      </c>
      <c r="J17201" s="25" t="n">
        <f aca="false">J17199+J17200</f>
        <v>138.08529</v>
      </c>
      <c r="K17201" s="25" t="n">
        <f aca="false">K17199+K17200</f>
        <v>138.08529</v>
      </c>
    </row>
    <row r="17202" customFormat="false" ht="15" hidden="false" customHeight="false" outlineLevel="0" collapsed="false">
      <c r="A17202" s="2" t="s">
        <v>264</v>
      </c>
      <c r="G17202" s="16" t="n">
        <f aca="false">G17198-G17201</f>
        <v>-8.85778360000006</v>
      </c>
      <c r="H17202" s="16" t="n">
        <f aca="false">H17198-H17201</f>
        <v>-38.372761944</v>
      </c>
      <c r="I17202" s="16" t="n">
        <f aca="false">I17198-I17201</f>
        <v>-54.46022868648</v>
      </c>
      <c r="J17202" s="16" t="n">
        <f aca="false">J17198-J17201</f>
        <v>-50.24649539832</v>
      </c>
      <c r="K17202" s="16" t="n">
        <f aca="false">K17198-K17201</f>
        <v>-54.638435128404</v>
      </c>
    </row>
    <row r="17203" customFormat="false" ht="15" hidden="false" customHeight="false" outlineLevel="0" collapsed="false">
      <c r="A17203" s="3" t="s">
        <v>292</v>
      </c>
      <c r="G17203" s="25" t="n">
        <f aca="false">MAX(0,G17202)*Assumptions!$C$9</f>
        <v>0</v>
      </c>
      <c r="H17203" s="25" t="n">
        <f aca="false">MAX(0,H17202)*Assumptions!$C$9</f>
        <v>0</v>
      </c>
      <c r="I17203" s="25" t="n">
        <f aca="false">MAX(0,I17202)*Assumptions!$C$9</f>
        <v>0</v>
      </c>
      <c r="J17203" s="25" t="n">
        <f aca="false">MAX(0,J17202)*Assumptions!$C$9</f>
        <v>0</v>
      </c>
      <c r="K17203" s="25" t="n">
        <f aca="false">MAX(0,K17202)*Assumptions!$C$9</f>
        <v>0</v>
      </c>
    </row>
    <row r="17204" customFormat="false" ht="15" hidden="false" customHeight="false" outlineLevel="0" collapsed="false">
      <c r="A17204" s="2" t="s">
        <v>293</v>
      </c>
      <c r="G17204" s="16" t="n">
        <f aca="false">G17202-G17203</f>
        <v>-8.85778360000006</v>
      </c>
      <c r="H17204" s="16" t="n">
        <f aca="false">H17202-H17203</f>
        <v>-38.372761944</v>
      </c>
      <c r="I17204" s="16" t="n">
        <f aca="false">I17202-I17203</f>
        <v>-54.46022868648</v>
      </c>
      <c r="J17204" s="16" t="n">
        <f aca="false">J17202-J17203</f>
        <v>-50.24649539832</v>
      </c>
      <c r="K17204" s="16" t="n">
        <f aca="false">K17202-K17203</f>
        <v>-54.638435128404</v>
      </c>
    </row>
    <row r="17205" customFormat="false" ht="15" hidden="false" customHeight="false" outlineLevel="0" collapsed="false">
      <c r="A17205" s="23" t="s">
        <v>294</v>
      </c>
      <c r="B17205" s="24"/>
      <c r="C17205" s="24"/>
      <c r="D17205" s="24"/>
      <c r="E17205" s="24"/>
      <c r="F17205" s="24"/>
      <c r="G17205" s="24"/>
      <c r="H17205" s="24"/>
      <c r="I17205" s="24"/>
      <c r="J17205" s="24"/>
      <c r="K17205" s="24"/>
    </row>
    <row r="17206" customFormat="false" ht="15" hidden="false" customHeight="false" outlineLevel="0" collapsed="false">
      <c r="A17206" s="3" t="s">
        <v>169</v>
      </c>
      <c r="G17206" s="25" t="n">
        <f aca="false">G17191*CHOOSE($C$17178,Assumptions!$C$75,Assumptions!$C$94,Assumptions!$C$113)</f>
        <v>26.86414536</v>
      </c>
      <c r="H17206" s="25" t="n">
        <f aca="false">H17191*CHOOSE($C$17178,Assumptions!$C$75,Assumptions!$C$94,Assumptions!$C$113)</f>
        <v>24.9836551848</v>
      </c>
      <c r="I17206" s="25" t="n">
        <f aca="false">I17191*CHOOSE($C$17178,Assumptions!$C$75,Assumptions!$C$94,Assumptions!$C$113)</f>
        <v>23.484635873712</v>
      </c>
      <c r="J17206" s="25" t="n">
        <f aca="false">J17191*CHOOSE($C$17178,Assumptions!$C$75,Assumptions!$C$94,Assumptions!$C$113)</f>
        <v>22.3104040800264</v>
      </c>
      <c r="K17206" s="25" t="n">
        <f aca="false">K17191*CHOOSE($C$17178,Assumptions!$C$75,Assumptions!$C$94,Assumptions!$C$113)</f>
        <v>21.1948838760251</v>
      </c>
    </row>
    <row r="17207" customFormat="false" ht="15" hidden="false" customHeight="false" outlineLevel="0" collapsed="false">
      <c r="A17207" s="3" t="s">
        <v>295</v>
      </c>
      <c r="G17207" s="25" t="n">
        <f aca="false">CHOOSE($C$17178,Assumptions!$C$76,Assumptions!$C$95,Assumptions!$C$114)*(G17191-F17191)+CHOOSE($C$17178,Assumptions!$C$77,Assumptions!$C$96,Assumptions!$C$115)*G17191</f>
        <v>10.3323636</v>
      </c>
      <c r="H17207" s="25" t="n">
        <f aca="false">CHOOSE($C$17178,Assumptions!$C$76,Assumptions!$C$95,Assumptions!$C$114)*(H17191-G17191)+CHOOSE($C$17178,Assumptions!$C$77,Assumptions!$C$96,Assumptions!$C$115)*H17191</f>
        <v>9.609098148</v>
      </c>
      <c r="I17207" s="25" t="n">
        <f aca="false">CHOOSE($C$17178,Assumptions!$C$76,Assumptions!$C$95,Assumptions!$C$114)*(I17191-H17191)+CHOOSE($C$17178,Assumptions!$C$77,Assumptions!$C$96,Assumptions!$C$115)*I17191</f>
        <v>9.03255225912</v>
      </c>
      <c r="J17207" s="25" t="n">
        <f aca="false">CHOOSE($C$17178,Assumptions!$C$76,Assumptions!$C$95,Assumptions!$C$114)*(J17191-I17191)+CHOOSE($C$17178,Assumptions!$C$77,Assumptions!$C$96,Assumptions!$C$115)*J17191</f>
        <v>8.580924646164</v>
      </c>
      <c r="K17207" s="25" t="n">
        <f aca="false">CHOOSE($C$17178,Assumptions!$C$76,Assumptions!$C$95,Assumptions!$C$114)*(K17191-J17191)+CHOOSE($C$17178,Assumptions!$C$77,Assumptions!$C$96,Assumptions!$C$115)*K17191</f>
        <v>8.1518784138558</v>
      </c>
    </row>
    <row r="17208" customFormat="false" ht="15" hidden="false" customHeight="false" outlineLevel="0" collapsed="false">
      <c r="A17208" s="2" t="s">
        <v>296</v>
      </c>
      <c r="G17208" s="16" t="n">
        <f aca="false">G17204+G17196+G17197+G17200-G17206-G17207</f>
        <v>54.8255474399999</v>
      </c>
      <c r="H17208" s="16" t="n">
        <f aca="false">H17204+H17196+H17197+H17200-H17206-H17207</f>
        <v>20.8527359232</v>
      </c>
      <c r="I17208" s="16" t="n">
        <f aca="false">I17204+I17196+I17197+I17200-I17206-I17207</f>
        <v>1.21173930868796</v>
      </c>
      <c r="J17208" s="16" t="n">
        <f aca="false">J17204+J17196+J17197+J17200-J17206-J17207</f>
        <v>2.6418741970896</v>
      </c>
      <c r="K17208" s="16" t="n">
        <f aca="false">K17204+K17196+K17197+K17200-K17206-K17207</f>
        <v>-4.39448401276491</v>
      </c>
    </row>
    <row r="17210" customFormat="false" ht="15" hidden="false" customHeight="false" outlineLevel="0" collapsed="false">
      <c r="A17210" s="23" t="s">
        <v>298</v>
      </c>
      <c r="B17210" s="24"/>
      <c r="C17210" s="24"/>
      <c r="D17210" s="24"/>
      <c r="E17210" s="24"/>
      <c r="F17210" s="24"/>
      <c r="G17210" s="24"/>
      <c r="H17210" s="24"/>
      <c r="I17210" s="24"/>
      <c r="J17210" s="24"/>
      <c r="K17210" s="24"/>
    </row>
    <row r="17211" customFormat="false" ht="15" hidden="false" customHeight="false" outlineLevel="0" collapsed="false">
      <c r="A17211" s="3" t="s">
        <v>299</v>
      </c>
      <c r="G17211" s="30" t="n">
        <f aca="false">Assumptions!$G$52</f>
        <v>0.039</v>
      </c>
      <c r="H17211" s="30" t="n">
        <f aca="false">Assumptions!$H$52</f>
        <v>0.0375</v>
      </c>
      <c r="I17211" s="30" t="n">
        <f aca="false">Assumptions!$I$52</f>
        <v>0.035</v>
      </c>
      <c r="J17211" s="30" t="n">
        <f aca="false">Assumptions!$J$52</f>
        <v>0.035</v>
      </c>
      <c r="K17211" s="30" t="n">
        <f aca="false">Assumptions!$K$52</f>
        <v>0.035</v>
      </c>
    </row>
    <row r="17212" customFormat="false" ht="15" hidden="false" customHeight="false" outlineLevel="0" collapsed="false">
      <c r="A17212" s="3" t="s">
        <v>300</v>
      </c>
      <c r="C17212" s="31" t="n">
        <f aca="false">CHOOSE($C$17178,Assumptions!$C$78,Assumptions!$C$97,Assumptions!$C$116)+$C$17181</f>
        <v>0.015</v>
      </c>
    </row>
    <row r="17213" customFormat="false" ht="15" hidden="false" customHeight="false" outlineLevel="0" collapsed="false">
      <c r="A17213" s="3" t="s">
        <v>301</v>
      </c>
      <c r="C17213" s="31" t="n">
        <f aca="false">CHOOSE($C$17178,Assumptions!$C$79,Assumptions!$C$98,Assumptions!$C$117)</f>
        <v>0.13</v>
      </c>
    </row>
    <row r="17214" customFormat="false" ht="15" hidden="false" customHeight="false" outlineLevel="0" collapsed="false">
      <c r="A17214" s="3" t="s">
        <v>302</v>
      </c>
      <c r="C17214" s="32" t="n">
        <f aca="false">CHOOSE($C$17178,Assumptions!$C$80,Assumptions!$C$99,Assumptions!$C$118)</f>
        <v>5.5</v>
      </c>
    </row>
    <row r="17215" customFormat="false" ht="15" hidden="false" customHeight="false" outlineLevel="0" collapsed="false">
      <c r="A17215" s="3" t="s">
        <v>303</v>
      </c>
      <c r="C17215" s="32" t="n">
        <f aca="false">CHOOSE($C$17178,Assumptions!$C$81,Assumptions!$C$100,Assumptions!$C$119)</f>
        <v>1.5</v>
      </c>
    </row>
    <row r="17216" customFormat="false" ht="15" hidden="false" customHeight="false" outlineLevel="0" collapsed="false">
      <c r="A17216" s="3" t="s">
        <v>304</v>
      </c>
      <c r="G17216" s="25" t="n">
        <f aca="false">G17221+G17234+G17247</f>
        <v>1735.554</v>
      </c>
      <c r="H17216" s="25" t="n">
        <f aca="false">H17221+H17234+H17247</f>
        <v>1735.554</v>
      </c>
      <c r="I17216" s="25" t="n">
        <f aca="false">I17221+I17234+I17247</f>
        <v>1735.554</v>
      </c>
      <c r="J17216" s="25" t="n">
        <f aca="false">J17221+J17234+J17247</f>
        <v>1315.098</v>
      </c>
      <c r="K17216" s="25" t="n">
        <f aca="false">K17221+K17234+K17247</f>
        <v>1315.098</v>
      </c>
    </row>
    <row r="17217" customFormat="false" ht="15" hidden="false" customHeight="false" outlineLevel="0" collapsed="false">
      <c r="A17217" s="3" t="s">
        <v>305</v>
      </c>
      <c r="G17217" s="25" t="n">
        <f aca="false">F17290</f>
        <v>463.996</v>
      </c>
      <c r="H17217" s="25" t="n">
        <f aca="false">G17290</f>
        <v>518.82154744</v>
      </c>
      <c r="I17217" s="25" t="n">
        <f aca="false">H17290</f>
        <v>539.6742833632</v>
      </c>
      <c r="J17217" s="25" t="n">
        <f aca="false">I17290</f>
        <v>120.430022671888</v>
      </c>
      <c r="K17217" s="25" t="n">
        <f aca="false">J17290</f>
        <v>123.071896868977</v>
      </c>
    </row>
    <row r="17218" customFormat="false" ht="15" hidden="false" customHeight="false" outlineLevel="0" collapsed="false">
      <c r="A17218" s="3" t="s">
        <v>306</v>
      </c>
      <c r="G17218" s="25" t="n">
        <f aca="false">G17221*IF(G17222=1,$C$17213,IF(Assumptions!$I$56=1,MAX(G17211,Assumptions!$G$56)+Assumptions!$F$56+$C$17212,Assumptions!$E$56))+G17234*IF(G17235=1,$C$17213,IF(Assumptions!$I$57=1,MAX(G17211,Assumptions!$G$57)+Assumptions!$F$57+$C$17212,Assumptions!$E$57))+G17247*IF(G17248=1,$C$17213,IF(Assumptions!$I$58=1,MAX(G17211,Assumptions!$G$58)+Assumptions!$F$58+$C$17212,Assumptions!$E$58))</f>
        <v>155.95467</v>
      </c>
      <c r="H17218" s="25" t="n">
        <f aca="false">H17221*IF(OR(H17222=1,G17368=1),$C$17213,IF(Assumptions!$I$56=1,MAX(H17211,Assumptions!$G$56)+Assumptions!$F$56+$C$17212,Assumptions!$E$56))+H17234*IF(OR(H17235=1,G17369=1),$C$17213,IF(Assumptions!$I$57=1,MAX(H17211,Assumptions!$G$57)+Assumptions!$F$57+$C$17212,Assumptions!$E$57))+H17247*IF(OR(H17248=1,G17370=1),$C$17213,IF(Assumptions!$I$58=1,MAX(H17211,Assumptions!$G$58)+Assumptions!$F$58+$C$17212,Assumptions!$E$58))</f>
        <v>155.95467</v>
      </c>
      <c r="I17218" s="25" t="n">
        <f aca="false">I17221*IF(OR(I17222=1,H17368=1),$C$17213,IF(Assumptions!$I$56=1,MAX(I17211,Assumptions!$G$56)+Assumptions!$F$56+$C$17212,Assumptions!$E$56))+I17234*IF(OR(I17235=1,H17369=1),$C$17213,IF(Assumptions!$I$57=1,MAX(I17211,Assumptions!$G$57)+Assumptions!$F$57+$C$17212,Assumptions!$E$57))+I17247*IF(OR(I17248=1,H17370=1),$C$17213,IF(Assumptions!$I$58=1,MAX(I17211,Assumptions!$G$58)+Assumptions!$F$58+$C$17212,Assumptions!$E$58))</f>
        <v>192.74457</v>
      </c>
      <c r="J17218" s="25" t="n">
        <f aca="false">J17221*IF(OR(J17222=1,I17368=1),$C$17213,IF(Assumptions!$I$56=1,MAX(J17211,Assumptions!$G$56)+Assumptions!$F$56+$C$17212,Assumptions!$E$56))+J17234*IF(OR(J17235=1,I17369=1),$C$17213,IF(Assumptions!$I$57=1,MAX(J17211,Assumptions!$G$57)+Assumptions!$F$57+$C$17212,Assumptions!$E$57))+J17247*IF(OR(J17248=1,I17370=1),$C$17213,IF(Assumptions!$I$58=1,MAX(J17211,Assumptions!$G$58)+Assumptions!$F$58+$C$17212,Assumptions!$E$58))</f>
        <v>138.08529</v>
      </c>
      <c r="K17218" s="25" t="n">
        <f aca="false">K17221*IF(OR(K17222=1,J17368=1),$C$17213,IF(Assumptions!$I$56=1,MAX(K17211,Assumptions!$G$56)+Assumptions!$F$56+$C$17212,Assumptions!$E$56))+K17234*IF(OR(K17235=1,J17369=1),$C$17213,IF(Assumptions!$I$57=1,MAX(K17211,Assumptions!$G$57)+Assumptions!$F$57+$C$17212,Assumptions!$E$57))+K17247*IF(OR(K17248=1,J17370=1),$C$17213,IF(Assumptions!$I$58=1,MAX(K17211,Assumptions!$G$58)+Assumptions!$F$58+$C$17212,Assumptions!$E$58))</f>
        <v>138.08529</v>
      </c>
    </row>
    <row r="17219" customFormat="false" ht="15" hidden="false" customHeight="false" outlineLevel="0" collapsed="false">
      <c r="A17219" s="3" t="s">
        <v>307</v>
      </c>
      <c r="G17219" s="20" t="n">
        <f aca="false">IF(G17195&lt;=0,0,IF(AND((G17216-G17217)/G17195&lt;=$C$17214,G17195/G17218&gt;=$C$17215),1,0))</f>
        <v>1</v>
      </c>
      <c r="H17219" s="20" t="n">
        <f aca="false">IF(H17195&lt;=0,0,IF(AND((H17216-H17217)/H17195&lt;=$C$17214,H17195/H17218&gt;=$C$17215),1,0))</f>
        <v>0</v>
      </c>
      <c r="I17219" s="20" t="n">
        <f aca="false">IF(I17195&lt;=0,0,IF(AND((I17216-I17217)/I17195&lt;=$C$17214,I17195/I17218&gt;=$C$17215),1,0))</f>
        <v>0</v>
      </c>
      <c r="J17219" s="20" t="n">
        <f aca="false">IF(J17195&lt;=0,0,IF(AND((J17216-J17217)/J17195&lt;=$C$17214,J17195/J17218&gt;=$C$17215),1,0))</f>
        <v>0</v>
      </c>
      <c r="K17219" s="20" t="n">
        <f aca="false">IF(K17195&lt;=0,0,IF(AND((K17216-K17217)/K17195&lt;=$C$17214,K17195/K17218&gt;=$C$17215),1,0))</f>
        <v>0</v>
      </c>
    </row>
    <row r="17220" customFormat="false" ht="15" hidden="false" customHeight="false" outlineLevel="0" collapsed="false">
      <c r="A17220" s="23" t="s">
        <v>308</v>
      </c>
      <c r="B17220" s="24"/>
      <c r="C17220" s="24"/>
      <c r="D17220" s="24"/>
      <c r="E17220" s="24"/>
      <c r="F17220" s="24"/>
      <c r="G17220" s="24"/>
      <c r="H17220" s="24"/>
      <c r="I17220" s="24"/>
      <c r="J17220" s="24"/>
      <c r="K17220" s="24"/>
    </row>
    <row r="17221" customFormat="false" ht="15" hidden="false" customHeight="false" outlineLevel="0" collapsed="false">
      <c r="A17221" s="3" t="s">
        <v>309</v>
      </c>
      <c r="G17221" s="25" t="n">
        <f aca="false">F17232</f>
        <v>1315.098</v>
      </c>
      <c r="H17221" s="25" t="n">
        <f aca="false">G17232</f>
        <v>1315.098</v>
      </c>
      <c r="I17221" s="25" t="n">
        <f aca="false">H17232</f>
        <v>1315.098</v>
      </c>
      <c r="J17221" s="25" t="n">
        <f aca="false">I17232</f>
        <v>1315.098</v>
      </c>
      <c r="K17221" s="25" t="n">
        <f aca="false">J17232</f>
        <v>1315.098</v>
      </c>
    </row>
    <row r="17222" customFormat="false" ht="15" hidden="false" customHeight="false" outlineLevel="0" collapsed="false">
      <c r="A17222" s="3" t="s">
        <v>310</v>
      </c>
      <c r="G17222" s="20" t="n">
        <f aca="false">IF(G17185=Assumptions!$K$56,1,0)</f>
        <v>0</v>
      </c>
      <c r="H17222" s="20" t="n">
        <f aca="false">IF(H17185=Assumptions!$K$56,1,0)</f>
        <v>0</v>
      </c>
      <c r="I17222" s="20" t="n">
        <f aca="false">IF(I17185=Assumptions!$K$56,1,0)</f>
        <v>0</v>
      </c>
      <c r="J17222" s="20" t="n">
        <f aca="false">IF(J17185=Assumptions!$K$56,1,0)</f>
        <v>0</v>
      </c>
      <c r="K17222" s="20" t="n">
        <f aca="false">IF(K17185=Assumptions!$K$56,1,0)</f>
        <v>0</v>
      </c>
    </row>
    <row r="17224" customFormat="false" ht="15" hidden="false" customHeight="false" outlineLevel="0" collapsed="false">
      <c r="A17224" s="3" t="s">
        <v>311</v>
      </c>
      <c r="G17224" s="31" t="n">
        <f aca="false">IF(Assumptions!$I$56=1,MAX(G17211,Assumptions!$G$56)+Assumptions!$F$56+$C$17212,Assumptions!$E$56)</f>
        <v>0.105</v>
      </c>
      <c r="H17224" s="31" t="n">
        <f aca="false">IF(G17368=1,$C$17213,IF(Assumptions!$I$56=1,MAX(H17211,Assumptions!$G$56)+Assumptions!$F$56+$C$17212,Assumptions!$E$56))</f>
        <v>0.105</v>
      </c>
      <c r="I17224" s="31" t="n">
        <f aca="false">IF(H17368=1,$C$17213,IF(Assumptions!$I$56=1,MAX(I17211,Assumptions!$G$56)+Assumptions!$F$56+$C$17212,Assumptions!$E$56))</f>
        <v>0.105</v>
      </c>
      <c r="J17224" s="31" t="n">
        <f aca="false">IF(I17368=1,$C$17213,IF(Assumptions!$I$56=1,MAX(J17211,Assumptions!$G$56)+Assumptions!$F$56+$C$17212,Assumptions!$E$56))</f>
        <v>0.105</v>
      </c>
      <c r="K17224" s="31" t="n">
        <f aca="false">IF(J17368=1,$C$17213,IF(Assumptions!$I$56=1,MAX(K17211,Assumptions!$G$56)+Assumptions!$F$56+$C$17212,Assumptions!$E$56))</f>
        <v>0.105</v>
      </c>
    </row>
    <row r="17225" customFormat="false" ht="15" hidden="false" customHeight="false" outlineLevel="0" collapsed="false">
      <c r="A17225" s="3" t="s">
        <v>312</v>
      </c>
      <c r="G17225" s="25" t="n">
        <f aca="false">G17221*G17224</f>
        <v>138.08529</v>
      </c>
      <c r="H17225" s="25" t="n">
        <f aca="false">H17221*H17224</f>
        <v>138.08529</v>
      </c>
      <c r="I17225" s="25" t="n">
        <f aca="false">I17221*I17224</f>
        <v>138.08529</v>
      </c>
      <c r="J17225" s="25" t="n">
        <f aca="false">J17221*J17224</f>
        <v>138.08529</v>
      </c>
      <c r="K17225" s="25" t="n">
        <f aca="false">K17221*K17224</f>
        <v>138.08529</v>
      </c>
    </row>
    <row r="17226" customFormat="false" ht="15" hidden="false" customHeight="false" outlineLevel="0" collapsed="false">
      <c r="A17226" s="3" t="s">
        <v>313</v>
      </c>
      <c r="G17226" s="25" t="n">
        <f aca="false">G17221*Assumptions!$H$56</f>
        <v>0</v>
      </c>
      <c r="H17226" s="25" t="n">
        <f aca="false">H17221*Assumptions!$H$56</f>
        <v>0</v>
      </c>
      <c r="I17226" s="25" t="n">
        <f aca="false">I17221*Assumptions!$H$56</f>
        <v>0</v>
      </c>
      <c r="J17226" s="25" t="n">
        <f aca="false">J17221*Assumptions!$H$56</f>
        <v>0</v>
      </c>
      <c r="K17226" s="25" t="n">
        <f aca="false">K17221*Assumptions!$H$56</f>
        <v>0</v>
      </c>
    </row>
    <row r="17227" customFormat="false" ht="15" hidden="false" customHeight="false" outlineLevel="0" collapsed="false">
      <c r="A17227" s="3" t="s">
        <v>314</v>
      </c>
      <c r="G17227" s="25" t="n">
        <f aca="false">MIN(G17221,Assumptions!$L$56*Assumptions!$C$56)</f>
        <v>0</v>
      </c>
      <c r="H17227" s="25" t="n">
        <f aca="false">MIN(H17221,Assumptions!$L$56*Assumptions!$C$56)</f>
        <v>0</v>
      </c>
      <c r="I17227" s="25" t="n">
        <f aca="false">MIN(I17221,Assumptions!$L$56*Assumptions!$C$56)</f>
        <v>0</v>
      </c>
      <c r="J17227" s="25" t="n">
        <f aca="false">MIN(J17221,Assumptions!$L$56*Assumptions!$C$56)</f>
        <v>0</v>
      </c>
      <c r="K17227" s="25" t="n">
        <f aca="false">MIN(K17221,Assumptions!$L$56*Assumptions!$C$56)</f>
        <v>0</v>
      </c>
    </row>
    <row r="17228" customFormat="false" ht="15" hidden="false" customHeight="false" outlineLevel="0" collapsed="false">
      <c r="A17228" s="3" t="s">
        <v>315</v>
      </c>
      <c r="G17228" s="25" t="n">
        <f aca="false">IF(AND(Assumptions!$P$56=1,G17185&lt;Assumptions!$K$56),MIN(MAX(0,-G17282),MAX(0,Assumptions!$D$56-G17221)),0)</f>
        <v>0</v>
      </c>
      <c r="H17228" s="25" t="n">
        <f aca="false">IF(AND(Assumptions!$P$56=1,OR(H17185&lt;Assumptions!$K$56,G17368=1)),MIN(MAX(0,-H17282),MAX(0,Assumptions!$D$56-H17221)),0)</f>
        <v>0</v>
      </c>
      <c r="I17228" s="25" t="n">
        <f aca="false">IF(AND(Assumptions!$P$56=1,OR(I17185&lt;Assumptions!$K$56,H17368=1)),MIN(MAX(0,-I17282),MAX(0,Assumptions!$D$56-I17221)),0)</f>
        <v>0</v>
      </c>
      <c r="J17228" s="25" t="n">
        <f aca="false">IF(AND(Assumptions!$P$56=1,OR(J17185&lt;Assumptions!$K$56,I17368=1)),MIN(MAX(0,-J17282),MAX(0,Assumptions!$D$56-J17221)),0)</f>
        <v>0</v>
      </c>
      <c r="K17228" s="25" t="n">
        <f aca="false">IF(AND(Assumptions!$P$56=1,OR(K17185&lt;Assumptions!$K$56,J17368=1)),MIN(MAX(0,-K17282),MAX(0,Assumptions!$D$56-K17221)),0)</f>
        <v>0</v>
      </c>
    </row>
    <row r="17229" customFormat="false" ht="15" hidden="false" customHeight="false" outlineLevel="0" collapsed="false">
      <c r="A17229" s="3" t="s">
        <v>316</v>
      </c>
      <c r="G17229" s="25" t="n">
        <f aca="false">G17222*MIN(G17221-G17227+G17226,MAX(0,G17284-Assumptions!$C$12*G17219))</f>
        <v>0</v>
      </c>
      <c r="H17229" s="25" t="n">
        <f aca="false">H17222*MIN(H17221-H17227+H17226,MAX(0,H17284-Assumptions!$C$12*H17219))</f>
        <v>0</v>
      </c>
      <c r="I17229" s="25" t="n">
        <f aca="false">I17222*MIN(I17221-I17227+I17226,MAX(0,I17284-Assumptions!$C$12*I17219))</f>
        <v>0</v>
      </c>
      <c r="J17229" s="25" t="n">
        <f aca="false">J17222*MIN(J17221-J17227+J17226,MAX(0,J17284-Assumptions!$C$12*J17219))</f>
        <v>0</v>
      </c>
      <c r="K17229" s="25" t="n">
        <f aca="false">K17222*MIN(K17221-K17227+K17226,MAX(0,K17284-Assumptions!$C$12*K17219))</f>
        <v>0</v>
      </c>
    </row>
    <row r="17230" customFormat="false" ht="15" hidden="false" customHeight="false" outlineLevel="0" collapsed="false">
      <c r="A17230" s="3" t="s">
        <v>317</v>
      </c>
      <c r="G17230" s="25" t="n">
        <f aca="false">Assumptions!$N$56*MIN(G17221+G17228+G17226-G17227-G17229,MAX(0,G17288))</f>
        <v>0</v>
      </c>
      <c r="H17230" s="25" t="n">
        <f aca="false">Assumptions!$N$56*MIN(H17221+H17228+H17226-H17227-H17229,MAX(0,H17288))</f>
        <v>0</v>
      </c>
      <c r="I17230" s="25" t="n">
        <f aca="false">Assumptions!$N$56*MIN(I17221+I17228+I17226-I17227-I17229,MAX(0,I17288))</f>
        <v>0</v>
      </c>
      <c r="J17230" s="25" t="n">
        <f aca="false">Assumptions!$N$56*MIN(J17221+J17228+J17226-J17227-J17229,MAX(0,J17288))</f>
        <v>0</v>
      </c>
      <c r="K17230" s="25" t="n">
        <f aca="false">Assumptions!$N$56*MIN(K17221+K17228+K17226-K17227-K17229,MAX(0,K17288))</f>
        <v>0</v>
      </c>
    </row>
    <row r="17231" customFormat="false" ht="15" hidden="false" customHeight="false" outlineLevel="0" collapsed="false">
      <c r="A17231" s="3" t="s">
        <v>318</v>
      </c>
      <c r="G17231" s="25" t="n">
        <f aca="false">G17222*(1-G17219)*(G17221-G17227+G17226-G17229)</f>
        <v>0</v>
      </c>
      <c r="H17231" s="25" t="n">
        <f aca="false">H17222*(1-H17219)*(H17221-H17227+H17226-H17229)</f>
        <v>0</v>
      </c>
      <c r="I17231" s="25" t="n">
        <f aca="false">I17222*(1-I17219)*(I17221-I17227+I17226-I17229)</f>
        <v>0</v>
      </c>
      <c r="J17231" s="25" t="n">
        <f aca="false">J17222*(1-J17219)*(J17221-J17227+J17226-J17229)</f>
        <v>0</v>
      </c>
      <c r="K17231" s="25" t="n">
        <f aca="false">K17222*(1-K17219)*(K17221-K17227+K17226-K17229)</f>
        <v>0</v>
      </c>
    </row>
    <row r="17232" customFormat="false" ht="15" hidden="false" customHeight="false" outlineLevel="0" collapsed="false">
      <c r="A17232" s="2" t="s">
        <v>319</v>
      </c>
      <c r="F17232" s="28" t="n">
        <f aca="false">Assumptions!$C$56</f>
        <v>1315.098</v>
      </c>
      <c r="G17232" s="16" t="n">
        <f aca="false">G17221+G17228+G17226-G17227-G17229-G17230</f>
        <v>1315.098</v>
      </c>
      <c r="H17232" s="16" t="n">
        <f aca="false">H17221+H17228+H17226-H17227-H17229-H17230</f>
        <v>1315.098</v>
      </c>
      <c r="I17232" s="16" t="n">
        <f aca="false">I17221+I17228+I17226-I17227-I17229-I17230</f>
        <v>1315.098</v>
      </c>
      <c r="J17232" s="16" t="n">
        <f aca="false">J17221+J17228+J17226-J17227-J17229-J17230</f>
        <v>1315.098</v>
      </c>
      <c r="K17232" s="16" t="n">
        <f aca="false">K17221+K17228+K17226-K17227-K17229-K17230</f>
        <v>1315.098</v>
      </c>
    </row>
    <row r="17233" customFormat="false" ht="15" hidden="false" customHeight="false" outlineLevel="0" collapsed="false">
      <c r="A17233" s="23" t="s">
        <v>320</v>
      </c>
      <c r="B17233" s="24"/>
      <c r="C17233" s="24"/>
      <c r="D17233" s="24"/>
      <c r="E17233" s="24"/>
      <c r="F17233" s="24"/>
      <c r="G17233" s="24"/>
      <c r="H17233" s="24"/>
      <c r="I17233" s="24"/>
      <c r="J17233" s="24"/>
      <c r="K17233" s="24"/>
    </row>
    <row r="17234" customFormat="false" ht="15" hidden="false" customHeight="false" outlineLevel="0" collapsed="false">
      <c r="A17234" s="3" t="s">
        <v>309</v>
      </c>
      <c r="G17234" s="25" t="n">
        <f aca="false">F17245</f>
        <v>276.706</v>
      </c>
      <c r="H17234" s="25" t="n">
        <f aca="false">G17245</f>
        <v>276.706</v>
      </c>
      <c r="I17234" s="25" t="n">
        <f aca="false">H17245</f>
        <v>276.706</v>
      </c>
      <c r="J17234" s="25" t="n">
        <f aca="false">I17245</f>
        <v>0</v>
      </c>
      <c r="K17234" s="25" t="n">
        <f aca="false">J17245</f>
        <v>0</v>
      </c>
    </row>
    <row r="17235" customFormat="false" ht="15" hidden="false" customHeight="false" outlineLevel="0" collapsed="false">
      <c r="A17235" s="3" t="s">
        <v>310</v>
      </c>
      <c r="G17235" s="20" t="n">
        <f aca="false">IF(G17185=Assumptions!$K$57,1,0)</f>
        <v>0</v>
      </c>
      <c r="H17235" s="20" t="n">
        <f aca="false">IF(H17185=Assumptions!$K$57,1,0)</f>
        <v>0</v>
      </c>
      <c r="I17235" s="20" t="n">
        <f aca="false">IF(I17185=Assumptions!$K$57,1,0)</f>
        <v>1</v>
      </c>
      <c r="J17235" s="20" t="n">
        <f aca="false">IF(J17185=Assumptions!$K$57,1,0)</f>
        <v>0</v>
      </c>
      <c r="K17235" s="20" t="n">
        <f aca="false">IF(K17185=Assumptions!$K$57,1,0)</f>
        <v>0</v>
      </c>
    </row>
    <row r="17237" customFormat="false" ht="15" hidden="false" customHeight="false" outlineLevel="0" collapsed="false">
      <c r="A17237" s="3" t="s">
        <v>311</v>
      </c>
      <c r="G17237" s="31" t="n">
        <f aca="false">IF(Assumptions!$I$57=1,MAX(G17211,Assumptions!$G$57)+Assumptions!$F$57+$C$17212,Assumptions!$E$57)</f>
        <v>0.0425</v>
      </c>
      <c r="H17237" s="31" t="n">
        <f aca="false">IF(G17369=1,$C$17213,IF(Assumptions!$I$57=1,MAX(H17211,Assumptions!$G$57)+Assumptions!$F$57+$C$17212,Assumptions!$E$57))</f>
        <v>0.0425</v>
      </c>
      <c r="I17237" s="31" t="n">
        <f aca="false">IF(H17369=1,$C$17213,IF(Assumptions!$I$57=1,MAX(I17211,Assumptions!$G$57)+Assumptions!$F$57+$C$17212,Assumptions!$E$57))</f>
        <v>0.0425</v>
      </c>
      <c r="J17237" s="31" t="n">
        <f aca="false">IF(I17369=1,$C$17213,IF(Assumptions!$I$57=1,MAX(J17211,Assumptions!$G$57)+Assumptions!$F$57+$C$17212,Assumptions!$E$57))</f>
        <v>0.0425</v>
      </c>
      <c r="K17237" s="31" t="n">
        <f aca="false">IF(J17369=1,$C$17213,IF(Assumptions!$I$57=1,MAX(K17211,Assumptions!$G$57)+Assumptions!$F$57+$C$17212,Assumptions!$E$57))</f>
        <v>0.0425</v>
      </c>
    </row>
    <row r="17238" customFormat="false" ht="15" hidden="false" customHeight="false" outlineLevel="0" collapsed="false">
      <c r="A17238" s="3" t="s">
        <v>312</v>
      </c>
      <c r="G17238" s="25" t="n">
        <f aca="false">G17234*G17237</f>
        <v>11.760005</v>
      </c>
      <c r="H17238" s="25" t="n">
        <f aca="false">H17234*H17237</f>
        <v>11.760005</v>
      </c>
      <c r="I17238" s="25" t="n">
        <f aca="false">I17234*I17237</f>
        <v>11.760005</v>
      </c>
      <c r="J17238" s="25" t="n">
        <f aca="false">J17234*J17237</f>
        <v>0</v>
      </c>
      <c r="K17238" s="25" t="n">
        <f aca="false">K17234*K17237</f>
        <v>0</v>
      </c>
    </row>
    <row r="17239" customFormat="false" ht="15" hidden="false" customHeight="false" outlineLevel="0" collapsed="false">
      <c r="A17239" s="3" t="s">
        <v>313</v>
      </c>
      <c r="G17239" s="25" t="n">
        <f aca="false">G17234*Assumptions!$H$57</f>
        <v>0</v>
      </c>
      <c r="H17239" s="25" t="n">
        <f aca="false">H17234*Assumptions!$H$57</f>
        <v>0</v>
      </c>
      <c r="I17239" s="25" t="n">
        <f aca="false">I17234*Assumptions!$H$57</f>
        <v>0</v>
      </c>
      <c r="J17239" s="25" t="n">
        <f aca="false">J17234*Assumptions!$H$57</f>
        <v>0</v>
      </c>
      <c r="K17239" s="25" t="n">
        <f aca="false">K17234*Assumptions!$H$57</f>
        <v>0</v>
      </c>
    </row>
    <row r="17240" customFormat="false" ht="15" hidden="false" customHeight="false" outlineLevel="0" collapsed="false">
      <c r="A17240" s="3" t="s">
        <v>314</v>
      </c>
      <c r="G17240" s="25" t="n">
        <f aca="false">MIN(G17234,Assumptions!$L$57*Assumptions!$C$57)</f>
        <v>0</v>
      </c>
      <c r="H17240" s="25" t="n">
        <f aca="false">MIN(H17234,Assumptions!$L$57*Assumptions!$C$57)</f>
        <v>0</v>
      </c>
      <c r="I17240" s="25" t="n">
        <f aca="false">MIN(I17234,Assumptions!$L$57*Assumptions!$C$57)</f>
        <v>0</v>
      </c>
      <c r="J17240" s="25" t="n">
        <f aca="false">MIN(J17234,Assumptions!$L$57*Assumptions!$C$57)</f>
        <v>0</v>
      </c>
      <c r="K17240" s="25" t="n">
        <f aca="false">MIN(K17234,Assumptions!$L$57*Assumptions!$C$57)</f>
        <v>0</v>
      </c>
    </row>
    <row r="17241" customFormat="false" ht="15" hidden="false" customHeight="false" outlineLevel="0" collapsed="false">
      <c r="A17241" s="3" t="s">
        <v>315</v>
      </c>
      <c r="G17241" s="25" t="n">
        <f aca="false">IF(AND(Assumptions!$P$57=1,G17185&lt;Assumptions!$K$57),MIN(MAX(0,-G17282),MAX(0,Assumptions!$D$57-G17234)),0)</f>
        <v>0</v>
      </c>
      <c r="H17241" s="25" t="n">
        <f aca="false">IF(AND(Assumptions!$P$57=1,OR(H17185&lt;Assumptions!$K$57,G17369=1)),MIN(MAX(0,-H17282),MAX(0,Assumptions!$D$57-H17234)),0)</f>
        <v>0</v>
      </c>
      <c r="I17241" s="25" t="n">
        <f aca="false">IF(AND(Assumptions!$P$57=1,OR(I17185&lt;Assumptions!$K$57,H17369=1)),MIN(MAX(0,-I17282),MAX(0,Assumptions!$D$57-I17234)),0)</f>
        <v>0</v>
      </c>
      <c r="J17241" s="25" t="n">
        <f aca="false">IF(AND(Assumptions!$P$57=1,OR(J17185&lt;Assumptions!$K$57,I17369=1)),MIN(MAX(0,-J17282),MAX(0,Assumptions!$D$57-J17234)),0)</f>
        <v>0</v>
      </c>
      <c r="K17241" s="25" t="n">
        <f aca="false">IF(AND(Assumptions!$P$57=1,OR(K17185&lt;Assumptions!$K$57,J17369=1)),MIN(MAX(0,-K17282),MAX(0,Assumptions!$D$57-K17234)),0)</f>
        <v>0</v>
      </c>
    </row>
    <row r="17242" customFormat="false" ht="15" hidden="false" customHeight="false" outlineLevel="0" collapsed="false">
      <c r="A17242" s="3" t="s">
        <v>316</v>
      </c>
      <c r="G17242" s="25" t="n">
        <f aca="false">G17235*MIN(G17234-G17240+G17239,MAX(0,G17284-Assumptions!$C$12*G17219-G17229))</f>
        <v>0</v>
      </c>
      <c r="H17242" s="25" t="n">
        <f aca="false">H17235*MIN(H17234-H17240+H17239,MAX(0,H17284-Assumptions!$C$12*H17219-H17229))</f>
        <v>0</v>
      </c>
      <c r="I17242" s="25" t="n">
        <f aca="false">I17235*MIN(I17234-I17240+I17239,MAX(0,I17284-Assumptions!$C$12*I17219-I17229))</f>
        <v>276.706</v>
      </c>
      <c r="J17242" s="25" t="n">
        <f aca="false">J17235*MIN(J17234-J17240+J17239,MAX(0,J17284-Assumptions!$C$12*J17219-J17229))</f>
        <v>0</v>
      </c>
      <c r="K17242" s="25" t="n">
        <f aca="false">K17235*MIN(K17234-K17240+K17239,MAX(0,K17284-Assumptions!$C$12*K17219-K17229))</f>
        <v>0</v>
      </c>
    </row>
    <row r="17243" customFormat="false" ht="15" hidden="false" customHeight="false" outlineLevel="0" collapsed="false">
      <c r="A17243" s="3" t="s">
        <v>317</v>
      </c>
      <c r="G17243" s="25" t="n">
        <f aca="false">Assumptions!$N$57*MIN(G17234+G17241+G17239-G17240-G17242,MAX(0,G17288-G17230))</f>
        <v>0</v>
      </c>
      <c r="H17243" s="25" t="n">
        <f aca="false">Assumptions!$N$57*MIN(H17234+H17241+H17239-H17240-H17242,MAX(0,H17288-H17230))</f>
        <v>0</v>
      </c>
      <c r="I17243" s="25" t="n">
        <f aca="false">Assumptions!$N$57*MIN(I17234+I17241+I17239-I17240-I17242,MAX(0,I17288-I17230))</f>
        <v>0</v>
      </c>
      <c r="J17243" s="25" t="n">
        <f aca="false">Assumptions!$N$57*MIN(J17234+J17241+J17239-J17240-J17242,MAX(0,J17288-J17230))</f>
        <v>0</v>
      </c>
      <c r="K17243" s="25" t="n">
        <f aca="false">Assumptions!$N$57*MIN(K17234+K17241+K17239-K17240-K17242,MAX(0,K17288-K17230))</f>
        <v>0</v>
      </c>
    </row>
    <row r="17244" customFormat="false" ht="15" hidden="false" customHeight="false" outlineLevel="0" collapsed="false">
      <c r="A17244" s="3" t="s">
        <v>318</v>
      </c>
      <c r="G17244" s="25" t="n">
        <f aca="false">G17235*(1-G17219)*(G17234-G17240+G17239-G17242)</f>
        <v>0</v>
      </c>
      <c r="H17244" s="25" t="n">
        <f aca="false">H17235*(1-H17219)*(H17234-H17240+H17239-H17242)</f>
        <v>0</v>
      </c>
      <c r="I17244" s="25" t="n">
        <f aca="false">I17235*(1-I17219)*(I17234-I17240+I17239-I17242)</f>
        <v>0</v>
      </c>
      <c r="J17244" s="25" t="n">
        <f aca="false">J17235*(1-J17219)*(J17234-J17240+J17239-J17242)</f>
        <v>0</v>
      </c>
      <c r="K17244" s="25" t="n">
        <f aca="false">K17235*(1-K17219)*(K17234-K17240+K17239-K17242)</f>
        <v>0</v>
      </c>
    </row>
    <row r="17245" customFormat="false" ht="15" hidden="false" customHeight="false" outlineLevel="0" collapsed="false">
      <c r="A17245" s="2" t="s">
        <v>319</v>
      </c>
      <c r="F17245" s="28" t="n">
        <f aca="false">Assumptions!$C$57</f>
        <v>276.706</v>
      </c>
      <c r="G17245" s="16" t="n">
        <f aca="false">G17234+G17241+G17239-G17240-G17242-G17243</f>
        <v>276.706</v>
      </c>
      <c r="H17245" s="16" t="n">
        <f aca="false">H17234+H17241+H17239-H17240-H17242-H17243</f>
        <v>276.706</v>
      </c>
      <c r="I17245" s="16" t="n">
        <f aca="false">I17234+I17241+I17239-I17240-I17242-I17243</f>
        <v>0</v>
      </c>
      <c r="J17245" s="16" t="n">
        <f aca="false">J17234+J17241+J17239-J17240-J17242-J17243</f>
        <v>0</v>
      </c>
      <c r="K17245" s="16" t="n">
        <f aca="false">K17234+K17241+K17239-K17240-K17242-K17243</f>
        <v>0</v>
      </c>
    </row>
    <row r="17246" customFormat="false" ht="15" hidden="false" customHeight="false" outlineLevel="0" collapsed="false">
      <c r="A17246" s="23" t="s">
        <v>321</v>
      </c>
      <c r="B17246" s="24"/>
      <c r="C17246" s="24"/>
      <c r="D17246" s="24"/>
      <c r="E17246" s="24"/>
      <c r="F17246" s="24"/>
      <c r="G17246" s="24"/>
      <c r="H17246" s="24"/>
      <c r="I17246" s="24"/>
      <c r="J17246" s="24"/>
      <c r="K17246" s="24"/>
    </row>
    <row r="17247" customFormat="false" ht="15" hidden="false" customHeight="false" outlineLevel="0" collapsed="false">
      <c r="A17247" s="3" t="s">
        <v>309</v>
      </c>
      <c r="G17247" s="25" t="n">
        <f aca="false">F17258</f>
        <v>143.75</v>
      </c>
      <c r="H17247" s="25" t="n">
        <f aca="false">G17258</f>
        <v>143.75</v>
      </c>
      <c r="I17247" s="25" t="n">
        <f aca="false">H17258</f>
        <v>143.75</v>
      </c>
      <c r="J17247" s="25" t="n">
        <f aca="false">I17258</f>
        <v>0</v>
      </c>
      <c r="K17247" s="25" t="n">
        <f aca="false">J17258</f>
        <v>0</v>
      </c>
    </row>
    <row r="17248" customFormat="false" ht="15" hidden="false" customHeight="false" outlineLevel="0" collapsed="false">
      <c r="A17248" s="3" t="s">
        <v>310</v>
      </c>
      <c r="G17248" s="20" t="n">
        <f aca="false">IF(G17185=Assumptions!$K$58,1,0)</f>
        <v>0</v>
      </c>
      <c r="H17248" s="20" t="n">
        <f aca="false">IF(H17185=Assumptions!$K$58,1,0)</f>
        <v>0</v>
      </c>
      <c r="I17248" s="20" t="n">
        <f aca="false">IF(I17185=Assumptions!$K$58,1,0)</f>
        <v>1</v>
      </c>
      <c r="J17248" s="20" t="n">
        <f aca="false">IF(J17185=Assumptions!$K$58,1,0)</f>
        <v>0</v>
      </c>
      <c r="K17248" s="20" t="n">
        <f aca="false">IF(K17185=Assumptions!$K$58,1,0)</f>
        <v>0</v>
      </c>
    </row>
    <row r="17250" customFormat="false" ht="15" hidden="false" customHeight="false" outlineLevel="0" collapsed="false">
      <c r="A17250" s="3" t="s">
        <v>311</v>
      </c>
      <c r="G17250" s="31" t="n">
        <f aca="false">IF(Assumptions!$I$58=1,MAX(G17211,Assumptions!$G$58)+Assumptions!$F$58+$C$17212,Assumptions!$E$58)</f>
        <v>0.0425</v>
      </c>
      <c r="H17250" s="31" t="n">
        <f aca="false">IF(G17370=1,$C$17213,IF(Assumptions!$I$58=1,MAX(H17211,Assumptions!$G$58)+Assumptions!$F$58+$C$17212,Assumptions!$E$58))</f>
        <v>0.0425</v>
      </c>
      <c r="I17250" s="31" t="n">
        <f aca="false">IF(H17370=1,$C$17213,IF(Assumptions!$I$58=1,MAX(I17211,Assumptions!$G$58)+Assumptions!$F$58+$C$17212,Assumptions!$E$58))</f>
        <v>0.0425</v>
      </c>
      <c r="J17250" s="31" t="n">
        <f aca="false">IF(I17370=1,$C$17213,IF(Assumptions!$I$58=1,MAX(J17211,Assumptions!$G$58)+Assumptions!$F$58+$C$17212,Assumptions!$E$58))</f>
        <v>0.0425</v>
      </c>
      <c r="K17250" s="31" t="n">
        <f aca="false">IF(J17370=1,$C$17213,IF(Assumptions!$I$58=1,MAX(K17211,Assumptions!$G$58)+Assumptions!$F$58+$C$17212,Assumptions!$E$58))</f>
        <v>0.0425</v>
      </c>
    </row>
    <row r="17251" customFormat="false" ht="15" hidden="false" customHeight="false" outlineLevel="0" collapsed="false">
      <c r="A17251" s="3" t="s">
        <v>312</v>
      </c>
      <c r="G17251" s="25" t="n">
        <f aca="false">G17247*G17250</f>
        <v>6.109375</v>
      </c>
      <c r="H17251" s="25" t="n">
        <f aca="false">H17247*H17250</f>
        <v>6.109375</v>
      </c>
      <c r="I17251" s="25" t="n">
        <f aca="false">I17247*I17250</f>
        <v>6.109375</v>
      </c>
      <c r="J17251" s="25" t="n">
        <f aca="false">J17247*J17250</f>
        <v>0</v>
      </c>
      <c r="K17251" s="25" t="n">
        <f aca="false">K17247*K17250</f>
        <v>0</v>
      </c>
    </row>
    <row r="17252" customFormat="false" ht="15" hidden="false" customHeight="false" outlineLevel="0" collapsed="false">
      <c r="A17252" s="3" t="s">
        <v>313</v>
      </c>
      <c r="G17252" s="25" t="n">
        <f aca="false">G17247*Assumptions!$H$58</f>
        <v>0</v>
      </c>
      <c r="H17252" s="25" t="n">
        <f aca="false">H17247*Assumptions!$H$58</f>
        <v>0</v>
      </c>
      <c r="I17252" s="25" t="n">
        <f aca="false">I17247*Assumptions!$H$58</f>
        <v>0</v>
      </c>
      <c r="J17252" s="25" t="n">
        <f aca="false">J17247*Assumptions!$H$58</f>
        <v>0</v>
      </c>
      <c r="K17252" s="25" t="n">
        <f aca="false">K17247*Assumptions!$H$58</f>
        <v>0</v>
      </c>
    </row>
    <row r="17253" customFormat="false" ht="15" hidden="false" customHeight="false" outlineLevel="0" collapsed="false">
      <c r="A17253" s="3" t="s">
        <v>314</v>
      </c>
      <c r="G17253" s="25" t="n">
        <f aca="false">MIN(G17247,Assumptions!$L$58*Assumptions!$C$58)</f>
        <v>0</v>
      </c>
      <c r="H17253" s="25" t="n">
        <f aca="false">MIN(H17247,Assumptions!$L$58*Assumptions!$C$58)</f>
        <v>0</v>
      </c>
      <c r="I17253" s="25" t="n">
        <f aca="false">MIN(I17247,Assumptions!$L$58*Assumptions!$C$58)</f>
        <v>0</v>
      </c>
      <c r="J17253" s="25" t="n">
        <f aca="false">MIN(J17247,Assumptions!$L$58*Assumptions!$C$58)</f>
        <v>0</v>
      </c>
      <c r="K17253" s="25" t="n">
        <f aca="false">MIN(K17247,Assumptions!$L$58*Assumptions!$C$58)</f>
        <v>0</v>
      </c>
    </row>
    <row r="17254" customFormat="false" ht="15" hidden="false" customHeight="false" outlineLevel="0" collapsed="false">
      <c r="A17254" s="3" t="s">
        <v>315</v>
      </c>
      <c r="G17254" s="25" t="n">
        <f aca="false">IF(AND(Assumptions!$P$58=1,G17185&lt;Assumptions!$K$58),MIN(MAX(0,-G17282),MAX(0,Assumptions!$D$58-G17247)),0)</f>
        <v>0</v>
      </c>
      <c r="H17254" s="25" t="n">
        <f aca="false">IF(AND(Assumptions!$P$58=1,OR(H17185&lt;Assumptions!$K$58,G17370=1)),MIN(MAX(0,-H17282),MAX(0,Assumptions!$D$58-H17247)),0)</f>
        <v>0</v>
      </c>
      <c r="I17254" s="25" t="n">
        <f aca="false">IF(AND(Assumptions!$P$58=1,OR(I17185&lt;Assumptions!$K$58,H17370=1)),MIN(MAX(0,-I17282),MAX(0,Assumptions!$D$58-I17247)),0)</f>
        <v>0</v>
      </c>
      <c r="J17254" s="25" t="n">
        <f aca="false">IF(AND(Assumptions!$P$58=1,OR(J17185&lt;Assumptions!$K$58,I17370=1)),MIN(MAX(0,-J17282),MAX(0,Assumptions!$D$58-J17247)),0)</f>
        <v>0</v>
      </c>
      <c r="K17254" s="25" t="n">
        <f aca="false">IF(AND(Assumptions!$P$58=1,OR(K17185&lt;Assumptions!$K$58,J17370=1)),MIN(MAX(0,-K17282),MAX(0,Assumptions!$D$58-K17247)),0)</f>
        <v>0</v>
      </c>
    </row>
    <row r="17255" customFormat="false" ht="15" hidden="false" customHeight="false" outlineLevel="0" collapsed="false">
      <c r="A17255" s="3" t="s">
        <v>316</v>
      </c>
      <c r="G17255" s="25" t="n">
        <f aca="false">G17248*MIN(G17247-G17253+G17252,MAX(0,G17284-Assumptions!$C$12*G17219-G17229-G17242))</f>
        <v>0</v>
      </c>
      <c r="H17255" s="25" t="n">
        <f aca="false">H17248*MIN(H17247-H17253+H17252,MAX(0,H17284-Assumptions!$C$12*H17219-H17229-H17242))</f>
        <v>0</v>
      </c>
      <c r="I17255" s="25" t="n">
        <f aca="false">I17248*MIN(I17247-I17253+I17252,MAX(0,I17284-Assumptions!$C$12*I17219-I17229-I17242))</f>
        <v>143.75</v>
      </c>
      <c r="J17255" s="25" t="n">
        <f aca="false">J17248*MIN(J17247-J17253+J17252,MAX(0,J17284-Assumptions!$C$12*J17219-J17229-J17242))</f>
        <v>0</v>
      </c>
      <c r="K17255" s="25" t="n">
        <f aca="false">K17248*MIN(K17247-K17253+K17252,MAX(0,K17284-Assumptions!$C$12*K17219-K17229-K17242))</f>
        <v>0</v>
      </c>
    </row>
    <row r="17256" customFormat="false" ht="15" hidden="false" customHeight="false" outlineLevel="0" collapsed="false">
      <c r="A17256" s="3" t="s">
        <v>317</v>
      </c>
      <c r="G17256" s="25" t="n">
        <f aca="false">Assumptions!$N$58*MIN(G17247+G17254+G17252-G17253-G17255,MAX(0,G17288-G17230-G17243))</f>
        <v>0</v>
      </c>
      <c r="H17256" s="25" t="n">
        <f aca="false">Assumptions!$N$58*MIN(H17247+H17254+H17252-H17253-H17255,MAX(0,H17288-H17230-H17243))</f>
        <v>0</v>
      </c>
      <c r="I17256" s="25" t="n">
        <f aca="false">Assumptions!$N$58*MIN(I17247+I17254+I17252-I17253-I17255,MAX(0,I17288-I17230-I17243))</f>
        <v>0</v>
      </c>
      <c r="J17256" s="25" t="n">
        <f aca="false">Assumptions!$N$58*MIN(J17247+J17254+J17252-J17253-J17255,MAX(0,J17288-J17230-J17243))</f>
        <v>0</v>
      </c>
      <c r="K17256" s="25" t="n">
        <f aca="false">Assumptions!$N$58*MIN(K17247+K17254+K17252-K17253-K17255,MAX(0,K17288-K17230-K17243))</f>
        <v>0</v>
      </c>
    </row>
    <row r="17257" customFormat="false" ht="15" hidden="false" customHeight="false" outlineLevel="0" collapsed="false">
      <c r="A17257" s="3" t="s">
        <v>318</v>
      </c>
      <c r="G17257" s="25" t="n">
        <f aca="false">G17248*(1-G17219)*(G17247-G17253+G17252-G17255)</f>
        <v>0</v>
      </c>
      <c r="H17257" s="25" t="n">
        <f aca="false">H17248*(1-H17219)*(H17247-H17253+H17252-H17255)</f>
        <v>0</v>
      </c>
      <c r="I17257" s="25" t="n">
        <f aca="false">I17248*(1-I17219)*(I17247-I17253+I17252-I17255)</f>
        <v>0</v>
      </c>
      <c r="J17257" s="25" t="n">
        <f aca="false">J17248*(1-J17219)*(J17247-J17253+J17252-J17255)</f>
        <v>0</v>
      </c>
      <c r="K17257" s="25" t="n">
        <f aca="false">K17248*(1-K17219)*(K17247-K17253+K17252-K17255)</f>
        <v>0</v>
      </c>
    </row>
    <row r="17258" customFormat="false" ht="15" hidden="false" customHeight="false" outlineLevel="0" collapsed="false">
      <c r="A17258" s="2" t="s">
        <v>319</v>
      </c>
      <c r="F17258" s="28" t="n">
        <f aca="false">Assumptions!$C$58</f>
        <v>143.75</v>
      </c>
      <c r="G17258" s="16" t="n">
        <f aca="false">G17247+G17254+G17252-G17253-G17255-G17256</f>
        <v>143.75</v>
      </c>
      <c r="H17258" s="16" t="n">
        <f aca="false">H17247+H17254+H17252-H17253-H17255-H17256</f>
        <v>143.75</v>
      </c>
      <c r="I17258" s="16" t="n">
        <f aca="false">I17247+I17254+I17252-I17253-I17255-I17256</f>
        <v>0</v>
      </c>
      <c r="J17258" s="16" t="n">
        <f aca="false">J17247+J17254+J17252-J17253-J17255-J17256</f>
        <v>0</v>
      </c>
      <c r="K17258" s="16" t="n">
        <f aca="false">K17247+K17254+K17252-K17253-K17255-K17256</f>
        <v>0</v>
      </c>
    </row>
    <row r="17259" customFormat="false" ht="15" hidden="false" customHeight="false" outlineLevel="0" collapsed="false">
      <c r="A17259" s="23" t="s">
        <v>322</v>
      </c>
      <c r="B17259" s="24"/>
      <c r="C17259" s="24"/>
      <c r="D17259" s="24"/>
      <c r="E17259" s="24"/>
      <c r="F17259" s="24"/>
      <c r="G17259" s="24"/>
      <c r="H17259" s="24"/>
      <c r="I17259" s="24"/>
      <c r="J17259" s="24"/>
      <c r="K17259" s="24"/>
    </row>
    <row r="17260" customFormat="false" ht="15" hidden="false" customHeight="false" outlineLevel="0" collapsed="false">
      <c r="A17260" s="2" t="s">
        <v>323</v>
      </c>
      <c r="F17260" s="16" t="n">
        <f aca="false">F17232+F17245+F17258</f>
        <v>1735.554</v>
      </c>
      <c r="G17260" s="16" t="n">
        <f aca="false">G17232+G17245+G17258</f>
        <v>1735.554</v>
      </c>
      <c r="H17260" s="16" t="n">
        <f aca="false">H17232+H17245+H17258</f>
        <v>1735.554</v>
      </c>
      <c r="I17260" s="16" t="n">
        <f aca="false">I17232+I17245+I17258</f>
        <v>1315.098</v>
      </c>
      <c r="J17260" s="16" t="n">
        <f aca="false">J17232+J17245+J17258</f>
        <v>1315.098</v>
      </c>
      <c r="K17260" s="16" t="n">
        <f aca="false">K17232+K17245+K17258</f>
        <v>1315.098</v>
      </c>
    </row>
    <row r="17261" customFormat="false" ht="15" hidden="false" customHeight="false" outlineLevel="0" collapsed="false">
      <c r="A17261" s="3" t="s">
        <v>324</v>
      </c>
      <c r="G17261" s="25" t="n">
        <f aca="false">G17222*Assumptions!$C$56+G17235*Assumptions!$C$57+G17248*Assumptions!$C$58</f>
        <v>0</v>
      </c>
      <c r="H17261" s="25" t="n">
        <f aca="false">H17222*Assumptions!$C$56+H17235*Assumptions!$C$57+H17248*Assumptions!$C$58</f>
        <v>0</v>
      </c>
      <c r="I17261" s="25" t="n">
        <f aca="false">I17222*Assumptions!$C$56+I17235*Assumptions!$C$57+I17248*Assumptions!$C$58</f>
        <v>420.456</v>
      </c>
      <c r="J17261" s="25" t="n">
        <f aca="false">J17222*Assumptions!$C$56+J17235*Assumptions!$C$57+J17248*Assumptions!$C$58</f>
        <v>0</v>
      </c>
      <c r="K17261" s="25" t="n">
        <f aca="false">K17222*Assumptions!$C$56+K17235*Assumptions!$C$57+K17248*Assumptions!$C$58</f>
        <v>0</v>
      </c>
    </row>
    <row r="17262" customFormat="false" ht="15" hidden="false" customHeight="false" outlineLevel="0" collapsed="false">
      <c r="A17262" s="23" t="s">
        <v>325</v>
      </c>
      <c r="B17262" s="24"/>
      <c r="C17262" s="24"/>
      <c r="D17262" s="24"/>
      <c r="E17262" s="24"/>
      <c r="F17262" s="24"/>
      <c r="G17262" s="24"/>
      <c r="H17262" s="24"/>
      <c r="I17262" s="24"/>
      <c r="J17262" s="24"/>
      <c r="K17262" s="24"/>
    </row>
    <row r="17263" customFormat="false" ht="15" hidden="false" customHeight="false" outlineLevel="0" collapsed="false">
      <c r="A17263" s="3" t="s">
        <v>326</v>
      </c>
      <c r="C17263" s="25" t="n">
        <f aca="false">SUMPRODUCT($G$17222:$K$17222,$G$17221:$K$17221-$G$17227:$K$17227+$G$17226:$K$17226)</f>
        <v>0</v>
      </c>
    </row>
    <row r="17264" customFormat="false" ht="15" hidden="false" customHeight="false" outlineLevel="0" collapsed="false">
      <c r="A17264" s="3" t="s">
        <v>327</v>
      </c>
      <c r="C17264" s="25" t="n">
        <f aca="false">SUMPRODUCT($G$17222:$K$17222,$G$17229:$K$17229)</f>
        <v>0</v>
      </c>
    </row>
    <row r="17265" customFormat="false" ht="15" hidden="false" customHeight="false" outlineLevel="0" collapsed="false">
      <c r="A17265" s="3" t="s">
        <v>328</v>
      </c>
      <c r="C17265" s="3" t="str">
        <f aca="false">IF(SUM($G$17222:$K$17222)=0,"n/a (beyond horizon)",IF(SUMPRODUCT($G$17222:$K$17222,$G$17219:$K$17219)&gt;0,"REFINANCING PASS","REFINANCING FAILURE"))</f>
        <v>n/a (beyond horizon)</v>
      </c>
    </row>
    <row r="17266" customFormat="false" ht="15" hidden="false" customHeight="false" outlineLevel="0" collapsed="false">
      <c r="A17266" s="3" t="s">
        <v>329</v>
      </c>
      <c r="C17266" s="3" t="str">
        <f aca="false">IF(SUM($G$17222:$K$17222)=0,"n/a",IF(C17264&gt;=C17263-0.001,"Repaid from cash",IF(SUMPRODUCT($G$17222:$K$17222,$G$17219:$K$17219)&gt;0,IF(C17264&gt;0,"Partly repaid; remainder refinanced","Refinanced"),IF(SUM($G$17231:$K$17231)&gt;0.001,IF(C17264&gt;0,"Partial repayment; PAYMENT DEFAULT","PAYMENT DEFAULT"),"Repaid from cash"))))</f>
        <v>n/a</v>
      </c>
    </row>
    <row r="17267" customFormat="false" ht="15" hidden="false" customHeight="false" outlineLevel="0" collapsed="false">
      <c r="A17267" s="3" t="s">
        <v>330</v>
      </c>
      <c r="C17267" s="25" t="n">
        <f aca="false">SUMPRODUCT($G$17235:$K$17235,$G$17234:$K$17234-$G$17240:$K$17240+$G$17239:$K$17239)</f>
        <v>276.706</v>
      </c>
    </row>
    <row r="17268" customFormat="false" ht="15" hidden="false" customHeight="false" outlineLevel="0" collapsed="false">
      <c r="A17268" s="3" t="s">
        <v>331</v>
      </c>
      <c r="C17268" s="25" t="n">
        <f aca="false">SUMPRODUCT($G$17235:$K$17235,$G$17242:$K$17242)</f>
        <v>276.706</v>
      </c>
    </row>
    <row r="17269" customFormat="false" ht="15" hidden="false" customHeight="false" outlineLevel="0" collapsed="false">
      <c r="A17269" s="3" t="s">
        <v>332</v>
      </c>
      <c r="C17269" s="3" t="str">
        <f aca="false">IF(SUM($G$17235:$K$17235)=0,"n/a (beyond horizon)",IF(SUMPRODUCT($G$17235:$K$17235,$G$17219:$K$17219)&gt;0,"REFINANCING PASS","REFINANCING FAILURE"))</f>
        <v>REFINANCING FAILURE</v>
      </c>
    </row>
    <row r="17270" customFormat="false" ht="15" hidden="false" customHeight="false" outlineLevel="0" collapsed="false">
      <c r="A17270" s="3" t="s">
        <v>333</v>
      </c>
      <c r="C17270" s="3" t="str">
        <f aca="false">IF(SUM($G$17235:$K$17235)=0,"n/a",IF(C17268&gt;=C17267-0.001,"Repaid from cash",IF(SUMPRODUCT($G$17235:$K$17235,$G$17219:$K$17219)&gt;0,IF(C17268&gt;0,"Partly repaid; remainder refinanced","Refinanced"),IF(SUM($G$17244:$K$17244)&gt;0.001,IF(C17268&gt;0,"Partial repayment; PAYMENT DEFAULT","PAYMENT DEFAULT"),"Repaid from cash"))))</f>
        <v>Repaid from cash</v>
      </c>
    </row>
    <row r="17271" customFormat="false" ht="15" hidden="false" customHeight="false" outlineLevel="0" collapsed="false">
      <c r="A17271" s="3" t="s">
        <v>334</v>
      </c>
      <c r="C17271" s="25" t="n">
        <f aca="false">SUMPRODUCT($G$17248:$K$17248,$G$17247:$K$17247-$G$17253:$K$17253+$G$17252:$K$17252)</f>
        <v>143.75</v>
      </c>
    </row>
    <row r="17272" customFormat="false" ht="15" hidden="false" customHeight="false" outlineLevel="0" collapsed="false">
      <c r="A17272" s="3" t="s">
        <v>335</v>
      </c>
      <c r="C17272" s="25" t="n">
        <f aca="false">SUMPRODUCT($G$17248:$K$17248,$G$17255:$K$17255)</f>
        <v>143.75</v>
      </c>
    </row>
    <row r="17273" customFormat="false" ht="15" hidden="false" customHeight="false" outlineLevel="0" collapsed="false">
      <c r="A17273" s="3" t="s">
        <v>336</v>
      </c>
      <c r="C17273" s="3" t="str">
        <f aca="false">IF(SUM($G$17248:$K$17248)=0,"n/a (beyond horizon)",IF(SUMPRODUCT($G$17248:$K$17248,$G$17219:$K$17219)&gt;0,"REFINANCING PASS","REFINANCING FAILURE"))</f>
        <v>REFINANCING FAILURE</v>
      </c>
    </row>
    <row r="17274" customFormat="false" ht="15" hidden="false" customHeight="false" outlineLevel="0" collapsed="false">
      <c r="A17274" s="3" t="s">
        <v>337</v>
      </c>
      <c r="C17274" s="3" t="str">
        <f aca="false">IF(SUM($G$17248:$K$17248)=0,"n/a",IF(C17272&gt;=C17271-0.001,"Repaid from cash",IF(SUMPRODUCT($G$17248:$K$17248,$G$17219:$K$17219)&gt;0,IF(C17272&gt;0,"Partly repaid; remainder refinanced","Refinanced"),IF(SUM($G$17257:$K$17257)&gt;0.001,IF(C17272&gt;0,"Partial repayment; PAYMENT DEFAULT","PAYMENT DEFAULT"),"Repaid from cash"))))</f>
        <v>Repaid from cash</v>
      </c>
    </row>
    <row r="17275" customFormat="false" ht="15" hidden="false" customHeight="false" outlineLevel="0" collapsed="false">
      <c r="A17275" s="3" t="s">
        <v>338</v>
      </c>
      <c r="C17275" s="20" t="n">
        <f aca="false">IF(C17265="REFINANCING FAILURE",1,0)+IF(C17269="REFINANCING FAILURE",1,0)+IF(C17273="REFINANCING FAILURE",1,0)</f>
        <v>2</v>
      </c>
    </row>
    <row r="17277" customFormat="false" ht="15" hidden="false" customHeight="false" outlineLevel="0" collapsed="false">
      <c r="A17277" s="23" t="s">
        <v>340</v>
      </c>
      <c r="B17277" s="24"/>
      <c r="C17277" s="24"/>
      <c r="D17277" s="24"/>
      <c r="E17277" s="24"/>
      <c r="F17277" s="24"/>
      <c r="G17277" s="24"/>
      <c r="H17277" s="24"/>
      <c r="I17277" s="24"/>
      <c r="J17277" s="24"/>
      <c r="K17277" s="24"/>
    </row>
    <row r="17278" customFormat="false" ht="15" hidden="false" customHeight="false" outlineLevel="0" collapsed="false">
      <c r="A17278" s="3" t="s">
        <v>305</v>
      </c>
      <c r="G17278" s="25" t="n">
        <f aca="false">F17290</f>
        <v>463.996</v>
      </c>
      <c r="H17278" s="25" t="n">
        <f aca="false">G17290</f>
        <v>518.82154744</v>
      </c>
      <c r="I17278" s="25" t="n">
        <f aca="false">H17290</f>
        <v>539.6742833632</v>
      </c>
      <c r="J17278" s="25" t="n">
        <f aca="false">I17290</f>
        <v>120.430022671888</v>
      </c>
      <c r="K17278" s="25" t="n">
        <f aca="false">J17290</f>
        <v>123.071896868977</v>
      </c>
    </row>
    <row r="17279" customFormat="false" ht="15" hidden="false" customHeight="false" outlineLevel="0" collapsed="false">
      <c r="A17279" s="3" t="s">
        <v>341</v>
      </c>
      <c r="G17279" s="25" t="n">
        <f aca="false">G17208</f>
        <v>54.8255474399999</v>
      </c>
      <c r="H17279" s="25" t="n">
        <f aca="false">H17208</f>
        <v>20.8527359232</v>
      </c>
      <c r="I17279" s="25" t="n">
        <f aca="false">I17208</f>
        <v>1.21173930868796</v>
      </c>
      <c r="J17279" s="25" t="n">
        <f aca="false">J17208</f>
        <v>2.6418741970896</v>
      </c>
      <c r="K17279" s="25" t="n">
        <f aca="false">K17208</f>
        <v>-4.39448401276491</v>
      </c>
    </row>
    <row r="17280" customFormat="false" ht="15" hidden="false" customHeight="false" outlineLevel="0" collapsed="false">
      <c r="A17280" s="3" t="s">
        <v>342</v>
      </c>
      <c r="G17280" s="25" t="n">
        <f aca="false">CHOOSE($C$17178,Assumptions!$G$74,Assumptions!$G$93,Assumptions!$G$112)</f>
        <v>0</v>
      </c>
      <c r="H17280" s="25" t="n">
        <f aca="false">CHOOSE($C$17178,Assumptions!$H$74,Assumptions!$H$93,Assumptions!$H$112)</f>
        <v>0</v>
      </c>
      <c r="I17280" s="25" t="n">
        <f aca="false">CHOOSE($C$17178,Assumptions!$I$74,Assumptions!$I$93,Assumptions!$I$112)</f>
        <v>0</v>
      </c>
      <c r="J17280" s="25" t="n">
        <f aca="false">CHOOSE($C$17178,Assumptions!$J$74,Assumptions!$J$93,Assumptions!$J$112)</f>
        <v>0</v>
      </c>
      <c r="K17280" s="25" t="n">
        <f aca="false">CHOOSE($C$17178,Assumptions!$K$74,Assumptions!$K$93,Assumptions!$K$112)</f>
        <v>0</v>
      </c>
    </row>
    <row r="17281" customFormat="false" ht="15" hidden="false" customHeight="false" outlineLevel="0" collapsed="false">
      <c r="A17281" s="3" t="s">
        <v>343</v>
      </c>
      <c r="G17281" s="25" t="n">
        <f aca="false">G17227+G17240+G17253</f>
        <v>0</v>
      </c>
      <c r="H17281" s="25" t="n">
        <f aca="false">H17227+H17240+H17253</f>
        <v>0</v>
      </c>
      <c r="I17281" s="25" t="n">
        <f aca="false">I17227+I17240+I17253</f>
        <v>0</v>
      </c>
      <c r="J17281" s="25" t="n">
        <f aca="false">J17227+J17240+J17253</f>
        <v>0</v>
      </c>
      <c r="K17281" s="25" t="n">
        <f aca="false">K17227+K17240+K17253</f>
        <v>0</v>
      </c>
    </row>
    <row r="17282" customFormat="false" ht="15" hidden="false" customHeight="false" outlineLevel="0" collapsed="false">
      <c r="A17282" s="2" t="s">
        <v>344</v>
      </c>
      <c r="G17282" s="16" t="n">
        <f aca="false">G17278+G17279+G17280-G17281</f>
        <v>518.82154744</v>
      </c>
      <c r="H17282" s="16" t="n">
        <f aca="false">H17278+H17279+H17280-H17281</f>
        <v>539.6742833632</v>
      </c>
      <c r="I17282" s="16" t="n">
        <f aca="false">I17278+I17279+I17280-I17281</f>
        <v>540.886022671888</v>
      </c>
      <c r="J17282" s="16" t="n">
        <f aca="false">J17278+J17279+J17280-J17281</f>
        <v>123.071896868977</v>
      </c>
      <c r="K17282" s="16" t="n">
        <f aca="false">K17278+K17279+K17280-K17281</f>
        <v>118.677412856212</v>
      </c>
    </row>
    <row r="17283" customFormat="false" ht="15" hidden="false" customHeight="false" outlineLevel="0" collapsed="false">
      <c r="A17283" s="3" t="s">
        <v>345</v>
      </c>
      <c r="G17283" s="25" t="n">
        <f aca="false">G17228+G17241+G17254</f>
        <v>0</v>
      </c>
      <c r="H17283" s="25" t="n">
        <f aca="false">H17228+H17241+H17254</f>
        <v>0</v>
      </c>
      <c r="I17283" s="25" t="n">
        <f aca="false">I17228+I17241+I17254</f>
        <v>0</v>
      </c>
      <c r="J17283" s="25" t="n">
        <f aca="false">J17228+J17241+J17254</f>
        <v>0</v>
      </c>
      <c r="K17283" s="25" t="n">
        <f aca="false">K17228+K17241+K17254</f>
        <v>0</v>
      </c>
    </row>
    <row r="17284" customFormat="false" ht="15" hidden="false" customHeight="false" outlineLevel="0" collapsed="false">
      <c r="A17284" s="2" t="s">
        <v>346</v>
      </c>
      <c r="G17284" s="16" t="n">
        <f aca="false">G17282+G17283</f>
        <v>518.82154744</v>
      </c>
      <c r="H17284" s="16" t="n">
        <f aca="false">H17282+H17283</f>
        <v>539.6742833632</v>
      </c>
      <c r="I17284" s="16" t="n">
        <f aca="false">I17282+I17283</f>
        <v>540.886022671888</v>
      </c>
      <c r="J17284" s="16" t="n">
        <f aca="false">J17282+J17283</f>
        <v>123.071896868977</v>
      </c>
      <c r="K17284" s="16" t="n">
        <f aca="false">K17282+K17283</f>
        <v>118.677412856212</v>
      </c>
    </row>
    <row r="17285" customFormat="false" ht="15" hidden="false" customHeight="false" outlineLevel="0" collapsed="false">
      <c r="A17285" s="3" t="s">
        <v>347</v>
      </c>
      <c r="G17285" s="25" t="n">
        <f aca="false">G17229+G17242+G17255</f>
        <v>0</v>
      </c>
      <c r="H17285" s="25" t="n">
        <f aca="false">H17229+H17242+H17255</f>
        <v>0</v>
      </c>
      <c r="I17285" s="25" t="n">
        <f aca="false">I17229+I17242+I17255</f>
        <v>420.456</v>
      </c>
      <c r="J17285" s="25" t="n">
        <f aca="false">J17229+J17242+J17255</f>
        <v>0</v>
      </c>
      <c r="K17285" s="25" t="n">
        <f aca="false">K17229+K17242+K17255</f>
        <v>0</v>
      </c>
    </row>
    <row r="17286" customFormat="false" ht="15" hidden="false" customHeight="false" outlineLevel="0" collapsed="false">
      <c r="A17286" s="2" t="s">
        <v>348</v>
      </c>
      <c r="G17286" s="16" t="n">
        <f aca="false">G17284-G17285</f>
        <v>518.82154744</v>
      </c>
      <c r="H17286" s="16" t="n">
        <f aca="false">H17284-H17285</f>
        <v>539.6742833632</v>
      </c>
      <c r="I17286" s="16" t="n">
        <f aca="false">I17284-I17285</f>
        <v>120.430022671888</v>
      </c>
      <c r="J17286" s="16" t="n">
        <f aca="false">J17284-J17285</f>
        <v>123.071896868977</v>
      </c>
      <c r="K17286" s="16" t="n">
        <f aca="false">K17284-K17285</f>
        <v>118.677412856212</v>
      </c>
    </row>
    <row r="17287" customFormat="false" ht="15" hidden="false" customHeight="false" outlineLevel="0" collapsed="false">
      <c r="A17287" s="3" t="s">
        <v>349</v>
      </c>
      <c r="G17287" s="25" t="n">
        <f aca="false">MAX(0,-G17286)</f>
        <v>0</v>
      </c>
      <c r="H17287" s="25" t="n">
        <f aca="false">MAX(0,-H17286)</f>
        <v>0</v>
      </c>
      <c r="I17287" s="25" t="n">
        <f aca="false">MAX(0,-I17286)</f>
        <v>0</v>
      </c>
      <c r="J17287" s="25" t="n">
        <f aca="false">MAX(0,-J17286)</f>
        <v>0</v>
      </c>
      <c r="K17287" s="25" t="n">
        <f aca="false">MAX(0,-K17286)</f>
        <v>0</v>
      </c>
    </row>
    <row r="17288" customFormat="false" ht="15" hidden="false" customHeight="false" outlineLevel="0" collapsed="false">
      <c r="A17288" s="3" t="s">
        <v>350</v>
      </c>
      <c r="G17288" s="25" t="n">
        <f aca="false">MAX(0,G17286-Assumptions!$C$12)*Assumptions!$C$13</f>
        <v>0</v>
      </c>
      <c r="H17288" s="25" t="n">
        <f aca="false">MAX(0,H17286-Assumptions!$C$12)*Assumptions!$C$13</f>
        <v>0</v>
      </c>
      <c r="I17288" s="25" t="n">
        <f aca="false">MAX(0,I17286-Assumptions!$C$12)*Assumptions!$C$13</f>
        <v>0</v>
      </c>
      <c r="J17288" s="25" t="n">
        <f aca="false">MAX(0,J17286-Assumptions!$C$12)*Assumptions!$C$13</f>
        <v>0</v>
      </c>
      <c r="K17288" s="25" t="n">
        <f aca="false">MAX(0,K17286-Assumptions!$C$12)*Assumptions!$C$13</f>
        <v>0</v>
      </c>
    </row>
    <row r="17289" customFormat="false" ht="15" hidden="false" customHeight="false" outlineLevel="0" collapsed="false">
      <c r="A17289" s="3" t="s">
        <v>351</v>
      </c>
      <c r="G17289" s="25" t="n">
        <f aca="false">G17230+G17243+G17256</f>
        <v>0</v>
      </c>
      <c r="H17289" s="25" t="n">
        <f aca="false">H17230+H17243+H17256</f>
        <v>0</v>
      </c>
      <c r="I17289" s="25" t="n">
        <f aca="false">I17230+I17243+I17256</f>
        <v>0</v>
      </c>
      <c r="J17289" s="25" t="n">
        <f aca="false">J17230+J17243+J17256</f>
        <v>0</v>
      </c>
      <c r="K17289" s="25" t="n">
        <f aca="false">K17230+K17243+K17256</f>
        <v>0</v>
      </c>
    </row>
    <row r="17290" customFormat="false" ht="15" hidden="false" customHeight="false" outlineLevel="0" collapsed="false">
      <c r="A17290" s="2" t="s">
        <v>352</v>
      </c>
      <c r="F17290" s="28" t="n">
        <f aca="false">Assumptions!$C$11</f>
        <v>463.996</v>
      </c>
      <c r="G17290" s="16" t="n">
        <f aca="false">G17286-G17289</f>
        <v>518.82154744</v>
      </c>
      <c r="H17290" s="16" t="n">
        <f aca="false">H17286-H17289</f>
        <v>539.6742833632</v>
      </c>
      <c r="I17290" s="16" t="n">
        <f aca="false">I17286-I17289</f>
        <v>120.430022671888</v>
      </c>
      <c r="J17290" s="16" t="n">
        <f aca="false">J17286-J17289</f>
        <v>123.071896868977</v>
      </c>
      <c r="K17290" s="16" t="n">
        <f aca="false">K17286-K17289</f>
        <v>118.677412856212</v>
      </c>
    </row>
    <row r="17291" customFormat="false" ht="15" hidden="false" customHeight="false" outlineLevel="0" collapsed="false">
      <c r="A17291" s="3" t="s">
        <v>353</v>
      </c>
      <c r="G17291" s="25" t="n">
        <f aca="false">G17231+G17244+G17257</f>
        <v>0</v>
      </c>
      <c r="H17291" s="25" t="n">
        <f aca="false">H17231+H17244+H17257</f>
        <v>0</v>
      </c>
      <c r="I17291" s="25" t="n">
        <f aca="false">I17231+I17244+I17257</f>
        <v>0</v>
      </c>
      <c r="J17291" s="25" t="n">
        <f aca="false">J17231+J17244+J17257</f>
        <v>0</v>
      </c>
      <c r="K17291" s="25" t="n">
        <f aca="false">K17231+K17244+K17257</f>
        <v>0</v>
      </c>
    </row>
    <row r="17292" customFormat="false" ht="15" hidden="false" customHeight="false" outlineLevel="0" collapsed="false">
      <c r="A17292" s="3" t="s">
        <v>354</v>
      </c>
      <c r="G17292" s="20" t="n">
        <f aca="false">IF(OR(G17287&gt;0.001,G17291&gt;0.001),1,0)</f>
        <v>0</v>
      </c>
      <c r="H17292" s="20" t="n">
        <f aca="false">IF(OR(H17287&gt;0.001,H17291&gt;0.001),1,0)</f>
        <v>0</v>
      </c>
      <c r="I17292" s="20" t="n">
        <f aca="false">IF(OR(I17287&gt;0.001,I17291&gt;0.001),1,0)</f>
        <v>0</v>
      </c>
      <c r="J17292" s="20" t="n">
        <f aca="false">IF(OR(J17287&gt;0.001,J17291&gt;0.001),1,0)</f>
        <v>0</v>
      </c>
      <c r="K17292" s="20" t="n">
        <f aca="false">IF(OR(K17287&gt;0.001,K17291&gt;0.001),1,0)</f>
        <v>0</v>
      </c>
    </row>
    <row r="17293" customFormat="false" ht="15" hidden="false" customHeight="false" outlineLevel="0" collapsed="false">
      <c r="A17293" s="3" t="s">
        <v>355</v>
      </c>
      <c r="G17293" s="20" t="n">
        <f aca="false">IF(G17292=1,1,0)</f>
        <v>0</v>
      </c>
      <c r="H17293" s="20" t="n">
        <f aca="false">IF(AND(H17292=1,SUM($G$17292:G17292)=0),1,0)</f>
        <v>0</v>
      </c>
      <c r="I17293" s="20" t="n">
        <f aca="false">IF(AND(I17292=1,SUM($G$17292:H17292)=0),1,0)</f>
        <v>0</v>
      </c>
      <c r="J17293" s="20" t="n">
        <f aca="false">IF(AND(J17292=1,SUM($G$17292:I17292)=0),1,0)</f>
        <v>0</v>
      </c>
      <c r="K17293" s="20" t="n">
        <f aca="false">IF(AND(K17292=1,SUM($G$17292:J17292)=0),1,0)</f>
        <v>0</v>
      </c>
    </row>
    <row r="17294" customFormat="false" ht="15" hidden="false" customHeight="false" outlineLevel="0" collapsed="false">
      <c r="A17294" s="3" t="s">
        <v>356</v>
      </c>
      <c r="G17294" s="25" t="n">
        <f aca="false">(G17260-F17260)-(G17283+G17200-G17281-G17285-G17289)</f>
        <v>0</v>
      </c>
      <c r="H17294" s="25" t="n">
        <f aca="false">(H17260-G17260)-(H17283+H17200-H17281-H17285-H17289)</f>
        <v>0</v>
      </c>
      <c r="I17294" s="25" t="n">
        <f aca="false">(I17260-H17260)-(I17283+I17200-I17281-I17285-I17289)</f>
        <v>0</v>
      </c>
      <c r="J17294" s="25" t="n">
        <f aca="false">(J17260-I17260)-(J17283+J17200-J17281-J17285-J17289)</f>
        <v>0</v>
      </c>
      <c r="K17294" s="25" t="n">
        <f aca="false">(K17260-J17260)-(K17283+K17200-K17281-K17285-K17289)</f>
        <v>0</v>
      </c>
    </row>
    <row r="17296" customFormat="false" ht="15" hidden="false" customHeight="false" outlineLevel="0" collapsed="false">
      <c r="A17296" s="23" t="s">
        <v>358</v>
      </c>
      <c r="B17296" s="24"/>
      <c r="C17296" s="24"/>
      <c r="D17296" s="24"/>
      <c r="E17296" s="24"/>
      <c r="F17296" s="24"/>
      <c r="G17296" s="24"/>
      <c r="H17296" s="24"/>
      <c r="I17296" s="24"/>
      <c r="J17296" s="24"/>
      <c r="K17296" s="24"/>
    </row>
    <row r="17297" customFormat="false" ht="15" hidden="false" customHeight="false" outlineLevel="0" collapsed="false">
      <c r="A17297" s="3" t="s">
        <v>359</v>
      </c>
      <c r="G17297" s="25" t="n">
        <f aca="false">G17260</f>
        <v>1735.554</v>
      </c>
      <c r="H17297" s="25" t="n">
        <f aca="false">H17260</f>
        <v>1735.554</v>
      </c>
      <c r="I17297" s="25" t="n">
        <f aca="false">I17260</f>
        <v>1315.098</v>
      </c>
      <c r="J17297" s="25" t="n">
        <f aca="false">J17260</f>
        <v>1315.098</v>
      </c>
      <c r="K17297" s="25" t="n">
        <f aca="false">K17260</f>
        <v>1315.098</v>
      </c>
    </row>
    <row r="17298" customFormat="false" ht="15" hidden="false" customHeight="false" outlineLevel="0" collapsed="false">
      <c r="A17298" s="3" t="s">
        <v>360</v>
      </c>
      <c r="G17298" s="25" t="n">
        <f aca="false">Assumptions!$O$56*G17232+Assumptions!$O$57*G17245+Assumptions!$O$58*G17258</f>
        <v>1315.098</v>
      </c>
      <c r="H17298" s="25" t="n">
        <f aca="false">Assumptions!$O$56*H17232+Assumptions!$O$57*H17245+Assumptions!$O$58*H17258</f>
        <v>1315.098</v>
      </c>
      <c r="I17298" s="25" t="n">
        <f aca="false">Assumptions!$O$56*I17232+Assumptions!$O$57*I17245+Assumptions!$O$58*I17258</f>
        <v>1315.098</v>
      </c>
      <c r="J17298" s="25" t="n">
        <f aca="false">Assumptions!$O$56*J17232+Assumptions!$O$57*J17245+Assumptions!$O$58*J17258</f>
        <v>1315.098</v>
      </c>
      <c r="K17298" s="25" t="n">
        <f aca="false">Assumptions!$O$56*K17232+Assumptions!$O$57*K17245+Assumptions!$O$58*K17258</f>
        <v>1315.098</v>
      </c>
    </row>
    <row r="17299" customFormat="false" ht="15" hidden="false" customHeight="false" outlineLevel="0" collapsed="false">
      <c r="A17299" s="3" t="s">
        <v>361</v>
      </c>
      <c r="G17299" s="25" t="n">
        <f aca="false">G17297-G17290</f>
        <v>1216.73245256</v>
      </c>
      <c r="H17299" s="25" t="n">
        <f aca="false">H17297-H17290</f>
        <v>1195.8797166368</v>
      </c>
      <c r="I17299" s="25" t="n">
        <f aca="false">I17297-I17290</f>
        <v>1194.66797732811</v>
      </c>
      <c r="J17299" s="25" t="n">
        <f aca="false">J17297-J17290</f>
        <v>1192.02610313102</v>
      </c>
      <c r="K17299" s="25" t="n">
        <f aca="false">K17297-K17290</f>
        <v>1196.42058714379</v>
      </c>
    </row>
    <row r="17300" customFormat="false" ht="15" hidden="false" customHeight="false" outlineLevel="0" collapsed="false">
      <c r="A17300" s="3" t="s">
        <v>362</v>
      </c>
      <c r="G17300" s="32" t="n">
        <f aca="false">IF(G17195&gt;0,G17297/G17195,0)</f>
        <v>6.99885842190068</v>
      </c>
      <c r="H17300" s="32" t="n">
        <f aca="false">IF(H17195&gt;0,H17297/H17195,0)</f>
        <v>8.20980460047</v>
      </c>
      <c r="I17300" s="32" t="n">
        <f aca="false">IF(I17195&gt;0,I17297/I17195,0)</f>
        <v>6.93311397368161</v>
      </c>
      <c r="J17300" s="32" t="n">
        <f aca="false">IF(J17195&gt;0,J17297/J17195,0)</f>
        <v>7.66291544459547</v>
      </c>
      <c r="K17300" s="32" t="n">
        <f aca="false">IF(K17195&gt;0,K17297/K17195,0)</f>
        <v>8.0662267837847</v>
      </c>
    </row>
    <row r="17301" customFormat="false" ht="15" hidden="false" customHeight="false" outlineLevel="0" collapsed="false">
      <c r="A17301" s="3" t="s">
        <v>363</v>
      </c>
      <c r="G17301" s="32" t="n">
        <f aca="false">IF(G17195&gt;0,G17299/G17195,0)</f>
        <v>4.9066397085884</v>
      </c>
      <c r="H17301" s="32" t="n">
        <f aca="false">IF(H17195&gt;0,H17299/H17195,0)</f>
        <v>5.65694804036842</v>
      </c>
      <c r="I17301" s="32" t="n">
        <f aca="false">IF(I17195&gt;0,I17299/I17195,0)</f>
        <v>6.29821446578391</v>
      </c>
      <c r="J17301" s="32" t="n">
        <f aca="false">IF(J17195&gt;0,J17299/J17195,0)</f>
        <v>6.94579053123316</v>
      </c>
      <c r="K17301" s="32" t="n">
        <f aca="false">IF(K17195&gt;0,K17299/K17195,0)</f>
        <v>7.33831226622703</v>
      </c>
    </row>
    <row r="17302" customFormat="false" ht="15" hidden="false" customHeight="false" outlineLevel="0" collapsed="false">
      <c r="A17302" s="3" t="s">
        <v>364</v>
      </c>
      <c r="G17302" s="32" t="n">
        <f aca="false">IF(G17199&gt;0,G17195/G17199,0)</f>
        <v>1.59005643370602</v>
      </c>
      <c r="H17302" s="32" t="n">
        <f aca="false">IF(H17199&gt;0,H17195/H17199,0)</f>
        <v>1.35552310973439</v>
      </c>
      <c r="I17302" s="32" t="n">
        <f aca="false">IF(I17199&gt;0,I17195/I17199,0)</f>
        <v>1.21627391755258</v>
      </c>
      <c r="J17302" s="32" t="n">
        <f aca="false">IF(J17199&gt;0,J17195/J17199,0)</f>
        <v>1.24284413584734</v>
      </c>
      <c r="K17302" s="32" t="n">
        <f aca="false">IF(K17199&gt;0,K17195/K17199,0)</f>
        <v>1.18070192905498</v>
      </c>
    </row>
    <row r="17303" customFormat="false" ht="15" hidden="false" customHeight="false" outlineLevel="0" collapsed="false">
      <c r="A17303" s="3" t="s">
        <v>365</v>
      </c>
      <c r="G17303" s="32" t="n">
        <f aca="false">IF(G17199&gt;0,G17198/G17199,0)</f>
        <v>0.943202831951104</v>
      </c>
      <c r="H17303" s="32" t="n">
        <f aca="false">IF(H17199&gt;0,H17198/H17199,0)</f>
        <v>0.75394926010231</v>
      </c>
      <c r="I17303" s="32" t="n">
        <f aca="false">IF(I17199&gt;0,I17198/I17199,0)</f>
        <v>0.65079449889843</v>
      </c>
      <c r="J17303" s="32" t="n">
        <f aca="false">IF(J17199&gt;0,J17198/J17199,0)</f>
        <v>0.636119854632452</v>
      </c>
      <c r="K17303" s="32" t="n">
        <f aca="false">IF(K17199&gt;0,K17198/K17199,0)</f>
        <v>0.604313861900829</v>
      </c>
    </row>
    <row r="17304" customFormat="false" ht="15" hidden="false" customHeight="false" outlineLevel="0" collapsed="false">
      <c r="A17304" s="3" t="s">
        <v>198</v>
      </c>
      <c r="G17304" s="21" t="n">
        <f aca="false">IF(G17297&gt;0,G17208/G17297,0)</f>
        <v>0.0315896523185104</v>
      </c>
      <c r="H17304" s="21" t="n">
        <f aca="false">IF(H17297&gt;0,H17208/H17297,0)</f>
        <v>0.0120150314673009</v>
      </c>
      <c r="I17304" s="21" t="n">
        <f aca="false">IF(I17297&gt;0,I17208/I17297,0)</f>
        <v>0.000921406091932281</v>
      </c>
      <c r="J17304" s="21" t="n">
        <f aca="false">IF(J17297&gt;0,J17208/J17297,0)</f>
        <v>0.00200888009645638</v>
      </c>
      <c r="K17304" s="21" t="n">
        <f aca="false">IF(K17297&gt;0,K17208/K17297,0)</f>
        <v>-0.00334156390836645</v>
      </c>
    </row>
    <row r="17305" customFormat="false" ht="15" hidden="false" customHeight="false" outlineLevel="0" collapsed="false">
      <c r="A17305" s="3" t="s">
        <v>366</v>
      </c>
      <c r="G17305" s="32" t="n">
        <f aca="false">IF(G17199+G17281&gt;0,(G17195-G17206-G17203)/(G17199+G17281),0)</f>
        <v>1.41780032005454</v>
      </c>
      <c r="H17305" s="32" t="n">
        <f aca="false">IF(H17199+H17281&gt;0,(H17195-H17206-H17203)/(H17199+H17281),0)</f>
        <v>1.1953249240385</v>
      </c>
      <c r="I17305" s="32" t="n">
        <f aca="false">IF(I17199+I17281&gt;0,(I17195-I17206-I17203)/(I17199+I17281),0)</f>
        <v>1.06568762299845</v>
      </c>
      <c r="J17305" s="32" t="n">
        <f aca="false">IF(J17199+J17281&gt;0,(J17195-J17206-J17203)/(J17199+J17281),0)</f>
        <v>1.08127439818719</v>
      </c>
      <c r="K17305" s="32" t="n">
        <f aca="false">IF(K17199+K17281&gt;0,(K17195-K17206-K17203)/(K17199+K17281),0)</f>
        <v>1.02721067827783</v>
      </c>
    </row>
    <row r="17306" customFormat="false" ht="15" hidden="false" customHeight="false" outlineLevel="0" collapsed="false">
      <c r="A17306" s="3" t="s">
        <v>367</v>
      </c>
      <c r="G17306" s="25" t="n">
        <f aca="false">MAX(0,G17290)+Assumptions!$P$56*MAX(0,Assumptions!$D$56-G17232)+Assumptions!$P$57*MAX(0,Assumptions!$D$57-G17245)+Assumptions!$P$58*MAX(0,Assumptions!$D$58-G17258)</f>
        <v>518.82154744</v>
      </c>
      <c r="H17306" s="25" t="n">
        <f aca="false">MAX(0,H17290)+Assumptions!$P$56*MAX(0,Assumptions!$D$56-H17232)+Assumptions!$P$57*MAX(0,Assumptions!$D$57-H17245)+Assumptions!$P$58*MAX(0,Assumptions!$D$58-H17258)</f>
        <v>539.6742833632</v>
      </c>
      <c r="I17306" s="25" t="n">
        <f aca="false">MAX(0,I17290)+Assumptions!$P$56*MAX(0,Assumptions!$D$56-I17232)+Assumptions!$P$57*MAX(0,Assumptions!$D$57-I17245)+Assumptions!$P$58*MAX(0,Assumptions!$D$58-I17258)</f>
        <v>120.430022671888</v>
      </c>
      <c r="J17306" s="25" t="n">
        <f aca="false">MAX(0,J17290)+Assumptions!$P$56*MAX(0,Assumptions!$D$56-J17232)+Assumptions!$P$57*MAX(0,Assumptions!$D$57-J17245)+Assumptions!$P$58*MAX(0,Assumptions!$D$58-J17258)</f>
        <v>123.071896868977</v>
      </c>
      <c r="K17306" s="25" t="n">
        <f aca="false">MAX(0,K17290)+Assumptions!$P$56*MAX(0,Assumptions!$D$56-K17232)+Assumptions!$P$57*MAX(0,Assumptions!$D$57-K17245)+Assumptions!$P$58*MAX(0,Assumptions!$D$58-K17258)</f>
        <v>118.677412856212</v>
      </c>
    </row>
    <row r="17307" customFormat="false" ht="15" hidden="false" customHeight="false" outlineLevel="0" collapsed="false">
      <c r="A17307" s="3" t="s">
        <v>368</v>
      </c>
      <c r="G17307" s="21" t="n">
        <f aca="false">IF(G17297&gt;0,G17297/(G17297+MAX(0,G17195*CHOOSE($C$17178,Assumptions!$C$82,Assumptions!$C$101,Assumptions!$C$120)-G17299)),0)</f>
        <v>0.986836236277321</v>
      </c>
      <c r="H17307" s="21" t="n">
        <f aca="false">IF(H17297&gt;0,H17297/(H17297+MAX(0,H17195*CHOOSE($C$17178,Assumptions!$C$82,Assumptions!$C$101,Assumptions!$C$120)-H17299)),0)</f>
        <v>1</v>
      </c>
      <c r="I17307" s="21" t="n">
        <f aca="false">IF(I17297&gt;0,I17297/(I17297+MAX(0,I17195*CHOOSE($C$17178,Assumptions!$C$82,Assumptions!$C$101,Assumptions!$C$120)-I17299)),0)</f>
        <v>1</v>
      </c>
      <c r="J17307" s="21" t="n">
        <f aca="false">IF(J17297&gt;0,J17297/(J17297+MAX(0,J17195*CHOOSE($C$17178,Assumptions!$C$82,Assumptions!$C$101,Assumptions!$C$120)-J17299)),0)</f>
        <v>1</v>
      </c>
      <c r="K17307" s="21" t="n">
        <f aca="false">IF(K17297&gt;0,K17297/(K17297+MAX(0,K17195*CHOOSE($C$17178,Assumptions!$C$82,Assumptions!$C$101,Assumptions!$C$120)-K17299)),0)</f>
        <v>1</v>
      </c>
    </row>
    <row r="17308" customFormat="false" ht="15" hidden="false" customHeight="false" outlineLevel="0" collapsed="false">
      <c r="A17308" s="3" t="s">
        <v>369</v>
      </c>
      <c r="G17308" s="21" t="n">
        <f aca="false">IF(G17297&gt;0,MAX(0,G17290)/G17297,0)</f>
        <v>0.298937139057615</v>
      </c>
      <c r="H17308" s="21" t="n">
        <f aca="false">IF(H17297&gt;0,MAX(0,H17290)/H17297,0)</f>
        <v>0.310952170524916</v>
      </c>
      <c r="I17308" s="21" t="n">
        <f aca="false">IF(I17297&gt;0,MAX(0,I17290)/I17297,0)</f>
        <v>0.0915749416939937</v>
      </c>
      <c r="J17308" s="21" t="n">
        <f aca="false">IF(J17297&gt;0,MAX(0,J17290)/J17297,0)</f>
        <v>0.0935838217904501</v>
      </c>
      <c r="K17308" s="21" t="n">
        <f aca="false">IF(K17297&gt;0,MAX(0,K17290)/K17297,0)</f>
        <v>0.0902422578820836</v>
      </c>
    </row>
    <row r="17309" customFormat="false" ht="15" hidden="false" customHeight="false" outlineLevel="0" collapsed="false">
      <c r="A17309" s="3" t="s">
        <v>370</v>
      </c>
      <c r="G17309" s="25" t="n">
        <f aca="false">Assumptions!$C$30*(1-CHOOSE($C$17178,Assumptions!$C$85,Assumptions!$C$104,Assumptions!$C$123))</f>
        <v>2086.72535</v>
      </c>
      <c r="H17309" s="25" t="n">
        <f aca="false">Assumptions!$C$30*(1-CHOOSE($C$17178,Assumptions!$C$85,Assumptions!$C$104,Assumptions!$C$123))</f>
        <v>2086.72535</v>
      </c>
      <c r="I17309" s="25" t="n">
        <f aca="false">Assumptions!$C$30*(1-CHOOSE($C$17178,Assumptions!$C$85,Assumptions!$C$104,Assumptions!$C$123))</f>
        <v>2086.72535</v>
      </c>
      <c r="J17309" s="25" t="n">
        <f aca="false">Assumptions!$C$30*(1-CHOOSE($C$17178,Assumptions!$C$85,Assumptions!$C$104,Assumptions!$C$123))</f>
        <v>2086.72535</v>
      </c>
      <c r="K17309" s="25" t="n">
        <f aca="false">Assumptions!$C$30*(1-CHOOSE($C$17178,Assumptions!$C$85,Assumptions!$C$104,Assumptions!$C$123))</f>
        <v>2086.72535</v>
      </c>
    </row>
    <row r="17310" customFormat="false" ht="15" hidden="false" customHeight="false" outlineLevel="0" collapsed="false">
      <c r="A17310" s="23" t="s">
        <v>371</v>
      </c>
      <c r="B17310" s="24"/>
      <c r="C17310" s="24"/>
      <c r="D17310" s="24"/>
      <c r="E17310" s="24"/>
      <c r="F17310" s="24"/>
      <c r="G17310" s="24"/>
      <c r="H17310" s="24"/>
      <c r="I17310" s="24"/>
      <c r="J17310" s="24"/>
      <c r="K17310" s="24"/>
    </row>
    <row r="17311" customFormat="false" ht="15" hidden="false" customHeight="false" outlineLevel="0" collapsed="false">
      <c r="A17311" s="23" t="s">
        <v>372</v>
      </c>
      <c r="B17311" s="24"/>
      <c r="C17311" s="24"/>
      <c r="D17311" s="24"/>
      <c r="E17311" s="24"/>
      <c r="F17311" s="24"/>
      <c r="G17311" s="24"/>
      <c r="H17311" s="24"/>
      <c r="I17311" s="24"/>
      <c r="J17311" s="24"/>
      <c r="K17311" s="24"/>
    </row>
    <row r="17312" customFormat="false" ht="15" hidden="false" customHeight="false" outlineLevel="0" collapsed="false">
      <c r="A17312" s="3" t="s">
        <v>373</v>
      </c>
      <c r="G17312" s="32" t="n">
        <f aca="false">IF(G17195&gt;0,G17299/G17195,99)</f>
        <v>4.9066397085884</v>
      </c>
      <c r="H17312" s="32" t="n">
        <f aca="false">IF(H17195&gt;0,H17299/H17195,99)</f>
        <v>5.65694804036842</v>
      </c>
      <c r="I17312" s="32" t="n">
        <f aca="false">IF(I17195&gt;0,I17299/I17195,99)</f>
        <v>6.29821446578391</v>
      </c>
      <c r="J17312" s="32" t="n">
        <f aca="false">IF(J17195&gt;0,J17299/J17195,99)</f>
        <v>6.94579053123316</v>
      </c>
      <c r="K17312" s="32" t="n">
        <f aca="false">IF(K17195&gt;0,K17299/K17195,99)</f>
        <v>7.33831226622703</v>
      </c>
    </row>
    <row r="17313" customFormat="false" ht="15" hidden="false" customHeight="false" outlineLevel="0" collapsed="false">
      <c r="A17313" s="3" t="s">
        <v>374</v>
      </c>
      <c r="G17313" s="33" t="n">
        <f aca="false">Assumptions!$G$65</f>
        <v>5.25</v>
      </c>
      <c r="H17313" s="33" t="n">
        <f aca="false">Assumptions!$H$65</f>
        <v>5.25</v>
      </c>
      <c r="I17313" s="33" t="n">
        <f aca="false">Assumptions!$I$65</f>
        <v>5</v>
      </c>
      <c r="J17313" s="33" t="n">
        <f aca="false">Assumptions!$J$65</f>
        <v>5</v>
      </c>
      <c r="K17313" s="33" t="n">
        <f aca="false">Assumptions!$K$65</f>
        <v>5</v>
      </c>
    </row>
    <row r="17314" customFormat="false" ht="15" hidden="false" customHeight="false" outlineLevel="0" collapsed="false">
      <c r="A17314" s="3" t="s">
        <v>375</v>
      </c>
      <c r="G17314" s="32" t="n">
        <f aca="false">G17313-G17312</f>
        <v>0.343360291411604</v>
      </c>
      <c r="H17314" s="32" t="n">
        <f aca="false">H17313-H17312</f>
        <v>-0.406948040368418</v>
      </c>
      <c r="I17314" s="32" t="n">
        <f aca="false">I17313-I17312</f>
        <v>-1.29821446578391</v>
      </c>
      <c r="J17314" s="32" t="n">
        <f aca="false">J17313-J17312</f>
        <v>-1.94579053123316</v>
      </c>
      <c r="K17314" s="32" t="n">
        <f aca="false">K17313-K17312</f>
        <v>-2.33831226622703</v>
      </c>
    </row>
    <row r="17315" customFormat="false" ht="15" hidden="false" customHeight="false" outlineLevel="0" collapsed="false">
      <c r="A17315" s="3" t="s">
        <v>376</v>
      </c>
      <c r="G17315" s="21" t="n">
        <f aca="false">IF(G17313=0,0,G17314/ABS(G17313))</f>
        <v>0.0654019602688769</v>
      </c>
      <c r="H17315" s="21" t="n">
        <f aca="false">IF(H17313=0,0,H17314/ABS(H17313))</f>
        <v>-0.0775139124511272</v>
      </c>
      <c r="I17315" s="21" t="n">
        <f aca="false">IF(I17313=0,0,I17314/ABS(I17313))</f>
        <v>-0.259642893156781</v>
      </c>
      <c r="J17315" s="21" t="n">
        <f aca="false">IF(J17313=0,0,J17314/ABS(J17313))</f>
        <v>-0.389158106246632</v>
      </c>
      <c r="K17315" s="21" t="n">
        <f aca="false">IF(K17313=0,0,K17314/ABS(K17313))</f>
        <v>-0.467662453245407</v>
      </c>
    </row>
    <row r="17316" customFormat="false" ht="15" hidden="false" customHeight="false" outlineLevel="0" collapsed="false">
      <c r="A17316" s="3" t="s">
        <v>377</v>
      </c>
      <c r="G17316" s="20" t="n">
        <f aca="false">IF(G17314&lt;0,1,0)</f>
        <v>0</v>
      </c>
      <c r="H17316" s="20" t="n">
        <f aca="false">IF(H17314&lt;0,1,0)</f>
        <v>1</v>
      </c>
      <c r="I17316" s="20" t="n">
        <f aca="false">IF(I17314&lt;0,1,0)</f>
        <v>1</v>
      </c>
      <c r="J17316" s="20" t="n">
        <f aca="false">IF(J17314&lt;0,1,0)</f>
        <v>1</v>
      </c>
      <c r="K17316" s="20" t="n">
        <f aca="false">IF(K17314&lt;0,1,0)</f>
        <v>1</v>
      </c>
    </row>
    <row r="17317" customFormat="false" ht="15" hidden="false" customHeight="false" outlineLevel="0" collapsed="false">
      <c r="A17317" s="3" t="s">
        <v>378</v>
      </c>
      <c r="C17317" s="20" t="n">
        <f aca="false">IFERROR(INDEX($G$17185:$K$17185,MATCH(1,$G$17316:$K$17316,0)),0)</f>
        <v>2028</v>
      </c>
    </row>
    <row r="17318" customFormat="false" ht="15" hidden="false" customHeight="false" outlineLevel="0" collapsed="false">
      <c r="A17318" s="3" t="s">
        <v>379</v>
      </c>
      <c r="C17318" s="21" t="n">
        <f aca="false">MIN($G$17315:$K$17315)</f>
        <v>-0.467662453245407</v>
      </c>
    </row>
    <row r="17319" customFormat="false" ht="15" hidden="false" customHeight="false" outlineLevel="0" collapsed="false">
      <c r="A17319" s="23" t="s">
        <v>380</v>
      </c>
      <c r="B17319" s="24"/>
      <c r="C17319" s="24"/>
      <c r="D17319" s="24"/>
      <c r="E17319" s="24"/>
      <c r="F17319" s="24"/>
      <c r="G17319" s="24"/>
      <c r="H17319" s="24"/>
      <c r="I17319" s="24"/>
      <c r="J17319" s="24"/>
      <c r="K17319" s="24"/>
    </row>
    <row r="17320" customFormat="false" ht="15" hidden="false" customHeight="false" outlineLevel="0" collapsed="false">
      <c r="A17320" s="3" t="s">
        <v>373</v>
      </c>
      <c r="G17320" s="32" t="n">
        <f aca="false">IF(G17199&gt;0,G17195/G17199,99)</f>
        <v>1.59005643370602</v>
      </c>
      <c r="H17320" s="32" t="n">
        <f aca="false">IF(H17199&gt;0,H17195/H17199,99)</f>
        <v>1.35552310973439</v>
      </c>
      <c r="I17320" s="32" t="n">
        <f aca="false">IF(I17199&gt;0,I17195/I17199,99)</f>
        <v>1.21627391755258</v>
      </c>
      <c r="J17320" s="32" t="n">
        <f aca="false">IF(J17199&gt;0,J17195/J17199,99)</f>
        <v>1.24284413584734</v>
      </c>
      <c r="K17320" s="32" t="n">
        <f aca="false">IF(K17199&gt;0,K17195/K17199,99)</f>
        <v>1.18070192905498</v>
      </c>
    </row>
    <row r="17321" customFormat="false" ht="15" hidden="false" customHeight="false" outlineLevel="0" collapsed="false">
      <c r="A17321" s="3" t="s">
        <v>374</v>
      </c>
      <c r="G17321" s="33" t="n">
        <f aca="false">Assumptions!$G$66</f>
        <v>1.4</v>
      </c>
      <c r="H17321" s="33" t="n">
        <f aca="false">Assumptions!$H$66</f>
        <v>1.4</v>
      </c>
      <c r="I17321" s="33" t="n">
        <f aca="false">Assumptions!$I$66</f>
        <v>1.4</v>
      </c>
      <c r="J17321" s="33" t="n">
        <f aca="false">Assumptions!$J$66</f>
        <v>1.5</v>
      </c>
      <c r="K17321" s="33" t="n">
        <f aca="false">Assumptions!$K$66</f>
        <v>1.5</v>
      </c>
    </row>
    <row r="17322" customFormat="false" ht="15" hidden="false" customHeight="false" outlineLevel="0" collapsed="false">
      <c r="A17322" s="3" t="s">
        <v>375</v>
      </c>
      <c r="G17322" s="32" t="n">
        <f aca="false">G17320-G17321</f>
        <v>0.190056433706025</v>
      </c>
      <c r="H17322" s="32" t="n">
        <f aca="false">H17320-H17321</f>
        <v>-0.0444768902656139</v>
      </c>
      <c r="I17322" s="32" t="n">
        <f aca="false">I17320-I17321</f>
        <v>-0.183726082447419</v>
      </c>
      <c r="J17322" s="32" t="n">
        <f aca="false">J17320-J17321</f>
        <v>-0.257155864152655</v>
      </c>
      <c r="K17322" s="32" t="n">
        <f aca="false">K17320-K17321</f>
        <v>-0.319298070945023</v>
      </c>
    </row>
    <row r="17323" customFormat="false" ht="15" hidden="false" customHeight="false" outlineLevel="0" collapsed="false">
      <c r="A17323" s="3" t="s">
        <v>376</v>
      </c>
      <c r="G17323" s="21" t="n">
        <f aca="false">IF(G17321=0,0,G17322/ABS(G17321))</f>
        <v>0.135754595504304</v>
      </c>
      <c r="H17323" s="21" t="n">
        <f aca="false">IF(H17321=0,0,H17322/ABS(H17321))</f>
        <v>-0.0317692073325813</v>
      </c>
      <c r="I17323" s="21" t="n">
        <f aca="false">IF(I17321=0,0,I17322/ABS(I17321))</f>
        <v>-0.131232916033871</v>
      </c>
      <c r="J17323" s="21" t="n">
        <f aca="false">IF(J17321=0,0,J17322/ABS(J17321))</f>
        <v>-0.171437242768437</v>
      </c>
      <c r="K17323" s="21" t="n">
        <f aca="false">IF(K17321=0,0,K17322/ABS(K17321))</f>
        <v>-0.212865380630015</v>
      </c>
    </row>
    <row r="17324" customFormat="false" ht="15" hidden="false" customHeight="false" outlineLevel="0" collapsed="false">
      <c r="A17324" s="3" t="s">
        <v>377</v>
      </c>
      <c r="G17324" s="20" t="n">
        <f aca="false">IF(G17322&lt;0,1,0)</f>
        <v>0</v>
      </c>
      <c r="H17324" s="20" t="n">
        <f aca="false">IF(H17322&lt;0,1,0)</f>
        <v>1</v>
      </c>
      <c r="I17324" s="20" t="n">
        <f aca="false">IF(I17322&lt;0,1,0)</f>
        <v>1</v>
      </c>
      <c r="J17324" s="20" t="n">
        <f aca="false">IF(J17322&lt;0,1,0)</f>
        <v>1</v>
      </c>
      <c r="K17324" s="20" t="n">
        <f aca="false">IF(K17322&lt;0,1,0)</f>
        <v>1</v>
      </c>
    </row>
    <row r="17325" customFormat="false" ht="15" hidden="false" customHeight="false" outlineLevel="0" collapsed="false">
      <c r="A17325" s="3" t="s">
        <v>378</v>
      </c>
      <c r="C17325" s="20" t="n">
        <f aca="false">IFERROR(INDEX($G$17185:$K$17185,MATCH(1,$G$17324:$K$17324,0)),0)</f>
        <v>2028</v>
      </c>
    </row>
    <row r="17326" customFormat="false" ht="15" hidden="false" customHeight="false" outlineLevel="0" collapsed="false">
      <c r="A17326" s="3" t="s">
        <v>379</v>
      </c>
      <c r="C17326" s="21" t="n">
        <f aca="false">MIN($G$17323:$K$17323)</f>
        <v>-0.212865380630015</v>
      </c>
    </row>
    <row r="17327" customFormat="false" ht="15" hidden="false" customHeight="false" outlineLevel="0" collapsed="false">
      <c r="A17327" s="23" t="s">
        <v>381</v>
      </c>
      <c r="B17327" s="24"/>
      <c r="C17327" s="24"/>
      <c r="D17327" s="24"/>
      <c r="E17327" s="24"/>
      <c r="F17327" s="24"/>
      <c r="G17327" s="24"/>
      <c r="H17327" s="24"/>
      <c r="I17327" s="24"/>
      <c r="J17327" s="24"/>
      <c r="K17327" s="24"/>
    </row>
    <row r="17328" customFormat="false" ht="15" hidden="false" customHeight="false" outlineLevel="0" collapsed="false">
      <c r="A17328" s="3" t="s">
        <v>373</v>
      </c>
      <c r="G17328" s="25" t="n">
        <f aca="false">G17306</f>
        <v>518.82154744</v>
      </c>
      <c r="H17328" s="25" t="n">
        <f aca="false">H17306</f>
        <v>539.6742833632</v>
      </c>
      <c r="I17328" s="25" t="n">
        <f aca="false">I17306</f>
        <v>120.430022671888</v>
      </c>
      <c r="J17328" s="25" t="n">
        <f aca="false">J17306</f>
        <v>123.071896868977</v>
      </c>
      <c r="K17328" s="25" t="n">
        <f aca="false">K17306</f>
        <v>118.677412856212</v>
      </c>
    </row>
    <row r="17329" customFormat="false" ht="15" hidden="false" customHeight="false" outlineLevel="0" collapsed="false">
      <c r="A17329" s="3" t="s">
        <v>374</v>
      </c>
      <c r="G17329" s="29" t="n">
        <f aca="false">Assumptions!$G$67</f>
        <v>200</v>
      </c>
      <c r="H17329" s="29" t="n">
        <f aca="false">Assumptions!$H$67</f>
        <v>200</v>
      </c>
      <c r="I17329" s="29" t="n">
        <f aca="false">Assumptions!$I$67</f>
        <v>200</v>
      </c>
      <c r="J17329" s="29" t="n">
        <f aca="false">Assumptions!$J$67</f>
        <v>200</v>
      </c>
      <c r="K17329" s="29" t="n">
        <f aca="false">Assumptions!$K$67</f>
        <v>200</v>
      </c>
    </row>
    <row r="17330" customFormat="false" ht="15" hidden="false" customHeight="false" outlineLevel="0" collapsed="false">
      <c r="A17330" s="3" t="s">
        <v>375</v>
      </c>
      <c r="G17330" s="25" t="n">
        <f aca="false">G17328-G17329</f>
        <v>318.82154744</v>
      </c>
      <c r="H17330" s="25" t="n">
        <f aca="false">H17328-H17329</f>
        <v>339.6742833632</v>
      </c>
      <c r="I17330" s="25" t="n">
        <f aca="false">I17328-I17329</f>
        <v>-79.5699773281123</v>
      </c>
      <c r="J17330" s="25" t="n">
        <f aca="false">J17328-J17329</f>
        <v>-76.9281031310227</v>
      </c>
      <c r="K17330" s="25" t="n">
        <f aca="false">K17328-K17329</f>
        <v>-81.3225871437876</v>
      </c>
    </row>
    <row r="17331" customFormat="false" ht="15" hidden="false" customHeight="false" outlineLevel="0" collapsed="false">
      <c r="A17331" s="3" t="s">
        <v>376</v>
      </c>
      <c r="G17331" s="21" t="n">
        <f aca="false">IF(G17329=0,0,G17330/ABS(G17329))</f>
        <v>1.5941077372</v>
      </c>
      <c r="H17331" s="21" t="n">
        <f aca="false">IF(H17329=0,0,H17330/ABS(H17329))</f>
        <v>1.698371416816</v>
      </c>
      <c r="I17331" s="21" t="n">
        <f aca="false">IF(I17329=0,0,I17330/ABS(I17329))</f>
        <v>-0.397849886640561</v>
      </c>
      <c r="J17331" s="21" t="n">
        <f aca="false">IF(J17329=0,0,J17330/ABS(J17329))</f>
        <v>-0.384640515655113</v>
      </c>
      <c r="K17331" s="21" t="n">
        <f aca="false">IF(K17329=0,0,K17330/ABS(K17329))</f>
        <v>-0.406612935718938</v>
      </c>
    </row>
    <row r="17332" customFormat="false" ht="15" hidden="false" customHeight="false" outlineLevel="0" collapsed="false">
      <c r="A17332" s="3" t="s">
        <v>377</v>
      </c>
      <c r="G17332" s="20" t="n">
        <f aca="false">IF(G17330&lt;0,1,0)</f>
        <v>0</v>
      </c>
      <c r="H17332" s="20" t="n">
        <f aca="false">IF(H17330&lt;0,1,0)</f>
        <v>0</v>
      </c>
      <c r="I17332" s="20" t="n">
        <f aca="false">IF(I17330&lt;0,1,0)</f>
        <v>1</v>
      </c>
      <c r="J17332" s="20" t="n">
        <f aca="false">IF(J17330&lt;0,1,0)</f>
        <v>1</v>
      </c>
      <c r="K17332" s="20" t="n">
        <f aca="false">IF(K17330&lt;0,1,0)</f>
        <v>1</v>
      </c>
    </row>
    <row r="17333" customFormat="false" ht="15" hidden="false" customHeight="false" outlineLevel="0" collapsed="false">
      <c r="A17333" s="3" t="s">
        <v>378</v>
      </c>
      <c r="C17333" s="20" t="n">
        <f aca="false">IFERROR(INDEX($G$17185:$K$17185,MATCH(1,$G$17332:$K$17332,0)),0)</f>
        <v>2029</v>
      </c>
    </row>
    <row r="17334" customFormat="false" ht="15" hidden="false" customHeight="false" outlineLevel="0" collapsed="false">
      <c r="A17334" s="3" t="s">
        <v>379</v>
      </c>
      <c r="C17334" s="21" t="n">
        <f aca="false">MIN($G$17331:$K$17331)</f>
        <v>-0.406612935718938</v>
      </c>
    </row>
    <row r="17335" customFormat="false" ht="15" hidden="false" customHeight="false" outlineLevel="0" collapsed="false">
      <c r="A17335" s="3" t="s">
        <v>382</v>
      </c>
      <c r="G17335" s="20" t="n">
        <f aca="false">G17316+G17324+G17332</f>
        <v>0</v>
      </c>
      <c r="H17335" s="20" t="n">
        <f aca="false">H17316+H17324+H17332</f>
        <v>2</v>
      </c>
      <c r="I17335" s="20" t="n">
        <f aca="false">I17316+I17324+I17332</f>
        <v>3</v>
      </c>
      <c r="J17335" s="20" t="n">
        <f aca="false">J17316+J17324+J17332</f>
        <v>3</v>
      </c>
      <c r="K17335" s="20" t="n">
        <f aca="false">K17316+K17324+K17332</f>
        <v>3</v>
      </c>
    </row>
    <row r="17336" customFormat="false" ht="15" hidden="false" customHeight="false" outlineLevel="0" collapsed="false">
      <c r="A17336" s="3" t="s">
        <v>383</v>
      </c>
      <c r="C17336" s="20" t="n">
        <f aca="false">SUM($G$17335:$K$17335)</f>
        <v>11</v>
      </c>
    </row>
    <row r="17337" customFormat="false" ht="15" hidden="false" customHeight="false" outlineLevel="0" collapsed="false">
      <c r="A17337" s="3" t="s">
        <v>384</v>
      </c>
      <c r="C17337" s="21" t="n">
        <f aca="false">MIN(C17318,C17326,C17334)</f>
        <v>-0.467662453245407</v>
      </c>
    </row>
    <row r="17339" customFormat="false" ht="15" hidden="false" customHeight="false" outlineLevel="0" collapsed="false">
      <c r="A17339" s="23" t="s">
        <v>486</v>
      </c>
      <c r="B17339" s="24"/>
      <c r="C17339" s="24"/>
      <c r="D17339" s="24"/>
      <c r="E17339" s="24"/>
      <c r="F17339" s="24"/>
      <c r="G17339" s="24"/>
      <c r="H17339" s="24"/>
      <c r="I17339" s="24"/>
      <c r="J17339" s="24"/>
      <c r="K17339" s="24"/>
    </row>
    <row r="17340" customFormat="false" ht="15" hidden="false" customHeight="false" outlineLevel="0" collapsed="false">
      <c r="A17340" s="3" t="s">
        <v>487</v>
      </c>
      <c r="G17340" s="20" t="n">
        <f aca="false">IF($C$17341=1,G17293,IF(G17195=MIN($G$17195:$K$17195),1,0))</f>
        <v>0</v>
      </c>
      <c r="H17340" s="20" t="n">
        <f aca="false">IF($C$17341=1,H17293,IF(AND(H17195=MIN($G$17195:$K$17195),SUM($G$17340:G17340)=0),1,0))</f>
        <v>0</v>
      </c>
      <c r="I17340" s="20" t="n">
        <f aca="false">IF($C$17341=1,I17293,IF(AND(I17195=MIN($G$17195:$K$17195),SUM($G$17340:H17340)=0),1,0))</f>
        <v>0</v>
      </c>
      <c r="J17340" s="20" t="n">
        <f aca="false">IF($C$17341=1,J17293,IF(AND(J17195=MIN($G$17195:$K$17195),SUM($G$17340:I17340)=0),1,0))</f>
        <v>0</v>
      </c>
      <c r="K17340" s="20" t="n">
        <f aca="false">IF($C$17341=1,K17293,IF(AND(K17195=MIN($G$17195:$K$17195),SUM($G$17340:J17340)=0),1,0))</f>
        <v>1</v>
      </c>
    </row>
    <row r="17341" customFormat="false" ht="15" hidden="false" customHeight="false" outlineLevel="0" collapsed="false">
      <c r="A17341" s="3" t="s">
        <v>488</v>
      </c>
      <c r="C17341" s="20" t="n">
        <f aca="false">IF(SUM($G$17293:$K$17293)&gt;0,1,0)</f>
        <v>0</v>
      </c>
    </row>
    <row r="17342" customFormat="false" ht="15" hidden="false" customHeight="false" outlineLevel="0" collapsed="false">
      <c r="A17342" s="3" t="s">
        <v>489</v>
      </c>
      <c r="C17342" s="20" t="n">
        <f aca="false">SUMPRODUCT($G$17340:$K$17340,$G$17185:$K$17185)</f>
        <v>2031</v>
      </c>
    </row>
    <row r="17343" customFormat="false" ht="15" hidden="false" customHeight="false" outlineLevel="0" collapsed="false">
      <c r="A17343" s="3" t="s">
        <v>490</v>
      </c>
      <c r="C17343" s="25" t="n">
        <f aca="false">SUMPRODUCT($G$17340:$K$17340,$G$17195:$K$17195)</f>
        <v>163.037568277116</v>
      </c>
    </row>
    <row r="17344" customFormat="false" ht="15" hidden="false" customHeight="false" outlineLevel="0" collapsed="false">
      <c r="A17344" s="3" t="s">
        <v>491</v>
      </c>
      <c r="C17344" s="25" t="n">
        <f aca="false">MAX(0,SUMPRODUCT($G$17340:$K$17340,$G$17290:$K$17290))</f>
        <v>118.677412856212</v>
      </c>
    </row>
    <row r="17345" customFormat="false" ht="15" hidden="false" customHeight="false" outlineLevel="0" collapsed="false">
      <c r="A17345" s="3" t="s">
        <v>492</v>
      </c>
      <c r="C17345" s="25" t="n">
        <f aca="false">(CHOOSE($C$17178,Assumptions!$C$84,Assumptions!$C$103,Assumptions!$C$122)+$C$17182)*C17343</f>
        <v>407.59392069279</v>
      </c>
    </row>
    <row r="17346" customFormat="false" ht="15" hidden="false" customHeight="false" outlineLevel="0" collapsed="false">
      <c r="A17346" s="3" t="s">
        <v>493</v>
      </c>
      <c r="C17346" s="25" t="n">
        <f aca="false">Assumptions!$C$30*(1-CHOOSE($C$17178,Assumptions!$C$85,Assumptions!$C$104,Assumptions!$C$123))*CHOOSE($C$17178,Assumptions!$C$86,Assumptions!$C$105,Assumptions!$C$124)</f>
        <v>626.017605</v>
      </c>
    </row>
    <row r="17347" customFormat="false" ht="15" hidden="false" customHeight="false" outlineLevel="0" collapsed="false">
      <c r="A17347" s="3" t="s">
        <v>494</v>
      </c>
      <c r="C17347" s="25" t="n">
        <f aca="false">MAX(C17345,C17346)+C17344</f>
        <v>744.695017856212</v>
      </c>
    </row>
    <row r="17348" customFormat="false" ht="15" hidden="false" customHeight="false" outlineLevel="0" collapsed="false">
      <c r="A17348" s="2" t="s">
        <v>495</v>
      </c>
      <c r="C17348" s="16" t="n">
        <f aca="false">IF(ISNUMBER(Assumptions!$C$14),Assumptions!$C$14,C17347)</f>
        <v>744.695017856212</v>
      </c>
    </row>
    <row r="17349" customFormat="false" ht="15" hidden="false" customHeight="false" outlineLevel="0" collapsed="false">
      <c r="A17349" s="3" t="s">
        <v>496</v>
      </c>
      <c r="C17349" s="25" t="n">
        <f aca="false">C17348*Assumptions!$C$15</f>
        <v>29.7878007142485</v>
      </c>
    </row>
    <row r="17350" customFormat="false" ht="15" hidden="false" customHeight="false" outlineLevel="0" collapsed="false">
      <c r="A17350" s="2" t="s">
        <v>497</v>
      </c>
      <c r="C17350" s="16" t="n">
        <f aca="false">C17348-C17349</f>
        <v>714.907217141964</v>
      </c>
    </row>
    <row r="17351" customFormat="false" ht="15" hidden="false" customHeight="false" outlineLevel="0" collapsed="false">
      <c r="A17351" s="23" t="s">
        <v>498</v>
      </c>
      <c r="B17351" s="24"/>
      <c r="C17351" s="24"/>
      <c r="D17351" s="24"/>
      <c r="E17351" s="24"/>
      <c r="F17351" s="24"/>
      <c r="G17351" s="24"/>
      <c r="H17351" s="24"/>
      <c r="I17351" s="24"/>
      <c r="J17351" s="24"/>
      <c r="K17351" s="24"/>
    </row>
    <row r="17352" customFormat="false" ht="15" hidden="false" customHeight="false" outlineLevel="0" collapsed="false">
      <c r="A17352" s="3" t="s">
        <v>499</v>
      </c>
      <c r="C17352" s="25" t="n">
        <f aca="false">SUMPRODUCT($G$17340:$K$17340,$G$17232:$K$17232)*(1+SUMPRODUCT($G$17340:$K$17340,$G$17224:$K$17224)*Assumptions!$C$16/12)</f>
        <v>1349.6193225</v>
      </c>
    </row>
    <row r="17353" customFormat="false" ht="15" hidden="false" customHeight="false" outlineLevel="0" collapsed="false">
      <c r="A17353" s="3" t="s">
        <v>500</v>
      </c>
      <c r="C17353" s="25" t="n">
        <f aca="false">SUMPRODUCT($G$17340:$K$17340,$G$17245:$K$17245)*(1+SUMPRODUCT($G$17340:$K$17340,$G$17237:$K$17237)*Assumptions!$C$16/12)</f>
        <v>0</v>
      </c>
    </row>
    <row r="17354" customFormat="false" ht="15" hidden="false" customHeight="false" outlineLevel="0" collapsed="false">
      <c r="A17354" s="3" t="s">
        <v>501</v>
      </c>
      <c r="C17354" s="25" t="n">
        <f aca="false">SUMPRODUCT($G$17340:$K$17340,$G$17258:$K$17258)*(1+SUMPRODUCT($G$17340:$K$17340,$G$17250:$K$17250)*Assumptions!$C$16/12)</f>
        <v>0</v>
      </c>
    </row>
    <row r="17355" customFormat="false" ht="15" hidden="false" customHeight="false" outlineLevel="0" collapsed="false">
      <c r="A17355" s="23" t="s">
        <v>502</v>
      </c>
      <c r="B17355" s="24"/>
      <c r="C17355" s="24"/>
      <c r="D17355" s="24"/>
      <c r="E17355" s="24"/>
      <c r="F17355" s="24"/>
      <c r="G17355" s="24"/>
      <c r="H17355" s="24"/>
      <c r="I17355" s="24"/>
      <c r="J17355" s="24"/>
      <c r="K17355" s="24"/>
    </row>
    <row r="17356" customFormat="false" ht="15" hidden="false" customHeight="false" outlineLevel="0" collapsed="false">
      <c r="A17356" s="3" t="s">
        <v>499</v>
      </c>
      <c r="C17356" s="27" t="n">
        <f aca="false">Assumptions!$M$56</f>
        <v>1</v>
      </c>
    </row>
    <row r="17357" customFormat="false" ht="15" hidden="false" customHeight="false" outlineLevel="0" collapsed="false">
      <c r="A17357" s="3" t="s">
        <v>500</v>
      </c>
      <c r="C17357" s="27" t="n">
        <f aca="false">Assumptions!$M$57</f>
        <v>2</v>
      </c>
    </row>
    <row r="17358" customFormat="false" ht="15" hidden="false" customHeight="false" outlineLevel="0" collapsed="false">
      <c r="A17358" s="3" t="s">
        <v>501</v>
      </c>
      <c r="C17358" s="27" t="n">
        <f aca="false">Assumptions!$M$58</f>
        <v>2</v>
      </c>
    </row>
    <row r="17359" customFormat="false" ht="15" hidden="false" customHeight="false" outlineLevel="0" collapsed="false">
      <c r="A17359" s="23" t="s">
        <v>503</v>
      </c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</row>
    <row r="17360" customFormat="false" ht="15" hidden="false" customHeight="false" outlineLevel="0" collapsed="false">
      <c r="A17360" s="3" t="s">
        <v>499</v>
      </c>
      <c r="C17360" s="35" t="n">
        <f aca="false">Assumptions!$Q$56</f>
        <v>0</v>
      </c>
    </row>
    <row r="17361" customFormat="false" ht="15" hidden="false" customHeight="false" outlineLevel="0" collapsed="false">
      <c r="A17361" s="3" t="s">
        <v>500</v>
      </c>
      <c r="C17361" s="35" t="n">
        <f aca="false">Assumptions!$Q$57</f>
        <v>0</v>
      </c>
    </row>
    <row r="17362" customFormat="false" ht="15" hidden="false" customHeight="false" outlineLevel="0" collapsed="false">
      <c r="A17362" s="3" t="s">
        <v>501</v>
      </c>
      <c r="C17362" s="35" t="n">
        <f aca="false">Assumptions!$Q$58</f>
        <v>0</v>
      </c>
    </row>
    <row r="17363" customFormat="false" ht="15" hidden="false" customHeight="false" outlineLevel="0" collapsed="false">
      <c r="A17363" s="23" t="s">
        <v>504</v>
      </c>
      <c r="B17363" s="24"/>
      <c r="C17363" s="24"/>
      <c r="D17363" s="24"/>
      <c r="E17363" s="24"/>
      <c r="F17363" s="24"/>
      <c r="G17363" s="24"/>
      <c r="H17363" s="24"/>
      <c r="I17363" s="24"/>
      <c r="J17363" s="24"/>
      <c r="K17363" s="24"/>
    </row>
    <row r="17364" customFormat="false" ht="15" hidden="false" customHeight="false" outlineLevel="0" collapsed="false">
      <c r="A17364" s="3" t="s">
        <v>499</v>
      </c>
      <c r="C17364" s="25" t="n">
        <f aca="false">IF(C17360&gt;0,MIN(C17352,C17360*$C$17350),0)</f>
        <v>0</v>
      </c>
    </row>
    <row r="17365" customFormat="false" ht="15" hidden="false" customHeight="false" outlineLevel="0" collapsed="false">
      <c r="A17365" s="3" t="s">
        <v>500</v>
      </c>
      <c r="C17365" s="25" t="n">
        <f aca="false">IF(C17361&gt;0,MIN(C17353,C17361*$C$17350),0)</f>
        <v>0</v>
      </c>
    </row>
    <row r="17366" customFormat="false" ht="15" hidden="false" customHeight="false" outlineLevel="0" collapsed="false">
      <c r="A17366" s="3" t="s">
        <v>501</v>
      </c>
      <c r="C17366" s="25" t="n">
        <f aca="false">IF(C17362&gt;0,MIN(C17354,C17362*$C$17350),0)</f>
        <v>0</v>
      </c>
    </row>
    <row r="17367" customFormat="false" ht="15" hidden="false" customHeight="false" outlineLevel="0" collapsed="false">
      <c r="A17367" s="23" t="s">
        <v>505</v>
      </c>
      <c r="B17367" s="24"/>
      <c r="C17367" s="24"/>
      <c r="D17367" s="24"/>
      <c r="E17367" s="24"/>
      <c r="F17367" s="24"/>
      <c r="G17367" s="24"/>
      <c r="H17367" s="24"/>
      <c r="I17367" s="24"/>
      <c r="J17367" s="24"/>
      <c r="K17367" s="24"/>
    </row>
    <row r="17368" customFormat="false" ht="15" hidden="false" customHeight="false" outlineLevel="0" collapsed="false">
      <c r="A17368" s="3" t="s">
        <v>499</v>
      </c>
      <c r="C17368" s="25" t="n">
        <f aca="false">IF(C17360&gt;0,C17352-C17364,0)</f>
        <v>0</v>
      </c>
      <c r="G17368" s="20" t="n">
        <f aca="false">IF(AND(G17222=1,G17219=1),1,0)</f>
        <v>0</v>
      </c>
      <c r="H17368" s="20" t="n">
        <f aca="false">IF(G17368=1,1,IF(AND(H17222=1,H17219=1),1,0))</f>
        <v>0</v>
      </c>
      <c r="I17368" s="20" t="n">
        <f aca="false">IF(H17368=1,1,IF(AND(I17222=1,I17219=1),1,0))</f>
        <v>0</v>
      </c>
      <c r="J17368" s="20" t="n">
        <f aca="false">IF(I17368=1,1,IF(AND(J17222=1,J17219=1),1,0))</f>
        <v>0</v>
      </c>
      <c r="K17368" s="20" t="n">
        <f aca="false">IF(J17368=1,1,IF(AND(K17222=1,K17219=1),1,0))</f>
        <v>0</v>
      </c>
    </row>
    <row r="17369" customFormat="false" ht="15" hidden="false" customHeight="false" outlineLevel="0" collapsed="false">
      <c r="A17369" s="3" t="s">
        <v>500</v>
      </c>
      <c r="C17369" s="25" t="n">
        <f aca="false">IF(C17361&gt;0,C17353-C17365,0)</f>
        <v>0</v>
      </c>
      <c r="G17369" s="20" t="n">
        <f aca="false">IF(AND(G17235=1,G17219=1),1,0)</f>
        <v>0</v>
      </c>
      <c r="H17369" s="20" t="n">
        <f aca="false">IF(G17369=1,1,IF(AND(H17235=1,H17219=1),1,0))</f>
        <v>0</v>
      </c>
      <c r="I17369" s="20" t="n">
        <f aca="false">IF(H17369=1,1,IF(AND(I17235=1,I17219=1),1,0))</f>
        <v>0</v>
      </c>
      <c r="J17369" s="20" t="n">
        <f aca="false">IF(I17369=1,1,IF(AND(J17235=1,J17219=1),1,0))</f>
        <v>0</v>
      </c>
      <c r="K17369" s="20" t="n">
        <f aca="false">IF(J17369=1,1,IF(AND(K17235=1,K17219=1),1,0))</f>
        <v>0</v>
      </c>
    </row>
    <row r="17370" customFormat="false" ht="15" hidden="false" customHeight="false" outlineLevel="0" collapsed="false">
      <c r="A17370" s="3" t="s">
        <v>501</v>
      </c>
      <c r="C17370" s="25" t="n">
        <f aca="false">IF(C17362&gt;0,C17354-C17366,0)</f>
        <v>0</v>
      </c>
      <c r="G17370" s="20" t="n">
        <f aca="false">IF(AND(G17248=1,G17219=1),1,0)</f>
        <v>0</v>
      </c>
      <c r="H17370" s="20" t="n">
        <f aca="false">IF(G17370=1,1,IF(AND(H17248=1,H17219=1),1,0))</f>
        <v>0</v>
      </c>
      <c r="I17370" s="20" t="n">
        <f aca="false">IF(H17370=1,1,IF(AND(I17248=1,I17219=1),1,0))</f>
        <v>0</v>
      </c>
      <c r="J17370" s="20" t="n">
        <f aca="false">IF(I17370=1,1,IF(AND(J17248=1,J17219=1),1,0))</f>
        <v>0</v>
      </c>
      <c r="K17370" s="20" t="n">
        <f aca="false">IF(J17370=1,1,IF(AND(K17248=1,K17219=1),1,0))</f>
        <v>0</v>
      </c>
    </row>
    <row r="17371" customFormat="false" ht="15" hidden="false" customHeight="false" outlineLevel="0" collapsed="false">
      <c r="A17371" s="23" t="s">
        <v>506</v>
      </c>
      <c r="B17371" s="24"/>
      <c r="C17371" s="24"/>
      <c r="D17371" s="24"/>
      <c r="E17371" s="24"/>
      <c r="F17371" s="24"/>
      <c r="G17371" s="24"/>
      <c r="H17371" s="24"/>
      <c r="I17371" s="24"/>
      <c r="J17371" s="24"/>
      <c r="K17371" s="24"/>
    </row>
    <row r="17372" customFormat="false" ht="15" hidden="false" customHeight="false" outlineLevel="0" collapsed="false">
      <c r="A17372" s="3" t="s">
        <v>499</v>
      </c>
      <c r="C17372" s="25" t="n">
        <f aca="false">IF(C17360&gt;0,C17368,C17352)</f>
        <v>1349.6193225</v>
      </c>
    </row>
    <row r="17373" customFormat="false" ht="15" hidden="false" customHeight="false" outlineLevel="0" collapsed="false">
      <c r="A17373" s="3" t="s">
        <v>500</v>
      </c>
      <c r="C17373" s="25" t="n">
        <f aca="false">IF(C17361&gt;0,C17369,C17353)</f>
        <v>0</v>
      </c>
    </row>
    <row r="17374" customFormat="false" ht="15" hidden="false" customHeight="false" outlineLevel="0" collapsed="false">
      <c r="A17374" s="3" t="s">
        <v>501</v>
      </c>
      <c r="C17374" s="25" t="n">
        <f aca="false">IF(C17362&gt;0,C17370,C17354)</f>
        <v>0</v>
      </c>
    </row>
    <row r="17375" customFormat="false" ht="15" hidden="false" customHeight="false" outlineLevel="0" collapsed="false">
      <c r="A17375" s="23" t="s">
        <v>507</v>
      </c>
      <c r="B17375" s="24"/>
      <c r="C17375" s="24"/>
      <c r="D17375" s="24"/>
      <c r="E17375" s="24"/>
      <c r="F17375" s="24"/>
      <c r="G17375" s="24"/>
      <c r="H17375" s="24"/>
      <c r="I17375" s="24"/>
      <c r="J17375" s="24"/>
      <c r="K17375" s="24"/>
    </row>
    <row r="17376" customFormat="false" ht="15" hidden="false" customHeight="false" outlineLevel="0" collapsed="false">
      <c r="A17376" s="3" t="s">
        <v>499</v>
      </c>
      <c r="C17376" s="20" t="n">
        <f aca="false">IF(C17360&gt;0,Assumptions!$C$17,C17356)</f>
        <v>1</v>
      </c>
    </row>
    <row r="17377" customFormat="false" ht="15" hidden="false" customHeight="false" outlineLevel="0" collapsed="false">
      <c r="A17377" s="3" t="s">
        <v>500</v>
      </c>
      <c r="C17377" s="20" t="n">
        <f aca="false">IF(C17361&gt;0,Assumptions!$C$17,C17357)</f>
        <v>2</v>
      </c>
    </row>
    <row r="17378" customFormat="false" ht="15" hidden="false" customHeight="false" outlineLevel="0" collapsed="false">
      <c r="A17378" s="3" t="s">
        <v>501</v>
      </c>
      <c r="C17378" s="20" t="n">
        <f aca="false">IF(C17362&gt;0,Assumptions!$C$17,C17358)</f>
        <v>2</v>
      </c>
    </row>
    <row r="17379" customFormat="false" ht="15" hidden="false" customHeight="false" outlineLevel="0" collapsed="false">
      <c r="A17379" s="23" t="s">
        <v>508</v>
      </c>
      <c r="B17379" s="24"/>
      <c r="C17379" s="24"/>
      <c r="D17379" s="24"/>
      <c r="E17379" s="24"/>
      <c r="F17379" s="24"/>
      <c r="G17379" s="24"/>
      <c r="H17379" s="24"/>
      <c r="I17379" s="24"/>
      <c r="J17379" s="24"/>
      <c r="K17379" s="24"/>
    </row>
    <row r="17380" customFormat="false" ht="15" hidden="false" customHeight="false" outlineLevel="0" collapsed="false">
      <c r="A17380" s="3" t="s">
        <v>499</v>
      </c>
      <c r="C17380" s="25" t="n">
        <f aca="false">SUMPRODUCT(($C$17376:$C$17378&lt;C17376)*$C$17372:$C$17374)</f>
        <v>0</v>
      </c>
    </row>
    <row r="17381" customFormat="false" ht="15" hidden="false" customHeight="false" outlineLevel="0" collapsed="false">
      <c r="A17381" s="3" t="s">
        <v>500</v>
      </c>
      <c r="C17381" s="25" t="n">
        <f aca="false">SUMPRODUCT(($C$17376:$C$17378&lt;C17377)*$C$17372:$C$17374)</f>
        <v>1349.6193225</v>
      </c>
    </row>
    <row r="17382" customFormat="false" ht="15" hidden="false" customHeight="false" outlineLevel="0" collapsed="false">
      <c r="A17382" s="3" t="s">
        <v>501</v>
      </c>
      <c r="C17382" s="25" t="n">
        <f aca="false">SUMPRODUCT(($C$17376:$C$17378&lt;C17378)*$C$17372:$C$17374)</f>
        <v>1349.6193225</v>
      </c>
    </row>
    <row r="17383" customFormat="false" ht="15" hidden="false" customHeight="false" outlineLevel="0" collapsed="false">
      <c r="A17383" s="23" t="s">
        <v>509</v>
      </c>
      <c r="B17383" s="24"/>
      <c r="C17383" s="24"/>
      <c r="D17383" s="24"/>
      <c r="E17383" s="24"/>
      <c r="F17383" s="24"/>
      <c r="G17383" s="24"/>
      <c r="H17383" s="24"/>
      <c r="I17383" s="24"/>
      <c r="J17383" s="24"/>
      <c r="K17383" s="24"/>
    </row>
    <row r="17384" customFormat="false" ht="15" hidden="false" customHeight="false" outlineLevel="0" collapsed="false">
      <c r="A17384" s="3" t="s">
        <v>499</v>
      </c>
      <c r="C17384" s="25" t="n">
        <f aca="false">SUMPRODUCT(($C$17376:$C$17378=C17376)*$C$17372:$C$17374)</f>
        <v>1349.6193225</v>
      </c>
    </row>
    <row r="17385" customFormat="false" ht="15" hidden="false" customHeight="false" outlineLevel="0" collapsed="false">
      <c r="A17385" s="3" t="s">
        <v>500</v>
      </c>
      <c r="C17385" s="25" t="n">
        <f aca="false">SUMPRODUCT(($C$17376:$C$17378=C17377)*$C$17372:$C$17374)</f>
        <v>0</v>
      </c>
    </row>
    <row r="17386" customFormat="false" ht="15" hidden="false" customHeight="false" outlineLevel="0" collapsed="false">
      <c r="A17386" s="3" t="s">
        <v>501</v>
      </c>
      <c r="C17386" s="25" t="n">
        <f aca="false">SUMPRODUCT(($C$17376:$C$17378=C17378)*$C$17372:$C$17374)</f>
        <v>0</v>
      </c>
    </row>
    <row r="17387" customFormat="false" ht="15" hidden="false" customHeight="false" outlineLevel="0" collapsed="false">
      <c r="A17387" s="23" t="s">
        <v>510</v>
      </c>
      <c r="B17387" s="24"/>
      <c r="C17387" s="24"/>
      <c r="D17387" s="24"/>
      <c r="E17387" s="24"/>
      <c r="F17387" s="24"/>
      <c r="G17387" s="24"/>
      <c r="H17387" s="24"/>
      <c r="I17387" s="24"/>
      <c r="J17387" s="24"/>
      <c r="K17387" s="24"/>
    </row>
    <row r="17388" customFormat="false" ht="15" hidden="false" customHeight="false" outlineLevel="0" collapsed="false">
      <c r="A17388" s="3" t="s">
        <v>499</v>
      </c>
      <c r="C17388" s="25" t="n">
        <f aca="false">IF(C17384=0,0,C17372/C17384*MAX(0,MIN(C17384,$C$17350-SUM($C$17364:$C$17366)-C17380)))</f>
        <v>714.907217141964</v>
      </c>
    </row>
    <row r="17389" customFormat="false" ht="15" hidden="false" customHeight="false" outlineLevel="0" collapsed="false">
      <c r="A17389" s="3" t="s">
        <v>500</v>
      </c>
      <c r="C17389" s="25" t="n">
        <f aca="false">IF(C17385=0,0,C17373/C17385*MAX(0,MIN(C17385,$C$17350-SUM($C$17364:$C$17366)-C17381)))</f>
        <v>0</v>
      </c>
    </row>
    <row r="17390" customFormat="false" ht="15" hidden="false" customHeight="false" outlineLevel="0" collapsed="false">
      <c r="A17390" s="3" t="s">
        <v>501</v>
      </c>
      <c r="C17390" s="25" t="n">
        <f aca="false">IF(C17386=0,0,C17374/C17386*MAX(0,MIN(C17386,$C$17350-SUM($C$17364:$C$17366)-C17382)))</f>
        <v>0</v>
      </c>
    </row>
    <row r="17391" customFormat="false" ht="15" hidden="false" customHeight="false" outlineLevel="0" collapsed="false">
      <c r="A17391" s="23" t="s">
        <v>511</v>
      </c>
      <c r="B17391" s="24"/>
      <c r="C17391" s="24"/>
      <c r="D17391" s="24"/>
      <c r="E17391" s="24"/>
      <c r="F17391" s="24"/>
      <c r="G17391" s="24"/>
      <c r="H17391" s="24"/>
      <c r="I17391" s="24"/>
      <c r="J17391" s="24"/>
      <c r="K17391" s="24"/>
    </row>
    <row r="17392" customFormat="false" ht="15" hidden="false" customHeight="false" outlineLevel="0" collapsed="false">
      <c r="A17392" s="2" t="s">
        <v>499</v>
      </c>
      <c r="C17392" s="16" t="n">
        <f aca="false">C17364+C17388</f>
        <v>714.907217141964</v>
      </c>
    </row>
    <row r="17393" customFormat="false" ht="15" hidden="false" customHeight="false" outlineLevel="0" collapsed="false">
      <c r="A17393" s="2" t="s">
        <v>500</v>
      </c>
      <c r="C17393" s="16" t="n">
        <f aca="false">C17365+C17389</f>
        <v>0</v>
      </c>
    </row>
    <row r="17394" customFormat="false" ht="15" hidden="false" customHeight="false" outlineLevel="0" collapsed="false">
      <c r="A17394" s="2" t="s">
        <v>501</v>
      </c>
      <c r="C17394" s="16" t="n">
        <f aca="false">C17366+C17390</f>
        <v>0</v>
      </c>
    </row>
    <row r="17395" customFormat="false" ht="15" hidden="false" customHeight="false" outlineLevel="0" collapsed="false">
      <c r="A17395" s="23" t="s">
        <v>512</v>
      </c>
      <c r="B17395" s="24"/>
      <c r="C17395" s="24"/>
      <c r="D17395" s="24"/>
      <c r="E17395" s="24"/>
      <c r="F17395" s="24"/>
      <c r="G17395" s="24"/>
      <c r="H17395" s="24"/>
      <c r="I17395" s="24"/>
      <c r="J17395" s="24"/>
      <c r="K17395" s="24"/>
    </row>
    <row r="17396" customFormat="false" ht="15" hidden="false" customHeight="false" outlineLevel="0" collapsed="false">
      <c r="A17396" s="3" t="s">
        <v>499</v>
      </c>
      <c r="C17396" s="21" t="n">
        <f aca="false">IF(C17352=0,1,C17392/C17352)</f>
        <v>0.529710271054573</v>
      </c>
    </row>
    <row r="17397" customFormat="false" ht="15" hidden="false" customHeight="false" outlineLevel="0" collapsed="false">
      <c r="A17397" s="3" t="s">
        <v>500</v>
      </c>
      <c r="C17397" s="21" t="n">
        <f aca="false">IF(C17353=0,1,C17393/C17353)</f>
        <v>1</v>
      </c>
    </row>
    <row r="17398" customFormat="false" ht="15" hidden="false" customHeight="false" outlineLevel="0" collapsed="false">
      <c r="A17398" s="3" t="s">
        <v>501</v>
      </c>
      <c r="C17398" s="21" t="n">
        <f aca="false">IF(C17354=0,1,C17394/C17354)</f>
        <v>1</v>
      </c>
    </row>
    <row r="17399" customFormat="false" ht="15" hidden="false" customHeight="false" outlineLevel="0" collapsed="false">
      <c r="A17399" s="23" t="s">
        <v>513</v>
      </c>
      <c r="B17399" s="24"/>
      <c r="C17399" s="24"/>
      <c r="D17399" s="24"/>
      <c r="E17399" s="24"/>
      <c r="F17399" s="24"/>
      <c r="G17399" s="24"/>
      <c r="H17399" s="24"/>
      <c r="I17399" s="24"/>
      <c r="J17399" s="24"/>
      <c r="K17399" s="24"/>
    </row>
    <row r="17400" customFormat="false" ht="15" hidden="false" customHeight="false" outlineLevel="0" collapsed="false">
      <c r="A17400" s="3" t="s">
        <v>499</v>
      </c>
      <c r="C17400" s="25" t="n">
        <f aca="false">C17352-C17392</f>
        <v>634.712105358036</v>
      </c>
    </row>
    <row r="17401" customFormat="false" ht="15" hidden="false" customHeight="false" outlineLevel="0" collapsed="false">
      <c r="A17401" s="3" t="s">
        <v>500</v>
      </c>
      <c r="C17401" s="25" t="n">
        <f aca="false">C17353-C17393</f>
        <v>0</v>
      </c>
    </row>
    <row r="17402" customFormat="false" ht="15" hidden="false" customHeight="false" outlineLevel="0" collapsed="false">
      <c r="A17402" s="3" t="s">
        <v>501</v>
      </c>
      <c r="C17402" s="25" t="n">
        <f aca="false">C17354-C17394</f>
        <v>0</v>
      </c>
    </row>
    <row r="17403" customFormat="false" ht="15" hidden="false" customHeight="false" outlineLevel="0" collapsed="false">
      <c r="A17403" s="23" t="s">
        <v>514</v>
      </c>
      <c r="B17403" s="24"/>
      <c r="C17403" s="24"/>
      <c r="D17403" s="24"/>
      <c r="E17403" s="24"/>
      <c r="F17403" s="24"/>
      <c r="G17403" s="24"/>
      <c r="H17403" s="24"/>
      <c r="I17403" s="24"/>
      <c r="J17403" s="24"/>
      <c r="K17403" s="24"/>
    </row>
    <row r="17404" customFormat="false" ht="15" hidden="false" customHeight="false" outlineLevel="0" collapsed="false">
      <c r="A17404" s="3" t="s">
        <v>499</v>
      </c>
      <c r="C17404" s="21" t="n">
        <f aca="false">IF(C17352=0,0,C17400/C17352)</f>
        <v>0.470289728945427</v>
      </c>
    </row>
    <row r="17405" customFormat="false" ht="15" hidden="false" customHeight="false" outlineLevel="0" collapsed="false">
      <c r="A17405" s="3" t="s">
        <v>500</v>
      </c>
      <c r="C17405" s="21" t="n">
        <f aca="false">IF(C17353=0,0,C17401/C17353)</f>
        <v>0</v>
      </c>
    </row>
    <row r="17406" customFormat="false" ht="15" hidden="false" customHeight="false" outlineLevel="0" collapsed="false">
      <c r="A17406" s="3" t="s">
        <v>501</v>
      </c>
      <c r="C17406" s="21" t="n">
        <f aca="false">IF(C17354=0,0,C17402/C17354)</f>
        <v>0</v>
      </c>
    </row>
    <row r="17407" customFormat="false" ht="15" hidden="false" customHeight="false" outlineLevel="0" collapsed="false">
      <c r="A17407" s="2" t="s">
        <v>515</v>
      </c>
      <c r="C17407" s="16" t="n">
        <f aca="false">MAX(0,$C$17350-SUM($C$17364:$C$17366)-SUM($C$17372:$C$17374))</f>
        <v>0</v>
      </c>
    </row>
    <row r="17408" customFormat="false" ht="15" hidden="false" customHeight="false" outlineLevel="0" collapsed="false">
      <c r="A17408" s="3" t="s">
        <v>516</v>
      </c>
      <c r="C17408" s="25" t="n">
        <f aca="false">SUM($C$17392:$C$17394)+C17407+C17349-C17348</f>
        <v>0</v>
      </c>
    </row>
    <row r="17410" customFormat="false" ht="15" hidden="false" customHeight="false" outlineLevel="0" collapsed="false">
      <c r="A17410" s="23" t="s">
        <v>519</v>
      </c>
      <c r="B17410" s="24"/>
      <c r="C17410" s="24"/>
      <c r="D17410" s="24"/>
      <c r="E17410" s="24"/>
      <c r="F17410" s="24"/>
      <c r="G17410" s="24"/>
      <c r="H17410" s="24"/>
      <c r="I17410" s="24"/>
      <c r="J17410" s="24"/>
      <c r="K17410" s="24"/>
    </row>
    <row r="17411" customFormat="false" ht="15" hidden="false" customHeight="false" outlineLevel="0" collapsed="false">
      <c r="A17411" s="3" t="s">
        <v>520</v>
      </c>
      <c r="C17411" s="27" t="n">
        <f aca="false">Assumptions!$C$33</f>
        <v>1</v>
      </c>
    </row>
    <row r="17412" customFormat="false" ht="15" hidden="false" customHeight="false" outlineLevel="0" collapsed="false">
      <c r="A17412" s="3" t="s">
        <v>521</v>
      </c>
      <c r="C17412" s="29" t="n">
        <f aca="false">Assumptions!$C$34</f>
        <v>100</v>
      </c>
    </row>
    <row r="17413" customFormat="false" ht="15" hidden="false" customHeight="false" outlineLevel="0" collapsed="false">
      <c r="A17413" s="3" t="s">
        <v>522</v>
      </c>
      <c r="C17413" s="40" t="n">
        <f aca="false">Assumptions!$C$35</f>
        <v>95</v>
      </c>
    </row>
    <row r="17414" customFormat="false" ht="15" hidden="false" customHeight="false" outlineLevel="0" collapsed="false">
      <c r="A17414" s="3" t="s">
        <v>523</v>
      </c>
      <c r="C17414" s="25" t="n">
        <f aca="false">C17412*C17413/100*(1+Assumptions!$C$36)</f>
        <v>95</v>
      </c>
    </row>
    <row r="17415" customFormat="false" ht="15" hidden="false" customHeight="false" outlineLevel="0" collapsed="false">
      <c r="A17415" s="3" t="s">
        <v>524</v>
      </c>
      <c r="C17415" s="27" t="n">
        <f aca="false">Assumptions!$C$37</f>
        <v>3</v>
      </c>
    </row>
    <row r="17416" customFormat="false" ht="15" hidden="false" customHeight="false" outlineLevel="0" collapsed="false">
      <c r="A17416" s="3" t="s">
        <v>525</v>
      </c>
      <c r="C17416" s="20" t="n">
        <f aca="false">IF(C17341=1,SUMPRODUCT($G$17293:$K$17293,$G$17186:$K$17186),0)</f>
        <v>0</v>
      </c>
    </row>
    <row r="17417" customFormat="false" ht="15" hidden="false" customHeight="false" outlineLevel="0" collapsed="false">
      <c r="A17417" s="3" t="s">
        <v>526</v>
      </c>
      <c r="C17417" s="21" t="n">
        <f aca="false">IFERROR(C17412/CHOOSE(C17411,SUMPRODUCT($G$17340:$K$17340,$G$17232:$K$17232),SUMPRODUCT($G$17340:$K$17340,$G$17245:$K$17245),SUMPRODUCT($G$17340:$K$17340,$G$17258:$K$17258)),0)</f>
        <v>0.0760399605200525</v>
      </c>
    </row>
    <row r="17418" customFormat="false" ht="15" hidden="false" customHeight="false" outlineLevel="0" collapsed="false">
      <c r="A17418" s="3" t="s">
        <v>527</v>
      </c>
      <c r="C17418" s="25" t="n">
        <f aca="false">CHOOSE(C17411,C17392,C17393,C17394)*C17417</f>
        <v>54.3615165669755</v>
      </c>
    </row>
    <row r="17419" customFormat="false" ht="15" hidden="false" customHeight="false" outlineLevel="0" collapsed="false">
      <c r="A17419" s="3" t="s">
        <v>528</v>
      </c>
      <c r="C17419" s="21" t="n">
        <f aca="false">CHOOSE(C17411,C17396,C17397,C17398)</f>
        <v>0.529710271054573</v>
      </c>
    </row>
    <row r="17420" customFormat="false" ht="15" hidden="false" customHeight="false" outlineLevel="0" collapsed="false">
      <c r="A17420" s="3" t="s">
        <v>529</v>
      </c>
      <c r="C17420" s="20" t="n">
        <f aca="false">IF(C17341=1,C17416,C17415)</f>
        <v>3</v>
      </c>
    </row>
    <row r="17421" customFormat="false" ht="15" hidden="false" customHeight="false" outlineLevel="0" collapsed="false">
      <c r="A17421" s="3" t="s">
        <v>530</v>
      </c>
      <c r="C17421" s="34" t="n">
        <f aca="false">CHOOSE($C$17178,Assumptions!$C$83,Assumptions!$C$102,Assumptions!$C$121)</f>
        <v>95</v>
      </c>
    </row>
    <row r="17422" customFormat="false" ht="15" hidden="false" customHeight="false" outlineLevel="0" collapsed="false">
      <c r="A17422" s="3" t="s">
        <v>531</v>
      </c>
      <c r="C17422" s="25" t="n">
        <f aca="false">INDEX($G$17195:$K$17195,C17415)*CHOOSE($C$17178,Assumptions!$C$82,Assumptions!$C$101,Assumptions!$C$120)+MAX(0,INDEX($G$17290:$K$17290,C17415))</f>
        <v>1068.84800987949</v>
      </c>
    </row>
    <row r="17423" customFormat="false" ht="15" hidden="false" customHeight="false" outlineLevel="0" collapsed="false">
      <c r="A17423" s="23" t="s">
        <v>532</v>
      </c>
      <c r="B17423" s="24"/>
      <c r="C17423" s="24"/>
      <c r="D17423" s="24"/>
      <c r="E17423" s="24"/>
      <c r="F17423" s="24"/>
      <c r="G17423" s="24"/>
      <c r="H17423" s="24"/>
      <c r="I17423" s="24"/>
      <c r="J17423" s="24"/>
      <c r="K17423" s="24"/>
    </row>
    <row r="17424" customFormat="false" ht="15" hidden="false" customHeight="false" outlineLevel="0" collapsed="false">
      <c r="A17424" s="3" t="s">
        <v>499</v>
      </c>
      <c r="C17424" s="25" t="n">
        <f aca="false">INDEX($G$17232:$K$17232,C17415)</f>
        <v>1315.098</v>
      </c>
    </row>
    <row r="17425" customFormat="false" ht="15" hidden="false" customHeight="false" outlineLevel="0" collapsed="false">
      <c r="A17425" s="3" t="s">
        <v>500</v>
      </c>
      <c r="C17425" s="25" t="n">
        <f aca="false">INDEX($G$17245:$K$17245,C17415)</f>
        <v>0</v>
      </c>
    </row>
    <row r="17426" customFormat="false" ht="15" hidden="false" customHeight="false" outlineLevel="0" collapsed="false">
      <c r="A17426" s="3" t="s">
        <v>501</v>
      </c>
      <c r="C17426" s="25" t="n">
        <f aca="false">INDEX($G$17258:$K$17258,C17415)</f>
        <v>0</v>
      </c>
    </row>
    <row r="17427" customFormat="false" ht="15" hidden="false" customHeight="false" outlineLevel="0" collapsed="false">
      <c r="A17427" s="23" t="s">
        <v>502</v>
      </c>
      <c r="B17427" s="24"/>
      <c r="C17427" s="24"/>
      <c r="D17427" s="24"/>
      <c r="E17427" s="24"/>
      <c r="F17427" s="24"/>
      <c r="G17427" s="24"/>
      <c r="H17427" s="24"/>
      <c r="I17427" s="24"/>
      <c r="J17427" s="24"/>
      <c r="K17427" s="24"/>
    </row>
    <row r="17428" customFormat="false" ht="15" hidden="false" customHeight="false" outlineLevel="0" collapsed="false">
      <c r="A17428" s="3" t="s">
        <v>499</v>
      </c>
      <c r="C17428" s="27" t="n">
        <f aca="false">Assumptions!$M$56</f>
        <v>1</v>
      </c>
    </row>
    <row r="17429" customFormat="false" ht="15" hidden="false" customHeight="false" outlineLevel="0" collapsed="false">
      <c r="A17429" s="3" t="s">
        <v>500</v>
      </c>
      <c r="C17429" s="27" t="n">
        <f aca="false">Assumptions!$M$57</f>
        <v>2</v>
      </c>
    </row>
    <row r="17430" customFormat="false" ht="15" hidden="false" customHeight="false" outlineLevel="0" collapsed="false">
      <c r="A17430" s="3" t="s">
        <v>501</v>
      </c>
      <c r="C17430" s="27" t="n">
        <f aca="false">Assumptions!$M$58</f>
        <v>2</v>
      </c>
    </row>
    <row r="17431" customFormat="false" ht="15" hidden="false" customHeight="false" outlineLevel="0" collapsed="false">
      <c r="A17431" s="23" t="s">
        <v>503</v>
      </c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</row>
    <row r="17432" customFormat="false" ht="15" hidden="false" customHeight="false" outlineLevel="0" collapsed="false">
      <c r="A17432" s="3" t="s">
        <v>499</v>
      </c>
      <c r="C17432" s="35" t="n">
        <f aca="false">Assumptions!$Q$56</f>
        <v>0</v>
      </c>
    </row>
    <row r="17433" customFormat="false" ht="15" hidden="false" customHeight="false" outlineLevel="0" collapsed="false">
      <c r="A17433" s="3" t="s">
        <v>500</v>
      </c>
      <c r="C17433" s="35" t="n">
        <f aca="false">Assumptions!$Q$57</f>
        <v>0</v>
      </c>
    </row>
    <row r="17434" customFormat="false" ht="15" hidden="false" customHeight="false" outlineLevel="0" collapsed="false">
      <c r="A17434" s="3" t="s">
        <v>501</v>
      </c>
      <c r="C17434" s="35" t="n">
        <f aca="false">Assumptions!$Q$58</f>
        <v>0</v>
      </c>
    </row>
    <row r="17435" customFormat="false" ht="15" hidden="false" customHeight="false" outlineLevel="0" collapsed="false">
      <c r="A17435" s="23" t="s">
        <v>504</v>
      </c>
      <c r="B17435" s="24"/>
      <c r="C17435" s="24"/>
      <c r="D17435" s="24"/>
      <c r="E17435" s="24"/>
      <c r="F17435" s="24"/>
      <c r="G17435" s="24"/>
      <c r="H17435" s="24"/>
      <c r="I17435" s="24"/>
      <c r="J17435" s="24"/>
      <c r="K17435" s="24"/>
    </row>
    <row r="17436" customFormat="false" ht="15" hidden="false" customHeight="false" outlineLevel="0" collapsed="false">
      <c r="A17436" s="3" t="s">
        <v>499</v>
      </c>
      <c r="C17436" s="25" t="n">
        <f aca="false">IF(C17432&gt;0,MIN(C17424,C17432*$C$17422),0)</f>
        <v>0</v>
      </c>
    </row>
    <row r="17437" customFormat="false" ht="15" hidden="false" customHeight="false" outlineLevel="0" collapsed="false">
      <c r="A17437" s="3" t="s">
        <v>500</v>
      </c>
      <c r="C17437" s="25" t="n">
        <f aca="false">IF(C17433&gt;0,MIN(C17425,C17433*$C$17422),0)</f>
        <v>0</v>
      </c>
    </row>
    <row r="17438" customFormat="false" ht="15" hidden="false" customHeight="false" outlineLevel="0" collapsed="false">
      <c r="A17438" s="3" t="s">
        <v>501</v>
      </c>
      <c r="C17438" s="25" t="n">
        <f aca="false">IF(C17434&gt;0,MIN(C17426,C17434*$C$17422),0)</f>
        <v>0</v>
      </c>
    </row>
    <row r="17439" customFormat="false" ht="15" hidden="false" customHeight="false" outlineLevel="0" collapsed="false">
      <c r="A17439" s="23" t="s">
        <v>505</v>
      </c>
      <c r="B17439" s="24"/>
      <c r="C17439" s="24"/>
      <c r="D17439" s="24"/>
      <c r="E17439" s="24"/>
      <c r="F17439" s="24"/>
      <c r="G17439" s="24"/>
      <c r="H17439" s="24"/>
      <c r="I17439" s="24"/>
      <c r="J17439" s="24"/>
      <c r="K17439" s="24"/>
    </row>
    <row r="17440" customFormat="false" ht="15" hidden="false" customHeight="false" outlineLevel="0" collapsed="false">
      <c r="A17440" s="3" t="s">
        <v>499</v>
      </c>
      <c r="C17440" s="25" t="n">
        <f aca="false">IF(C17432&gt;0,C17424-C17436,0)</f>
        <v>0</v>
      </c>
    </row>
    <row r="17441" customFormat="false" ht="15" hidden="false" customHeight="false" outlineLevel="0" collapsed="false">
      <c r="A17441" s="3" t="s">
        <v>500</v>
      </c>
      <c r="C17441" s="25" t="n">
        <f aca="false">IF(C17433&gt;0,C17425-C17437,0)</f>
        <v>0</v>
      </c>
    </row>
    <row r="17442" customFormat="false" ht="15" hidden="false" customHeight="false" outlineLevel="0" collapsed="false">
      <c r="A17442" s="3" t="s">
        <v>501</v>
      </c>
      <c r="C17442" s="25" t="n">
        <f aca="false">IF(C17434&gt;0,C17426-C17438,0)</f>
        <v>0</v>
      </c>
    </row>
    <row r="17443" customFormat="false" ht="15" hidden="false" customHeight="false" outlineLevel="0" collapsed="false">
      <c r="A17443" s="23" t="s">
        <v>506</v>
      </c>
      <c r="B17443" s="24"/>
      <c r="C17443" s="24"/>
      <c r="D17443" s="24"/>
      <c r="E17443" s="24"/>
      <c r="F17443" s="24"/>
      <c r="G17443" s="24"/>
      <c r="H17443" s="24"/>
      <c r="I17443" s="24"/>
      <c r="J17443" s="24"/>
      <c r="K17443" s="24"/>
    </row>
    <row r="17444" customFormat="false" ht="15" hidden="false" customHeight="false" outlineLevel="0" collapsed="false">
      <c r="A17444" s="3" t="s">
        <v>499</v>
      </c>
      <c r="C17444" s="25" t="n">
        <f aca="false">IF(C17432&gt;0,C17440,C17424)</f>
        <v>1315.098</v>
      </c>
    </row>
    <row r="17445" customFormat="false" ht="15" hidden="false" customHeight="false" outlineLevel="0" collapsed="false">
      <c r="A17445" s="3" t="s">
        <v>500</v>
      </c>
      <c r="C17445" s="25" t="n">
        <f aca="false">IF(C17433&gt;0,C17441,C17425)</f>
        <v>0</v>
      </c>
    </row>
    <row r="17446" customFormat="false" ht="15" hidden="false" customHeight="false" outlineLevel="0" collapsed="false">
      <c r="A17446" s="3" t="s">
        <v>501</v>
      </c>
      <c r="C17446" s="25" t="n">
        <f aca="false">IF(C17434&gt;0,C17442,C17426)</f>
        <v>0</v>
      </c>
    </row>
    <row r="17447" customFormat="false" ht="15" hidden="false" customHeight="false" outlineLevel="0" collapsed="false">
      <c r="A17447" s="23" t="s">
        <v>507</v>
      </c>
      <c r="B17447" s="24"/>
      <c r="C17447" s="24"/>
      <c r="D17447" s="24"/>
      <c r="E17447" s="24"/>
      <c r="F17447" s="24"/>
      <c r="G17447" s="24"/>
      <c r="H17447" s="24"/>
      <c r="I17447" s="24"/>
      <c r="J17447" s="24"/>
      <c r="K17447" s="24"/>
    </row>
    <row r="17448" customFormat="false" ht="15" hidden="false" customHeight="false" outlineLevel="0" collapsed="false">
      <c r="A17448" s="3" t="s">
        <v>499</v>
      </c>
      <c r="C17448" s="20" t="n">
        <f aca="false">IF(C17432&gt;0,Assumptions!$C$17,C17428)</f>
        <v>1</v>
      </c>
    </row>
    <row r="17449" customFormat="false" ht="15" hidden="false" customHeight="false" outlineLevel="0" collapsed="false">
      <c r="A17449" s="3" t="s">
        <v>500</v>
      </c>
      <c r="C17449" s="20" t="n">
        <f aca="false">IF(C17433&gt;0,Assumptions!$C$17,C17429)</f>
        <v>2</v>
      </c>
    </row>
    <row r="17450" customFormat="false" ht="15" hidden="false" customHeight="false" outlineLevel="0" collapsed="false">
      <c r="A17450" s="3" t="s">
        <v>501</v>
      </c>
      <c r="C17450" s="20" t="n">
        <f aca="false">IF(C17434&gt;0,Assumptions!$C$17,C17430)</f>
        <v>2</v>
      </c>
    </row>
    <row r="17451" customFormat="false" ht="15" hidden="false" customHeight="false" outlineLevel="0" collapsed="false">
      <c r="A17451" s="23" t="s">
        <v>508</v>
      </c>
      <c r="B17451" s="24"/>
      <c r="C17451" s="24"/>
      <c r="D17451" s="24"/>
      <c r="E17451" s="24"/>
      <c r="F17451" s="24"/>
      <c r="G17451" s="24"/>
      <c r="H17451" s="24"/>
      <c r="I17451" s="24"/>
      <c r="J17451" s="24"/>
      <c r="K17451" s="24"/>
    </row>
    <row r="17452" customFormat="false" ht="15" hidden="false" customHeight="false" outlineLevel="0" collapsed="false">
      <c r="A17452" s="3" t="s">
        <v>499</v>
      </c>
      <c r="C17452" s="25" t="n">
        <f aca="false">SUMPRODUCT(($C$17448:$C$17450&lt;C17448)*$C$17444:$C$17446)</f>
        <v>0</v>
      </c>
    </row>
    <row r="17453" customFormat="false" ht="15" hidden="false" customHeight="false" outlineLevel="0" collapsed="false">
      <c r="A17453" s="3" t="s">
        <v>500</v>
      </c>
      <c r="C17453" s="25" t="n">
        <f aca="false">SUMPRODUCT(($C$17448:$C$17450&lt;C17449)*$C$17444:$C$17446)</f>
        <v>1315.098</v>
      </c>
    </row>
    <row r="17454" customFormat="false" ht="15" hidden="false" customHeight="false" outlineLevel="0" collapsed="false">
      <c r="A17454" s="3" t="s">
        <v>501</v>
      </c>
      <c r="C17454" s="25" t="n">
        <f aca="false">SUMPRODUCT(($C$17448:$C$17450&lt;C17450)*$C$17444:$C$17446)</f>
        <v>1315.098</v>
      </c>
    </row>
    <row r="17455" customFormat="false" ht="15" hidden="false" customHeight="false" outlineLevel="0" collapsed="false">
      <c r="A17455" s="23" t="s">
        <v>509</v>
      </c>
      <c r="B17455" s="24"/>
      <c r="C17455" s="24"/>
      <c r="D17455" s="24"/>
      <c r="E17455" s="24"/>
      <c r="F17455" s="24"/>
      <c r="G17455" s="24"/>
      <c r="H17455" s="24"/>
      <c r="I17455" s="24"/>
      <c r="J17455" s="24"/>
      <c r="K17455" s="24"/>
    </row>
    <row r="17456" customFormat="false" ht="15" hidden="false" customHeight="false" outlineLevel="0" collapsed="false">
      <c r="A17456" s="3" t="s">
        <v>499</v>
      </c>
      <c r="C17456" s="25" t="n">
        <f aca="false">SUMPRODUCT(($C$17448:$C$17450=C17448)*$C$17444:$C$17446)</f>
        <v>1315.098</v>
      </c>
    </row>
    <row r="17457" customFormat="false" ht="15" hidden="false" customHeight="false" outlineLevel="0" collapsed="false">
      <c r="A17457" s="3" t="s">
        <v>500</v>
      </c>
      <c r="C17457" s="25" t="n">
        <f aca="false">SUMPRODUCT(($C$17448:$C$17450=C17449)*$C$17444:$C$17446)</f>
        <v>0</v>
      </c>
    </row>
    <row r="17458" customFormat="false" ht="15" hidden="false" customHeight="false" outlineLevel="0" collapsed="false">
      <c r="A17458" s="3" t="s">
        <v>501</v>
      </c>
      <c r="C17458" s="25" t="n">
        <f aca="false">SUMPRODUCT(($C$17448:$C$17450=C17450)*$C$17444:$C$17446)</f>
        <v>0</v>
      </c>
    </row>
    <row r="17459" customFormat="false" ht="15" hidden="false" customHeight="false" outlineLevel="0" collapsed="false">
      <c r="A17459" s="23" t="s">
        <v>510</v>
      </c>
      <c r="B17459" s="24"/>
      <c r="C17459" s="24"/>
      <c r="D17459" s="24"/>
      <c r="E17459" s="24"/>
      <c r="F17459" s="24"/>
      <c r="G17459" s="24"/>
      <c r="H17459" s="24"/>
      <c r="I17459" s="24"/>
      <c r="J17459" s="24"/>
      <c r="K17459" s="24"/>
    </row>
    <row r="17460" customFormat="false" ht="15" hidden="false" customHeight="false" outlineLevel="0" collapsed="false">
      <c r="A17460" s="3" t="s">
        <v>499</v>
      </c>
      <c r="C17460" s="25" t="n">
        <f aca="false">IF(C17456=0,0,C17444/C17456*MAX(0,MIN(C17456,$C$17422-SUM($C$17436:$C$17438)-C17452)))</f>
        <v>1068.84800987949</v>
      </c>
    </row>
    <row r="17461" customFormat="false" ht="15" hidden="false" customHeight="false" outlineLevel="0" collapsed="false">
      <c r="A17461" s="3" t="s">
        <v>500</v>
      </c>
      <c r="C17461" s="25" t="n">
        <f aca="false">IF(C17457=0,0,C17445/C17457*MAX(0,MIN(C17457,$C$17422-SUM($C$17436:$C$17438)-C17453)))</f>
        <v>0</v>
      </c>
    </row>
    <row r="17462" customFormat="false" ht="15" hidden="false" customHeight="false" outlineLevel="0" collapsed="false">
      <c r="A17462" s="3" t="s">
        <v>501</v>
      </c>
      <c r="C17462" s="25" t="n">
        <f aca="false">IF(C17458=0,0,C17446/C17458*MAX(0,MIN(C17458,$C$17422-SUM($C$17436:$C$17438)-C17454)))</f>
        <v>0</v>
      </c>
    </row>
    <row r="17463" customFormat="false" ht="15" hidden="false" customHeight="false" outlineLevel="0" collapsed="false">
      <c r="A17463" s="23" t="s">
        <v>511</v>
      </c>
      <c r="B17463" s="24"/>
      <c r="C17463" s="24"/>
      <c r="D17463" s="24"/>
      <c r="E17463" s="24"/>
      <c r="F17463" s="24"/>
      <c r="G17463" s="24"/>
      <c r="H17463" s="24"/>
      <c r="I17463" s="24"/>
      <c r="J17463" s="24"/>
      <c r="K17463" s="24"/>
    </row>
    <row r="17464" customFormat="false" ht="15" hidden="false" customHeight="false" outlineLevel="0" collapsed="false">
      <c r="A17464" s="2" t="s">
        <v>499</v>
      </c>
      <c r="C17464" s="16" t="n">
        <f aca="false">C17436+C17460</f>
        <v>1068.84800987949</v>
      </c>
    </row>
    <row r="17465" customFormat="false" ht="15" hidden="false" customHeight="false" outlineLevel="0" collapsed="false">
      <c r="A17465" s="2" t="s">
        <v>500</v>
      </c>
      <c r="C17465" s="16" t="n">
        <f aca="false">C17437+C17461</f>
        <v>0</v>
      </c>
    </row>
    <row r="17466" customFormat="false" ht="15" hidden="false" customHeight="false" outlineLevel="0" collapsed="false">
      <c r="A17466" s="2" t="s">
        <v>501</v>
      </c>
      <c r="C17466" s="16" t="n">
        <f aca="false">C17438+C17462</f>
        <v>0</v>
      </c>
    </row>
    <row r="17467" customFormat="false" ht="15" hidden="false" customHeight="false" outlineLevel="0" collapsed="false">
      <c r="A17467" s="23" t="s">
        <v>512</v>
      </c>
      <c r="B17467" s="24"/>
      <c r="C17467" s="24"/>
      <c r="D17467" s="24"/>
      <c r="E17467" s="24"/>
      <c r="F17467" s="24"/>
      <c r="G17467" s="24"/>
      <c r="H17467" s="24"/>
      <c r="I17467" s="24"/>
      <c r="J17467" s="24"/>
      <c r="K17467" s="24"/>
    </row>
    <row r="17468" customFormat="false" ht="15" hidden="false" customHeight="false" outlineLevel="0" collapsed="false">
      <c r="A17468" s="3" t="s">
        <v>499</v>
      </c>
      <c r="C17468" s="21" t="n">
        <f aca="false">IF(C17424=0,1,C17464/C17424)</f>
        <v>0.812751604731729</v>
      </c>
    </row>
    <row r="17469" customFormat="false" ht="15" hidden="false" customHeight="false" outlineLevel="0" collapsed="false">
      <c r="A17469" s="3" t="s">
        <v>500</v>
      </c>
      <c r="C17469" s="21" t="n">
        <f aca="false">IF(C17425=0,1,C17465/C17425)</f>
        <v>1</v>
      </c>
    </row>
    <row r="17470" customFormat="false" ht="15" hidden="false" customHeight="false" outlineLevel="0" collapsed="false">
      <c r="A17470" s="3" t="s">
        <v>501</v>
      </c>
      <c r="C17470" s="21" t="n">
        <f aca="false">IF(C17426=0,1,C17466/C17426)</f>
        <v>1</v>
      </c>
    </row>
    <row r="17471" customFormat="false" ht="15" hidden="false" customHeight="false" outlineLevel="0" collapsed="false">
      <c r="A17471" s="23" t="s">
        <v>513</v>
      </c>
      <c r="B17471" s="24"/>
      <c r="C17471" s="24"/>
      <c r="D17471" s="24"/>
      <c r="E17471" s="24"/>
      <c r="F17471" s="24"/>
      <c r="G17471" s="24"/>
      <c r="H17471" s="24"/>
      <c r="I17471" s="24"/>
      <c r="J17471" s="24"/>
      <c r="K17471" s="24"/>
    </row>
    <row r="17472" customFormat="false" ht="15" hidden="false" customHeight="false" outlineLevel="0" collapsed="false">
      <c r="A17472" s="3" t="s">
        <v>499</v>
      </c>
      <c r="C17472" s="25" t="n">
        <f aca="false">C17424-C17464</f>
        <v>246.249990120512</v>
      </c>
    </row>
    <row r="17473" customFormat="false" ht="15" hidden="false" customHeight="false" outlineLevel="0" collapsed="false">
      <c r="A17473" s="3" t="s">
        <v>500</v>
      </c>
      <c r="C17473" s="25" t="n">
        <f aca="false">C17425-C17465</f>
        <v>0</v>
      </c>
    </row>
    <row r="17474" customFormat="false" ht="15" hidden="false" customHeight="false" outlineLevel="0" collapsed="false">
      <c r="A17474" s="3" t="s">
        <v>501</v>
      </c>
      <c r="C17474" s="25" t="n">
        <f aca="false">C17426-C17466</f>
        <v>0</v>
      </c>
    </row>
    <row r="17475" customFormat="false" ht="15" hidden="false" customHeight="false" outlineLevel="0" collapsed="false">
      <c r="A17475" s="23" t="s">
        <v>514</v>
      </c>
      <c r="B17475" s="24"/>
      <c r="C17475" s="24"/>
      <c r="D17475" s="24"/>
      <c r="E17475" s="24"/>
      <c r="F17475" s="24"/>
      <c r="G17475" s="24"/>
      <c r="H17475" s="24"/>
      <c r="I17475" s="24"/>
      <c r="J17475" s="24"/>
      <c r="K17475" s="24"/>
    </row>
    <row r="17476" customFormat="false" ht="15" hidden="false" customHeight="false" outlineLevel="0" collapsed="false">
      <c r="A17476" s="3" t="s">
        <v>499</v>
      </c>
      <c r="C17476" s="21" t="n">
        <f aca="false">IF(C17424=0,0,C17472/C17424)</f>
        <v>0.187248395268271</v>
      </c>
    </row>
    <row r="17477" customFormat="false" ht="15" hidden="false" customHeight="false" outlineLevel="0" collapsed="false">
      <c r="A17477" s="3" t="s">
        <v>500</v>
      </c>
      <c r="C17477" s="21" t="n">
        <f aca="false">IF(C17425=0,0,C17473/C17425)</f>
        <v>0</v>
      </c>
    </row>
    <row r="17478" customFormat="false" ht="15" hidden="false" customHeight="false" outlineLevel="0" collapsed="false">
      <c r="A17478" s="3" t="s">
        <v>501</v>
      </c>
      <c r="C17478" s="21" t="n">
        <f aca="false">IF(C17426=0,0,C17474/C17426)</f>
        <v>0</v>
      </c>
    </row>
    <row r="17479" customFormat="false" ht="15" hidden="false" customHeight="false" outlineLevel="0" collapsed="false">
      <c r="A17479" s="2" t="s">
        <v>515</v>
      </c>
      <c r="C17479" s="16" t="n">
        <f aca="false">MAX(0,$C$17422-SUM($C$17436:$C$17438)-SUM($C$17444:$C$17446))</f>
        <v>0</v>
      </c>
    </row>
    <row r="17480" customFormat="false" ht="15" hidden="false" customHeight="false" outlineLevel="0" collapsed="false">
      <c r="A17480" s="3" t="s">
        <v>533</v>
      </c>
      <c r="C17480" s="34" t="n">
        <f aca="false">MIN(C17421,100*CHOOSE(C17411,C17468,C17469,C17470))</f>
        <v>81.2751604731729</v>
      </c>
    </row>
    <row r="17481" customFormat="false" ht="15" hidden="false" customHeight="false" outlineLevel="0" collapsed="false">
      <c r="A17481" s="3" t="s">
        <v>534</v>
      </c>
      <c r="C17481" s="20" t="n">
        <f aca="false">IF(C17341=1,C17416+Assumptions!$C$39,C17415)</f>
        <v>3</v>
      </c>
    </row>
    <row r="17482" customFormat="false" ht="15" hidden="false" customHeight="false" outlineLevel="0" collapsed="false">
      <c r="A17482" s="23" t="s">
        <v>535</v>
      </c>
      <c r="B17482" s="24"/>
      <c r="C17482" s="24"/>
      <c r="D17482" s="24"/>
      <c r="E17482" s="24"/>
      <c r="F17482" s="24"/>
      <c r="G17482" s="24"/>
      <c r="H17482" s="24"/>
      <c r="I17482" s="24"/>
      <c r="J17482" s="24"/>
      <c r="K17482" s="24"/>
    </row>
    <row r="17483" customFormat="false" ht="15" hidden="false" customHeight="false" outlineLevel="0" collapsed="false">
      <c r="A17483" s="3" t="s">
        <v>536</v>
      </c>
      <c r="C17483" s="20" t="n">
        <f aca="false">COLUMN()-COLUMN($C$1)</f>
        <v>0</v>
      </c>
      <c r="D17483" s="20" t="n">
        <f aca="false">COLUMN()-COLUMN($C$1)</f>
        <v>1</v>
      </c>
      <c r="E17483" s="20" t="n">
        <f aca="false">COLUMN()-COLUMN($C$1)</f>
        <v>2</v>
      </c>
      <c r="F17483" s="20" t="n">
        <f aca="false">COLUMN()-COLUMN($C$1)</f>
        <v>3</v>
      </c>
      <c r="G17483" s="20" t="n">
        <f aca="false">COLUMN()-COLUMN($C$1)</f>
        <v>4</v>
      </c>
      <c r="H17483" s="20" t="n">
        <f aca="false">COLUMN()-COLUMN($C$1)</f>
        <v>5</v>
      </c>
      <c r="I17483" s="20" t="n">
        <f aca="false">COLUMN()-COLUMN($C$1)</f>
        <v>6</v>
      </c>
    </row>
    <row r="17484" customFormat="false" ht="15" hidden="false" customHeight="false" outlineLevel="0" collapsed="false">
      <c r="A17484" s="3" t="s">
        <v>537</v>
      </c>
      <c r="D17484" s="31" t="n">
        <f aca="false">CHOOSE($C$17411,G17224,G17237,G17250)</f>
        <v>0.105</v>
      </c>
      <c r="E17484" s="31" t="n">
        <f aca="false">CHOOSE($C$17411,H17224,H17237,H17250)</f>
        <v>0.105</v>
      </c>
      <c r="F17484" s="31" t="n">
        <f aca="false">CHOOSE($C$17411,I17224,I17237,I17250)</f>
        <v>0.105</v>
      </c>
      <c r="G17484" s="31" t="n">
        <f aca="false">CHOOSE($C$17411,J17224,J17237,J17250)</f>
        <v>0.105</v>
      </c>
      <c r="H17484" s="31" t="n">
        <f aca="false">CHOOSE($C$17411,K17224,K17237,K17250)</f>
        <v>0.105</v>
      </c>
    </row>
    <row r="17485" customFormat="false" ht="15" hidden="false" customHeight="false" outlineLevel="0" collapsed="false">
      <c r="A17485" s="3" t="s">
        <v>538</v>
      </c>
      <c r="D17485" s="25" t="n">
        <f aca="false">IF(D17483&lt;=$C$17420,$C$17412*D17484,0)</f>
        <v>10.5</v>
      </c>
      <c r="E17485" s="25" t="n">
        <f aca="false">IF(E17483&lt;=$C$17420,$C$17412*E17484,0)</f>
        <v>10.5</v>
      </c>
      <c r="F17485" s="25" t="n">
        <f aca="false">IF(F17483&lt;=$C$17420,$C$17412*F17484,0)</f>
        <v>10.5</v>
      </c>
      <c r="G17485" s="25" t="n">
        <f aca="false">IF(G17483&lt;=$C$17420,$C$17412*G17484,0)</f>
        <v>0</v>
      </c>
      <c r="H17485" s="25" t="n">
        <f aca="false">IF(H17483&lt;=$C$17420,$C$17412*H17484,0)</f>
        <v>0</v>
      </c>
    </row>
    <row r="17486" customFormat="false" ht="15" hidden="false" customHeight="false" outlineLevel="0" collapsed="false">
      <c r="A17486" s="3" t="s">
        <v>539</v>
      </c>
      <c r="D17486" s="25" t="n">
        <f aca="false">IF(AND($C$17341=0,D17483=$C$17415),$C$17412*$C$17480/100,0)+IF(AND($C$17341=1,D17483=$C$17481),$C$17418,0)</f>
        <v>0</v>
      </c>
      <c r="E17486" s="25" t="n">
        <f aca="false">IF(AND($C$17341=0,E17483=$C$17415),$C$17412*$C$17480/100,0)+IF(AND($C$17341=1,E17483=$C$17481),$C$17418,0)</f>
        <v>0</v>
      </c>
      <c r="F17486" s="25" t="n">
        <f aca="false">IF(AND($C$17341=0,F17483=$C$17415),$C$17412*$C$17480/100,0)+IF(AND($C$17341=1,F17483=$C$17481),$C$17418,0)</f>
        <v>81.2751604731729</v>
      </c>
      <c r="G17486" s="25" t="n">
        <f aca="false">IF(AND($C$17341=0,G17483=$C$17415),$C$17412*$C$17480/100,0)+IF(AND($C$17341=1,G17483=$C$17481),$C$17418,0)</f>
        <v>0</v>
      </c>
      <c r="H17486" s="25" t="n">
        <f aca="false">IF(AND($C$17341=0,H17483=$C$17415),$C$17412*$C$17480/100,0)+IF(AND($C$17341=1,H17483=$C$17481),$C$17418,0)</f>
        <v>0</v>
      </c>
      <c r="I17486" s="25" t="n">
        <f aca="false">IF(AND($C$17341=0,I17483=$C$17415),$C$17412*$C$17480/100,0)+IF(AND($C$17341=1,I17483=$C$17481),$C$17418,0)</f>
        <v>0</v>
      </c>
    </row>
    <row r="17487" customFormat="false" ht="15" hidden="false" customHeight="false" outlineLevel="0" collapsed="false">
      <c r="A17487" s="2" t="s">
        <v>540</v>
      </c>
      <c r="C17487" s="16" t="n">
        <f aca="false">-$C$17414</f>
        <v>-95</v>
      </c>
      <c r="D17487" s="16" t="n">
        <f aca="false">D17485+D17486</f>
        <v>10.5</v>
      </c>
      <c r="E17487" s="16" t="n">
        <f aca="false">E17485+E17486</f>
        <v>10.5</v>
      </c>
      <c r="F17487" s="16" t="n">
        <f aca="false">F17485+F17486</f>
        <v>91.7751604731729</v>
      </c>
      <c r="G17487" s="16" t="n">
        <f aca="false">G17485+G17486</f>
        <v>0</v>
      </c>
      <c r="H17487" s="16" t="n">
        <f aca="false">H17485+H17486</f>
        <v>0</v>
      </c>
      <c r="I17487" s="16" t="n">
        <f aca="false">I17485+I17486</f>
        <v>0</v>
      </c>
    </row>
    <row r="17488" customFormat="false" ht="15" hidden="false" customHeight="false" outlineLevel="0" collapsed="false">
      <c r="A17488" s="3" t="s">
        <v>541</v>
      </c>
      <c r="C17488" s="25" t="n">
        <f aca="false">SUM($C$17485:$I$17485)</f>
        <v>31.5</v>
      </c>
    </row>
    <row r="17489" customFormat="false" ht="15" hidden="false" customHeight="false" outlineLevel="0" collapsed="false">
      <c r="A17489" s="3" t="s">
        <v>542</v>
      </c>
      <c r="C17489" s="25" t="n">
        <f aca="false">SUM($C$17486:$I$17486)</f>
        <v>81.2751604731729</v>
      </c>
    </row>
    <row r="17490" customFormat="false" ht="15" hidden="false" customHeight="false" outlineLevel="0" collapsed="false">
      <c r="A17490" s="3" t="s">
        <v>543</v>
      </c>
      <c r="C17490" s="25" t="n">
        <f aca="false">C17488+C17489</f>
        <v>112.775160473173</v>
      </c>
    </row>
    <row r="17491" customFormat="false" ht="15" hidden="false" customHeight="false" outlineLevel="0" collapsed="false">
      <c r="A17491" s="3" t="s">
        <v>544</v>
      </c>
      <c r="C17491" s="25" t="n">
        <f aca="false">C17489-C17412*C17413/100</f>
        <v>-13.7248395268271</v>
      </c>
    </row>
    <row r="17492" customFormat="false" ht="15" hidden="false" customHeight="false" outlineLevel="0" collapsed="false">
      <c r="A17492" s="3" t="s">
        <v>545</v>
      </c>
      <c r="C17492" s="25" t="n">
        <f aca="false">C17490-C17414</f>
        <v>17.7751604731729</v>
      </c>
    </row>
    <row r="17493" customFormat="false" ht="15" hidden="false" customHeight="false" outlineLevel="0" collapsed="false">
      <c r="A17493" s="2" t="s">
        <v>427</v>
      </c>
      <c r="C17493" s="44" t="n">
        <f aca="false">C17490/C17414</f>
        <v>1.18710695234919</v>
      </c>
    </row>
    <row r="17494" customFormat="false" ht="15" hidden="false" customHeight="false" outlineLevel="0" collapsed="false">
      <c r="A17494" s="2" t="s">
        <v>426</v>
      </c>
      <c r="C17494" s="42" t="n">
        <f aca="false">IF(C17490&lt;=0,-1,IFERROR(IRR($C$17487:$I$17487,MAX(-0.9,C17493^(1/C17481)-1)),IRR($C$17487:$I$17487,0.1)))</f>
        <v>0.0653848807562152</v>
      </c>
    </row>
    <row r="17495" customFormat="false" ht="15" hidden="false" customHeight="false" outlineLevel="0" collapsed="false">
      <c r="A17495" s="3" t="s">
        <v>546</v>
      </c>
      <c r="C17495" s="32" t="n">
        <f aca="false">MAX($G$17301:$K$17301)</f>
        <v>7.33831226622703</v>
      </c>
    </row>
    <row r="17496" customFormat="false" ht="15" hidden="false" customHeight="false" outlineLevel="0" collapsed="false">
      <c r="A17496" s="3" t="s">
        <v>547</v>
      </c>
      <c r="C17496" s="32" t="n">
        <f aca="false">MIN($G$17302:$K$17302)</f>
        <v>1.18070192905498</v>
      </c>
    </row>
    <row r="17497" customFormat="false" ht="15" hidden="false" customHeight="false" outlineLevel="0" collapsed="false">
      <c r="A17497" s="3" t="s">
        <v>548</v>
      </c>
      <c r="C17497" s="25" t="n">
        <f aca="false">SUM($G$17208:$K$17208)</f>
        <v>75.1374128562126</v>
      </c>
    </row>
    <row r="17501" customFormat="false" ht="15" hidden="false" customHeight="false" outlineLevel="0" collapsed="false">
      <c r="A17501" s="9" t="s">
        <v>1068</v>
      </c>
      <c r="B17501" s="10"/>
      <c r="C17501" s="10"/>
      <c r="D17501" s="10"/>
      <c r="E17501" s="10"/>
      <c r="F17501" s="10"/>
      <c r="G17501" s="10"/>
      <c r="H17501" s="10"/>
      <c r="I17501" s="10"/>
      <c r="J17501" s="10"/>
      <c r="K17501" s="10"/>
    </row>
    <row r="17502" customFormat="false" ht="15" hidden="false" customHeight="false" outlineLevel="0" collapsed="false">
      <c r="A17502" s="3" t="s">
        <v>1010</v>
      </c>
      <c r="C17502" s="11" t="n">
        <v>2</v>
      </c>
    </row>
    <row r="17503" customFormat="false" ht="15" hidden="false" customHeight="false" outlineLevel="0" collapsed="false">
      <c r="A17503" s="3" t="s">
        <v>1011</v>
      </c>
      <c r="C17503" s="18" t="n">
        <v>0</v>
      </c>
    </row>
    <row r="17504" customFormat="false" ht="15" hidden="false" customHeight="false" outlineLevel="0" collapsed="false">
      <c r="A17504" s="3" t="s">
        <v>1012</v>
      </c>
      <c r="C17504" s="18" t="n">
        <v>0</v>
      </c>
    </row>
    <row r="17505" customFormat="false" ht="15" hidden="false" customHeight="false" outlineLevel="0" collapsed="false">
      <c r="A17505" s="3" t="s">
        <v>1013</v>
      </c>
      <c r="C17505" s="18" t="n">
        <v>0</v>
      </c>
    </row>
    <row r="17506" customFormat="false" ht="15" hidden="false" customHeight="false" outlineLevel="0" collapsed="false">
      <c r="A17506" s="3" t="s">
        <v>1014</v>
      </c>
      <c r="C17506" s="33" t="n">
        <f aca="false">Sensitivities!$A$61</f>
        <v>-1</v>
      </c>
    </row>
    <row r="17508" customFormat="false" ht="15" hidden="false" customHeight="false" outlineLevel="0" collapsed="false">
      <c r="A17508" s="23" t="s">
        <v>281</v>
      </c>
      <c r="B17508" s="24"/>
      <c r="C17508" s="24"/>
      <c r="D17508" s="24"/>
      <c r="E17508" s="24"/>
      <c r="F17508" s="24"/>
      <c r="G17508" s="24"/>
      <c r="H17508" s="24"/>
      <c r="I17508" s="24"/>
      <c r="J17508" s="24"/>
      <c r="K17508" s="24"/>
    </row>
    <row r="17509" customFormat="false" ht="15" hidden="false" customHeight="false" outlineLevel="0" collapsed="false">
      <c r="A17509" s="3" t="s">
        <v>282</v>
      </c>
      <c r="F17509" s="27" t="n">
        <f aca="false">Assumptions!$C$6</f>
        <v>2026</v>
      </c>
      <c r="G17509" s="20" t="n">
        <f aca="false">F17509+1</f>
        <v>2027</v>
      </c>
      <c r="H17509" s="20" t="n">
        <f aca="false">G17509+1</f>
        <v>2028</v>
      </c>
      <c r="I17509" s="20" t="n">
        <f aca="false">H17509+1</f>
        <v>2029</v>
      </c>
      <c r="J17509" s="20" t="n">
        <f aca="false">I17509+1</f>
        <v>2030</v>
      </c>
      <c r="K17509" s="20" t="n">
        <f aca="false">J17509+1</f>
        <v>2031</v>
      </c>
    </row>
    <row r="17510" customFormat="false" ht="15" hidden="false" customHeight="false" outlineLevel="0" collapsed="false">
      <c r="A17510" s="3" t="s">
        <v>283</v>
      </c>
      <c r="G17510" s="20" t="n">
        <f aca="false">G17509-Assumptions!$C$6</f>
        <v>1</v>
      </c>
      <c r="H17510" s="20" t="n">
        <f aca="false">H17509-Assumptions!$C$6</f>
        <v>2</v>
      </c>
      <c r="I17510" s="20" t="n">
        <f aca="false">I17509-Assumptions!$C$6</f>
        <v>3</v>
      </c>
      <c r="J17510" s="20" t="n">
        <f aca="false">J17509-Assumptions!$C$6</f>
        <v>4</v>
      </c>
      <c r="K17510" s="20" t="n">
        <f aca="false">K17509-Assumptions!$C$6</f>
        <v>5</v>
      </c>
    </row>
    <row r="17511" customFormat="false" ht="15" hidden="false" customHeight="false" outlineLevel="0" collapsed="false">
      <c r="A17511" s="3" t="s">
        <v>165</v>
      </c>
      <c r="G17511" s="21" t="n">
        <f aca="false">CHOOSE($C$17502,Assumptions!$G$71,Assumptions!$G$90,Assumptions!$G$109)+$C$17503</f>
        <v>-0.08</v>
      </c>
      <c r="H17511" s="21" t="n">
        <f aca="false">CHOOSE($C$17502,Assumptions!$H$71,Assumptions!$H$90,Assumptions!$H$109)+$C$17503</f>
        <v>-0.07</v>
      </c>
      <c r="I17511" s="21" t="n">
        <f aca="false">CHOOSE($C$17502,Assumptions!$I$71,Assumptions!$I$90,Assumptions!$I$109)+$C$17503</f>
        <v>-0.06</v>
      </c>
      <c r="J17511" s="21" t="n">
        <f aca="false">CHOOSE($C$17502,Assumptions!$J$71,Assumptions!$J$90,Assumptions!$J$109)+$C$17503</f>
        <v>-0.05</v>
      </c>
      <c r="K17511" s="21" t="n">
        <f aca="false">CHOOSE($C$17502,Assumptions!$K$71,Assumptions!$K$90,Assumptions!$K$109)+$C$17503</f>
        <v>-0.05</v>
      </c>
    </row>
    <row r="17512" customFormat="false" ht="15" hidden="false" customHeight="false" outlineLevel="0" collapsed="false">
      <c r="A17512" s="3" t="s">
        <v>166</v>
      </c>
      <c r="G17512" s="21" t="n">
        <f aca="false">CHOOSE($C$17502,Assumptions!$G$72,Assumptions!$G$91,Assumptions!$G$110)</f>
        <v>0.463246670103635</v>
      </c>
      <c r="H17512" s="21" t="n">
        <f aca="false">CHOOSE($C$17502,Assumptions!$H$72,Assumptions!$H$91,Assumptions!$H$110)</f>
        <v>0.453246670103635</v>
      </c>
      <c r="I17512" s="21" t="n">
        <f aca="false">CHOOSE($C$17502,Assumptions!$I$72,Assumptions!$I$91,Assumptions!$I$110)</f>
        <v>0.448246670103634</v>
      </c>
      <c r="J17512" s="21" t="n">
        <f aca="false">CHOOSE($C$17502,Assumptions!$J$72,Assumptions!$J$91,Assumptions!$J$110)</f>
        <v>0.443246670103635</v>
      </c>
      <c r="K17512" s="21" t="n">
        <f aca="false">CHOOSE($C$17502,Assumptions!$K$72,Assumptions!$K$91,Assumptions!$K$110)</f>
        <v>0.443246670103635</v>
      </c>
    </row>
    <row r="17513" customFormat="false" ht="15" hidden="false" customHeight="false" outlineLevel="0" collapsed="false">
      <c r="A17513" s="3" t="s">
        <v>167</v>
      </c>
      <c r="G17513" s="21" t="n">
        <f aca="false">CHOOSE($C$17502,Assumptions!$G$73,Assumptions!$G$92,Assumptions!$G$111)+$C$17504</f>
        <v>0.12</v>
      </c>
      <c r="H17513" s="21" t="n">
        <f aca="false">CHOOSE($C$17502,Assumptions!$H$73,Assumptions!$H$92,Assumptions!$H$111)+$C$17504</f>
        <v>0.11</v>
      </c>
      <c r="I17513" s="21" t="n">
        <f aca="false">CHOOSE($C$17502,Assumptions!$I$73,Assumptions!$I$92,Assumptions!$I$111)+$C$17504</f>
        <v>0.105</v>
      </c>
      <c r="J17513" s="21" t="n">
        <f aca="false">CHOOSE($C$17502,Assumptions!$J$73,Assumptions!$J$92,Assumptions!$J$111)+$C$17504</f>
        <v>0.1</v>
      </c>
      <c r="K17513" s="21" t="n">
        <f aca="false">CHOOSE($C$17502,Assumptions!$K$73,Assumptions!$K$92,Assumptions!$K$111)+$C$17504</f>
        <v>0.1</v>
      </c>
    </row>
    <row r="17514" customFormat="false" ht="15" hidden="false" customHeight="false" outlineLevel="0" collapsed="false">
      <c r="A17514" s="23" t="s">
        <v>284</v>
      </c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</row>
    <row r="17515" customFormat="false" ht="15" hidden="false" customHeight="false" outlineLevel="0" collapsed="false">
      <c r="A17515" s="2" t="s">
        <v>256</v>
      </c>
      <c r="F17515" s="28" t="n">
        <f aca="false">'Historical Financials'!G23</f>
        <v>2246.166</v>
      </c>
      <c r="G17515" s="16" t="n">
        <f aca="false">F17515*(1+G17511)</f>
        <v>2066.47272</v>
      </c>
      <c r="H17515" s="16" t="n">
        <f aca="false">G17515*(1+H17511)</f>
        <v>1921.8196296</v>
      </c>
      <c r="I17515" s="16" t="n">
        <f aca="false">H17515*(1+I17511)</f>
        <v>1806.510451824</v>
      </c>
      <c r="J17515" s="16" t="n">
        <f aca="false">I17515*(1+J17511)</f>
        <v>1716.1849292328</v>
      </c>
      <c r="K17515" s="16" t="n">
        <f aca="false">J17515*(1+K17511)</f>
        <v>1630.37568277116</v>
      </c>
    </row>
    <row r="17516" customFormat="false" ht="15" hidden="false" customHeight="false" outlineLevel="0" collapsed="false">
      <c r="A17516" s="3" t="s">
        <v>257</v>
      </c>
      <c r="G17516" s="25" t="n">
        <f aca="false">G17515*(1-G17512)</f>
        <v>1109.1861136</v>
      </c>
      <c r="H17516" s="25" t="n">
        <f aca="false">H17515*(1-H17512)</f>
        <v>1050.761281944</v>
      </c>
      <c r="I17516" s="25" t="n">
        <f aca="false">I17515*(1-I17512)</f>
        <v>996.74815728648</v>
      </c>
      <c r="J17516" s="25" t="n">
        <f aca="false">J17515*(1-J17512)</f>
        <v>955.49167406832</v>
      </c>
      <c r="K17516" s="25" t="n">
        <f aca="false">K17515*(1-K17512)</f>
        <v>907.717090364904</v>
      </c>
    </row>
    <row r="17517" customFormat="false" ht="15" hidden="false" customHeight="false" outlineLevel="0" collapsed="false">
      <c r="A17517" s="2" t="s">
        <v>258</v>
      </c>
      <c r="G17517" s="16" t="n">
        <f aca="false">G17515-G17516</f>
        <v>957.2866064</v>
      </c>
      <c r="H17517" s="16" t="n">
        <f aca="false">H17515-H17516</f>
        <v>871.058347656</v>
      </c>
      <c r="I17517" s="16" t="n">
        <f aca="false">I17515-I17516</f>
        <v>809.76229453752</v>
      </c>
      <c r="J17517" s="16" t="n">
        <f aca="false">J17515-J17516</f>
        <v>760.69325516448</v>
      </c>
      <c r="K17517" s="16" t="n">
        <f aca="false">K17515-K17516</f>
        <v>722.658592406256</v>
      </c>
    </row>
    <row r="17518" customFormat="false" ht="15" hidden="false" customHeight="false" outlineLevel="0" collapsed="false">
      <c r="A17518" s="3" t="s">
        <v>285</v>
      </c>
      <c r="G17518" s="25" t="n">
        <f aca="false">G17517-G17519</f>
        <v>709.30988</v>
      </c>
      <c r="H17518" s="25" t="n">
        <f aca="false">H17517-H17519</f>
        <v>659.6581884</v>
      </c>
      <c r="I17518" s="25" t="n">
        <f aca="false">I17517-I17519</f>
        <v>620.078697096</v>
      </c>
      <c r="J17518" s="25" t="n">
        <f aca="false">J17517-J17519</f>
        <v>589.0747622412</v>
      </c>
      <c r="K17518" s="25" t="n">
        <f aca="false">K17517-K17519</f>
        <v>559.62102412914</v>
      </c>
    </row>
    <row r="17519" customFormat="false" ht="15" hidden="false" customHeight="false" outlineLevel="0" collapsed="false">
      <c r="A17519" s="2" t="s">
        <v>286</v>
      </c>
      <c r="G17519" s="16" t="n">
        <f aca="false">G17515*G17513</f>
        <v>247.9767264</v>
      </c>
      <c r="H17519" s="16" t="n">
        <f aca="false">H17515*H17513</f>
        <v>211.400159256</v>
      </c>
      <c r="I17519" s="16" t="n">
        <f aca="false">I17515*I17513</f>
        <v>189.68359744152</v>
      </c>
      <c r="J17519" s="16" t="n">
        <f aca="false">J17515*J17513</f>
        <v>171.61849292328</v>
      </c>
      <c r="K17519" s="16" t="n">
        <f aca="false">K17515*K17513</f>
        <v>163.037568277116</v>
      </c>
    </row>
    <row r="17520" customFormat="false" ht="15" hidden="false" customHeight="false" outlineLevel="0" collapsed="false">
      <c r="A17520" s="3" t="s">
        <v>287</v>
      </c>
      <c r="G17520" s="25" t="n">
        <f aca="false">G17515*'Historical Financials'!G28/'Historical Financials'!G23</f>
        <v>78.47232</v>
      </c>
      <c r="H17520" s="25" t="n">
        <f aca="false">H17515*'Historical Financials'!G28/'Historical Financials'!G23</f>
        <v>72.9792576</v>
      </c>
      <c r="I17520" s="25" t="n">
        <f aca="false">I17515*'Historical Financials'!G28/'Historical Financials'!G23</f>
        <v>68.600502144</v>
      </c>
      <c r="J17520" s="25" t="n">
        <f aca="false">J17515*'Historical Financials'!G28/'Historical Financials'!G23</f>
        <v>65.1704770368</v>
      </c>
      <c r="K17520" s="25" t="n">
        <f aca="false">K17515*'Historical Financials'!G28/'Historical Financials'!G23</f>
        <v>61.91195318496</v>
      </c>
    </row>
    <row r="17521" customFormat="false" ht="15" hidden="false" customHeight="false" outlineLevel="0" collapsed="false">
      <c r="A17521" s="3" t="s">
        <v>288</v>
      </c>
      <c r="G17521" s="25" t="n">
        <f aca="false">G17515*'Historical Financials'!G29/'Historical Financials'!G23</f>
        <v>22.40752</v>
      </c>
      <c r="H17521" s="25" t="n">
        <f aca="false">H17515*'Historical Financials'!G29/'Historical Financials'!G23</f>
        <v>20.8389936</v>
      </c>
      <c r="I17521" s="25" t="n">
        <f aca="false">I17515*'Historical Financials'!G29/'Historical Financials'!G23</f>
        <v>19.588653984</v>
      </c>
      <c r="J17521" s="25" t="n">
        <f aca="false">J17515*'Historical Financials'!G29/'Historical Financials'!G23</f>
        <v>18.6092212848</v>
      </c>
      <c r="K17521" s="25" t="n">
        <f aca="false">K17515*'Historical Financials'!G29/'Historical Financials'!G23</f>
        <v>17.67876022056</v>
      </c>
    </row>
    <row r="17522" customFormat="false" ht="15" hidden="false" customHeight="false" outlineLevel="0" collapsed="false">
      <c r="A17522" s="2" t="s">
        <v>289</v>
      </c>
      <c r="G17522" s="16" t="n">
        <f aca="false">G17519-G17520-G17521</f>
        <v>147.0968864</v>
      </c>
      <c r="H17522" s="16" t="n">
        <f aca="false">H17519-H17520-H17521</f>
        <v>117.581908056</v>
      </c>
      <c r="I17522" s="16" t="n">
        <f aca="false">I17519-I17520-I17521</f>
        <v>101.49444131352</v>
      </c>
      <c r="J17522" s="16" t="n">
        <f aca="false">J17519-J17520-J17521</f>
        <v>87.83879460168</v>
      </c>
      <c r="K17522" s="16" t="n">
        <f aca="false">K17519-K17520-K17521</f>
        <v>83.446854871596</v>
      </c>
    </row>
    <row r="17523" customFormat="false" ht="15" hidden="false" customHeight="false" outlineLevel="0" collapsed="false">
      <c r="A17523" s="3" t="s">
        <v>290</v>
      </c>
      <c r="G17523" s="25" t="n">
        <f aca="false">G17549+G17562+G17575</f>
        <v>155.95467</v>
      </c>
      <c r="H17523" s="25" t="n">
        <f aca="false">H17549+H17562+H17575</f>
        <v>155.95467</v>
      </c>
      <c r="I17523" s="25" t="n">
        <f aca="false">I17549+I17562+I17575</f>
        <v>155.95467</v>
      </c>
      <c r="J17523" s="25" t="n">
        <f aca="false">J17549+J17562+J17575</f>
        <v>138.08529</v>
      </c>
      <c r="K17523" s="25" t="n">
        <f aca="false">K17549+K17562+K17575</f>
        <v>138.08529</v>
      </c>
    </row>
    <row r="17524" customFormat="false" ht="15" hidden="false" customHeight="false" outlineLevel="0" collapsed="false">
      <c r="A17524" s="3" t="s">
        <v>291</v>
      </c>
      <c r="G17524" s="25" t="n">
        <f aca="false">G17550+G17563+G17576</f>
        <v>0</v>
      </c>
      <c r="H17524" s="25" t="n">
        <f aca="false">H17550+H17563+H17576</f>
        <v>0</v>
      </c>
      <c r="I17524" s="25" t="n">
        <f aca="false">I17550+I17563+I17576</f>
        <v>0</v>
      </c>
      <c r="J17524" s="25" t="n">
        <f aca="false">J17550+J17563+J17576</f>
        <v>0</v>
      </c>
      <c r="K17524" s="25" t="n">
        <f aca="false">K17550+K17563+K17576</f>
        <v>0</v>
      </c>
    </row>
    <row r="17525" customFormat="false" ht="15" hidden="false" customHeight="false" outlineLevel="0" collapsed="false">
      <c r="A17525" s="3" t="s">
        <v>239</v>
      </c>
      <c r="G17525" s="25" t="n">
        <f aca="false">G17523+G17524</f>
        <v>155.95467</v>
      </c>
      <c r="H17525" s="25" t="n">
        <f aca="false">H17523+H17524</f>
        <v>155.95467</v>
      </c>
      <c r="I17525" s="25" t="n">
        <f aca="false">I17523+I17524</f>
        <v>155.95467</v>
      </c>
      <c r="J17525" s="25" t="n">
        <f aca="false">J17523+J17524</f>
        <v>138.08529</v>
      </c>
      <c r="K17525" s="25" t="n">
        <f aca="false">K17523+K17524</f>
        <v>138.08529</v>
      </c>
    </row>
    <row r="17526" customFormat="false" ht="15" hidden="false" customHeight="false" outlineLevel="0" collapsed="false">
      <c r="A17526" s="2" t="s">
        <v>264</v>
      </c>
      <c r="G17526" s="16" t="n">
        <f aca="false">G17522-G17525</f>
        <v>-8.85778360000006</v>
      </c>
      <c r="H17526" s="16" t="n">
        <f aca="false">H17522-H17525</f>
        <v>-38.372761944</v>
      </c>
      <c r="I17526" s="16" t="n">
        <f aca="false">I17522-I17525</f>
        <v>-54.46022868648</v>
      </c>
      <c r="J17526" s="16" t="n">
        <f aca="false">J17522-J17525</f>
        <v>-50.24649539832</v>
      </c>
      <c r="K17526" s="16" t="n">
        <f aca="false">K17522-K17525</f>
        <v>-54.638435128404</v>
      </c>
    </row>
    <row r="17527" customFormat="false" ht="15" hidden="false" customHeight="false" outlineLevel="0" collapsed="false">
      <c r="A17527" s="3" t="s">
        <v>292</v>
      </c>
      <c r="G17527" s="25" t="n">
        <f aca="false">MAX(0,G17526)*Assumptions!$C$9</f>
        <v>0</v>
      </c>
      <c r="H17527" s="25" t="n">
        <f aca="false">MAX(0,H17526)*Assumptions!$C$9</f>
        <v>0</v>
      </c>
      <c r="I17527" s="25" t="n">
        <f aca="false">MAX(0,I17526)*Assumptions!$C$9</f>
        <v>0</v>
      </c>
      <c r="J17527" s="25" t="n">
        <f aca="false">MAX(0,J17526)*Assumptions!$C$9</f>
        <v>0</v>
      </c>
      <c r="K17527" s="25" t="n">
        <f aca="false">MAX(0,K17526)*Assumptions!$C$9</f>
        <v>0</v>
      </c>
    </row>
    <row r="17528" customFormat="false" ht="15" hidden="false" customHeight="false" outlineLevel="0" collapsed="false">
      <c r="A17528" s="2" t="s">
        <v>293</v>
      </c>
      <c r="G17528" s="16" t="n">
        <f aca="false">G17526-G17527</f>
        <v>-8.85778360000006</v>
      </c>
      <c r="H17528" s="16" t="n">
        <f aca="false">H17526-H17527</f>
        <v>-38.372761944</v>
      </c>
      <c r="I17528" s="16" t="n">
        <f aca="false">I17526-I17527</f>
        <v>-54.46022868648</v>
      </c>
      <c r="J17528" s="16" t="n">
        <f aca="false">J17526-J17527</f>
        <v>-50.24649539832</v>
      </c>
      <c r="K17528" s="16" t="n">
        <f aca="false">K17526-K17527</f>
        <v>-54.638435128404</v>
      </c>
    </row>
    <row r="17529" customFormat="false" ht="15" hidden="false" customHeight="false" outlineLevel="0" collapsed="false">
      <c r="A17529" s="23" t="s">
        <v>294</v>
      </c>
      <c r="B17529" s="24"/>
      <c r="C17529" s="24"/>
      <c r="D17529" s="24"/>
      <c r="E17529" s="24"/>
      <c r="F17529" s="24"/>
      <c r="G17529" s="24"/>
      <c r="H17529" s="24"/>
      <c r="I17529" s="24"/>
      <c r="J17529" s="24"/>
      <c r="K17529" s="24"/>
    </row>
    <row r="17530" customFormat="false" ht="15" hidden="false" customHeight="false" outlineLevel="0" collapsed="false">
      <c r="A17530" s="3" t="s">
        <v>169</v>
      </c>
      <c r="G17530" s="25" t="n">
        <f aca="false">G17515*CHOOSE($C$17502,Assumptions!$C$75,Assumptions!$C$94,Assumptions!$C$113)</f>
        <v>26.86414536</v>
      </c>
      <c r="H17530" s="25" t="n">
        <f aca="false">H17515*CHOOSE($C$17502,Assumptions!$C$75,Assumptions!$C$94,Assumptions!$C$113)</f>
        <v>24.9836551848</v>
      </c>
      <c r="I17530" s="25" t="n">
        <f aca="false">I17515*CHOOSE($C$17502,Assumptions!$C$75,Assumptions!$C$94,Assumptions!$C$113)</f>
        <v>23.484635873712</v>
      </c>
      <c r="J17530" s="25" t="n">
        <f aca="false">J17515*CHOOSE($C$17502,Assumptions!$C$75,Assumptions!$C$94,Assumptions!$C$113)</f>
        <v>22.3104040800264</v>
      </c>
      <c r="K17530" s="25" t="n">
        <f aca="false">K17515*CHOOSE($C$17502,Assumptions!$C$75,Assumptions!$C$94,Assumptions!$C$113)</f>
        <v>21.1948838760251</v>
      </c>
    </row>
    <row r="17531" customFormat="false" ht="15" hidden="false" customHeight="false" outlineLevel="0" collapsed="false">
      <c r="A17531" s="3" t="s">
        <v>295</v>
      </c>
      <c r="G17531" s="25" t="n">
        <f aca="false">CHOOSE($C$17502,Assumptions!$C$76,Assumptions!$C$95,Assumptions!$C$114)*(G17515-F17515)+CHOOSE($C$17502,Assumptions!$C$77,Assumptions!$C$96,Assumptions!$C$115)*G17515</f>
        <v>10.3323636</v>
      </c>
      <c r="H17531" s="25" t="n">
        <f aca="false">CHOOSE($C$17502,Assumptions!$C$76,Assumptions!$C$95,Assumptions!$C$114)*(H17515-G17515)+CHOOSE($C$17502,Assumptions!$C$77,Assumptions!$C$96,Assumptions!$C$115)*H17515</f>
        <v>9.609098148</v>
      </c>
      <c r="I17531" s="25" t="n">
        <f aca="false">CHOOSE($C$17502,Assumptions!$C$76,Assumptions!$C$95,Assumptions!$C$114)*(I17515-H17515)+CHOOSE($C$17502,Assumptions!$C$77,Assumptions!$C$96,Assumptions!$C$115)*I17515</f>
        <v>9.03255225912</v>
      </c>
      <c r="J17531" s="25" t="n">
        <f aca="false">CHOOSE($C$17502,Assumptions!$C$76,Assumptions!$C$95,Assumptions!$C$114)*(J17515-I17515)+CHOOSE($C$17502,Assumptions!$C$77,Assumptions!$C$96,Assumptions!$C$115)*J17515</f>
        <v>8.580924646164</v>
      </c>
      <c r="K17531" s="25" t="n">
        <f aca="false">CHOOSE($C$17502,Assumptions!$C$76,Assumptions!$C$95,Assumptions!$C$114)*(K17515-J17515)+CHOOSE($C$17502,Assumptions!$C$77,Assumptions!$C$96,Assumptions!$C$115)*K17515</f>
        <v>8.1518784138558</v>
      </c>
    </row>
    <row r="17532" customFormat="false" ht="15" hidden="false" customHeight="false" outlineLevel="0" collapsed="false">
      <c r="A17532" s="2" t="s">
        <v>296</v>
      </c>
      <c r="G17532" s="16" t="n">
        <f aca="false">G17528+G17520+G17521+G17524-G17530-G17531</f>
        <v>54.8255474399999</v>
      </c>
      <c r="H17532" s="16" t="n">
        <f aca="false">H17528+H17520+H17521+H17524-H17530-H17531</f>
        <v>20.8527359232</v>
      </c>
      <c r="I17532" s="16" t="n">
        <f aca="false">I17528+I17520+I17521+I17524-I17530-I17531</f>
        <v>1.21173930868796</v>
      </c>
      <c r="J17532" s="16" t="n">
        <f aca="false">J17528+J17520+J17521+J17524-J17530-J17531</f>
        <v>2.6418741970896</v>
      </c>
      <c r="K17532" s="16" t="n">
        <f aca="false">K17528+K17520+K17521+K17524-K17530-K17531</f>
        <v>-4.39448401276491</v>
      </c>
    </row>
    <row r="17534" customFormat="false" ht="15" hidden="false" customHeight="false" outlineLevel="0" collapsed="false">
      <c r="A17534" s="23" t="s">
        <v>298</v>
      </c>
      <c r="B17534" s="24"/>
      <c r="C17534" s="24"/>
      <c r="D17534" s="24"/>
      <c r="E17534" s="24"/>
      <c r="F17534" s="24"/>
      <c r="G17534" s="24"/>
      <c r="H17534" s="24"/>
      <c r="I17534" s="24"/>
      <c r="J17534" s="24"/>
      <c r="K17534" s="24"/>
    </row>
    <row r="17535" customFormat="false" ht="15" hidden="false" customHeight="false" outlineLevel="0" collapsed="false">
      <c r="A17535" s="3" t="s">
        <v>299</v>
      </c>
      <c r="G17535" s="30" t="n">
        <f aca="false">Assumptions!$G$52</f>
        <v>0.039</v>
      </c>
      <c r="H17535" s="30" t="n">
        <f aca="false">Assumptions!$H$52</f>
        <v>0.0375</v>
      </c>
      <c r="I17535" s="30" t="n">
        <f aca="false">Assumptions!$I$52</f>
        <v>0.035</v>
      </c>
      <c r="J17535" s="30" t="n">
        <f aca="false">Assumptions!$J$52</f>
        <v>0.035</v>
      </c>
      <c r="K17535" s="30" t="n">
        <f aca="false">Assumptions!$K$52</f>
        <v>0.035</v>
      </c>
    </row>
    <row r="17536" customFormat="false" ht="15" hidden="false" customHeight="false" outlineLevel="0" collapsed="false">
      <c r="A17536" s="3" t="s">
        <v>300</v>
      </c>
      <c r="C17536" s="31" t="n">
        <f aca="false">CHOOSE($C$17502,Assumptions!$C$78,Assumptions!$C$97,Assumptions!$C$116)+$C$17505</f>
        <v>0.015</v>
      </c>
    </row>
    <row r="17537" customFormat="false" ht="15" hidden="false" customHeight="false" outlineLevel="0" collapsed="false">
      <c r="A17537" s="3" t="s">
        <v>301</v>
      </c>
      <c r="C17537" s="31" t="n">
        <f aca="false">CHOOSE($C$17502,Assumptions!$C$79,Assumptions!$C$98,Assumptions!$C$117)</f>
        <v>0.13</v>
      </c>
    </row>
    <row r="17538" customFormat="false" ht="15" hidden="false" customHeight="false" outlineLevel="0" collapsed="false">
      <c r="A17538" s="3" t="s">
        <v>302</v>
      </c>
      <c r="C17538" s="32" t="n">
        <f aca="false">CHOOSE($C$17502,Assumptions!$C$80,Assumptions!$C$99,Assumptions!$C$118)</f>
        <v>5.5</v>
      </c>
    </row>
    <row r="17539" customFormat="false" ht="15" hidden="false" customHeight="false" outlineLevel="0" collapsed="false">
      <c r="A17539" s="3" t="s">
        <v>303</v>
      </c>
      <c r="C17539" s="32" t="n">
        <f aca="false">CHOOSE($C$17502,Assumptions!$C$81,Assumptions!$C$100,Assumptions!$C$119)</f>
        <v>1.5</v>
      </c>
    </row>
    <row r="17540" customFormat="false" ht="15" hidden="false" customHeight="false" outlineLevel="0" collapsed="false">
      <c r="A17540" s="3" t="s">
        <v>304</v>
      </c>
      <c r="G17540" s="25" t="n">
        <f aca="false">G17545+G17558+G17571</f>
        <v>1735.554</v>
      </c>
      <c r="H17540" s="25" t="n">
        <f aca="false">H17545+H17558+H17571</f>
        <v>1735.554</v>
      </c>
      <c r="I17540" s="25" t="n">
        <f aca="false">I17545+I17558+I17571</f>
        <v>1735.554</v>
      </c>
      <c r="J17540" s="25" t="n">
        <f aca="false">J17545+J17558+J17571</f>
        <v>1315.098</v>
      </c>
      <c r="K17540" s="25" t="n">
        <f aca="false">K17545+K17558+K17571</f>
        <v>1315.098</v>
      </c>
    </row>
    <row r="17541" customFormat="false" ht="15" hidden="false" customHeight="false" outlineLevel="0" collapsed="false">
      <c r="A17541" s="3" t="s">
        <v>305</v>
      </c>
      <c r="G17541" s="25" t="n">
        <f aca="false">F17614</f>
        <v>463.996</v>
      </c>
      <c r="H17541" s="25" t="n">
        <f aca="false">G17614</f>
        <v>518.82154744</v>
      </c>
      <c r="I17541" s="25" t="n">
        <f aca="false">H17614</f>
        <v>539.6742833632</v>
      </c>
      <c r="J17541" s="25" t="n">
        <f aca="false">I17614</f>
        <v>120.430022671888</v>
      </c>
      <c r="K17541" s="25" t="n">
        <f aca="false">J17614</f>
        <v>123.071896868977</v>
      </c>
    </row>
    <row r="17542" customFormat="false" ht="15" hidden="false" customHeight="false" outlineLevel="0" collapsed="false">
      <c r="A17542" s="3" t="s">
        <v>306</v>
      </c>
      <c r="G17542" s="25" t="n">
        <f aca="false">G17545*IF(G17546=1,$C$17537,IF(Assumptions!$I$56=1,MAX(G17535,Assumptions!$G$56)+Assumptions!$F$56+$C$17536,Assumptions!$E$56))+G17558*IF(G17559=1,$C$17537,IF(Assumptions!$I$57=1,MAX(G17535,Assumptions!$G$57)+Assumptions!$F$57+$C$17536,Assumptions!$E$57))+G17571*IF(G17572=1,$C$17537,IF(Assumptions!$I$58=1,MAX(G17535,Assumptions!$G$58)+Assumptions!$F$58+$C$17536,Assumptions!$E$58))</f>
        <v>155.95467</v>
      </c>
      <c r="H17542" s="25" t="n">
        <f aca="false">H17545*IF(OR(H17546=1,G17692=1),$C$17537,IF(Assumptions!$I$56=1,MAX(H17535,Assumptions!$G$56)+Assumptions!$F$56+$C$17536,Assumptions!$E$56))+H17558*IF(OR(H17559=1,G17693=1),$C$17537,IF(Assumptions!$I$57=1,MAX(H17535,Assumptions!$G$57)+Assumptions!$F$57+$C$17536,Assumptions!$E$57))+H17571*IF(OR(H17572=1,G17694=1),$C$17537,IF(Assumptions!$I$58=1,MAX(H17535,Assumptions!$G$58)+Assumptions!$F$58+$C$17536,Assumptions!$E$58))</f>
        <v>155.95467</v>
      </c>
      <c r="I17542" s="25" t="n">
        <f aca="false">I17545*IF(OR(I17546=1,H17692=1),$C$17537,IF(Assumptions!$I$56=1,MAX(I17535,Assumptions!$G$56)+Assumptions!$F$56+$C$17536,Assumptions!$E$56))+I17558*IF(OR(I17559=1,H17693=1),$C$17537,IF(Assumptions!$I$57=1,MAX(I17535,Assumptions!$G$57)+Assumptions!$F$57+$C$17536,Assumptions!$E$57))+I17571*IF(OR(I17572=1,H17694=1),$C$17537,IF(Assumptions!$I$58=1,MAX(I17535,Assumptions!$G$58)+Assumptions!$F$58+$C$17536,Assumptions!$E$58))</f>
        <v>192.74457</v>
      </c>
      <c r="J17542" s="25" t="n">
        <f aca="false">J17545*IF(OR(J17546=1,I17692=1),$C$17537,IF(Assumptions!$I$56=1,MAX(J17535,Assumptions!$G$56)+Assumptions!$F$56+$C$17536,Assumptions!$E$56))+J17558*IF(OR(J17559=1,I17693=1),$C$17537,IF(Assumptions!$I$57=1,MAX(J17535,Assumptions!$G$57)+Assumptions!$F$57+$C$17536,Assumptions!$E$57))+J17571*IF(OR(J17572=1,I17694=1),$C$17537,IF(Assumptions!$I$58=1,MAX(J17535,Assumptions!$G$58)+Assumptions!$F$58+$C$17536,Assumptions!$E$58))</f>
        <v>138.08529</v>
      </c>
      <c r="K17542" s="25" t="n">
        <f aca="false">K17545*IF(OR(K17546=1,J17692=1),$C$17537,IF(Assumptions!$I$56=1,MAX(K17535,Assumptions!$G$56)+Assumptions!$F$56+$C$17536,Assumptions!$E$56))+K17558*IF(OR(K17559=1,J17693=1),$C$17537,IF(Assumptions!$I$57=1,MAX(K17535,Assumptions!$G$57)+Assumptions!$F$57+$C$17536,Assumptions!$E$57))+K17571*IF(OR(K17572=1,J17694=1),$C$17537,IF(Assumptions!$I$58=1,MAX(K17535,Assumptions!$G$58)+Assumptions!$F$58+$C$17536,Assumptions!$E$58))</f>
        <v>138.08529</v>
      </c>
    </row>
    <row r="17543" customFormat="false" ht="15" hidden="false" customHeight="false" outlineLevel="0" collapsed="false">
      <c r="A17543" s="3" t="s">
        <v>307</v>
      </c>
      <c r="G17543" s="20" t="n">
        <f aca="false">IF(G17519&lt;=0,0,IF(AND((G17540-G17541)/G17519&lt;=$C$17538,G17519/G17542&gt;=$C$17539),1,0))</f>
        <v>1</v>
      </c>
      <c r="H17543" s="20" t="n">
        <f aca="false">IF(H17519&lt;=0,0,IF(AND((H17540-H17541)/H17519&lt;=$C$17538,H17519/H17542&gt;=$C$17539),1,0))</f>
        <v>0</v>
      </c>
      <c r="I17543" s="20" t="n">
        <f aca="false">IF(I17519&lt;=0,0,IF(AND((I17540-I17541)/I17519&lt;=$C$17538,I17519/I17542&gt;=$C$17539),1,0))</f>
        <v>0</v>
      </c>
      <c r="J17543" s="20" t="n">
        <f aca="false">IF(J17519&lt;=0,0,IF(AND((J17540-J17541)/J17519&lt;=$C$17538,J17519/J17542&gt;=$C$17539),1,0))</f>
        <v>0</v>
      </c>
      <c r="K17543" s="20" t="n">
        <f aca="false">IF(K17519&lt;=0,0,IF(AND((K17540-K17541)/K17519&lt;=$C$17538,K17519/K17542&gt;=$C$17539),1,0))</f>
        <v>0</v>
      </c>
    </row>
    <row r="17544" customFormat="false" ht="15" hidden="false" customHeight="false" outlineLevel="0" collapsed="false">
      <c r="A17544" s="23" t="s">
        <v>308</v>
      </c>
      <c r="B17544" s="24"/>
      <c r="C17544" s="24"/>
      <c r="D17544" s="24"/>
      <c r="E17544" s="24"/>
      <c r="F17544" s="24"/>
      <c r="G17544" s="24"/>
      <c r="H17544" s="24"/>
      <c r="I17544" s="24"/>
      <c r="J17544" s="24"/>
      <c r="K17544" s="24"/>
    </row>
    <row r="17545" customFormat="false" ht="15" hidden="false" customHeight="false" outlineLevel="0" collapsed="false">
      <c r="A17545" s="3" t="s">
        <v>309</v>
      </c>
      <c r="G17545" s="25" t="n">
        <f aca="false">F17556</f>
        <v>1315.098</v>
      </c>
      <c r="H17545" s="25" t="n">
        <f aca="false">G17556</f>
        <v>1315.098</v>
      </c>
      <c r="I17545" s="25" t="n">
        <f aca="false">H17556</f>
        <v>1315.098</v>
      </c>
      <c r="J17545" s="25" t="n">
        <f aca="false">I17556</f>
        <v>1315.098</v>
      </c>
      <c r="K17545" s="25" t="n">
        <f aca="false">J17556</f>
        <v>1315.098</v>
      </c>
    </row>
    <row r="17546" customFormat="false" ht="15" hidden="false" customHeight="false" outlineLevel="0" collapsed="false">
      <c r="A17546" s="3" t="s">
        <v>310</v>
      </c>
      <c r="G17546" s="20" t="n">
        <f aca="false">IF(G17509=Assumptions!$K$56,1,0)</f>
        <v>0</v>
      </c>
      <c r="H17546" s="20" t="n">
        <f aca="false">IF(H17509=Assumptions!$K$56,1,0)</f>
        <v>0</v>
      </c>
      <c r="I17546" s="20" t="n">
        <f aca="false">IF(I17509=Assumptions!$K$56,1,0)</f>
        <v>0</v>
      </c>
      <c r="J17546" s="20" t="n">
        <f aca="false">IF(J17509=Assumptions!$K$56,1,0)</f>
        <v>0</v>
      </c>
      <c r="K17546" s="20" t="n">
        <f aca="false">IF(K17509=Assumptions!$K$56,1,0)</f>
        <v>0</v>
      </c>
    </row>
    <row r="17548" customFormat="false" ht="15" hidden="false" customHeight="false" outlineLevel="0" collapsed="false">
      <c r="A17548" s="3" t="s">
        <v>311</v>
      </c>
      <c r="G17548" s="31" t="n">
        <f aca="false">IF(Assumptions!$I$56=1,MAX(G17535,Assumptions!$G$56)+Assumptions!$F$56+$C$17536,Assumptions!$E$56)</f>
        <v>0.105</v>
      </c>
      <c r="H17548" s="31" t="n">
        <f aca="false">IF(G17692=1,$C$17537,IF(Assumptions!$I$56=1,MAX(H17535,Assumptions!$G$56)+Assumptions!$F$56+$C$17536,Assumptions!$E$56))</f>
        <v>0.105</v>
      </c>
      <c r="I17548" s="31" t="n">
        <f aca="false">IF(H17692=1,$C$17537,IF(Assumptions!$I$56=1,MAX(I17535,Assumptions!$G$56)+Assumptions!$F$56+$C$17536,Assumptions!$E$56))</f>
        <v>0.105</v>
      </c>
      <c r="J17548" s="31" t="n">
        <f aca="false">IF(I17692=1,$C$17537,IF(Assumptions!$I$56=1,MAX(J17535,Assumptions!$G$56)+Assumptions!$F$56+$C$17536,Assumptions!$E$56))</f>
        <v>0.105</v>
      </c>
      <c r="K17548" s="31" t="n">
        <f aca="false">IF(J17692=1,$C$17537,IF(Assumptions!$I$56=1,MAX(K17535,Assumptions!$G$56)+Assumptions!$F$56+$C$17536,Assumptions!$E$56))</f>
        <v>0.105</v>
      </c>
    </row>
    <row r="17549" customFormat="false" ht="15" hidden="false" customHeight="false" outlineLevel="0" collapsed="false">
      <c r="A17549" s="3" t="s">
        <v>312</v>
      </c>
      <c r="G17549" s="25" t="n">
        <f aca="false">G17545*G17548</f>
        <v>138.08529</v>
      </c>
      <c r="H17549" s="25" t="n">
        <f aca="false">H17545*H17548</f>
        <v>138.08529</v>
      </c>
      <c r="I17549" s="25" t="n">
        <f aca="false">I17545*I17548</f>
        <v>138.08529</v>
      </c>
      <c r="J17549" s="25" t="n">
        <f aca="false">J17545*J17548</f>
        <v>138.08529</v>
      </c>
      <c r="K17549" s="25" t="n">
        <f aca="false">K17545*K17548</f>
        <v>138.08529</v>
      </c>
    </row>
    <row r="17550" customFormat="false" ht="15" hidden="false" customHeight="false" outlineLevel="0" collapsed="false">
      <c r="A17550" s="3" t="s">
        <v>313</v>
      </c>
      <c r="G17550" s="25" t="n">
        <f aca="false">G17545*Assumptions!$H$56</f>
        <v>0</v>
      </c>
      <c r="H17550" s="25" t="n">
        <f aca="false">H17545*Assumptions!$H$56</f>
        <v>0</v>
      </c>
      <c r="I17550" s="25" t="n">
        <f aca="false">I17545*Assumptions!$H$56</f>
        <v>0</v>
      </c>
      <c r="J17550" s="25" t="n">
        <f aca="false">J17545*Assumptions!$H$56</f>
        <v>0</v>
      </c>
      <c r="K17550" s="25" t="n">
        <f aca="false">K17545*Assumptions!$H$56</f>
        <v>0</v>
      </c>
    </row>
    <row r="17551" customFormat="false" ht="15" hidden="false" customHeight="false" outlineLevel="0" collapsed="false">
      <c r="A17551" s="3" t="s">
        <v>314</v>
      </c>
      <c r="G17551" s="25" t="n">
        <f aca="false">MIN(G17545,Assumptions!$L$56*Assumptions!$C$56)</f>
        <v>0</v>
      </c>
      <c r="H17551" s="25" t="n">
        <f aca="false">MIN(H17545,Assumptions!$L$56*Assumptions!$C$56)</f>
        <v>0</v>
      </c>
      <c r="I17551" s="25" t="n">
        <f aca="false">MIN(I17545,Assumptions!$L$56*Assumptions!$C$56)</f>
        <v>0</v>
      </c>
      <c r="J17551" s="25" t="n">
        <f aca="false">MIN(J17545,Assumptions!$L$56*Assumptions!$C$56)</f>
        <v>0</v>
      </c>
      <c r="K17551" s="25" t="n">
        <f aca="false">MIN(K17545,Assumptions!$L$56*Assumptions!$C$56)</f>
        <v>0</v>
      </c>
    </row>
    <row r="17552" customFormat="false" ht="15" hidden="false" customHeight="false" outlineLevel="0" collapsed="false">
      <c r="A17552" s="3" t="s">
        <v>315</v>
      </c>
      <c r="G17552" s="25" t="n">
        <f aca="false">IF(AND(Assumptions!$P$56=1,G17509&lt;Assumptions!$K$56),MIN(MAX(0,-G17606),MAX(0,Assumptions!$D$56-G17545)),0)</f>
        <v>0</v>
      </c>
      <c r="H17552" s="25" t="n">
        <f aca="false">IF(AND(Assumptions!$P$56=1,OR(H17509&lt;Assumptions!$K$56,G17692=1)),MIN(MAX(0,-H17606),MAX(0,Assumptions!$D$56-H17545)),0)</f>
        <v>0</v>
      </c>
      <c r="I17552" s="25" t="n">
        <f aca="false">IF(AND(Assumptions!$P$56=1,OR(I17509&lt;Assumptions!$K$56,H17692=1)),MIN(MAX(0,-I17606),MAX(0,Assumptions!$D$56-I17545)),0)</f>
        <v>0</v>
      </c>
      <c r="J17552" s="25" t="n">
        <f aca="false">IF(AND(Assumptions!$P$56=1,OR(J17509&lt;Assumptions!$K$56,I17692=1)),MIN(MAX(0,-J17606),MAX(0,Assumptions!$D$56-J17545)),0)</f>
        <v>0</v>
      </c>
      <c r="K17552" s="25" t="n">
        <f aca="false">IF(AND(Assumptions!$P$56=1,OR(K17509&lt;Assumptions!$K$56,J17692=1)),MIN(MAX(0,-K17606),MAX(0,Assumptions!$D$56-K17545)),0)</f>
        <v>0</v>
      </c>
    </row>
    <row r="17553" customFormat="false" ht="15" hidden="false" customHeight="false" outlineLevel="0" collapsed="false">
      <c r="A17553" s="3" t="s">
        <v>316</v>
      </c>
      <c r="G17553" s="25" t="n">
        <f aca="false">G17546*MIN(G17545-G17551+G17550,MAX(0,G17608-Assumptions!$C$12*G17543))</f>
        <v>0</v>
      </c>
      <c r="H17553" s="25" t="n">
        <f aca="false">H17546*MIN(H17545-H17551+H17550,MAX(0,H17608-Assumptions!$C$12*H17543))</f>
        <v>0</v>
      </c>
      <c r="I17553" s="25" t="n">
        <f aca="false">I17546*MIN(I17545-I17551+I17550,MAX(0,I17608-Assumptions!$C$12*I17543))</f>
        <v>0</v>
      </c>
      <c r="J17553" s="25" t="n">
        <f aca="false">J17546*MIN(J17545-J17551+J17550,MAX(0,J17608-Assumptions!$C$12*J17543))</f>
        <v>0</v>
      </c>
      <c r="K17553" s="25" t="n">
        <f aca="false">K17546*MIN(K17545-K17551+K17550,MAX(0,K17608-Assumptions!$C$12*K17543))</f>
        <v>0</v>
      </c>
    </row>
    <row r="17554" customFormat="false" ht="15" hidden="false" customHeight="false" outlineLevel="0" collapsed="false">
      <c r="A17554" s="3" t="s">
        <v>317</v>
      </c>
      <c r="G17554" s="25" t="n">
        <f aca="false">Assumptions!$N$56*MIN(G17545+G17552+G17550-G17551-G17553,MAX(0,G17612))</f>
        <v>0</v>
      </c>
      <c r="H17554" s="25" t="n">
        <f aca="false">Assumptions!$N$56*MIN(H17545+H17552+H17550-H17551-H17553,MAX(0,H17612))</f>
        <v>0</v>
      </c>
      <c r="I17554" s="25" t="n">
        <f aca="false">Assumptions!$N$56*MIN(I17545+I17552+I17550-I17551-I17553,MAX(0,I17612))</f>
        <v>0</v>
      </c>
      <c r="J17554" s="25" t="n">
        <f aca="false">Assumptions!$N$56*MIN(J17545+J17552+J17550-J17551-J17553,MAX(0,J17612))</f>
        <v>0</v>
      </c>
      <c r="K17554" s="25" t="n">
        <f aca="false">Assumptions!$N$56*MIN(K17545+K17552+K17550-K17551-K17553,MAX(0,K17612))</f>
        <v>0</v>
      </c>
    </row>
    <row r="17555" customFormat="false" ht="15" hidden="false" customHeight="false" outlineLevel="0" collapsed="false">
      <c r="A17555" s="3" t="s">
        <v>318</v>
      </c>
      <c r="G17555" s="25" t="n">
        <f aca="false">G17546*(1-G17543)*(G17545-G17551+G17550-G17553)</f>
        <v>0</v>
      </c>
      <c r="H17555" s="25" t="n">
        <f aca="false">H17546*(1-H17543)*(H17545-H17551+H17550-H17553)</f>
        <v>0</v>
      </c>
      <c r="I17555" s="25" t="n">
        <f aca="false">I17546*(1-I17543)*(I17545-I17551+I17550-I17553)</f>
        <v>0</v>
      </c>
      <c r="J17555" s="25" t="n">
        <f aca="false">J17546*(1-J17543)*(J17545-J17551+J17550-J17553)</f>
        <v>0</v>
      </c>
      <c r="K17555" s="25" t="n">
        <f aca="false">K17546*(1-K17543)*(K17545-K17551+K17550-K17553)</f>
        <v>0</v>
      </c>
    </row>
    <row r="17556" customFormat="false" ht="15" hidden="false" customHeight="false" outlineLevel="0" collapsed="false">
      <c r="A17556" s="2" t="s">
        <v>319</v>
      </c>
      <c r="F17556" s="28" t="n">
        <f aca="false">Assumptions!$C$56</f>
        <v>1315.098</v>
      </c>
      <c r="G17556" s="16" t="n">
        <f aca="false">G17545+G17552+G17550-G17551-G17553-G17554</f>
        <v>1315.098</v>
      </c>
      <c r="H17556" s="16" t="n">
        <f aca="false">H17545+H17552+H17550-H17551-H17553-H17554</f>
        <v>1315.098</v>
      </c>
      <c r="I17556" s="16" t="n">
        <f aca="false">I17545+I17552+I17550-I17551-I17553-I17554</f>
        <v>1315.098</v>
      </c>
      <c r="J17556" s="16" t="n">
        <f aca="false">J17545+J17552+J17550-J17551-J17553-J17554</f>
        <v>1315.098</v>
      </c>
      <c r="K17556" s="16" t="n">
        <f aca="false">K17545+K17552+K17550-K17551-K17553-K17554</f>
        <v>1315.098</v>
      </c>
    </row>
    <row r="17557" customFormat="false" ht="15" hidden="false" customHeight="false" outlineLevel="0" collapsed="false">
      <c r="A17557" s="23" t="s">
        <v>320</v>
      </c>
      <c r="B17557" s="24"/>
      <c r="C17557" s="24"/>
      <c r="D17557" s="24"/>
      <c r="E17557" s="24"/>
      <c r="F17557" s="24"/>
      <c r="G17557" s="24"/>
      <c r="H17557" s="24"/>
      <c r="I17557" s="24"/>
      <c r="J17557" s="24"/>
      <c r="K17557" s="24"/>
    </row>
    <row r="17558" customFormat="false" ht="15" hidden="false" customHeight="false" outlineLevel="0" collapsed="false">
      <c r="A17558" s="3" t="s">
        <v>309</v>
      </c>
      <c r="G17558" s="25" t="n">
        <f aca="false">F17569</f>
        <v>276.706</v>
      </c>
      <c r="H17558" s="25" t="n">
        <f aca="false">G17569</f>
        <v>276.706</v>
      </c>
      <c r="I17558" s="25" t="n">
        <f aca="false">H17569</f>
        <v>276.706</v>
      </c>
      <c r="J17558" s="25" t="n">
        <f aca="false">I17569</f>
        <v>0</v>
      </c>
      <c r="K17558" s="25" t="n">
        <f aca="false">J17569</f>
        <v>0</v>
      </c>
    </row>
    <row r="17559" customFormat="false" ht="15" hidden="false" customHeight="false" outlineLevel="0" collapsed="false">
      <c r="A17559" s="3" t="s">
        <v>310</v>
      </c>
      <c r="G17559" s="20" t="n">
        <f aca="false">IF(G17509=Assumptions!$K$57,1,0)</f>
        <v>0</v>
      </c>
      <c r="H17559" s="20" t="n">
        <f aca="false">IF(H17509=Assumptions!$K$57,1,0)</f>
        <v>0</v>
      </c>
      <c r="I17559" s="20" t="n">
        <f aca="false">IF(I17509=Assumptions!$K$57,1,0)</f>
        <v>1</v>
      </c>
      <c r="J17559" s="20" t="n">
        <f aca="false">IF(J17509=Assumptions!$K$57,1,0)</f>
        <v>0</v>
      </c>
      <c r="K17559" s="20" t="n">
        <f aca="false">IF(K17509=Assumptions!$K$57,1,0)</f>
        <v>0</v>
      </c>
    </row>
    <row r="17561" customFormat="false" ht="15" hidden="false" customHeight="false" outlineLevel="0" collapsed="false">
      <c r="A17561" s="3" t="s">
        <v>311</v>
      </c>
      <c r="G17561" s="31" t="n">
        <f aca="false">IF(Assumptions!$I$57=1,MAX(G17535,Assumptions!$G$57)+Assumptions!$F$57+$C$17536,Assumptions!$E$57)</f>
        <v>0.0425</v>
      </c>
      <c r="H17561" s="31" t="n">
        <f aca="false">IF(G17693=1,$C$17537,IF(Assumptions!$I$57=1,MAX(H17535,Assumptions!$G$57)+Assumptions!$F$57+$C$17536,Assumptions!$E$57))</f>
        <v>0.0425</v>
      </c>
      <c r="I17561" s="31" t="n">
        <f aca="false">IF(H17693=1,$C$17537,IF(Assumptions!$I$57=1,MAX(I17535,Assumptions!$G$57)+Assumptions!$F$57+$C$17536,Assumptions!$E$57))</f>
        <v>0.0425</v>
      </c>
      <c r="J17561" s="31" t="n">
        <f aca="false">IF(I17693=1,$C$17537,IF(Assumptions!$I$57=1,MAX(J17535,Assumptions!$G$57)+Assumptions!$F$57+$C$17536,Assumptions!$E$57))</f>
        <v>0.0425</v>
      </c>
      <c r="K17561" s="31" t="n">
        <f aca="false">IF(J17693=1,$C$17537,IF(Assumptions!$I$57=1,MAX(K17535,Assumptions!$G$57)+Assumptions!$F$57+$C$17536,Assumptions!$E$57))</f>
        <v>0.0425</v>
      </c>
    </row>
    <row r="17562" customFormat="false" ht="15" hidden="false" customHeight="false" outlineLevel="0" collapsed="false">
      <c r="A17562" s="3" t="s">
        <v>312</v>
      </c>
      <c r="G17562" s="25" t="n">
        <f aca="false">G17558*G17561</f>
        <v>11.760005</v>
      </c>
      <c r="H17562" s="25" t="n">
        <f aca="false">H17558*H17561</f>
        <v>11.760005</v>
      </c>
      <c r="I17562" s="25" t="n">
        <f aca="false">I17558*I17561</f>
        <v>11.760005</v>
      </c>
      <c r="J17562" s="25" t="n">
        <f aca="false">J17558*J17561</f>
        <v>0</v>
      </c>
      <c r="K17562" s="25" t="n">
        <f aca="false">K17558*K17561</f>
        <v>0</v>
      </c>
    </row>
    <row r="17563" customFormat="false" ht="15" hidden="false" customHeight="false" outlineLevel="0" collapsed="false">
      <c r="A17563" s="3" t="s">
        <v>313</v>
      </c>
      <c r="G17563" s="25" t="n">
        <f aca="false">G17558*Assumptions!$H$57</f>
        <v>0</v>
      </c>
      <c r="H17563" s="25" t="n">
        <f aca="false">H17558*Assumptions!$H$57</f>
        <v>0</v>
      </c>
      <c r="I17563" s="25" t="n">
        <f aca="false">I17558*Assumptions!$H$57</f>
        <v>0</v>
      </c>
      <c r="J17563" s="25" t="n">
        <f aca="false">J17558*Assumptions!$H$57</f>
        <v>0</v>
      </c>
      <c r="K17563" s="25" t="n">
        <f aca="false">K17558*Assumptions!$H$57</f>
        <v>0</v>
      </c>
    </row>
    <row r="17564" customFormat="false" ht="15" hidden="false" customHeight="false" outlineLevel="0" collapsed="false">
      <c r="A17564" s="3" t="s">
        <v>314</v>
      </c>
      <c r="G17564" s="25" t="n">
        <f aca="false">MIN(G17558,Assumptions!$L$57*Assumptions!$C$57)</f>
        <v>0</v>
      </c>
      <c r="H17564" s="25" t="n">
        <f aca="false">MIN(H17558,Assumptions!$L$57*Assumptions!$C$57)</f>
        <v>0</v>
      </c>
      <c r="I17564" s="25" t="n">
        <f aca="false">MIN(I17558,Assumptions!$L$57*Assumptions!$C$57)</f>
        <v>0</v>
      </c>
      <c r="J17564" s="25" t="n">
        <f aca="false">MIN(J17558,Assumptions!$L$57*Assumptions!$C$57)</f>
        <v>0</v>
      </c>
      <c r="K17564" s="25" t="n">
        <f aca="false">MIN(K17558,Assumptions!$L$57*Assumptions!$C$57)</f>
        <v>0</v>
      </c>
    </row>
    <row r="17565" customFormat="false" ht="15" hidden="false" customHeight="false" outlineLevel="0" collapsed="false">
      <c r="A17565" s="3" t="s">
        <v>315</v>
      </c>
      <c r="G17565" s="25" t="n">
        <f aca="false">IF(AND(Assumptions!$P$57=1,G17509&lt;Assumptions!$K$57),MIN(MAX(0,-G17606),MAX(0,Assumptions!$D$57-G17558)),0)</f>
        <v>0</v>
      </c>
      <c r="H17565" s="25" t="n">
        <f aca="false">IF(AND(Assumptions!$P$57=1,OR(H17509&lt;Assumptions!$K$57,G17693=1)),MIN(MAX(0,-H17606),MAX(0,Assumptions!$D$57-H17558)),0)</f>
        <v>0</v>
      </c>
      <c r="I17565" s="25" t="n">
        <f aca="false">IF(AND(Assumptions!$P$57=1,OR(I17509&lt;Assumptions!$K$57,H17693=1)),MIN(MAX(0,-I17606),MAX(0,Assumptions!$D$57-I17558)),0)</f>
        <v>0</v>
      </c>
      <c r="J17565" s="25" t="n">
        <f aca="false">IF(AND(Assumptions!$P$57=1,OR(J17509&lt;Assumptions!$K$57,I17693=1)),MIN(MAX(0,-J17606),MAX(0,Assumptions!$D$57-J17558)),0)</f>
        <v>0</v>
      </c>
      <c r="K17565" s="25" t="n">
        <f aca="false">IF(AND(Assumptions!$P$57=1,OR(K17509&lt;Assumptions!$K$57,J17693=1)),MIN(MAX(0,-K17606),MAX(0,Assumptions!$D$57-K17558)),0)</f>
        <v>0</v>
      </c>
    </row>
    <row r="17566" customFormat="false" ht="15" hidden="false" customHeight="false" outlineLevel="0" collapsed="false">
      <c r="A17566" s="3" t="s">
        <v>316</v>
      </c>
      <c r="G17566" s="25" t="n">
        <f aca="false">G17559*MIN(G17558-G17564+G17563,MAX(0,G17608-Assumptions!$C$12*G17543-G17553))</f>
        <v>0</v>
      </c>
      <c r="H17566" s="25" t="n">
        <f aca="false">H17559*MIN(H17558-H17564+H17563,MAX(0,H17608-Assumptions!$C$12*H17543-H17553))</f>
        <v>0</v>
      </c>
      <c r="I17566" s="25" t="n">
        <f aca="false">I17559*MIN(I17558-I17564+I17563,MAX(0,I17608-Assumptions!$C$12*I17543-I17553))</f>
        <v>276.706</v>
      </c>
      <c r="J17566" s="25" t="n">
        <f aca="false">J17559*MIN(J17558-J17564+J17563,MAX(0,J17608-Assumptions!$C$12*J17543-J17553))</f>
        <v>0</v>
      </c>
      <c r="K17566" s="25" t="n">
        <f aca="false">K17559*MIN(K17558-K17564+K17563,MAX(0,K17608-Assumptions!$C$12*K17543-K17553))</f>
        <v>0</v>
      </c>
    </row>
    <row r="17567" customFormat="false" ht="15" hidden="false" customHeight="false" outlineLevel="0" collapsed="false">
      <c r="A17567" s="3" t="s">
        <v>317</v>
      </c>
      <c r="G17567" s="25" t="n">
        <f aca="false">Assumptions!$N$57*MIN(G17558+G17565+G17563-G17564-G17566,MAX(0,G17612-G17554))</f>
        <v>0</v>
      </c>
      <c r="H17567" s="25" t="n">
        <f aca="false">Assumptions!$N$57*MIN(H17558+H17565+H17563-H17564-H17566,MAX(0,H17612-H17554))</f>
        <v>0</v>
      </c>
      <c r="I17567" s="25" t="n">
        <f aca="false">Assumptions!$N$57*MIN(I17558+I17565+I17563-I17564-I17566,MAX(0,I17612-I17554))</f>
        <v>0</v>
      </c>
      <c r="J17567" s="25" t="n">
        <f aca="false">Assumptions!$N$57*MIN(J17558+J17565+J17563-J17564-J17566,MAX(0,J17612-J17554))</f>
        <v>0</v>
      </c>
      <c r="K17567" s="25" t="n">
        <f aca="false">Assumptions!$N$57*MIN(K17558+K17565+K17563-K17564-K17566,MAX(0,K17612-K17554))</f>
        <v>0</v>
      </c>
    </row>
    <row r="17568" customFormat="false" ht="15" hidden="false" customHeight="false" outlineLevel="0" collapsed="false">
      <c r="A17568" s="3" t="s">
        <v>318</v>
      </c>
      <c r="G17568" s="25" t="n">
        <f aca="false">G17559*(1-G17543)*(G17558-G17564+G17563-G17566)</f>
        <v>0</v>
      </c>
      <c r="H17568" s="25" t="n">
        <f aca="false">H17559*(1-H17543)*(H17558-H17564+H17563-H17566)</f>
        <v>0</v>
      </c>
      <c r="I17568" s="25" t="n">
        <f aca="false">I17559*(1-I17543)*(I17558-I17564+I17563-I17566)</f>
        <v>0</v>
      </c>
      <c r="J17568" s="25" t="n">
        <f aca="false">J17559*(1-J17543)*(J17558-J17564+J17563-J17566)</f>
        <v>0</v>
      </c>
      <c r="K17568" s="25" t="n">
        <f aca="false">K17559*(1-K17543)*(K17558-K17564+K17563-K17566)</f>
        <v>0</v>
      </c>
    </row>
    <row r="17569" customFormat="false" ht="15" hidden="false" customHeight="false" outlineLevel="0" collapsed="false">
      <c r="A17569" s="2" t="s">
        <v>319</v>
      </c>
      <c r="F17569" s="28" t="n">
        <f aca="false">Assumptions!$C$57</f>
        <v>276.706</v>
      </c>
      <c r="G17569" s="16" t="n">
        <f aca="false">G17558+G17565+G17563-G17564-G17566-G17567</f>
        <v>276.706</v>
      </c>
      <c r="H17569" s="16" t="n">
        <f aca="false">H17558+H17565+H17563-H17564-H17566-H17567</f>
        <v>276.706</v>
      </c>
      <c r="I17569" s="16" t="n">
        <f aca="false">I17558+I17565+I17563-I17564-I17566-I17567</f>
        <v>0</v>
      </c>
      <c r="J17569" s="16" t="n">
        <f aca="false">J17558+J17565+J17563-J17564-J17566-J17567</f>
        <v>0</v>
      </c>
      <c r="K17569" s="16" t="n">
        <f aca="false">K17558+K17565+K17563-K17564-K17566-K17567</f>
        <v>0</v>
      </c>
    </row>
    <row r="17570" customFormat="false" ht="15" hidden="false" customHeight="false" outlineLevel="0" collapsed="false">
      <c r="A17570" s="23" t="s">
        <v>321</v>
      </c>
      <c r="B17570" s="24"/>
      <c r="C17570" s="24"/>
      <c r="D17570" s="24"/>
      <c r="E17570" s="24"/>
      <c r="F17570" s="24"/>
      <c r="G17570" s="24"/>
      <c r="H17570" s="24"/>
      <c r="I17570" s="24"/>
      <c r="J17570" s="24"/>
      <c r="K17570" s="24"/>
    </row>
    <row r="17571" customFormat="false" ht="15" hidden="false" customHeight="false" outlineLevel="0" collapsed="false">
      <c r="A17571" s="3" t="s">
        <v>309</v>
      </c>
      <c r="G17571" s="25" t="n">
        <f aca="false">F17582</f>
        <v>143.75</v>
      </c>
      <c r="H17571" s="25" t="n">
        <f aca="false">G17582</f>
        <v>143.75</v>
      </c>
      <c r="I17571" s="25" t="n">
        <f aca="false">H17582</f>
        <v>143.75</v>
      </c>
      <c r="J17571" s="25" t="n">
        <f aca="false">I17582</f>
        <v>0</v>
      </c>
      <c r="K17571" s="25" t="n">
        <f aca="false">J17582</f>
        <v>0</v>
      </c>
    </row>
    <row r="17572" customFormat="false" ht="15" hidden="false" customHeight="false" outlineLevel="0" collapsed="false">
      <c r="A17572" s="3" t="s">
        <v>310</v>
      </c>
      <c r="G17572" s="20" t="n">
        <f aca="false">IF(G17509=Assumptions!$K$58,1,0)</f>
        <v>0</v>
      </c>
      <c r="H17572" s="20" t="n">
        <f aca="false">IF(H17509=Assumptions!$K$58,1,0)</f>
        <v>0</v>
      </c>
      <c r="I17572" s="20" t="n">
        <f aca="false">IF(I17509=Assumptions!$K$58,1,0)</f>
        <v>1</v>
      </c>
      <c r="J17572" s="20" t="n">
        <f aca="false">IF(J17509=Assumptions!$K$58,1,0)</f>
        <v>0</v>
      </c>
      <c r="K17572" s="20" t="n">
        <f aca="false">IF(K17509=Assumptions!$K$58,1,0)</f>
        <v>0</v>
      </c>
    </row>
    <row r="17574" customFormat="false" ht="15" hidden="false" customHeight="false" outlineLevel="0" collapsed="false">
      <c r="A17574" s="3" t="s">
        <v>311</v>
      </c>
      <c r="G17574" s="31" t="n">
        <f aca="false">IF(Assumptions!$I$58=1,MAX(G17535,Assumptions!$G$58)+Assumptions!$F$58+$C$17536,Assumptions!$E$58)</f>
        <v>0.0425</v>
      </c>
      <c r="H17574" s="31" t="n">
        <f aca="false">IF(G17694=1,$C$17537,IF(Assumptions!$I$58=1,MAX(H17535,Assumptions!$G$58)+Assumptions!$F$58+$C$17536,Assumptions!$E$58))</f>
        <v>0.0425</v>
      </c>
      <c r="I17574" s="31" t="n">
        <f aca="false">IF(H17694=1,$C$17537,IF(Assumptions!$I$58=1,MAX(I17535,Assumptions!$G$58)+Assumptions!$F$58+$C$17536,Assumptions!$E$58))</f>
        <v>0.0425</v>
      </c>
      <c r="J17574" s="31" t="n">
        <f aca="false">IF(I17694=1,$C$17537,IF(Assumptions!$I$58=1,MAX(J17535,Assumptions!$G$58)+Assumptions!$F$58+$C$17536,Assumptions!$E$58))</f>
        <v>0.0425</v>
      </c>
      <c r="K17574" s="31" t="n">
        <f aca="false">IF(J17694=1,$C$17537,IF(Assumptions!$I$58=1,MAX(K17535,Assumptions!$G$58)+Assumptions!$F$58+$C$17536,Assumptions!$E$58))</f>
        <v>0.0425</v>
      </c>
    </row>
    <row r="17575" customFormat="false" ht="15" hidden="false" customHeight="false" outlineLevel="0" collapsed="false">
      <c r="A17575" s="3" t="s">
        <v>312</v>
      </c>
      <c r="G17575" s="25" t="n">
        <f aca="false">G17571*G17574</f>
        <v>6.109375</v>
      </c>
      <c r="H17575" s="25" t="n">
        <f aca="false">H17571*H17574</f>
        <v>6.109375</v>
      </c>
      <c r="I17575" s="25" t="n">
        <f aca="false">I17571*I17574</f>
        <v>6.109375</v>
      </c>
      <c r="J17575" s="25" t="n">
        <f aca="false">J17571*J17574</f>
        <v>0</v>
      </c>
      <c r="K17575" s="25" t="n">
        <f aca="false">K17571*K17574</f>
        <v>0</v>
      </c>
    </row>
    <row r="17576" customFormat="false" ht="15" hidden="false" customHeight="false" outlineLevel="0" collapsed="false">
      <c r="A17576" s="3" t="s">
        <v>313</v>
      </c>
      <c r="G17576" s="25" t="n">
        <f aca="false">G17571*Assumptions!$H$58</f>
        <v>0</v>
      </c>
      <c r="H17576" s="25" t="n">
        <f aca="false">H17571*Assumptions!$H$58</f>
        <v>0</v>
      </c>
      <c r="I17576" s="25" t="n">
        <f aca="false">I17571*Assumptions!$H$58</f>
        <v>0</v>
      </c>
      <c r="J17576" s="25" t="n">
        <f aca="false">J17571*Assumptions!$H$58</f>
        <v>0</v>
      </c>
      <c r="K17576" s="25" t="n">
        <f aca="false">K17571*Assumptions!$H$58</f>
        <v>0</v>
      </c>
    </row>
    <row r="17577" customFormat="false" ht="15" hidden="false" customHeight="false" outlineLevel="0" collapsed="false">
      <c r="A17577" s="3" t="s">
        <v>314</v>
      </c>
      <c r="G17577" s="25" t="n">
        <f aca="false">MIN(G17571,Assumptions!$L$58*Assumptions!$C$58)</f>
        <v>0</v>
      </c>
      <c r="H17577" s="25" t="n">
        <f aca="false">MIN(H17571,Assumptions!$L$58*Assumptions!$C$58)</f>
        <v>0</v>
      </c>
      <c r="I17577" s="25" t="n">
        <f aca="false">MIN(I17571,Assumptions!$L$58*Assumptions!$C$58)</f>
        <v>0</v>
      </c>
      <c r="J17577" s="25" t="n">
        <f aca="false">MIN(J17571,Assumptions!$L$58*Assumptions!$C$58)</f>
        <v>0</v>
      </c>
      <c r="K17577" s="25" t="n">
        <f aca="false">MIN(K17571,Assumptions!$L$58*Assumptions!$C$58)</f>
        <v>0</v>
      </c>
    </row>
    <row r="17578" customFormat="false" ht="15" hidden="false" customHeight="false" outlineLevel="0" collapsed="false">
      <c r="A17578" s="3" t="s">
        <v>315</v>
      </c>
      <c r="G17578" s="25" t="n">
        <f aca="false">IF(AND(Assumptions!$P$58=1,G17509&lt;Assumptions!$K$58),MIN(MAX(0,-G17606),MAX(0,Assumptions!$D$58-G17571)),0)</f>
        <v>0</v>
      </c>
      <c r="H17578" s="25" t="n">
        <f aca="false">IF(AND(Assumptions!$P$58=1,OR(H17509&lt;Assumptions!$K$58,G17694=1)),MIN(MAX(0,-H17606),MAX(0,Assumptions!$D$58-H17571)),0)</f>
        <v>0</v>
      </c>
      <c r="I17578" s="25" t="n">
        <f aca="false">IF(AND(Assumptions!$P$58=1,OR(I17509&lt;Assumptions!$K$58,H17694=1)),MIN(MAX(0,-I17606),MAX(0,Assumptions!$D$58-I17571)),0)</f>
        <v>0</v>
      </c>
      <c r="J17578" s="25" t="n">
        <f aca="false">IF(AND(Assumptions!$P$58=1,OR(J17509&lt;Assumptions!$K$58,I17694=1)),MIN(MAX(0,-J17606),MAX(0,Assumptions!$D$58-J17571)),0)</f>
        <v>0</v>
      </c>
      <c r="K17578" s="25" t="n">
        <f aca="false">IF(AND(Assumptions!$P$58=1,OR(K17509&lt;Assumptions!$K$58,J17694=1)),MIN(MAX(0,-K17606),MAX(0,Assumptions!$D$58-K17571)),0)</f>
        <v>0</v>
      </c>
    </row>
    <row r="17579" customFormat="false" ht="15" hidden="false" customHeight="false" outlineLevel="0" collapsed="false">
      <c r="A17579" s="3" t="s">
        <v>316</v>
      </c>
      <c r="G17579" s="25" t="n">
        <f aca="false">G17572*MIN(G17571-G17577+G17576,MAX(0,G17608-Assumptions!$C$12*G17543-G17553-G17566))</f>
        <v>0</v>
      </c>
      <c r="H17579" s="25" t="n">
        <f aca="false">H17572*MIN(H17571-H17577+H17576,MAX(0,H17608-Assumptions!$C$12*H17543-H17553-H17566))</f>
        <v>0</v>
      </c>
      <c r="I17579" s="25" t="n">
        <f aca="false">I17572*MIN(I17571-I17577+I17576,MAX(0,I17608-Assumptions!$C$12*I17543-I17553-I17566))</f>
        <v>143.75</v>
      </c>
      <c r="J17579" s="25" t="n">
        <f aca="false">J17572*MIN(J17571-J17577+J17576,MAX(0,J17608-Assumptions!$C$12*J17543-J17553-J17566))</f>
        <v>0</v>
      </c>
      <c r="K17579" s="25" t="n">
        <f aca="false">K17572*MIN(K17571-K17577+K17576,MAX(0,K17608-Assumptions!$C$12*K17543-K17553-K17566))</f>
        <v>0</v>
      </c>
    </row>
    <row r="17580" customFormat="false" ht="15" hidden="false" customHeight="false" outlineLevel="0" collapsed="false">
      <c r="A17580" s="3" t="s">
        <v>317</v>
      </c>
      <c r="G17580" s="25" t="n">
        <f aca="false">Assumptions!$N$58*MIN(G17571+G17578+G17576-G17577-G17579,MAX(0,G17612-G17554-G17567))</f>
        <v>0</v>
      </c>
      <c r="H17580" s="25" t="n">
        <f aca="false">Assumptions!$N$58*MIN(H17571+H17578+H17576-H17577-H17579,MAX(0,H17612-H17554-H17567))</f>
        <v>0</v>
      </c>
      <c r="I17580" s="25" t="n">
        <f aca="false">Assumptions!$N$58*MIN(I17571+I17578+I17576-I17577-I17579,MAX(0,I17612-I17554-I17567))</f>
        <v>0</v>
      </c>
      <c r="J17580" s="25" t="n">
        <f aca="false">Assumptions!$N$58*MIN(J17571+J17578+J17576-J17577-J17579,MAX(0,J17612-J17554-J17567))</f>
        <v>0</v>
      </c>
      <c r="K17580" s="25" t="n">
        <f aca="false">Assumptions!$N$58*MIN(K17571+K17578+K17576-K17577-K17579,MAX(0,K17612-K17554-K17567))</f>
        <v>0</v>
      </c>
    </row>
    <row r="17581" customFormat="false" ht="15" hidden="false" customHeight="false" outlineLevel="0" collapsed="false">
      <c r="A17581" s="3" t="s">
        <v>318</v>
      </c>
      <c r="G17581" s="25" t="n">
        <f aca="false">G17572*(1-G17543)*(G17571-G17577+G17576-G17579)</f>
        <v>0</v>
      </c>
      <c r="H17581" s="25" t="n">
        <f aca="false">H17572*(1-H17543)*(H17571-H17577+H17576-H17579)</f>
        <v>0</v>
      </c>
      <c r="I17581" s="25" t="n">
        <f aca="false">I17572*(1-I17543)*(I17571-I17577+I17576-I17579)</f>
        <v>0</v>
      </c>
      <c r="J17581" s="25" t="n">
        <f aca="false">J17572*(1-J17543)*(J17571-J17577+J17576-J17579)</f>
        <v>0</v>
      </c>
      <c r="K17581" s="25" t="n">
        <f aca="false">K17572*(1-K17543)*(K17571-K17577+K17576-K17579)</f>
        <v>0</v>
      </c>
    </row>
    <row r="17582" customFormat="false" ht="15" hidden="false" customHeight="false" outlineLevel="0" collapsed="false">
      <c r="A17582" s="2" t="s">
        <v>319</v>
      </c>
      <c r="F17582" s="28" t="n">
        <f aca="false">Assumptions!$C$58</f>
        <v>143.75</v>
      </c>
      <c r="G17582" s="16" t="n">
        <f aca="false">G17571+G17578+G17576-G17577-G17579-G17580</f>
        <v>143.75</v>
      </c>
      <c r="H17582" s="16" t="n">
        <f aca="false">H17571+H17578+H17576-H17577-H17579-H17580</f>
        <v>143.75</v>
      </c>
      <c r="I17582" s="16" t="n">
        <f aca="false">I17571+I17578+I17576-I17577-I17579-I17580</f>
        <v>0</v>
      </c>
      <c r="J17582" s="16" t="n">
        <f aca="false">J17571+J17578+J17576-J17577-J17579-J17580</f>
        <v>0</v>
      </c>
      <c r="K17582" s="16" t="n">
        <f aca="false">K17571+K17578+K17576-K17577-K17579-K17580</f>
        <v>0</v>
      </c>
    </row>
    <row r="17583" customFormat="false" ht="15" hidden="false" customHeight="false" outlineLevel="0" collapsed="false">
      <c r="A17583" s="23" t="s">
        <v>322</v>
      </c>
      <c r="B17583" s="24"/>
      <c r="C17583" s="24"/>
      <c r="D17583" s="24"/>
      <c r="E17583" s="24"/>
      <c r="F17583" s="24"/>
      <c r="G17583" s="24"/>
      <c r="H17583" s="24"/>
      <c r="I17583" s="24"/>
      <c r="J17583" s="24"/>
      <c r="K17583" s="24"/>
    </row>
    <row r="17584" customFormat="false" ht="15" hidden="false" customHeight="false" outlineLevel="0" collapsed="false">
      <c r="A17584" s="2" t="s">
        <v>323</v>
      </c>
      <c r="F17584" s="16" t="n">
        <f aca="false">F17556+F17569+F17582</f>
        <v>1735.554</v>
      </c>
      <c r="G17584" s="16" t="n">
        <f aca="false">G17556+G17569+G17582</f>
        <v>1735.554</v>
      </c>
      <c r="H17584" s="16" t="n">
        <f aca="false">H17556+H17569+H17582</f>
        <v>1735.554</v>
      </c>
      <c r="I17584" s="16" t="n">
        <f aca="false">I17556+I17569+I17582</f>
        <v>1315.098</v>
      </c>
      <c r="J17584" s="16" t="n">
        <f aca="false">J17556+J17569+J17582</f>
        <v>1315.098</v>
      </c>
      <c r="K17584" s="16" t="n">
        <f aca="false">K17556+K17569+K17582</f>
        <v>1315.098</v>
      </c>
    </row>
    <row r="17585" customFormat="false" ht="15" hidden="false" customHeight="false" outlineLevel="0" collapsed="false">
      <c r="A17585" s="3" t="s">
        <v>324</v>
      </c>
      <c r="G17585" s="25" t="n">
        <f aca="false">G17546*Assumptions!$C$56+G17559*Assumptions!$C$57+G17572*Assumptions!$C$58</f>
        <v>0</v>
      </c>
      <c r="H17585" s="25" t="n">
        <f aca="false">H17546*Assumptions!$C$56+H17559*Assumptions!$C$57+H17572*Assumptions!$C$58</f>
        <v>0</v>
      </c>
      <c r="I17585" s="25" t="n">
        <f aca="false">I17546*Assumptions!$C$56+I17559*Assumptions!$C$57+I17572*Assumptions!$C$58</f>
        <v>420.456</v>
      </c>
      <c r="J17585" s="25" t="n">
        <f aca="false">J17546*Assumptions!$C$56+J17559*Assumptions!$C$57+J17572*Assumptions!$C$58</f>
        <v>0</v>
      </c>
      <c r="K17585" s="25" t="n">
        <f aca="false">K17546*Assumptions!$C$56+K17559*Assumptions!$C$57+K17572*Assumptions!$C$58</f>
        <v>0</v>
      </c>
    </row>
    <row r="17586" customFormat="false" ht="15" hidden="false" customHeight="false" outlineLevel="0" collapsed="false">
      <c r="A17586" s="23" t="s">
        <v>325</v>
      </c>
      <c r="B17586" s="24"/>
      <c r="C17586" s="24"/>
      <c r="D17586" s="24"/>
      <c r="E17586" s="24"/>
      <c r="F17586" s="24"/>
      <c r="G17586" s="24"/>
      <c r="H17586" s="24"/>
      <c r="I17586" s="24"/>
      <c r="J17586" s="24"/>
      <c r="K17586" s="24"/>
    </row>
    <row r="17587" customFormat="false" ht="15" hidden="false" customHeight="false" outlineLevel="0" collapsed="false">
      <c r="A17587" s="3" t="s">
        <v>326</v>
      </c>
      <c r="C17587" s="25" t="n">
        <f aca="false">SUMPRODUCT($G$17546:$K$17546,$G$17545:$K$17545-$G$17551:$K$17551+$G$17550:$K$17550)</f>
        <v>0</v>
      </c>
    </row>
    <row r="17588" customFormat="false" ht="15" hidden="false" customHeight="false" outlineLevel="0" collapsed="false">
      <c r="A17588" s="3" t="s">
        <v>327</v>
      </c>
      <c r="C17588" s="25" t="n">
        <f aca="false">SUMPRODUCT($G$17546:$K$17546,$G$17553:$K$17553)</f>
        <v>0</v>
      </c>
    </row>
    <row r="17589" customFormat="false" ht="15" hidden="false" customHeight="false" outlineLevel="0" collapsed="false">
      <c r="A17589" s="3" t="s">
        <v>328</v>
      </c>
      <c r="C17589" s="3" t="str">
        <f aca="false">IF(SUM($G$17546:$K$17546)=0,"n/a (beyond horizon)",IF(SUMPRODUCT($G$17546:$K$17546,$G$17543:$K$17543)&gt;0,"REFINANCING PASS","REFINANCING FAILURE"))</f>
        <v>n/a (beyond horizon)</v>
      </c>
    </row>
    <row r="17590" customFormat="false" ht="15" hidden="false" customHeight="false" outlineLevel="0" collapsed="false">
      <c r="A17590" s="3" t="s">
        <v>329</v>
      </c>
      <c r="C17590" s="3" t="str">
        <f aca="false">IF(SUM($G$17546:$K$17546)=0,"n/a",IF(C17588&gt;=C17587-0.001,"Repaid from cash",IF(SUMPRODUCT($G$17546:$K$17546,$G$17543:$K$17543)&gt;0,IF(C17588&gt;0,"Partly repaid; remainder refinanced","Refinanced"),IF(SUM($G$17555:$K$17555)&gt;0.001,IF(C17588&gt;0,"Partial repayment; PAYMENT DEFAULT","PAYMENT DEFAULT"),"Repaid from cash"))))</f>
        <v>n/a</v>
      </c>
    </row>
    <row r="17591" customFormat="false" ht="15" hidden="false" customHeight="false" outlineLevel="0" collapsed="false">
      <c r="A17591" s="3" t="s">
        <v>330</v>
      </c>
      <c r="C17591" s="25" t="n">
        <f aca="false">SUMPRODUCT($G$17559:$K$17559,$G$17558:$K$17558-$G$17564:$K$17564+$G$17563:$K$17563)</f>
        <v>276.706</v>
      </c>
    </row>
    <row r="17592" customFormat="false" ht="15" hidden="false" customHeight="false" outlineLevel="0" collapsed="false">
      <c r="A17592" s="3" t="s">
        <v>331</v>
      </c>
      <c r="C17592" s="25" t="n">
        <f aca="false">SUMPRODUCT($G$17559:$K$17559,$G$17566:$K$17566)</f>
        <v>276.706</v>
      </c>
    </row>
    <row r="17593" customFormat="false" ht="15" hidden="false" customHeight="false" outlineLevel="0" collapsed="false">
      <c r="A17593" s="3" t="s">
        <v>332</v>
      </c>
      <c r="C17593" s="3" t="str">
        <f aca="false">IF(SUM($G$17559:$K$17559)=0,"n/a (beyond horizon)",IF(SUMPRODUCT($G$17559:$K$17559,$G$17543:$K$17543)&gt;0,"REFINANCING PASS","REFINANCING FAILURE"))</f>
        <v>REFINANCING FAILURE</v>
      </c>
    </row>
    <row r="17594" customFormat="false" ht="15" hidden="false" customHeight="false" outlineLevel="0" collapsed="false">
      <c r="A17594" s="3" t="s">
        <v>333</v>
      </c>
      <c r="C17594" s="3" t="str">
        <f aca="false">IF(SUM($G$17559:$K$17559)=0,"n/a",IF(C17592&gt;=C17591-0.001,"Repaid from cash",IF(SUMPRODUCT($G$17559:$K$17559,$G$17543:$K$17543)&gt;0,IF(C17592&gt;0,"Partly repaid; remainder refinanced","Refinanced"),IF(SUM($G$17568:$K$17568)&gt;0.001,IF(C17592&gt;0,"Partial repayment; PAYMENT DEFAULT","PAYMENT DEFAULT"),"Repaid from cash"))))</f>
        <v>Repaid from cash</v>
      </c>
    </row>
    <row r="17595" customFormat="false" ht="15" hidden="false" customHeight="false" outlineLevel="0" collapsed="false">
      <c r="A17595" s="3" t="s">
        <v>334</v>
      </c>
      <c r="C17595" s="25" t="n">
        <f aca="false">SUMPRODUCT($G$17572:$K$17572,$G$17571:$K$17571-$G$17577:$K$17577+$G$17576:$K$17576)</f>
        <v>143.75</v>
      </c>
    </row>
    <row r="17596" customFormat="false" ht="15" hidden="false" customHeight="false" outlineLevel="0" collapsed="false">
      <c r="A17596" s="3" t="s">
        <v>335</v>
      </c>
      <c r="C17596" s="25" t="n">
        <f aca="false">SUMPRODUCT($G$17572:$K$17572,$G$17579:$K$17579)</f>
        <v>143.75</v>
      </c>
    </row>
    <row r="17597" customFormat="false" ht="15" hidden="false" customHeight="false" outlineLevel="0" collapsed="false">
      <c r="A17597" s="3" t="s">
        <v>336</v>
      </c>
      <c r="C17597" s="3" t="str">
        <f aca="false">IF(SUM($G$17572:$K$17572)=0,"n/a (beyond horizon)",IF(SUMPRODUCT($G$17572:$K$17572,$G$17543:$K$17543)&gt;0,"REFINANCING PASS","REFINANCING FAILURE"))</f>
        <v>REFINANCING FAILURE</v>
      </c>
    </row>
    <row r="17598" customFormat="false" ht="15" hidden="false" customHeight="false" outlineLevel="0" collapsed="false">
      <c r="A17598" s="3" t="s">
        <v>337</v>
      </c>
      <c r="C17598" s="3" t="str">
        <f aca="false">IF(SUM($G$17572:$K$17572)=0,"n/a",IF(C17596&gt;=C17595-0.001,"Repaid from cash",IF(SUMPRODUCT($G$17572:$K$17572,$G$17543:$K$17543)&gt;0,IF(C17596&gt;0,"Partly repaid; remainder refinanced","Refinanced"),IF(SUM($G$17581:$K$17581)&gt;0.001,IF(C17596&gt;0,"Partial repayment; PAYMENT DEFAULT","PAYMENT DEFAULT"),"Repaid from cash"))))</f>
        <v>Repaid from cash</v>
      </c>
    </row>
    <row r="17599" customFormat="false" ht="15" hidden="false" customHeight="false" outlineLevel="0" collapsed="false">
      <c r="A17599" s="3" t="s">
        <v>338</v>
      </c>
      <c r="C17599" s="20" t="n">
        <f aca="false">IF(C17589="REFINANCING FAILURE",1,0)+IF(C17593="REFINANCING FAILURE",1,0)+IF(C17597="REFINANCING FAILURE",1,0)</f>
        <v>2</v>
      </c>
    </row>
    <row r="17601" customFormat="false" ht="15" hidden="false" customHeight="false" outlineLevel="0" collapsed="false">
      <c r="A17601" s="23" t="s">
        <v>340</v>
      </c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</row>
    <row r="17602" customFormat="false" ht="15" hidden="false" customHeight="false" outlineLevel="0" collapsed="false">
      <c r="A17602" s="3" t="s">
        <v>305</v>
      </c>
      <c r="G17602" s="25" t="n">
        <f aca="false">F17614</f>
        <v>463.996</v>
      </c>
      <c r="H17602" s="25" t="n">
        <f aca="false">G17614</f>
        <v>518.82154744</v>
      </c>
      <c r="I17602" s="25" t="n">
        <f aca="false">H17614</f>
        <v>539.6742833632</v>
      </c>
      <c r="J17602" s="25" t="n">
        <f aca="false">I17614</f>
        <v>120.430022671888</v>
      </c>
      <c r="K17602" s="25" t="n">
        <f aca="false">J17614</f>
        <v>123.071896868977</v>
      </c>
    </row>
    <row r="17603" customFormat="false" ht="15" hidden="false" customHeight="false" outlineLevel="0" collapsed="false">
      <c r="A17603" s="3" t="s">
        <v>341</v>
      </c>
      <c r="G17603" s="25" t="n">
        <f aca="false">G17532</f>
        <v>54.8255474399999</v>
      </c>
      <c r="H17603" s="25" t="n">
        <f aca="false">H17532</f>
        <v>20.8527359232</v>
      </c>
      <c r="I17603" s="25" t="n">
        <f aca="false">I17532</f>
        <v>1.21173930868796</v>
      </c>
      <c r="J17603" s="25" t="n">
        <f aca="false">J17532</f>
        <v>2.6418741970896</v>
      </c>
      <c r="K17603" s="25" t="n">
        <f aca="false">K17532</f>
        <v>-4.39448401276491</v>
      </c>
    </row>
    <row r="17604" customFormat="false" ht="15" hidden="false" customHeight="false" outlineLevel="0" collapsed="false">
      <c r="A17604" s="3" t="s">
        <v>342</v>
      </c>
      <c r="G17604" s="25" t="n">
        <f aca="false">CHOOSE($C$17502,Assumptions!$G$74,Assumptions!$G$93,Assumptions!$G$112)</f>
        <v>0</v>
      </c>
      <c r="H17604" s="25" t="n">
        <f aca="false">CHOOSE($C$17502,Assumptions!$H$74,Assumptions!$H$93,Assumptions!$H$112)</f>
        <v>0</v>
      </c>
      <c r="I17604" s="25" t="n">
        <f aca="false">CHOOSE($C$17502,Assumptions!$I$74,Assumptions!$I$93,Assumptions!$I$112)</f>
        <v>0</v>
      </c>
      <c r="J17604" s="25" t="n">
        <f aca="false">CHOOSE($C$17502,Assumptions!$J$74,Assumptions!$J$93,Assumptions!$J$112)</f>
        <v>0</v>
      </c>
      <c r="K17604" s="25" t="n">
        <f aca="false">CHOOSE($C$17502,Assumptions!$K$74,Assumptions!$K$93,Assumptions!$K$112)</f>
        <v>0</v>
      </c>
    </row>
    <row r="17605" customFormat="false" ht="15" hidden="false" customHeight="false" outlineLevel="0" collapsed="false">
      <c r="A17605" s="3" t="s">
        <v>343</v>
      </c>
      <c r="G17605" s="25" t="n">
        <f aca="false">G17551+G17564+G17577</f>
        <v>0</v>
      </c>
      <c r="H17605" s="25" t="n">
        <f aca="false">H17551+H17564+H17577</f>
        <v>0</v>
      </c>
      <c r="I17605" s="25" t="n">
        <f aca="false">I17551+I17564+I17577</f>
        <v>0</v>
      </c>
      <c r="J17605" s="25" t="n">
        <f aca="false">J17551+J17564+J17577</f>
        <v>0</v>
      </c>
      <c r="K17605" s="25" t="n">
        <f aca="false">K17551+K17564+K17577</f>
        <v>0</v>
      </c>
    </row>
    <row r="17606" customFormat="false" ht="15" hidden="false" customHeight="false" outlineLevel="0" collapsed="false">
      <c r="A17606" s="2" t="s">
        <v>344</v>
      </c>
      <c r="G17606" s="16" t="n">
        <f aca="false">G17602+G17603+G17604-G17605</f>
        <v>518.82154744</v>
      </c>
      <c r="H17606" s="16" t="n">
        <f aca="false">H17602+H17603+H17604-H17605</f>
        <v>539.6742833632</v>
      </c>
      <c r="I17606" s="16" t="n">
        <f aca="false">I17602+I17603+I17604-I17605</f>
        <v>540.886022671888</v>
      </c>
      <c r="J17606" s="16" t="n">
        <f aca="false">J17602+J17603+J17604-J17605</f>
        <v>123.071896868977</v>
      </c>
      <c r="K17606" s="16" t="n">
        <f aca="false">K17602+K17603+K17604-K17605</f>
        <v>118.677412856212</v>
      </c>
    </row>
    <row r="17607" customFormat="false" ht="15" hidden="false" customHeight="false" outlineLevel="0" collapsed="false">
      <c r="A17607" s="3" t="s">
        <v>345</v>
      </c>
      <c r="G17607" s="25" t="n">
        <f aca="false">G17552+G17565+G17578</f>
        <v>0</v>
      </c>
      <c r="H17607" s="25" t="n">
        <f aca="false">H17552+H17565+H17578</f>
        <v>0</v>
      </c>
      <c r="I17607" s="25" t="n">
        <f aca="false">I17552+I17565+I17578</f>
        <v>0</v>
      </c>
      <c r="J17607" s="25" t="n">
        <f aca="false">J17552+J17565+J17578</f>
        <v>0</v>
      </c>
      <c r="K17607" s="25" t="n">
        <f aca="false">K17552+K17565+K17578</f>
        <v>0</v>
      </c>
    </row>
    <row r="17608" customFormat="false" ht="15" hidden="false" customHeight="false" outlineLevel="0" collapsed="false">
      <c r="A17608" s="2" t="s">
        <v>346</v>
      </c>
      <c r="G17608" s="16" t="n">
        <f aca="false">G17606+G17607</f>
        <v>518.82154744</v>
      </c>
      <c r="H17608" s="16" t="n">
        <f aca="false">H17606+H17607</f>
        <v>539.6742833632</v>
      </c>
      <c r="I17608" s="16" t="n">
        <f aca="false">I17606+I17607</f>
        <v>540.886022671888</v>
      </c>
      <c r="J17608" s="16" t="n">
        <f aca="false">J17606+J17607</f>
        <v>123.071896868977</v>
      </c>
      <c r="K17608" s="16" t="n">
        <f aca="false">K17606+K17607</f>
        <v>118.677412856212</v>
      </c>
    </row>
    <row r="17609" customFormat="false" ht="15" hidden="false" customHeight="false" outlineLevel="0" collapsed="false">
      <c r="A17609" s="3" t="s">
        <v>347</v>
      </c>
      <c r="G17609" s="25" t="n">
        <f aca="false">G17553+G17566+G17579</f>
        <v>0</v>
      </c>
      <c r="H17609" s="25" t="n">
        <f aca="false">H17553+H17566+H17579</f>
        <v>0</v>
      </c>
      <c r="I17609" s="25" t="n">
        <f aca="false">I17553+I17566+I17579</f>
        <v>420.456</v>
      </c>
      <c r="J17609" s="25" t="n">
        <f aca="false">J17553+J17566+J17579</f>
        <v>0</v>
      </c>
      <c r="K17609" s="25" t="n">
        <f aca="false">K17553+K17566+K17579</f>
        <v>0</v>
      </c>
    </row>
    <row r="17610" customFormat="false" ht="15" hidden="false" customHeight="false" outlineLevel="0" collapsed="false">
      <c r="A17610" s="2" t="s">
        <v>348</v>
      </c>
      <c r="G17610" s="16" t="n">
        <f aca="false">G17608-G17609</f>
        <v>518.82154744</v>
      </c>
      <c r="H17610" s="16" t="n">
        <f aca="false">H17608-H17609</f>
        <v>539.6742833632</v>
      </c>
      <c r="I17610" s="16" t="n">
        <f aca="false">I17608-I17609</f>
        <v>120.430022671888</v>
      </c>
      <c r="J17610" s="16" t="n">
        <f aca="false">J17608-J17609</f>
        <v>123.071896868977</v>
      </c>
      <c r="K17610" s="16" t="n">
        <f aca="false">K17608-K17609</f>
        <v>118.677412856212</v>
      </c>
    </row>
    <row r="17611" customFormat="false" ht="15" hidden="false" customHeight="false" outlineLevel="0" collapsed="false">
      <c r="A17611" s="3" t="s">
        <v>349</v>
      </c>
      <c r="G17611" s="25" t="n">
        <f aca="false">MAX(0,-G17610)</f>
        <v>0</v>
      </c>
      <c r="H17611" s="25" t="n">
        <f aca="false">MAX(0,-H17610)</f>
        <v>0</v>
      </c>
      <c r="I17611" s="25" t="n">
        <f aca="false">MAX(0,-I17610)</f>
        <v>0</v>
      </c>
      <c r="J17611" s="25" t="n">
        <f aca="false">MAX(0,-J17610)</f>
        <v>0</v>
      </c>
      <c r="K17611" s="25" t="n">
        <f aca="false">MAX(0,-K17610)</f>
        <v>0</v>
      </c>
    </row>
    <row r="17612" customFormat="false" ht="15" hidden="false" customHeight="false" outlineLevel="0" collapsed="false">
      <c r="A17612" s="3" t="s">
        <v>350</v>
      </c>
      <c r="G17612" s="25" t="n">
        <f aca="false">MAX(0,G17610-Assumptions!$C$12)*Assumptions!$C$13</f>
        <v>0</v>
      </c>
      <c r="H17612" s="25" t="n">
        <f aca="false">MAX(0,H17610-Assumptions!$C$12)*Assumptions!$C$13</f>
        <v>0</v>
      </c>
      <c r="I17612" s="25" t="n">
        <f aca="false">MAX(0,I17610-Assumptions!$C$12)*Assumptions!$C$13</f>
        <v>0</v>
      </c>
      <c r="J17612" s="25" t="n">
        <f aca="false">MAX(0,J17610-Assumptions!$C$12)*Assumptions!$C$13</f>
        <v>0</v>
      </c>
      <c r="K17612" s="25" t="n">
        <f aca="false">MAX(0,K17610-Assumptions!$C$12)*Assumptions!$C$13</f>
        <v>0</v>
      </c>
    </row>
    <row r="17613" customFormat="false" ht="15" hidden="false" customHeight="false" outlineLevel="0" collapsed="false">
      <c r="A17613" s="3" t="s">
        <v>351</v>
      </c>
      <c r="G17613" s="25" t="n">
        <f aca="false">G17554+G17567+G17580</f>
        <v>0</v>
      </c>
      <c r="H17613" s="25" t="n">
        <f aca="false">H17554+H17567+H17580</f>
        <v>0</v>
      </c>
      <c r="I17613" s="25" t="n">
        <f aca="false">I17554+I17567+I17580</f>
        <v>0</v>
      </c>
      <c r="J17613" s="25" t="n">
        <f aca="false">J17554+J17567+J17580</f>
        <v>0</v>
      </c>
      <c r="K17613" s="25" t="n">
        <f aca="false">K17554+K17567+K17580</f>
        <v>0</v>
      </c>
    </row>
    <row r="17614" customFormat="false" ht="15" hidden="false" customHeight="false" outlineLevel="0" collapsed="false">
      <c r="A17614" s="2" t="s">
        <v>352</v>
      </c>
      <c r="F17614" s="28" t="n">
        <f aca="false">Assumptions!$C$11</f>
        <v>463.996</v>
      </c>
      <c r="G17614" s="16" t="n">
        <f aca="false">G17610-G17613</f>
        <v>518.82154744</v>
      </c>
      <c r="H17614" s="16" t="n">
        <f aca="false">H17610-H17613</f>
        <v>539.6742833632</v>
      </c>
      <c r="I17614" s="16" t="n">
        <f aca="false">I17610-I17613</f>
        <v>120.430022671888</v>
      </c>
      <c r="J17614" s="16" t="n">
        <f aca="false">J17610-J17613</f>
        <v>123.071896868977</v>
      </c>
      <c r="K17614" s="16" t="n">
        <f aca="false">K17610-K17613</f>
        <v>118.677412856212</v>
      </c>
    </row>
    <row r="17615" customFormat="false" ht="15" hidden="false" customHeight="false" outlineLevel="0" collapsed="false">
      <c r="A17615" s="3" t="s">
        <v>353</v>
      </c>
      <c r="G17615" s="25" t="n">
        <f aca="false">G17555+G17568+G17581</f>
        <v>0</v>
      </c>
      <c r="H17615" s="25" t="n">
        <f aca="false">H17555+H17568+H17581</f>
        <v>0</v>
      </c>
      <c r="I17615" s="25" t="n">
        <f aca="false">I17555+I17568+I17581</f>
        <v>0</v>
      </c>
      <c r="J17615" s="25" t="n">
        <f aca="false">J17555+J17568+J17581</f>
        <v>0</v>
      </c>
      <c r="K17615" s="25" t="n">
        <f aca="false">K17555+K17568+K17581</f>
        <v>0</v>
      </c>
    </row>
    <row r="17616" customFormat="false" ht="15" hidden="false" customHeight="false" outlineLevel="0" collapsed="false">
      <c r="A17616" s="3" t="s">
        <v>354</v>
      </c>
      <c r="G17616" s="20" t="n">
        <f aca="false">IF(OR(G17611&gt;0.001,G17615&gt;0.001),1,0)</f>
        <v>0</v>
      </c>
      <c r="H17616" s="20" t="n">
        <f aca="false">IF(OR(H17611&gt;0.001,H17615&gt;0.001),1,0)</f>
        <v>0</v>
      </c>
      <c r="I17616" s="20" t="n">
        <f aca="false">IF(OR(I17611&gt;0.001,I17615&gt;0.001),1,0)</f>
        <v>0</v>
      </c>
      <c r="J17616" s="20" t="n">
        <f aca="false">IF(OR(J17611&gt;0.001,J17615&gt;0.001),1,0)</f>
        <v>0</v>
      </c>
      <c r="K17616" s="20" t="n">
        <f aca="false">IF(OR(K17611&gt;0.001,K17615&gt;0.001),1,0)</f>
        <v>0</v>
      </c>
    </row>
    <row r="17617" customFormat="false" ht="15" hidden="false" customHeight="false" outlineLevel="0" collapsed="false">
      <c r="A17617" s="3" t="s">
        <v>355</v>
      </c>
      <c r="G17617" s="20" t="n">
        <f aca="false">IF(G17616=1,1,0)</f>
        <v>0</v>
      </c>
      <c r="H17617" s="20" t="n">
        <f aca="false">IF(AND(H17616=1,SUM($G$17616:G17616)=0),1,0)</f>
        <v>0</v>
      </c>
      <c r="I17617" s="20" t="n">
        <f aca="false">IF(AND(I17616=1,SUM($G$17616:H17616)=0),1,0)</f>
        <v>0</v>
      </c>
      <c r="J17617" s="20" t="n">
        <f aca="false">IF(AND(J17616=1,SUM($G$17616:I17616)=0),1,0)</f>
        <v>0</v>
      </c>
      <c r="K17617" s="20" t="n">
        <f aca="false">IF(AND(K17616=1,SUM($G$17616:J17616)=0),1,0)</f>
        <v>0</v>
      </c>
    </row>
    <row r="17618" customFormat="false" ht="15" hidden="false" customHeight="false" outlineLevel="0" collapsed="false">
      <c r="A17618" s="3" t="s">
        <v>356</v>
      </c>
      <c r="G17618" s="25" t="n">
        <f aca="false">(G17584-F17584)-(G17607+G17524-G17605-G17609-G17613)</f>
        <v>0</v>
      </c>
      <c r="H17618" s="25" t="n">
        <f aca="false">(H17584-G17584)-(H17607+H17524-H17605-H17609-H17613)</f>
        <v>0</v>
      </c>
      <c r="I17618" s="25" t="n">
        <f aca="false">(I17584-H17584)-(I17607+I17524-I17605-I17609-I17613)</f>
        <v>0</v>
      </c>
      <c r="J17618" s="25" t="n">
        <f aca="false">(J17584-I17584)-(J17607+J17524-J17605-J17609-J17613)</f>
        <v>0</v>
      </c>
      <c r="K17618" s="25" t="n">
        <f aca="false">(K17584-J17584)-(K17607+K17524-K17605-K17609-K17613)</f>
        <v>0</v>
      </c>
    </row>
    <row r="17620" customFormat="false" ht="15" hidden="false" customHeight="false" outlineLevel="0" collapsed="false">
      <c r="A17620" s="23" t="s">
        <v>358</v>
      </c>
      <c r="B17620" s="24"/>
      <c r="C17620" s="24"/>
      <c r="D17620" s="24"/>
      <c r="E17620" s="24"/>
      <c r="F17620" s="24"/>
      <c r="G17620" s="24"/>
      <c r="H17620" s="24"/>
      <c r="I17620" s="24"/>
      <c r="J17620" s="24"/>
      <c r="K17620" s="24"/>
    </row>
    <row r="17621" customFormat="false" ht="15" hidden="false" customHeight="false" outlineLevel="0" collapsed="false">
      <c r="A17621" s="3" t="s">
        <v>359</v>
      </c>
      <c r="G17621" s="25" t="n">
        <f aca="false">G17584</f>
        <v>1735.554</v>
      </c>
      <c r="H17621" s="25" t="n">
        <f aca="false">H17584</f>
        <v>1735.554</v>
      </c>
      <c r="I17621" s="25" t="n">
        <f aca="false">I17584</f>
        <v>1315.098</v>
      </c>
      <c r="J17621" s="25" t="n">
        <f aca="false">J17584</f>
        <v>1315.098</v>
      </c>
      <c r="K17621" s="25" t="n">
        <f aca="false">K17584</f>
        <v>1315.098</v>
      </c>
    </row>
    <row r="17622" customFormat="false" ht="15" hidden="false" customHeight="false" outlineLevel="0" collapsed="false">
      <c r="A17622" s="3" t="s">
        <v>360</v>
      </c>
      <c r="G17622" s="25" t="n">
        <f aca="false">Assumptions!$O$56*G17556+Assumptions!$O$57*G17569+Assumptions!$O$58*G17582</f>
        <v>1315.098</v>
      </c>
      <c r="H17622" s="25" t="n">
        <f aca="false">Assumptions!$O$56*H17556+Assumptions!$O$57*H17569+Assumptions!$O$58*H17582</f>
        <v>1315.098</v>
      </c>
      <c r="I17622" s="25" t="n">
        <f aca="false">Assumptions!$O$56*I17556+Assumptions!$O$57*I17569+Assumptions!$O$58*I17582</f>
        <v>1315.098</v>
      </c>
      <c r="J17622" s="25" t="n">
        <f aca="false">Assumptions!$O$56*J17556+Assumptions!$O$57*J17569+Assumptions!$O$58*J17582</f>
        <v>1315.098</v>
      </c>
      <c r="K17622" s="25" t="n">
        <f aca="false">Assumptions!$O$56*K17556+Assumptions!$O$57*K17569+Assumptions!$O$58*K17582</f>
        <v>1315.098</v>
      </c>
    </row>
    <row r="17623" customFormat="false" ht="15" hidden="false" customHeight="false" outlineLevel="0" collapsed="false">
      <c r="A17623" s="3" t="s">
        <v>361</v>
      </c>
      <c r="G17623" s="25" t="n">
        <f aca="false">G17621-G17614</f>
        <v>1216.73245256</v>
      </c>
      <c r="H17623" s="25" t="n">
        <f aca="false">H17621-H17614</f>
        <v>1195.8797166368</v>
      </c>
      <c r="I17623" s="25" t="n">
        <f aca="false">I17621-I17614</f>
        <v>1194.66797732811</v>
      </c>
      <c r="J17623" s="25" t="n">
        <f aca="false">J17621-J17614</f>
        <v>1192.02610313102</v>
      </c>
      <c r="K17623" s="25" t="n">
        <f aca="false">K17621-K17614</f>
        <v>1196.42058714379</v>
      </c>
    </row>
    <row r="17624" customFormat="false" ht="15" hidden="false" customHeight="false" outlineLevel="0" collapsed="false">
      <c r="A17624" s="3" t="s">
        <v>362</v>
      </c>
      <c r="G17624" s="32" t="n">
        <f aca="false">IF(G17519&gt;0,G17621/G17519,0)</f>
        <v>6.99885842190068</v>
      </c>
      <c r="H17624" s="32" t="n">
        <f aca="false">IF(H17519&gt;0,H17621/H17519,0)</f>
        <v>8.20980460047</v>
      </c>
      <c r="I17624" s="32" t="n">
        <f aca="false">IF(I17519&gt;0,I17621/I17519,0)</f>
        <v>6.93311397368161</v>
      </c>
      <c r="J17624" s="32" t="n">
        <f aca="false">IF(J17519&gt;0,J17621/J17519,0)</f>
        <v>7.66291544459547</v>
      </c>
      <c r="K17624" s="32" t="n">
        <f aca="false">IF(K17519&gt;0,K17621/K17519,0)</f>
        <v>8.0662267837847</v>
      </c>
    </row>
    <row r="17625" customFormat="false" ht="15" hidden="false" customHeight="false" outlineLevel="0" collapsed="false">
      <c r="A17625" s="3" t="s">
        <v>363</v>
      </c>
      <c r="G17625" s="32" t="n">
        <f aca="false">IF(G17519&gt;0,G17623/G17519,0)</f>
        <v>4.9066397085884</v>
      </c>
      <c r="H17625" s="32" t="n">
        <f aca="false">IF(H17519&gt;0,H17623/H17519,0)</f>
        <v>5.65694804036842</v>
      </c>
      <c r="I17625" s="32" t="n">
        <f aca="false">IF(I17519&gt;0,I17623/I17519,0)</f>
        <v>6.29821446578391</v>
      </c>
      <c r="J17625" s="32" t="n">
        <f aca="false">IF(J17519&gt;0,J17623/J17519,0)</f>
        <v>6.94579053123316</v>
      </c>
      <c r="K17625" s="32" t="n">
        <f aca="false">IF(K17519&gt;0,K17623/K17519,0)</f>
        <v>7.33831226622703</v>
      </c>
    </row>
    <row r="17626" customFormat="false" ht="15" hidden="false" customHeight="false" outlineLevel="0" collapsed="false">
      <c r="A17626" s="3" t="s">
        <v>364</v>
      </c>
      <c r="G17626" s="32" t="n">
        <f aca="false">IF(G17523&gt;0,G17519/G17523,0)</f>
        <v>1.59005643370602</v>
      </c>
      <c r="H17626" s="32" t="n">
        <f aca="false">IF(H17523&gt;0,H17519/H17523,0)</f>
        <v>1.35552310973439</v>
      </c>
      <c r="I17626" s="32" t="n">
        <f aca="false">IF(I17523&gt;0,I17519/I17523,0)</f>
        <v>1.21627391755258</v>
      </c>
      <c r="J17626" s="32" t="n">
        <f aca="false">IF(J17523&gt;0,J17519/J17523,0)</f>
        <v>1.24284413584734</v>
      </c>
      <c r="K17626" s="32" t="n">
        <f aca="false">IF(K17523&gt;0,K17519/K17523,0)</f>
        <v>1.18070192905498</v>
      </c>
    </row>
    <row r="17627" customFormat="false" ht="15" hidden="false" customHeight="false" outlineLevel="0" collapsed="false">
      <c r="A17627" s="3" t="s">
        <v>365</v>
      </c>
      <c r="G17627" s="32" t="n">
        <f aca="false">IF(G17523&gt;0,G17522/G17523,0)</f>
        <v>0.943202831951104</v>
      </c>
      <c r="H17627" s="32" t="n">
        <f aca="false">IF(H17523&gt;0,H17522/H17523,0)</f>
        <v>0.75394926010231</v>
      </c>
      <c r="I17627" s="32" t="n">
        <f aca="false">IF(I17523&gt;0,I17522/I17523,0)</f>
        <v>0.65079449889843</v>
      </c>
      <c r="J17627" s="32" t="n">
        <f aca="false">IF(J17523&gt;0,J17522/J17523,0)</f>
        <v>0.636119854632452</v>
      </c>
      <c r="K17627" s="32" t="n">
        <f aca="false">IF(K17523&gt;0,K17522/K17523,0)</f>
        <v>0.604313861900829</v>
      </c>
    </row>
    <row r="17628" customFormat="false" ht="15" hidden="false" customHeight="false" outlineLevel="0" collapsed="false">
      <c r="A17628" s="3" t="s">
        <v>198</v>
      </c>
      <c r="G17628" s="21" t="n">
        <f aca="false">IF(G17621&gt;0,G17532/G17621,0)</f>
        <v>0.0315896523185104</v>
      </c>
      <c r="H17628" s="21" t="n">
        <f aca="false">IF(H17621&gt;0,H17532/H17621,0)</f>
        <v>0.0120150314673009</v>
      </c>
      <c r="I17628" s="21" t="n">
        <f aca="false">IF(I17621&gt;0,I17532/I17621,0)</f>
        <v>0.000921406091932281</v>
      </c>
      <c r="J17628" s="21" t="n">
        <f aca="false">IF(J17621&gt;0,J17532/J17621,0)</f>
        <v>0.00200888009645638</v>
      </c>
      <c r="K17628" s="21" t="n">
        <f aca="false">IF(K17621&gt;0,K17532/K17621,0)</f>
        <v>-0.00334156390836645</v>
      </c>
    </row>
    <row r="17629" customFormat="false" ht="15" hidden="false" customHeight="false" outlineLevel="0" collapsed="false">
      <c r="A17629" s="3" t="s">
        <v>366</v>
      </c>
      <c r="G17629" s="32" t="n">
        <f aca="false">IF(G17523+G17605&gt;0,(G17519-G17530-G17527)/(G17523+G17605),0)</f>
        <v>1.41780032005454</v>
      </c>
      <c r="H17629" s="32" t="n">
        <f aca="false">IF(H17523+H17605&gt;0,(H17519-H17530-H17527)/(H17523+H17605),0)</f>
        <v>1.1953249240385</v>
      </c>
      <c r="I17629" s="32" t="n">
        <f aca="false">IF(I17523+I17605&gt;0,(I17519-I17530-I17527)/(I17523+I17605),0)</f>
        <v>1.06568762299845</v>
      </c>
      <c r="J17629" s="32" t="n">
        <f aca="false">IF(J17523+J17605&gt;0,(J17519-J17530-J17527)/(J17523+J17605),0)</f>
        <v>1.08127439818719</v>
      </c>
      <c r="K17629" s="32" t="n">
        <f aca="false">IF(K17523+K17605&gt;0,(K17519-K17530-K17527)/(K17523+K17605),0)</f>
        <v>1.02721067827783</v>
      </c>
    </row>
    <row r="17630" customFormat="false" ht="15" hidden="false" customHeight="false" outlineLevel="0" collapsed="false">
      <c r="A17630" s="3" t="s">
        <v>367</v>
      </c>
      <c r="G17630" s="25" t="n">
        <f aca="false">MAX(0,G17614)+Assumptions!$P$56*MAX(0,Assumptions!$D$56-G17556)+Assumptions!$P$57*MAX(0,Assumptions!$D$57-G17569)+Assumptions!$P$58*MAX(0,Assumptions!$D$58-G17582)</f>
        <v>518.82154744</v>
      </c>
      <c r="H17630" s="25" t="n">
        <f aca="false">MAX(0,H17614)+Assumptions!$P$56*MAX(0,Assumptions!$D$56-H17556)+Assumptions!$P$57*MAX(0,Assumptions!$D$57-H17569)+Assumptions!$P$58*MAX(0,Assumptions!$D$58-H17582)</f>
        <v>539.6742833632</v>
      </c>
      <c r="I17630" s="25" t="n">
        <f aca="false">MAX(0,I17614)+Assumptions!$P$56*MAX(0,Assumptions!$D$56-I17556)+Assumptions!$P$57*MAX(0,Assumptions!$D$57-I17569)+Assumptions!$P$58*MAX(0,Assumptions!$D$58-I17582)</f>
        <v>120.430022671888</v>
      </c>
      <c r="J17630" s="25" t="n">
        <f aca="false">MAX(0,J17614)+Assumptions!$P$56*MAX(0,Assumptions!$D$56-J17556)+Assumptions!$P$57*MAX(0,Assumptions!$D$57-J17569)+Assumptions!$P$58*MAX(0,Assumptions!$D$58-J17582)</f>
        <v>123.071896868977</v>
      </c>
      <c r="K17630" s="25" t="n">
        <f aca="false">MAX(0,K17614)+Assumptions!$P$56*MAX(0,Assumptions!$D$56-K17556)+Assumptions!$P$57*MAX(0,Assumptions!$D$57-K17569)+Assumptions!$P$58*MAX(0,Assumptions!$D$58-K17582)</f>
        <v>118.677412856212</v>
      </c>
    </row>
    <row r="17631" customFormat="false" ht="15" hidden="false" customHeight="false" outlineLevel="0" collapsed="false">
      <c r="A17631" s="3" t="s">
        <v>368</v>
      </c>
      <c r="G17631" s="21" t="n">
        <f aca="false">IF(G17621&gt;0,G17621/(G17621+MAX(0,G17519*CHOOSE($C$17502,Assumptions!$C$82,Assumptions!$C$101,Assumptions!$C$120)-G17623)),0)</f>
        <v>0.986836236277321</v>
      </c>
      <c r="H17631" s="21" t="n">
        <f aca="false">IF(H17621&gt;0,H17621/(H17621+MAX(0,H17519*CHOOSE($C$17502,Assumptions!$C$82,Assumptions!$C$101,Assumptions!$C$120)-H17623)),0)</f>
        <v>1</v>
      </c>
      <c r="I17631" s="21" t="n">
        <f aca="false">IF(I17621&gt;0,I17621/(I17621+MAX(0,I17519*CHOOSE($C$17502,Assumptions!$C$82,Assumptions!$C$101,Assumptions!$C$120)-I17623)),0)</f>
        <v>1</v>
      </c>
      <c r="J17631" s="21" t="n">
        <f aca="false">IF(J17621&gt;0,J17621/(J17621+MAX(0,J17519*CHOOSE($C$17502,Assumptions!$C$82,Assumptions!$C$101,Assumptions!$C$120)-J17623)),0)</f>
        <v>1</v>
      </c>
      <c r="K17631" s="21" t="n">
        <f aca="false">IF(K17621&gt;0,K17621/(K17621+MAX(0,K17519*CHOOSE($C$17502,Assumptions!$C$82,Assumptions!$C$101,Assumptions!$C$120)-K17623)),0)</f>
        <v>1</v>
      </c>
    </row>
    <row r="17632" customFormat="false" ht="15" hidden="false" customHeight="false" outlineLevel="0" collapsed="false">
      <c r="A17632" s="3" t="s">
        <v>369</v>
      </c>
      <c r="G17632" s="21" t="n">
        <f aca="false">IF(G17621&gt;0,MAX(0,G17614)/G17621,0)</f>
        <v>0.298937139057615</v>
      </c>
      <c r="H17632" s="21" t="n">
        <f aca="false">IF(H17621&gt;0,MAX(0,H17614)/H17621,0)</f>
        <v>0.310952170524916</v>
      </c>
      <c r="I17632" s="21" t="n">
        <f aca="false">IF(I17621&gt;0,MAX(0,I17614)/I17621,0)</f>
        <v>0.0915749416939937</v>
      </c>
      <c r="J17632" s="21" t="n">
        <f aca="false">IF(J17621&gt;0,MAX(0,J17614)/J17621,0)</f>
        <v>0.0935838217904501</v>
      </c>
      <c r="K17632" s="21" t="n">
        <f aca="false">IF(K17621&gt;0,MAX(0,K17614)/K17621,0)</f>
        <v>0.0902422578820836</v>
      </c>
    </row>
    <row r="17633" customFormat="false" ht="15" hidden="false" customHeight="false" outlineLevel="0" collapsed="false">
      <c r="A17633" s="3" t="s">
        <v>370</v>
      </c>
      <c r="G17633" s="25" t="n">
        <f aca="false">Assumptions!$C$30*(1-CHOOSE($C$17502,Assumptions!$C$85,Assumptions!$C$104,Assumptions!$C$123))</f>
        <v>2086.72535</v>
      </c>
      <c r="H17633" s="25" t="n">
        <f aca="false">Assumptions!$C$30*(1-CHOOSE($C$17502,Assumptions!$C$85,Assumptions!$C$104,Assumptions!$C$123))</f>
        <v>2086.72535</v>
      </c>
      <c r="I17633" s="25" t="n">
        <f aca="false">Assumptions!$C$30*(1-CHOOSE($C$17502,Assumptions!$C$85,Assumptions!$C$104,Assumptions!$C$123))</f>
        <v>2086.72535</v>
      </c>
      <c r="J17633" s="25" t="n">
        <f aca="false">Assumptions!$C$30*(1-CHOOSE($C$17502,Assumptions!$C$85,Assumptions!$C$104,Assumptions!$C$123))</f>
        <v>2086.72535</v>
      </c>
      <c r="K17633" s="25" t="n">
        <f aca="false">Assumptions!$C$30*(1-CHOOSE($C$17502,Assumptions!$C$85,Assumptions!$C$104,Assumptions!$C$123))</f>
        <v>2086.72535</v>
      </c>
    </row>
    <row r="17634" customFormat="false" ht="15" hidden="false" customHeight="false" outlineLevel="0" collapsed="false">
      <c r="A17634" s="23" t="s">
        <v>371</v>
      </c>
      <c r="B17634" s="24"/>
      <c r="C17634" s="24"/>
      <c r="D17634" s="24"/>
      <c r="E17634" s="24"/>
      <c r="F17634" s="24"/>
      <c r="G17634" s="24"/>
      <c r="H17634" s="24"/>
      <c r="I17634" s="24"/>
      <c r="J17634" s="24"/>
      <c r="K17634" s="24"/>
    </row>
    <row r="17635" customFormat="false" ht="15" hidden="false" customHeight="false" outlineLevel="0" collapsed="false">
      <c r="A17635" s="23" t="s">
        <v>372</v>
      </c>
      <c r="B17635" s="24"/>
      <c r="C17635" s="24"/>
      <c r="D17635" s="24"/>
      <c r="E17635" s="24"/>
      <c r="F17635" s="24"/>
      <c r="G17635" s="24"/>
      <c r="H17635" s="24"/>
      <c r="I17635" s="24"/>
      <c r="J17635" s="24"/>
      <c r="K17635" s="24"/>
    </row>
    <row r="17636" customFormat="false" ht="15" hidden="false" customHeight="false" outlineLevel="0" collapsed="false">
      <c r="A17636" s="3" t="s">
        <v>373</v>
      </c>
      <c r="G17636" s="32" t="n">
        <f aca="false">IF(G17519&gt;0,G17623/G17519,99)</f>
        <v>4.9066397085884</v>
      </c>
      <c r="H17636" s="32" t="n">
        <f aca="false">IF(H17519&gt;0,H17623/H17519,99)</f>
        <v>5.65694804036842</v>
      </c>
      <c r="I17636" s="32" t="n">
        <f aca="false">IF(I17519&gt;0,I17623/I17519,99)</f>
        <v>6.29821446578391</v>
      </c>
      <c r="J17636" s="32" t="n">
        <f aca="false">IF(J17519&gt;0,J17623/J17519,99)</f>
        <v>6.94579053123316</v>
      </c>
      <c r="K17636" s="32" t="n">
        <f aca="false">IF(K17519&gt;0,K17623/K17519,99)</f>
        <v>7.33831226622703</v>
      </c>
    </row>
    <row r="17637" customFormat="false" ht="15" hidden="false" customHeight="false" outlineLevel="0" collapsed="false">
      <c r="A17637" s="3" t="s">
        <v>374</v>
      </c>
      <c r="G17637" s="33" t="n">
        <f aca="false">Assumptions!$G$65</f>
        <v>5.25</v>
      </c>
      <c r="H17637" s="33" t="n">
        <f aca="false">Assumptions!$H$65</f>
        <v>5.25</v>
      </c>
      <c r="I17637" s="33" t="n">
        <f aca="false">Assumptions!$I$65</f>
        <v>5</v>
      </c>
      <c r="J17637" s="33" t="n">
        <f aca="false">Assumptions!$J$65</f>
        <v>5</v>
      </c>
      <c r="K17637" s="33" t="n">
        <f aca="false">Assumptions!$K$65</f>
        <v>5</v>
      </c>
    </row>
    <row r="17638" customFormat="false" ht="15" hidden="false" customHeight="false" outlineLevel="0" collapsed="false">
      <c r="A17638" s="3" t="s">
        <v>375</v>
      </c>
      <c r="G17638" s="32" t="n">
        <f aca="false">G17637-G17636</f>
        <v>0.343360291411604</v>
      </c>
      <c r="H17638" s="32" t="n">
        <f aca="false">H17637-H17636</f>
        <v>-0.406948040368418</v>
      </c>
      <c r="I17638" s="32" t="n">
        <f aca="false">I17637-I17636</f>
        <v>-1.29821446578391</v>
      </c>
      <c r="J17638" s="32" t="n">
        <f aca="false">J17637-J17636</f>
        <v>-1.94579053123316</v>
      </c>
      <c r="K17638" s="32" t="n">
        <f aca="false">K17637-K17636</f>
        <v>-2.33831226622703</v>
      </c>
    </row>
    <row r="17639" customFormat="false" ht="15" hidden="false" customHeight="false" outlineLevel="0" collapsed="false">
      <c r="A17639" s="3" t="s">
        <v>376</v>
      </c>
      <c r="G17639" s="21" t="n">
        <f aca="false">IF(G17637=0,0,G17638/ABS(G17637))</f>
        <v>0.0654019602688769</v>
      </c>
      <c r="H17639" s="21" t="n">
        <f aca="false">IF(H17637=0,0,H17638/ABS(H17637))</f>
        <v>-0.0775139124511272</v>
      </c>
      <c r="I17639" s="21" t="n">
        <f aca="false">IF(I17637=0,0,I17638/ABS(I17637))</f>
        <v>-0.259642893156781</v>
      </c>
      <c r="J17639" s="21" t="n">
        <f aca="false">IF(J17637=0,0,J17638/ABS(J17637))</f>
        <v>-0.389158106246632</v>
      </c>
      <c r="K17639" s="21" t="n">
        <f aca="false">IF(K17637=0,0,K17638/ABS(K17637))</f>
        <v>-0.467662453245407</v>
      </c>
    </row>
    <row r="17640" customFormat="false" ht="15" hidden="false" customHeight="false" outlineLevel="0" collapsed="false">
      <c r="A17640" s="3" t="s">
        <v>377</v>
      </c>
      <c r="G17640" s="20" t="n">
        <f aca="false">IF(G17638&lt;0,1,0)</f>
        <v>0</v>
      </c>
      <c r="H17640" s="20" t="n">
        <f aca="false">IF(H17638&lt;0,1,0)</f>
        <v>1</v>
      </c>
      <c r="I17640" s="20" t="n">
        <f aca="false">IF(I17638&lt;0,1,0)</f>
        <v>1</v>
      </c>
      <c r="J17640" s="20" t="n">
        <f aca="false">IF(J17638&lt;0,1,0)</f>
        <v>1</v>
      </c>
      <c r="K17640" s="20" t="n">
        <f aca="false">IF(K17638&lt;0,1,0)</f>
        <v>1</v>
      </c>
    </row>
    <row r="17641" customFormat="false" ht="15" hidden="false" customHeight="false" outlineLevel="0" collapsed="false">
      <c r="A17641" s="3" t="s">
        <v>378</v>
      </c>
      <c r="C17641" s="20" t="n">
        <f aca="false">IFERROR(INDEX($G$17509:$K$17509,MATCH(1,$G$17640:$K$17640,0)),0)</f>
        <v>2028</v>
      </c>
    </row>
    <row r="17642" customFormat="false" ht="15" hidden="false" customHeight="false" outlineLevel="0" collapsed="false">
      <c r="A17642" s="3" t="s">
        <v>379</v>
      </c>
      <c r="C17642" s="21" t="n">
        <f aca="false">MIN($G$17639:$K$17639)</f>
        <v>-0.467662453245407</v>
      </c>
    </row>
    <row r="17643" customFormat="false" ht="15" hidden="false" customHeight="false" outlineLevel="0" collapsed="false">
      <c r="A17643" s="23" t="s">
        <v>380</v>
      </c>
      <c r="B17643" s="24"/>
      <c r="C17643" s="24"/>
      <c r="D17643" s="24"/>
      <c r="E17643" s="24"/>
      <c r="F17643" s="24"/>
      <c r="G17643" s="24"/>
      <c r="H17643" s="24"/>
      <c r="I17643" s="24"/>
      <c r="J17643" s="24"/>
      <c r="K17643" s="24"/>
    </row>
    <row r="17644" customFormat="false" ht="15" hidden="false" customHeight="false" outlineLevel="0" collapsed="false">
      <c r="A17644" s="3" t="s">
        <v>373</v>
      </c>
      <c r="G17644" s="32" t="n">
        <f aca="false">IF(G17523&gt;0,G17519/G17523,99)</f>
        <v>1.59005643370602</v>
      </c>
      <c r="H17644" s="32" t="n">
        <f aca="false">IF(H17523&gt;0,H17519/H17523,99)</f>
        <v>1.35552310973439</v>
      </c>
      <c r="I17644" s="32" t="n">
        <f aca="false">IF(I17523&gt;0,I17519/I17523,99)</f>
        <v>1.21627391755258</v>
      </c>
      <c r="J17644" s="32" t="n">
        <f aca="false">IF(J17523&gt;0,J17519/J17523,99)</f>
        <v>1.24284413584734</v>
      </c>
      <c r="K17644" s="32" t="n">
        <f aca="false">IF(K17523&gt;0,K17519/K17523,99)</f>
        <v>1.18070192905498</v>
      </c>
    </row>
    <row r="17645" customFormat="false" ht="15" hidden="false" customHeight="false" outlineLevel="0" collapsed="false">
      <c r="A17645" s="3" t="s">
        <v>374</v>
      </c>
      <c r="G17645" s="33" t="n">
        <f aca="false">Assumptions!$G$66</f>
        <v>1.4</v>
      </c>
      <c r="H17645" s="33" t="n">
        <f aca="false">Assumptions!$H$66</f>
        <v>1.4</v>
      </c>
      <c r="I17645" s="33" t="n">
        <f aca="false">Assumptions!$I$66</f>
        <v>1.4</v>
      </c>
      <c r="J17645" s="33" t="n">
        <f aca="false">Assumptions!$J$66</f>
        <v>1.5</v>
      </c>
      <c r="K17645" s="33" t="n">
        <f aca="false">Assumptions!$K$66</f>
        <v>1.5</v>
      </c>
    </row>
    <row r="17646" customFormat="false" ht="15" hidden="false" customHeight="false" outlineLevel="0" collapsed="false">
      <c r="A17646" s="3" t="s">
        <v>375</v>
      </c>
      <c r="G17646" s="32" t="n">
        <f aca="false">G17644-G17645</f>
        <v>0.190056433706025</v>
      </c>
      <c r="H17646" s="32" t="n">
        <f aca="false">H17644-H17645</f>
        <v>-0.0444768902656139</v>
      </c>
      <c r="I17646" s="32" t="n">
        <f aca="false">I17644-I17645</f>
        <v>-0.183726082447419</v>
      </c>
      <c r="J17646" s="32" t="n">
        <f aca="false">J17644-J17645</f>
        <v>-0.257155864152655</v>
      </c>
      <c r="K17646" s="32" t="n">
        <f aca="false">K17644-K17645</f>
        <v>-0.319298070945023</v>
      </c>
    </row>
    <row r="17647" customFormat="false" ht="15" hidden="false" customHeight="false" outlineLevel="0" collapsed="false">
      <c r="A17647" s="3" t="s">
        <v>376</v>
      </c>
      <c r="G17647" s="21" t="n">
        <f aca="false">IF(G17645=0,0,G17646/ABS(G17645))</f>
        <v>0.135754595504304</v>
      </c>
      <c r="H17647" s="21" t="n">
        <f aca="false">IF(H17645=0,0,H17646/ABS(H17645))</f>
        <v>-0.0317692073325813</v>
      </c>
      <c r="I17647" s="21" t="n">
        <f aca="false">IF(I17645=0,0,I17646/ABS(I17645))</f>
        <v>-0.131232916033871</v>
      </c>
      <c r="J17647" s="21" t="n">
        <f aca="false">IF(J17645=0,0,J17646/ABS(J17645))</f>
        <v>-0.171437242768437</v>
      </c>
      <c r="K17647" s="21" t="n">
        <f aca="false">IF(K17645=0,0,K17646/ABS(K17645))</f>
        <v>-0.212865380630015</v>
      </c>
    </row>
    <row r="17648" customFormat="false" ht="15" hidden="false" customHeight="false" outlineLevel="0" collapsed="false">
      <c r="A17648" s="3" t="s">
        <v>377</v>
      </c>
      <c r="G17648" s="20" t="n">
        <f aca="false">IF(G17646&lt;0,1,0)</f>
        <v>0</v>
      </c>
      <c r="H17648" s="20" t="n">
        <f aca="false">IF(H17646&lt;0,1,0)</f>
        <v>1</v>
      </c>
      <c r="I17648" s="20" t="n">
        <f aca="false">IF(I17646&lt;0,1,0)</f>
        <v>1</v>
      </c>
      <c r="J17648" s="20" t="n">
        <f aca="false">IF(J17646&lt;0,1,0)</f>
        <v>1</v>
      </c>
      <c r="K17648" s="20" t="n">
        <f aca="false">IF(K17646&lt;0,1,0)</f>
        <v>1</v>
      </c>
    </row>
    <row r="17649" customFormat="false" ht="15" hidden="false" customHeight="false" outlineLevel="0" collapsed="false">
      <c r="A17649" s="3" t="s">
        <v>378</v>
      </c>
      <c r="C17649" s="20" t="n">
        <f aca="false">IFERROR(INDEX($G$17509:$K$17509,MATCH(1,$G$17648:$K$17648,0)),0)</f>
        <v>2028</v>
      </c>
    </row>
    <row r="17650" customFormat="false" ht="15" hidden="false" customHeight="false" outlineLevel="0" collapsed="false">
      <c r="A17650" s="3" t="s">
        <v>379</v>
      </c>
      <c r="C17650" s="21" t="n">
        <f aca="false">MIN($G$17647:$K$17647)</f>
        <v>-0.212865380630015</v>
      </c>
    </row>
    <row r="17651" customFormat="false" ht="15" hidden="false" customHeight="false" outlineLevel="0" collapsed="false">
      <c r="A17651" s="23" t="s">
        <v>381</v>
      </c>
      <c r="B17651" s="24"/>
      <c r="C17651" s="24"/>
      <c r="D17651" s="24"/>
      <c r="E17651" s="24"/>
      <c r="F17651" s="24"/>
      <c r="G17651" s="24"/>
      <c r="H17651" s="24"/>
      <c r="I17651" s="24"/>
      <c r="J17651" s="24"/>
      <c r="K17651" s="24"/>
    </row>
    <row r="17652" customFormat="false" ht="15" hidden="false" customHeight="false" outlineLevel="0" collapsed="false">
      <c r="A17652" s="3" t="s">
        <v>373</v>
      </c>
      <c r="G17652" s="25" t="n">
        <f aca="false">G17630</f>
        <v>518.82154744</v>
      </c>
      <c r="H17652" s="25" t="n">
        <f aca="false">H17630</f>
        <v>539.6742833632</v>
      </c>
      <c r="I17652" s="25" t="n">
        <f aca="false">I17630</f>
        <v>120.430022671888</v>
      </c>
      <c r="J17652" s="25" t="n">
        <f aca="false">J17630</f>
        <v>123.071896868977</v>
      </c>
      <c r="K17652" s="25" t="n">
        <f aca="false">K17630</f>
        <v>118.677412856212</v>
      </c>
    </row>
    <row r="17653" customFormat="false" ht="15" hidden="false" customHeight="false" outlineLevel="0" collapsed="false">
      <c r="A17653" s="3" t="s">
        <v>374</v>
      </c>
      <c r="G17653" s="29" t="n">
        <f aca="false">Assumptions!$G$67</f>
        <v>200</v>
      </c>
      <c r="H17653" s="29" t="n">
        <f aca="false">Assumptions!$H$67</f>
        <v>200</v>
      </c>
      <c r="I17653" s="29" t="n">
        <f aca="false">Assumptions!$I$67</f>
        <v>200</v>
      </c>
      <c r="J17653" s="29" t="n">
        <f aca="false">Assumptions!$J$67</f>
        <v>200</v>
      </c>
      <c r="K17653" s="29" t="n">
        <f aca="false">Assumptions!$K$67</f>
        <v>200</v>
      </c>
    </row>
    <row r="17654" customFormat="false" ht="15" hidden="false" customHeight="false" outlineLevel="0" collapsed="false">
      <c r="A17654" s="3" t="s">
        <v>375</v>
      </c>
      <c r="G17654" s="25" t="n">
        <f aca="false">G17652-G17653</f>
        <v>318.82154744</v>
      </c>
      <c r="H17654" s="25" t="n">
        <f aca="false">H17652-H17653</f>
        <v>339.6742833632</v>
      </c>
      <c r="I17654" s="25" t="n">
        <f aca="false">I17652-I17653</f>
        <v>-79.5699773281123</v>
      </c>
      <c r="J17654" s="25" t="n">
        <f aca="false">J17652-J17653</f>
        <v>-76.9281031310227</v>
      </c>
      <c r="K17654" s="25" t="n">
        <f aca="false">K17652-K17653</f>
        <v>-81.3225871437876</v>
      </c>
    </row>
    <row r="17655" customFormat="false" ht="15" hidden="false" customHeight="false" outlineLevel="0" collapsed="false">
      <c r="A17655" s="3" t="s">
        <v>376</v>
      </c>
      <c r="G17655" s="21" t="n">
        <f aca="false">IF(G17653=0,0,G17654/ABS(G17653))</f>
        <v>1.5941077372</v>
      </c>
      <c r="H17655" s="21" t="n">
        <f aca="false">IF(H17653=0,0,H17654/ABS(H17653))</f>
        <v>1.698371416816</v>
      </c>
      <c r="I17655" s="21" t="n">
        <f aca="false">IF(I17653=0,0,I17654/ABS(I17653))</f>
        <v>-0.397849886640561</v>
      </c>
      <c r="J17655" s="21" t="n">
        <f aca="false">IF(J17653=0,0,J17654/ABS(J17653))</f>
        <v>-0.384640515655113</v>
      </c>
      <c r="K17655" s="21" t="n">
        <f aca="false">IF(K17653=0,0,K17654/ABS(K17653))</f>
        <v>-0.406612935718938</v>
      </c>
    </row>
    <row r="17656" customFormat="false" ht="15" hidden="false" customHeight="false" outlineLevel="0" collapsed="false">
      <c r="A17656" s="3" t="s">
        <v>377</v>
      </c>
      <c r="G17656" s="20" t="n">
        <f aca="false">IF(G17654&lt;0,1,0)</f>
        <v>0</v>
      </c>
      <c r="H17656" s="20" t="n">
        <f aca="false">IF(H17654&lt;0,1,0)</f>
        <v>0</v>
      </c>
      <c r="I17656" s="20" t="n">
        <f aca="false">IF(I17654&lt;0,1,0)</f>
        <v>1</v>
      </c>
      <c r="J17656" s="20" t="n">
        <f aca="false">IF(J17654&lt;0,1,0)</f>
        <v>1</v>
      </c>
      <c r="K17656" s="20" t="n">
        <f aca="false">IF(K17654&lt;0,1,0)</f>
        <v>1</v>
      </c>
    </row>
    <row r="17657" customFormat="false" ht="15" hidden="false" customHeight="false" outlineLevel="0" collapsed="false">
      <c r="A17657" s="3" t="s">
        <v>378</v>
      </c>
      <c r="C17657" s="20" t="n">
        <f aca="false">IFERROR(INDEX($G$17509:$K$17509,MATCH(1,$G$17656:$K$17656,0)),0)</f>
        <v>2029</v>
      </c>
    </row>
    <row r="17658" customFormat="false" ht="15" hidden="false" customHeight="false" outlineLevel="0" collapsed="false">
      <c r="A17658" s="3" t="s">
        <v>379</v>
      </c>
      <c r="C17658" s="21" t="n">
        <f aca="false">MIN($G$17655:$K$17655)</f>
        <v>-0.406612935718938</v>
      </c>
    </row>
    <row r="17659" customFormat="false" ht="15" hidden="false" customHeight="false" outlineLevel="0" collapsed="false">
      <c r="A17659" s="3" t="s">
        <v>382</v>
      </c>
      <c r="G17659" s="20" t="n">
        <f aca="false">G17640+G17648+G17656</f>
        <v>0</v>
      </c>
      <c r="H17659" s="20" t="n">
        <f aca="false">H17640+H17648+H17656</f>
        <v>2</v>
      </c>
      <c r="I17659" s="20" t="n">
        <f aca="false">I17640+I17648+I17656</f>
        <v>3</v>
      </c>
      <c r="J17659" s="20" t="n">
        <f aca="false">J17640+J17648+J17656</f>
        <v>3</v>
      </c>
      <c r="K17659" s="20" t="n">
        <f aca="false">K17640+K17648+K17656</f>
        <v>3</v>
      </c>
    </row>
    <row r="17660" customFormat="false" ht="15" hidden="false" customHeight="false" outlineLevel="0" collapsed="false">
      <c r="A17660" s="3" t="s">
        <v>383</v>
      </c>
      <c r="C17660" s="20" t="n">
        <f aca="false">SUM($G$17659:$K$17659)</f>
        <v>11</v>
      </c>
    </row>
    <row r="17661" customFormat="false" ht="15" hidden="false" customHeight="false" outlineLevel="0" collapsed="false">
      <c r="A17661" s="3" t="s">
        <v>384</v>
      </c>
      <c r="C17661" s="21" t="n">
        <f aca="false">MIN(C17642,C17650,C17658)</f>
        <v>-0.467662453245407</v>
      </c>
    </row>
    <row r="17663" customFormat="false" ht="15" hidden="false" customHeight="false" outlineLevel="0" collapsed="false">
      <c r="A17663" s="23" t="s">
        <v>486</v>
      </c>
      <c r="B17663" s="24"/>
      <c r="C17663" s="24"/>
      <c r="D17663" s="24"/>
      <c r="E17663" s="24"/>
      <c r="F17663" s="24"/>
      <c r="G17663" s="24"/>
      <c r="H17663" s="24"/>
      <c r="I17663" s="24"/>
      <c r="J17663" s="24"/>
      <c r="K17663" s="24"/>
    </row>
    <row r="17664" customFormat="false" ht="15" hidden="false" customHeight="false" outlineLevel="0" collapsed="false">
      <c r="A17664" s="3" t="s">
        <v>487</v>
      </c>
      <c r="G17664" s="20" t="n">
        <f aca="false">IF($C$17665=1,G17617,IF(G17519=MIN($G$17519:$K$17519),1,0))</f>
        <v>0</v>
      </c>
      <c r="H17664" s="20" t="n">
        <f aca="false">IF($C$17665=1,H17617,IF(AND(H17519=MIN($G$17519:$K$17519),SUM($G$17664:G17664)=0),1,0))</f>
        <v>0</v>
      </c>
      <c r="I17664" s="20" t="n">
        <f aca="false">IF($C$17665=1,I17617,IF(AND(I17519=MIN($G$17519:$K$17519),SUM($G$17664:H17664)=0),1,0))</f>
        <v>0</v>
      </c>
      <c r="J17664" s="20" t="n">
        <f aca="false">IF($C$17665=1,J17617,IF(AND(J17519=MIN($G$17519:$K$17519),SUM($G$17664:I17664)=0),1,0))</f>
        <v>0</v>
      </c>
      <c r="K17664" s="20" t="n">
        <f aca="false">IF($C$17665=1,K17617,IF(AND(K17519=MIN($G$17519:$K$17519),SUM($G$17664:J17664)=0),1,0))</f>
        <v>1</v>
      </c>
    </row>
    <row r="17665" customFormat="false" ht="15" hidden="false" customHeight="false" outlineLevel="0" collapsed="false">
      <c r="A17665" s="3" t="s">
        <v>488</v>
      </c>
      <c r="C17665" s="20" t="n">
        <f aca="false">IF(SUM($G$17617:$K$17617)&gt;0,1,0)</f>
        <v>0</v>
      </c>
    </row>
    <row r="17666" customFormat="false" ht="15" hidden="false" customHeight="false" outlineLevel="0" collapsed="false">
      <c r="A17666" s="3" t="s">
        <v>489</v>
      </c>
      <c r="C17666" s="20" t="n">
        <f aca="false">SUMPRODUCT($G$17664:$K$17664,$G$17509:$K$17509)</f>
        <v>2031</v>
      </c>
    </row>
    <row r="17667" customFormat="false" ht="15" hidden="false" customHeight="false" outlineLevel="0" collapsed="false">
      <c r="A17667" s="3" t="s">
        <v>490</v>
      </c>
      <c r="C17667" s="25" t="n">
        <f aca="false">SUMPRODUCT($G$17664:$K$17664,$G$17519:$K$17519)</f>
        <v>163.037568277116</v>
      </c>
    </row>
    <row r="17668" customFormat="false" ht="15" hidden="false" customHeight="false" outlineLevel="0" collapsed="false">
      <c r="A17668" s="3" t="s">
        <v>491</v>
      </c>
      <c r="C17668" s="25" t="n">
        <f aca="false">MAX(0,SUMPRODUCT($G$17664:$K$17664,$G$17614:$K$17614))</f>
        <v>118.677412856212</v>
      </c>
    </row>
    <row r="17669" customFormat="false" ht="15" hidden="false" customHeight="false" outlineLevel="0" collapsed="false">
      <c r="A17669" s="3" t="s">
        <v>492</v>
      </c>
      <c r="C17669" s="25" t="n">
        <f aca="false">(CHOOSE($C$17502,Assumptions!$C$84,Assumptions!$C$103,Assumptions!$C$122)+$C$17506)*C17667</f>
        <v>570.631488969906</v>
      </c>
    </row>
    <row r="17670" customFormat="false" ht="15" hidden="false" customHeight="false" outlineLevel="0" collapsed="false">
      <c r="A17670" s="3" t="s">
        <v>493</v>
      </c>
      <c r="C17670" s="25" t="n">
        <f aca="false">Assumptions!$C$30*(1-CHOOSE($C$17502,Assumptions!$C$85,Assumptions!$C$104,Assumptions!$C$123))*CHOOSE($C$17502,Assumptions!$C$86,Assumptions!$C$105,Assumptions!$C$124)</f>
        <v>626.017605</v>
      </c>
    </row>
    <row r="17671" customFormat="false" ht="15" hidden="false" customHeight="false" outlineLevel="0" collapsed="false">
      <c r="A17671" s="3" t="s">
        <v>494</v>
      </c>
      <c r="C17671" s="25" t="n">
        <f aca="false">MAX(C17669,C17670)+C17668</f>
        <v>744.695017856212</v>
      </c>
    </row>
    <row r="17672" customFormat="false" ht="15" hidden="false" customHeight="false" outlineLevel="0" collapsed="false">
      <c r="A17672" s="2" t="s">
        <v>495</v>
      </c>
      <c r="C17672" s="16" t="n">
        <f aca="false">IF(ISNUMBER(Assumptions!$C$14),Assumptions!$C$14,C17671)</f>
        <v>744.695017856212</v>
      </c>
    </row>
    <row r="17673" customFormat="false" ht="15" hidden="false" customHeight="false" outlineLevel="0" collapsed="false">
      <c r="A17673" s="3" t="s">
        <v>496</v>
      </c>
      <c r="C17673" s="25" t="n">
        <f aca="false">C17672*Assumptions!$C$15</f>
        <v>29.7878007142485</v>
      </c>
    </row>
    <row r="17674" customFormat="false" ht="15" hidden="false" customHeight="false" outlineLevel="0" collapsed="false">
      <c r="A17674" s="2" t="s">
        <v>497</v>
      </c>
      <c r="C17674" s="16" t="n">
        <f aca="false">C17672-C17673</f>
        <v>714.907217141964</v>
      </c>
    </row>
    <row r="17675" customFormat="false" ht="15" hidden="false" customHeight="false" outlineLevel="0" collapsed="false">
      <c r="A17675" s="23" t="s">
        <v>498</v>
      </c>
      <c r="B17675" s="24"/>
      <c r="C17675" s="24"/>
      <c r="D17675" s="24"/>
      <c r="E17675" s="24"/>
      <c r="F17675" s="24"/>
      <c r="G17675" s="24"/>
      <c r="H17675" s="24"/>
      <c r="I17675" s="24"/>
      <c r="J17675" s="24"/>
      <c r="K17675" s="24"/>
    </row>
    <row r="17676" customFormat="false" ht="15" hidden="false" customHeight="false" outlineLevel="0" collapsed="false">
      <c r="A17676" s="3" t="s">
        <v>499</v>
      </c>
      <c r="C17676" s="25" t="n">
        <f aca="false">SUMPRODUCT($G$17664:$K$17664,$G$17556:$K$17556)*(1+SUMPRODUCT($G$17664:$K$17664,$G$17548:$K$17548)*Assumptions!$C$16/12)</f>
        <v>1349.6193225</v>
      </c>
    </row>
    <row r="17677" customFormat="false" ht="15" hidden="false" customHeight="false" outlineLevel="0" collapsed="false">
      <c r="A17677" s="3" t="s">
        <v>500</v>
      </c>
      <c r="C17677" s="25" t="n">
        <f aca="false">SUMPRODUCT($G$17664:$K$17664,$G$17569:$K$17569)*(1+SUMPRODUCT($G$17664:$K$17664,$G$17561:$K$17561)*Assumptions!$C$16/12)</f>
        <v>0</v>
      </c>
    </row>
    <row r="17678" customFormat="false" ht="15" hidden="false" customHeight="false" outlineLevel="0" collapsed="false">
      <c r="A17678" s="3" t="s">
        <v>501</v>
      </c>
      <c r="C17678" s="25" t="n">
        <f aca="false">SUMPRODUCT($G$17664:$K$17664,$G$17582:$K$17582)*(1+SUMPRODUCT($G$17664:$K$17664,$G$17574:$K$17574)*Assumptions!$C$16/12)</f>
        <v>0</v>
      </c>
    </row>
    <row r="17679" customFormat="false" ht="15" hidden="false" customHeight="false" outlineLevel="0" collapsed="false">
      <c r="A17679" s="23" t="s">
        <v>502</v>
      </c>
      <c r="B17679" s="24"/>
      <c r="C17679" s="24"/>
      <c r="D17679" s="24"/>
      <c r="E17679" s="24"/>
      <c r="F17679" s="24"/>
      <c r="G17679" s="24"/>
      <c r="H17679" s="24"/>
      <c r="I17679" s="24"/>
      <c r="J17679" s="24"/>
      <c r="K17679" s="24"/>
    </row>
    <row r="17680" customFormat="false" ht="15" hidden="false" customHeight="false" outlineLevel="0" collapsed="false">
      <c r="A17680" s="3" t="s">
        <v>499</v>
      </c>
      <c r="C17680" s="27" t="n">
        <f aca="false">Assumptions!$M$56</f>
        <v>1</v>
      </c>
    </row>
    <row r="17681" customFormat="false" ht="15" hidden="false" customHeight="false" outlineLevel="0" collapsed="false">
      <c r="A17681" s="3" t="s">
        <v>500</v>
      </c>
      <c r="C17681" s="27" t="n">
        <f aca="false">Assumptions!$M$57</f>
        <v>2</v>
      </c>
    </row>
    <row r="17682" customFormat="false" ht="15" hidden="false" customHeight="false" outlineLevel="0" collapsed="false">
      <c r="A17682" s="3" t="s">
        <v>501</v>
      </c>
      <c r="C17682" s="27" t="n">
        <f aca="false">Assumptions!$M$58</f>
        <v>2</v>
      </c>
    </row>
    <row r="17683" customFormat="false" ht="15" hidden="false" customHeight="false" outlineLevel="0" collapsed="false">
      <c r="A17683" s="23" t="s">
        <v>503</v>
      </c>
      <c r="B17683" s="24"/>
      <c r="C17683" s="24"/>
      <c r="D17683" s="24"/>
      <c r="E17683" s="24"/>
      <c r="F17683" s="24"/>
      <c r="G17683" s="24"/>
      <c r="H17683" s="24"/>
      <c r="I17683" s="24"/>
      <c r="J17683" s="24"/>
      <c r="K17683" s="24"/>
    </row>
    <row r="17684" customFormat="false" ht="15" hidden="false" customHeight="false" outlineLevel="0" collapsed="false">
      <c r="A17684" s="3" t="s">
        <v>499</v>
      </c>
      <c r="C17684" s="35" t="n">
        <f aca="false">Assumptions!$Q$56</f>
        <v>0</v>
      </c>
    </row>
    <row r="17685" customFormat="false" ht="15" hidden="false" customHeight="false" outlineLevel="0" collapsed="false">
      <c r="A17685" s="3" t="s">
        <v>500</v>
      </c>
      <c r="C17685" s="35" t="n">
        <f aca="false">Assumptions!$Q$57</f>
        <v>0</v>
      </c>
    </row>
    <row r="17686" customFormat="false" ht="15" hidden="false" customHeight="false" outlineLevel="0" collapsed="false">
      <c r="A17686" s="3" t="s">
        <v>501</v>
      </c>
      <c r="C17686" s="35" t="n">
        <f aca="false">Assumptions!$Q$58</f>
        <v>0</v>
      </c>
    </row>
    <row r="17687" customFormat="false" ht="15" hidden="false" customHeight="false" outlineLevel="0" collapsed="false">
      <c r="A17687" s="23" t="s">
        <v>504</v>
      </c>
      <c r="B17687" s="24"/>
      <c r="C17687" s="24"/>
      <c r="D17687" s="24"/>
      <c r="E17687" s="24"/>
      <c r="F17687" s="24"/>
      <c r="G17687" s="24"/>
      <c r="H17687" s="24"/>
      <c r="I17687" s="24"/>
      <c r="J17687" s="24"/>
      <c r="K17687" s="24"/>
    </row>
    <row r="17688" customFormat="false" ht="15" hidden="false" customHeight="false" outlineLevel="0" collapsed="false">
      <c r="A17688" s="3" t="s">
        <v>499</v>
      </c>
      <c r="C17688" s="25" t="n">
        <f aca="false">IF(C17684&gt;0,MIN(C17676,C17684*$C$17674),0)</f>
        <v>0</v>
      </c>
    </row>
    <row r="17689" customFormat="false" ht="15" hidden="false" customHeight="false" outlineLevel="0" collapsed="false">
      <c r="A17689" s="3" t="s">
        <v>500</v>
      </c>
      <c r="C17689" s="25" t="n">
        <f aca="false">IF(C17685&gt;0,MIN(C17677,C17685*$C$17674),0)</f>
        <v>0</v>
      </c>
    </row>
    <row r="17690" customFormat="false" ht="15" hidden="false" customHeight="false" outlineLevel="0" collapsed="false">
      <c r="A17690" s="3" t="s">
        <v>501</v>
      </c>
      <c r="C17690" s="25" t="n">
        <f aca="false">IF(C17686&gt;0,MIN(C17678,C17686*$C$17674),0)</f>
        <v>0</v>
      </c>
    </row>
    <row r="17691" customFormat="false" ht="15" hidden="false" customHeight="false" outlineLevel="0" collapsed="false">
      <c r="A17691" s="23" t="s">
        <v>505</v>
      </c>
      <c r="B17691" s="24"/>
      <c r="C17691" s="24"/>
      <c r="D17691" s="24"/>
      <c r="E17691" s="24"/>
      <c r="F17691" s="24"/>
      <c r="G17691" s="24"/>
      <c r="H17691" s="24"/>
      <c r="I17691" s="24"/>
      <c r="J17691" s="24"/>
      <c r="K17691" s="24"/>
    </row>
    <row r="17692" customFormat="false" ht="15" hidden="false" customHeight="false" outlineLevel="0" collapsed="false">
      <c r="A17692" s="3" t="s">
        <v>499</v>
      </c>
      <c r="C17692" s="25" t="n">
        <f aca="false">IF(C17684&gt;0,C17676-C17688,0)</f>
        <v>0</v>
      </c>
      <c r="G17692" s="20" t="n">
        <f aca="false">IF(AND(G17546=1,G17543=1),1,0)</f>
        <v>0</v>
      </c>
      <c r="H17692" s="20" t="n">
        <f aca="false">IF(G17692=1,1,IF(AND(H17546=1,H17543=1),1,0))</f>
        <v>0</v>
      </c>
      <c r="I17692" s="20" t="n">
        <f aca="false">IF(H17692=1,1,IF(AND(I17546=1,I17543=1),1,0))</f>
        <v>0</v>
      </c>
      <c r="J17692" s="20" t="n">
        <f aca="false">IF(I17692=1,1,IF(AND(J17546=1,J17543=1),1,0))</f>
        <v>0</v>
      </c>
      <c r="K17692" s="20" t="n">
        <f aca="false">IF(J17692=1,1,IF(AND(K17546=1,K17543=1),1,0))</f>
        <v>0</v>
      </c>
    </row>
    <row r="17693" customFormat="false" ht="15" hidden="false" customHeight="false" outlineLevel="0" collapsed="false">
      <c r="A17693" s="3" t="s">
        <v>500</v>
      </c>
      <c r="C17693" s="25" t="n">
        <f aca="false">IF(C17685&gt;0,C17677-C17689,0)</f>
        <v>0</v>
      </c>
      <c r="G17693" s="20" t="n">
        <f aca="false">IF(AND(G17559=1,G17543=1),1,0)</f>
        <v>0</v>
      </c>
      <c r="H17693" s="20" t="n">
        <f aca="false">IF(G17693=1,1,IF(AND(H17559=1,H17543=1),1,0))</f>
        <v>0</v>
      </c>
      <c r="I17693" s="20" t="n">
        <f aca="false">IF(H17693=1,1,IF(AND(I17559=1,I17543=1),1,0))</f>
        <v>0</v>
      </c>
      <c r="J17693" s="20" t="n">
        <f aca="false">IF(I17693=1,1,IF(AND(J17559=1,J17543=1),1,0))</f>
        <v>0</v>
      </c>
      <c r="K17693" s="20" t="n">
        <f aca="false">IF(J17693=1,1,IF(AND(K17559=1,K17543=1),1,0))</f>
        <v>0</v>
      </c>
    </row>
    <row r="17694" customFormat="false" ht="15" hidden="false" customHeight="false" outlineLevel="0" collapsed="false">
      <c r="A17694" s="3" t="s">
        <v>501</v>
      </c>
      <c r="C17694" s="25" t="n">
        <f aca="false">IF(C17686&gt;0,C17678-C17690,0)</f>
        <v>0</v>
      </c>
      <c r="G17694" s="20" t="n">
        <f aca="false">IF(AND(G17572=1,G17543=1),1,0)</f>
        <v>0</v>
      </c>
      <c r="H17694" s="20" t="n">
        <f aca="false">IF(G17694=1,1,IF(AND(H17572=1,H17543=1),1,0))</f>
        <v>0</v>
      </c>
      <c r="I17694" s="20" t="n">
        <f aca="false">IF(H17694=1,1,IF(AND(I17572=1,I17543=1),1,0))</f>
        <v>0</v>
      </c>
      <c r="J17694" s="20" t="n">
        <f aca="false">IF(I17694=1,1,IF(AND(J17572=1,J17543=1),1,0))</f>
        <v>0</v>
      </c>
      <c r="K17694" s="20" t="n">
        <f aca="false">IF(J17694=1,1,IF(AND(K17572=1,K17543=1),1,0))</f>
        <v>0</v>
      </c>
    </row>
    <row r="17695" customFormat="false" ht="15" hidden="false" customHeight="false" outlineLevel="0" collapsed="false">
      <c r="A17695" s="23" t="s">
        <v>506</v>
      </c>
      <c r="B17695" s="24"/>
      <c r="C17695" s="24"/>
      <c r="D17695" s="24"/>
      <c r="E17695" s="24"/>
      <c r="F17695" s="24"/>
      <c r="G17695" s="24"/>
      <c r="H17695" s="24"/>
      <c r="I17695" s="24"/>
      <c r="J17695" s="24"/>
      <c r="K17695" s="24"/>
    </row>
    <row r="17696" customFormat="false" ht="15" hidden="false" customHeight="false" outlineLevel="0" collapsed="false">
      <c r="A17696" s="3" t="s">
        <v>499</v>
      </c>
      <c r="C17696" s="25" t="n">
        <f aca="false">IF(C17684&gt;0,C17692,C17676)</f>
        <v>1349.6193225</v>
      </c>
    </row>
    <row r="17697" customFormat="false" ht="15" hidden="false" customHeight="false" outlineLevel="0" collapsed="false">
      <c r="A17697" s="3" t="s">
        <v>500</v>
      </c>
      <c r="C17697" s="25" t="n">
        <f aca="false">IF(C17685&gt;0,C17693,C17677)</f>
        <v>0</v>
      </c>
    </row>
    <row r="17698" customFormat="false" ht="15" hidden="false" customHeight="false" outlineLevel="0" collapsed="false">
      <c r="A17698" s="3" t="s">
        <v>501</v>
      </c>
      <c r="C17698" s="25" t="n">
        <f aca="false">IF(C17686&gt;0,C17694,C17678)</f>
        <v>0</v>
      </c>
    </row>
    <row r="17699" customFormat="false" ht="15" hidden="false" customHeight="false" outlineLevel="0" collapsed="false">
      <c r="A17699" s="23" t="s">
        <v>507</v>
      </c>
      <c r="B17699" s="24"/>
      <c r="C17699" s="24"/>
      <c r="D17699" s="24"/>
      <c r="E17699" s="24"/>
      <c r="F17699" s="24"/>
      <c r="G17699" s="24"/>
      <c r="H17699" s="24"/>
      <c r="I17699" s="24"/>
      <c r="J17699" s="24"/>
      <c r="K17699" s="24"/>
    </row>
    <row r="17700" customFormat="false" ht="15" hidden="false" customHeight="false" outlineLevel="0" collapsed="false">
      <c r="A17700" s="3" t="s">
        <v>499</v>
      </c>
      <c r="C17700" s="20" t="n">
        <f aca="false">IF(C17684&gt;0,Assumptions!$C$17,C17680)</f>
        <v>1</v>
      </c>
    </row>
    <row r="17701" customFormat="false" ht="15" hidden="false" customHeight="false" outlineLevel="0" collapsed="false">
      <c r="A17701" s="3" t="s">
        <v>500</v>
      </c>
      <c r="C17701" s="20" t="n">
        <f aca="false">IF(C17685&gt;0,Assumptions!$C$17,C17681)</f>
        <v>2</v>
      </c>
    </row>
    <row r="17702" customFormat="false" ht="15" hidden="false" customHeight="false" outlineLevel="0" collapsed="false">
      <c r="A17702" s="3" t="s">
        <v>501</v>
      </c>
      <c r="C17702" s="20" t="n">
        <f aca="false">IF(C17686&gt;0,Assumptions!$C$17,C17682)</f>
        <v>2</v>
      </c>
    </row>
    <row r="17703" customFormat="false" ht="15" hidden="false" customHeight="false" outlineLevel="0" collapsed="false">
      <c r="A17703" s="23" t="s">
        <v>508</v>
      </c>
      <c r="B17703" s="24"/>
      <c r="C17703" s="24"/>
      <c r="D17703" s="24"/>
      <c r="E17703" s="24"/>
      <c r="F17703" s="24"/>
      <c r="G17703" s="24"/>
      <c r="H17703" s="24"/>
      <c r="I17703" s="24"/>
      <c r="J17703" s="24"/>
      <c r="K17703" s="24"/>
    </row>
    <row r="17704" customFormat="false" ht="15" hidden="false" customHeight="false" outlineLevel="0" collapsed="false">
      <c r="A17704" s="3" t="s">
        <v>499</v>
      </c>
      <c r="C17704" s="25" t="n">
        <f aca="false">SUMPRODUCT(($C$17700:$C$17702&lt;C17700)*$C$17696:$C$17698)</f>
        <v>0</v>
      </c>
    </row>
    <row r="17705" customFormat="false" ht="15" hidden="false" customHeight="false" outlineLevel="0" collapsed="false">
      <c r="A17705" s="3" t="s">
        <v>500</v>
      </c>
      <c r="C17705" s="25" t="n">
        <f aca="false">SUMPRODUCT(($C$17700:$C$17702&lt;C17701)*$C$17696:$C$17698)</f>
        <v>1349.6193225</v>
      </c>
    </row>
    <row r="17706" customFormat="false" ht="15" hidden="false" customHeight="false" outlineLevel="0" collapsed="false">
      <c r="A17706" s="3" t="s">
        <v>501</v>
      </c>
      <c r="C17706" s="25" t="n">
        <f aca="false">SUMPRODUCT(($C$17700:$C$17702&lt;C17702)*$C$17696:$C$17698)</f>
        <v>1349.6193225</v>
      </c>
    </row>
    <row r="17707" customFormat="false" ht="15" hidden="false" customHeight="false" outlineLevel="0" collapsed="false">
      <c r="A17707" s="23" t="s">
        <v>509</v>
      </c>
      <c r="B17707" s="24"/>
      <c r="C17707" s="24"/>
      <c r="D17707" s="24"/>
      <c r="E17707" s="24"/>
      <c r="F17707" s="24"/>
      <c r="G17707" s="24"/>
      <c r="H17707" s="24"/>
      <c r="I17707" s="24"/>
      <c r="J17707" s="24"/>
      <c r="K17707" s="24"/>
    </row>
    <row r="17708" customFormat="false" ht="15" hidden="false" customHeight="false" outlineLevel="0" collapsed="false">
      <c r="A17708" s="3" t="s">
        <v>499</v>
      </c>
      <c r="C17708" s="25" t="n">
        <f aca="false">SUMPRODUCT(($C$17700:$C$17702=C17700)*$C$17696:$C$17698)</f>
        <v>1349.6193225</v>
      </c>
    </row>
    <row r="17709" customFormat="false" ht="15" hidden="false" customHeight="false" outlineLevel="0" collapsed="false">
      <c r="A17709" s="3" t="s">
        <v>500</v>
      </c>
      <c r="C17709" s="25" t="n">
        <f aca="false">SUMPRODUCT(($C$17700:$C$17702=C17701)*$C$17696:$C$17698)</f>
        <v>0</v>
      </c>
    </row>
    <row r="17710" customFormat="false" ht="15" hidden="false" customHeight="false" outlineLevel="0" collapsed="false">
      <c r="A17710" s="3" t="s">
        <v>501</v>
      </c>
      <c r="C17710" s="25" t="n">
        <f aca="false">SUMPRODUCT(($C$17700:$C$17702=C17702)*$C$17696:$C$17698)</f>
        <v>0</v>
      </c>
    </row>
    <row r="17711" customFormat="false" ht="15" hidden="false" customHeight="false" outlineLevel="0" collapsed="false">
      <c r="A17711" s="23" t="s">
        <v>510</v>
      </c>
      <c r="B17711" s="24"/>
      <c r="C17711" s="24"/>
      <c r="D17711" s="24"/>
      <c r="E17711" s="24"/>
      <c r="F17711" s="24"/>
      <c r="G17711" s="24"/>
      <c r="H17711" s="24"/>
      <c r="I17711" s="24"/>
      <c r="J17711" s="24"/>
      <c r="K17711" s="24"/>
    </row>
    <row r="17712" customFormat="false" ht="15" hidden="false" customHeight="false" outlineLevel="0" collapsed="false">
      <c r="A17712" s="3" t="s">
        <v>499</v>
      </c>
      <c r="C17712" s="25" t="n">
        <f aca="false">IF(C17708=0,0,C17696/C17708*MAX(0,MIN(C17708,$C$17674-SUM($C$17688:$C$17690)-C17704)))</f>
        <v>714.907217141964</v>
      </c>
    </row>
    <row r="17713" customFormat="false" ht="15" hidden="false" customHeight="false" outlineLevel="0" collapsed="false">
      <c r="A17713" s="3" t="s">
        <v>500</v>
      </c>
      <c r="C17713" s="25" t="n">
        <f aca="false">IF(C17709=0,0,C17697/C17709*MAX(0,MIN(C17709,$C$17674-SUM($C$17688:$C$17690)-C17705)))</f>
        <v>0</v>
      </c>
    </row>
    <row r="17714" customFormat="false" ht="15" hidden="false" customHeight="false" outlineLevel="0" collapsed="false">
      <c r="A17714" s="3" t="s">
        <v>501</v>
      </c>
      <c r="C17714" s="25" t="n">
        <f aca="false">IF(C17710=0,0,C17698/C17710*MAX(0,MIN(C17710,$C$17674-SUM($C$17688:$C$17690)-C17706)))</f>
        <v>0</v>
      </c>
    </row>
    <row r="17715" customFormat="false" ht="15" hidden="false" customHeight="false" outlineLevel="0" collapsed="false">
      <c r="A17715" s="23" t="s">
        <v>511</v>
      </c>
      <c r="B17715" s="24"/>
      <c r="C17715" s="24"/>
      <c r="D17715" s="24"/>
      <c r="E17715" s="24"/>
      <c r="F17715" s="24"/>
      <c r="G17715" s="24"/>
      <c r="H17715" s="24"/>
      <c r="I17715" s="24"/>
      <c r="J17715" s="24"/>
      <c r="K17715" s="24"/>
    </row>
    <row r="17716" customFormat="false" ht="15" hidden="false" customHeight="false" outlineLevel="0" collapsed="false">
      <c r="A17716" s="2" t="s">
        <v>499</v>
      </c>
      <c r="C17716" s="16" t="n">
        <f aca="false">C17688+C17712</f>
        <v>714.907217141964</v>
      </c>
    </row>
    <row r="17717" customFormat="false" ht="15" hidden="false" customHeight="false" outlineLevel="0" collapsed="false">
      <c r="A17717" s="2" t="s">
        <v>500</v>
      </c>
      <c r="C17717" s="16" t="n">
        <f aca="false">C17689+C17713</f>
        <v>0</v>
      </c>
    </row>
    <row r="17718" customFormat="false" ht="15" hidden="false" customHeight="false" outlineLevel="0" collapsed="false">
      <c r="A17718" s="2" t="s">
        <v>501</v>
      </c>
      <c r="C17718" s="16" t="n">
        <f aca="false">C17690+C17714</f>
        <v>0</v>
      </c>
    </row>
    <row r="17719" customFormat="false" ht="15" hidden="false" customHeight="false" outlineLevel="0" collapsed="false">
      <c r="A17719" s="23" t="s">
        <v>512</v>
      </c>
      <c r="B17719" s="24"/>
      <c r="C17719" s="24"/>
      <c r="D17719" s="24"/>
      <c r="E17719" s="24"/>
      <c r="F17719" s="24"/>
      <c r="G17719" s="24"/>
      <c r="H17719" s="24"/>
      <c r="I17719" s="24"/>
      <c r="J17719" s="24"/>
      <c r="K17719" s="24"/>
    </row>
    <row r="17720" customFormat="false" ht="15" hidden="false" customHeight="false" outlineLevel="0" collapsed="false">
      <c r="A17720" s="3" t="s">
        <v>499</v>
      </c>
      <c r="C17720" s="21" t="n">
        <f aca="false">IF(C17676=0,1,C17716/C17676)</f>
        <v>0.529710271054573</v>
      </c>
    </row>
    <row r="17721" customFormat="false" ht="15" hidden="false" customHeight="false" outlineLevel="0" collapsed="false">
      <c r="A17721" s="3" t="s">
        <v>500</v>
      </c>
      <c r="C17721" s="21" t="n">
        <f aca="false">IF(C17677=0,1,C17717/C17677)</f>
        <v>1</v>
      </c>
    </row>
    <row r="17722" customFormat="false" ht="15" hidden="false" customHeight="false" outlineLevel="0" collapsed="false">
      <c r="A17722" s="3" t="s">
        <v>501</v>
      </c>
      <c r="C17722" s="21" t="n">
        <f aca="false">IF(C17678=0,1,C17718/C17678)</f>
        <v>1</v>
      </c>
    </row>
    <row r="17723" customFormat="false" ht="15" hidden="false" customHeight="false" outlineLevel="0" collapsed="false">
      <c r="A17723" s="23" t="s">
        <v>513</v>
      </c>
      <c r="B17723" s="24"/>
      <c r="C17723" s="24"/>
      <c r="D17723" s="24"/>
      <c r="E17723" s="24"/>
      <c r="F17723" s="24"/>
      <c r="G17723" s="24"/>
      <c r="H17723" s="24"/>
      <c r="I17723" s="24"/>
      <c r="J17723" s="24"/>
      <c r="K17723" s="24"/>
    </row>
    <row r="17724" customFormat="false" ht="15" hidden="false" customHeight="false" outlineLevel="0" collapsed="false">
      <c r="A17724" s="3" t="s">
        <v>499</v>
      </c>
      <c r="C17724" s="25" t="n">
        <f aca="false">C17676-C17716</f>
        <v>634.712105358036</v>
      </c>
    </row>
    <row r="17725" customFormat="false" ht="15" hidden="false" customHeight="false" outlineLevel="0" collapsed="false">
      <c r="A17725" s="3" t="s">
        <v>500</v>
      </c>
      <c r="C17725" s="25" t="n">
        <f aca="false">C17677-C17717</f>
        <v>0</v>
      </c>
    </row>
    <row r="17726" customFormat="false" ht="15" hidden="false" customHeight="false" outlineLevel="0" collapsed="false">
      <c r="A17726" s="3" t="s">
        <v>501</v>
      </c>
      <c r="C17726" s="25" t="n">
        <f aca="false">C17678-C17718</f>
        <v>0</v>
      </c>
    </row>
    <row r="17727" customFormat="false" ht="15" hidden="false" customHeight="false" outlineLevel="0" collapsed="false">
      <c r="A17727" s="23" t="s">
        <v>514</v>
      </c>
      <c r="B17727" s="24"/>
      <c r="C17727" s="24"/>
      <c r="D17727" s="24"/>
      <c r="E17727" s="24"/>
      <c r="F17727" s="24"/>
      <c r="G17727" s="24"/>
      <c r="H17727" s="24"/>
      <c r="I17727" s="24"/>
      <c r="J17727" s="24"/>
      <c r="K17727" s="24"/>
    </row>
    <row r="17728" customFormat="false" ht="15" hidden="false" customHeight="false" outlineLevel="0" collapsed="false">
      <c r="A17728" s="3" t="s">
        <v>499</v>
      </c>
      <c r="C17728" s="21" t="n">
        <f aca="false">IF(C17676=0,0,C17724/C17676)</f>
        <v>0.470289728945427</v>
      </c>
    </row>
    <row r="17729" customFormat="false" ht="15" hidden="false" customHeight="false" outlineLevel="0" collapsed="false">
      <c r="A17729" s="3" t="s">
        <v>500</v>
      </c>
      <c r="C17729" s="21" t="n">
        <f aca="false">IF(C17677=0,0,C17725/C17677)</f>
        <v>0</v>
      </c>
    </row>
    <row r="17730" customFormat="false" ht="15" hidden="false" customHeight="false" outlineLevel="0" collapsed="false">
      <c r="A17730" s="3" t="s">
        <v>501</v>
      </c>
      <c r="C17730" s="21" t="n">
        <f aca="false">IF(C17678=0,0,C17726/C17678)</f>
        <v>0</v>
      </c>
    </row>
    <row r="17731" customFormat="false" ht="15" hidden="false" customHeight="false" outlineLevel="0" collapsed="false">
      <c r="A17731" s="2" t="s">
        <v>515</v>
      </c>
      <c r="C17731" s="16" t="n">
        <f aca="false">MAX(0,$C$17674-SUM($C$17688:$C$17690)-SUM($C$17696:$C$17698))</f>
        <v>0</v>
      </c>
    </row>
    <row r="17732" customFormat="false" ht="15" hidden="false" customHeight="false" outlineLevel="0" collapsed="false">
      <c r="A17732" s="3" t="s">
        <v>516</v>
      </c>
      <c r="C17732" s="25" t="n">
        <f aca="false">SUM($C$17716:$C$17718)+C17731+C17673-C17672</f>
        <v>0</v>
      </c>
    </row>
    <row r="17734" customFormat="false" ht="15" hidden="false" customHeight="false" outlineLevel="0" collapsed="false">
      <c r="A17734" s="23" t="s">
        <v>519</v>
      </c>
      <c r="B17734" s="24"/>
      <c r="C17734" s="24"/>
      <c r="D17734" s="24"/>
      <c r="E17734" s="24"/>
      <c r="F17734" s="24"/>
      <c r="G17734" s="24"/>
      <c r="H17734" s="24"/>
      <c r="I17734" s="24"/>
      <c r="J17734" s="24"/>
      <c r="K17734" s="24"/>
    </row>
    <row r="17735" customFormat="false" ht="15" hidden="false" customHeight="false" outlineLevel="0" collapsed="false">
      <c r="A17735" s="3" t="s">
        <v>520</v>
      </c>
      <c r="C17735" s="27" t="n">
        <f aca="false">Assumptions!$C$33</f>
        <v>1</v>
      </c>
    </row>
    <row r="17736" customFormat="false" ht="15" hidden="false" customHeight="false" outlineLevel="0" collapsed="false">
      <c r="A17736" s="3" t="s">
        <v>521</v>
      </c>
      <c r="C17736" s="29" t="n">
        <f aca="false">Assumptions!$C$34</f>
        <v>100</v>
      </c>
    </row>
    <row r="17737" customFormat="false" ht="15" hidden="false" customHeight="false" outlineLevel="0" collapsed="false">
      <c r="A17737" s="3" t="s">
        <v>522</v>
      </c>
      <c r="C17737" s="40" t="n">
        <f aca="false">Assumptions!$C$35</f>
        <v>95</v>
      </c>
    </row>
    <row r="17738" customFormat="false" ht="15" hidden="false" customHeight="false" outlineLevel="0" collapsed="false">
      <c r="A17738" s="3" t="s">
        <v>523</v>
      </c>
      <c r="C17738" s="25" t="n">
        <f aca="false">C17736*C17737/100*(1+Assumptions!$C$36)</f>
        <v>95</v>
      </c>
    </row>
    <row r="17739" customFormat="false" ht="15" hidden="false" customHeight="false" outlineLevel="0" collapsed="false">
      <c r="A17739" s="3" t="s">
        <v>524</v>
      </c>
      <c r="C17739" s="27" t="n">
        <f aca="false">Assumptions!$C$37</f>
        <v>3</v>
      </c>
    </row>
    <row r="17740" customFormat="false" ht="15" hidden="false" customHeight="false" outlineLevel="0" collapsed="false">
      <c r="A17740" s="3" t="s">
        <v>525</v>
      </c>
      <c r="C17740" s="20" t="n">
        <f aca="false">IF(C17665=1,SUMPRODUCT($G$17617:$K$17617,$G$17510:$K$17510),0)</f>
        <v>0</v>
      </c>
    </row>
    <row r="17741" customFormat="false" ht="15" hidden="false" customHeight="false" outlineLevel="0" collapsed="false">
      <c r="A17741" s="3" t="s">
        <v>526</v>
      </c>
      <c r="C17741" s="21" t="n">
        <f aca="false">IFERROR(C17736/CHOOSE(C17735,SUMPRODUCT($G$17664:$K$17664,$G$17556:$K$17556),SUMPRODUCT($G$17664:$K$17664,$G$17569:$K$17569),SUMPRODUCT($G$17664:$K$17664,$G$17582:$K$17582)),0)</f>
        <v>0.0760399605200525</v>
      </c>
    </row>
    <row r="17742" customFormat="false" ht="15" hidden="false" customHeight="false" outlineLevel="0" collapsed="false">
      <c r="A17742" s="3" t="s">
        <v>527</v>
      </c>
      <c r="C17742" s="25" t="n">
        <f aca="false">CHOOSE(C17735,C17716,C17717,C17718)*C17741</f>
        <v>54.3615165669755</v>
      </c>
    </row>
    <row r="17743" customFormat="false" ht="15" hidden="false" customHeight="false" outlineLevel="0" collapsed="false">
      <c r="A17743" s="3" t="s">
        <v>528</v>
      </c>
      <c r="C17743" s="21" t="n">
        <f aca="false">CHOOSE(C17735,C17720,C17721,C17722)</f>
        <v>0.529710271054573</v>
      </c>
    </row>
    <row r="17744" customFormat="false" ht="15" hidden="false" customHeight="false" outlineLevel="0" collapsed="false">
      <c r="A17744" s="3" t="s">
        <v>529</v>
      </c>
      <c r="C17744" s="20" t="n">
        <f aca="false">IF(C17665=1,C17740,C17739)</f>
        <v>3</v>
      </c>
    </row>
    <row r="17745" customFormat="false" ht="15" hidden="false" customHeight="false" outlineLevel="0" collapsed="false">
      <c r="A17745" s="3" t="s">
        <v>530</v>
      </c>
      <c r="C17745" s="34" t="n">
        <f aca="false">CHOOSE($C$17502,Assumptions!$C$83,Assumptions!$C$102,Assumptions!$C$121)</f>
        <v>95</v>
      </c>
    </row>
    <row r="17746" customFormat="false" ht="15" hidden="false" customHeight="false" outlineLevel="0" collapsed="false">
      <c r="A17746" s="3" t="s">
        <v>531</v>
      </c>
      <c r="C17746" s="25" t="n">
        <f aca="false">INDEX($G$17519:$K$17519,C17739)*CHOOSE($C$17502,Assumptions!$C$82,Assumptions!$C$101,Assumptions!$C$120)+MAX(0,INDEX($G$17614:$K$17614,C17739))</f>
        <v>1068.84800987949</v>
      </c>
    </row>
    <row r="17747" customFormat="false" ht="15" hidden="false" customHeight="false" outlineLevel="0" collapsed="false">
      <c r="A17747" s="23" t="s">
        <v>532</v>
      </c>
      <c r="B17747" s="24"/>
      <c r="C17747" s="24"/>
      <c r="D17747" s="24"/>
      <c r="E17747" s="24"/>
      <c r="F17747" s="24"/>
      <c r="G17747" s="24"/>
      <c r="H17747" s="24"/>
      <c r="I17747" s="24"/>
      <c r="J17747" s="24"/>
      <c r="K17747" s="24"/>
    </row>
    <row r="17748" customFormat="false" ht="15" hidden="false" customHeight="false" outlineLevel="0" collapsed="false">
      <c r="A17748" s="3" t="s">
        <v>499</v>
      </c>
      <c r="C17748" s="25" t="n">
        <f aca="false">INDEX($G$17556:$K$17556,C17739)</f>
        <v>1315.098</v>
      </c>
    </row>
    <row r="17749" customFormat="false" ht="15" hidden="false" customHeight="false" outlineLevel="0" collapsed="false">
      <c r="A17749" s="3" t="s">
        <v>500</v>
      </c>
      <c r="C17749" s="25" t="n">
        <f aca="false">INDEX($G$17569:$K$17569,C17739)</f>
        <v>0</v>
      </c>
    </row>
    <row r="17750" customFormat="false" ht="15" hidden="false" customHeight="false" outlineLevel="0" collapsed="false">
      <c r="A17750" s="3" t="s">
        <v>501</v>
      </c>
      <c r="C17750" s="25" t="n">
        <f aca="false">INDEX($G$17582:$K$17582,C17739)</f>
        <v>0</v>
      </c>
    </row>
    <row r="17751" customFormat="false" ht="15" hidden="false" customHeight="false" outlineLevel="0" collapsed="false">
      <c r="A17751" s="23" t="s">
        <v>502</v>
      </c>
      <c r="B17751" s="24"/>
      <c r="C17751" s="24"/>
      <c r="D17751" s="24"/>
      <c r="E17751" s="24"/>
      <c r="F17751" s="24"/>
      <c r="G17751" s="24"/>
      <c r="H17751" s="24"/>
      <c r="I17751" s="24"/>
      <c r="J17751" s="24"/>
      <c r="K17751" s="24"/>
    </row>
    <row r="17752" customFormat="false" ht="15" hidden="false" customHeight="false" outlineLevel="0" collapsed="false">
      <c r="A17752" s="3" t="s">
        <v>499</v>
      </c>
      <c r="C17752" s="27" t="n">
        <f aca="false">Assumptions!$M$56</f>
        <v>1</v>
      </c>
    </row>
    <row r="17753" customFormat="false" ht="15" hidden="false" customHeight="false" outlineLevel="0" collapsed="false">
      <c r="A17753" s="3" t="s">
        <v>500</v>
      </c>
      <c r="C17753" s="27" t="n">
        <f aca="false">Assumptions!$M$57</f>
        <v>2</v>
      </c>
    </row>
    <row r="17754" customFormat="false" ht="15" hidden="false" customHeight="false" outlineLevel="0" collapsed="false">
      <c r="A17754" s="3" t="s">
        <v>501</v>
      </c>
      <c r="C17754" s="27" t="n">
        <f aca="false">Assumptions!$M$58</f>
        <v>2</v>
      </c>
    </row>
    <row r="17755" customFormat="false" ht="15" hidden="false" customHeight="false" outlineLevel="0" collapsed="false">
      <c r="A17755" s="23" t="s">
        <v>503</v>
      </c>
      <c r="B17755" s="24"/>
      <c r="C17755" s="24"/>
      <c r="D17755" s="24"/>
      <c r="E17755" s="24"/>
      <c r="F17755" s="24"/>
      <c r="G17755" s="24"/>
      <c r="H17755" s="24"/>
      <c r="I17755" s="24"/>
      <c r="J17755" s="24"/>
      <c r="K17755" s="24"/>
    </row>
    <row r="17756" customFormat="false" ht="15" hidden="false" customHeight="false" outlineLevel="0" collapsed="false">
      <c r="A17756" s="3" t="s">
        <v>499</v>
      </c>
      <c r="C17756" s="35" t="n">
        <f aca="false">Assumptions!$Q$56</f>
        <v>0</v>
      </c>
    </row>
    <row r="17757" customFormat="false" ht="15" hidden="false" customHeight="false" outlineLevel="0" collapsed="false">
      <c r="A17757" s="3" t="s">
        <v>500</v>
      </c>
      <c r="C17757" s="35" t="n">
        <f aca="false">Assumptions!$Q$57</f>
        <v>0</v>
      </c>
    </row>
    <row r="17758" customFormat="false" ht="15" hidden="false" customHeight="false" outlineLevel="0" collapsed="false">
      <c r="A17758" s="3" t="s">
        <v>501</v>
      </c>
      <c r="C17758" s="35" t="n">
        <f aca="false">Assumptions!$Q$58</f>
        <v>0</v>
      </c>
    </row>
    <row r="17759" customFormat="false" ht="15" hidden="false" customHeight="false" outlineLevel="0" collapsed="false">
      <c r="A17759" s="23" t="s">
        <v>504</v>
      </c>
      <c r="B17759" s="24"/>
      <c r="C17759" s="24"/>
      <c r="D17759" s="24"/>
      <c r="E17759" s="24"/>
      <c r="F17759" s="24"/>
      <c r="G17759" s="24"/>
      <c r="H17759" s="24"/>
      <c r="I17759" s="24"/>
      <c r="J17759" s="24"/>
      <c r="K17759" s="24"/>
    </row>
    <row r="17760" customFormat="false" ht="15" hidden="false" customHeight="false" outlineLevel="0" collapsed="false">
      <c r="A17760" s="3" t="s">
        <v>499</v>
      </c>
      <c r="C17760" s="25" t="n">
        <f aca="false">IF(C17756&gt;0,MIN(C17748,C17756*$C$17746),0)</f>
        <v>0</v>
      </c>
    </row>
    <row r="17761" customFormat="false" ht="15" hidden="false" customHeight="false" outlineLevel="0" collapsed="false">
      <c r="A17761" s="3" t="s">
        <v>500</v>
      </c>
      <c r="C17761" s="25" t="n">
        <f aca="false">IF(C17757&gt;0,MIN(C17749,C17757*$C$17746),0)</f>
        <v>0</v>
      </c>
    </row>
    <row r="17762" customFormat="false" ht="15" hidden="false" customHeight="false" outlineLevel="0" collapsed="false">
      <c r="A17762" s="3" t="s">
        <v>501</v>
      </c>
      <c r="C17762" s="25" t="n">
        <f aca="false">IF(C17758&gt;0,MIN(C17750,C17758*$C$17746),0)</f>
        <v>0</v>
      </c>
    </row>
    <row r="17763" customFormat="false" ht="15" hidden="false" customHeight="false" outlineLevel="0" collapsed="false">
      <c r="A17763" s="23" t="s">
        <v>505</v>
      </c>
      <c r="B17763" s="24"/>
      <c r="C17763" s="24"/>
      <c r="D17763" s="24"/>
      <c r="E17763" s="24"/>
      <c r="F17763" s="24"/>
      <c r="G17763" s="24"/>
      <c r="H17763" s="24"/>
      <c r="I17763" s="24"/>
      <c r="J17763" s="24"/>
      <c r="K17763" s="24"/>
    </row>
    <row r="17764" customFormat="false" ht="15" hidden="false" customHeight="false" outlineLevel="0" collapsed="false">
      <c r="A17764" s="3" t="s">
        <v>499</v>
      </c>
      <c r="C17764" s="25" t="n">
        <f aca="false">IF(C17756&gt;0,C17748-C17760,0)</f>
        <v>0</v>
      </c>
    </row>
    <row r="17765" customFormat="false" ht="15" hidden="false" customHeight="false" outlineLevel="0" collapsed="false">
      <c r="A17765" s="3" t="s">
        <v>500</v>
      </c>
      <c r="C17765" s="25" t="n">
        <f aca="false">IF(C17757&gt;0,C17749-C17761,0)</f>
        <v>0</v>
      </c>
    </row>
    <row r="17766" customFormat="false" ht="15" hidden="false" customHeight="false" outlineLevel="0" collapsed="false">
      <c r="A17766" s="3" t="s">
        <v>501</v>
      </c>
      <c r="C17766" s="25" t="n">
        <f aca="false">IF(C17758&gt;0,C17750-C17762,0)</f>
        <v>0</v>
      </c>
    </row>
    <row r="17767" customFormat="false" ht="15" hidden="false" customHeight="false" outlineLevel="0" collapsed="false">
      <c r="A17767" s="23" t="s">
        <v>506</v>
      </c>
      <c r="B17767" s="24"/>
      <c r="C17767" s="24"/>
      <c r="D17767" s="24"/>
      <c r="E17767" s="24"/>
      <c r="F17767" s="24"/>
      <c r="G17767" s="24"/>
      <c r="H17767" s="24"/>
      <c r="I17767" s="24"/>
      <c r="J17767" s="24"/>
      <c r="K17767" s="24"/>
    </row>
    <row r="17768" customFormat="false" ht="15" hidden="false" customHeight="false" outlineLevel="0" collapsed="false">
      <c r="A17768" s="3" t="s">
        <v>499</v>
      </c>
      <c r="C17768" s="25" t="n">
        <f aca="false">IF(C17756&gt;0,C17764,C17748)</f>
        <v>1315.098</v>
      </c>
    </row>
    <row r="17769" customFormat="false" ht="15" hidden="false" customHeight="false" outlineLevel="0" collapsed="false">
      <c r="A17769" s="3" t="s">
        <v>500</v>
      </c>
      <c r="C17769" s="25" t="n">
        <f aca="false">IF(C17757&gt;0,C17765,C17749)</f>
        <v>0</v>
      </c>
    </row>
    <row r="17770" customFormat="false" ht="15" hidden="false" customHeight="false" outlineLevel="0" collapsed="false">
      <c r="A17770" s="3" t="s">
        <v>501</v>
      </c>
      <c r="C17770" s="25" t="n">
        <f aca="false">IF(C17758&gt;0,C17766,C17750)</f>
        <v>0</v>
      </c>
    </row>
    <row r="17771" customFormat="false" ht="15" hidden="false" customHeight="false" outlineLevel="0" collapsed="false">
      <c r="A17771" s="23" t="s">
        <v>507</v>
      </c>
      <c r="B17771" s="24"/>
      <c r="C17771" s="24"/>
      <c r="D17771" s="24"/>
      <c r="E17771" s="24"/>
      <c r="F17771" s="24"/>
      <c r="G17771" s="24"/>
      <c r="H17771" s="24"/>
      <c r="I17771" s="24"/>
      <c r="J17771" s="24"/>
      <c r="K17771" s="24"/>
    </row>
    <row r="17772" customFormat="false" ht="15" hidden="false" customHeight="false" outlineLevel="0" collapsed="false">
      <c r="A17772" s="3" t="s">
        <v>499</v>
      </c>
      <c r="C17772" s="20" t="n">
        <f aca="false">IF(C17756&gt;0,Assumptions!$C$17,C17752)</f>
        <v>1</v>
      </c>
    </row>
    <row r="17773" customFormat="false" ht="15" hidden="false" customHeight="false" outlineLevel="0" collapsed="false">
      <c r="A17773" s="3" t="s">
        <v>500</v>
      </c>
      <c r="C17773" s="20" t="n">
        <f aca="false">IF(C17757&gt;0,Assumptions!$C$17,C17753)</f>
        <v>2</v>
      </c>
    </row>
    <row r="17774" customFormat="false" ht="15" hidden="false" customHeight="false" outlineLevel="0" collapsed="false">
      <c r="A17774" s="3" t="s">
        <v>501</v>
      </c>
      <c r="C17774" s="20" t="n">
        <f aca="false">IF(C17758&gt;0,Assumptions!$C$17,C17754)</f>
        <v>2</v>
      </c>
    </row>
    <row r="17775" customFormat="false" ht="15" hidden="false" customHeight="false" outlineLevel="0" collapsed="false">
      <c r="A17775" s="23" t="s">
        <v>508</v>
      </c>
      <c r="B17775" s="24"/>
      <c r="C17775" s="24"/>
      <c r="D17775" s="24"/>
      <c r="E17775" s="24"/>
      <c r="F17775" s="24"/>
      <c r="G17775" s="24"/>
      <c r="H17775" s="24"/>
      <c r="I17775" s="24"/>
      <c r="J17775" s="24"/>
      <c r="K17775" s="24"/>
    </row>
    <row r="17776" customFormat="false" ht="15" hidden="false" customHeight="false" outlineLevel="0" collapsed="false">
      <c r="A17776" s="3" t="s">
        <v>499</v>
      </c>
      <c r="C17776" s="25" t="n">
        <f aca="false">SUMPRODUCT(($C$17772:$C$17774&lt;C17772)*$C$17768:$C$17770)</f>
        <v>0</v>
      </c>
    </row>
    <row r="17777" customFormat="false" ht="15" hidden="false" customHeight="false" outlineLevel="0" collapsed="false">
      <c r="A17777" s="3" t="s">
        <v>500</v>
      </c>
      <c r="C17777" s="25" t="n">
        <f aca="false">SUMPRODUCT(($C$17772:$C$17774&lt;C17773)*$C$17768:$C$17770)</f>
        <v>1315.098</v>
      </c>
    </row>
    <row r="17778" customFormat="false" ht="15" hidden="false" customHeight="false" outlineLevel="0" collapsed="false">
      <c r="A17778" s="3" t="s">
        <v>501</v>
      </c>
      <c r="C17778" s="25" t="n">
        <f aca="false">SUMPRODUCT(($C$17772:$C$17774&lt;C17774)*$C$17768:$C$17770)</f>
        <v>1315.098</v>
      </c>
    </row>
    <row r="17779" customFormat="false" ht="15" hidden="false" customHeight="false" outlineLevel="0" collapsed="false">
      <c r="A17779" s="23" t="s">
        <v>509</v>
      </c>
      <c r="B17779" s="24"/>
      <c r="C17779" s="24"/>
      <c r="D17779" s="24"/>
      <c r="E17779" s="24"/>
      <c r="F17779" s="24"/>
      <c r="G17779" s="24"/>
      <c r="H17779" s="24"/>
      <c r="I17779" s="24"/>
      <c r="J17779" s="24"/>
      <c r="K17779" s="24"/>
    </row>
    <row r="17780" customFormat="false" ht="15" hidden="false" customHeight="false" outlineLevel="0" collapsed="false">
      <c r="A17780" s="3" t="s">
        <v>499</v>
      </c>
      <c r="C17780" s="25" t="n">
        <f aca="false">SUMPRODUCT(($C$17772:$C$17774=C17772)*$C$17768:$C$17770)</f>
        <v>1315.098</v>
      </c>
    </row>
    <row r="17781" customFormat="false" ht="15" hidden="false" customHeight="false" outlineLevel="0" collapsed="false">
      <c r="A17781" s="3" t="s">
        <v>500</v>
      </c>
      <c r="C17781" s="25" t="n">
        <f aca="false">SUMPRODUCT(($C$17772:$C$17774=C17773)*$C$17768:$C$17770)</f>
        <v>0</v>
      </c>
    </row>
    <row r="17782" customFormat="false" ht="15" hidden="false" customHeight="false" outlineLevel="0" collapsed="false">
      <c r="A17782" s="3" t="s">
        <v>501</v>
      </c>
      <c r="C17782" s="25" t="n">
        <f aca="false">SUMPRODUCT(($C$17772:$C$17774=C17774)*$C$17768:$C$17770)</f>
        <v>0</v>
      </c>
    </row>
    <row r="17783" customFormat="false" ht="15" hidden="false" customHeight="false" outlineLevel="0" collapsed="false">
      <c r="A17783" s="23" t="s">
        <v>510</v>
      </c>
      <c r="B17783" s="24"/>
      <c r="C17783" s="24"/>
      <c r="D17783" s="24"/>
      <c r="E17783" s="24"/>
      <c r="F17783" s="24"/>
      <c r="G17783" s="24"/>
      <c r="H17783" s="24"/>
      <c r="I17783" s="24"/>
      <c r="J17783" s="24"/>
      <c r="K17783" s="24"/>
    </row>
    <row r="17784" customFormat="false" ht="15" hidden="false" customHeight="false" outlineLevel="0" collapsed="false">
      <c r="A17784" s="3" t="s">
        <v>499</v>
      </c>
      <c r="C17784" s="25" t="n">
        <f aca="false">IF(C17780=0,0,C17768/C17780*MAX(0,MIN(C17780,$C$17746-SUM($C$17760:$C$17762)-C17776)))</f>
        <v>1068.84800987949</v>
      </c>
    </row>
    <row r="17785" customFormat="false" ht="15" hidden="false" customHeight="false" outlineLevel="0" collapsed="false">
      <c r="A17785" s="3" t="s">
        <v>500</v>
      </c>
      <c r="C17785" s="25" t="n">
        <f aca="false">IF(C17781=0,0,C17769/C17781*MAX(0,MIN(C17781,$C$17746-SUM($C$17760:$C$17762)-C17777)))</f>
        <v>0</v>
      </c>
    </row>
    <row r="17786" customFormat="false" ht="15" hidden="false" customHeight="false" outlineLevel="0" collapsed="false">
      <c r="A17786" s="3" t="s">
        <v>501</v>
      </c>
      <c r="C17786" s="25" t="n">
        <f aca="false">IF(C17782=0,0,C17770/C17782*MAX(0,MIN(C17782,$C$17746-SUM($C$17760:$C$17762)-C17778)))</f>
        <v>0</v>
      </c>
    </row>
    <row r="17787" customFormat="false" ht="15" hidden="false" customHeight="false" outlineLevel="0" collapsed="false">
      <c r="A17787" s="23" t="s">
        <v>511</v>
      </c>
      <c r="B17787" s="24"/>
      <c r="C17787" s="24"/>
      <c r="D17787" s="24"/>
      <c r="E17787" s="24"/>
      <c r="F17787" s="24"/>
      <c r="G17787" s="24"/>
      <c r="H17787" s="24"/>
      <c r="I17787" s="24"/>
      <c r="J17787" s="24"/>
      <c r="K17787" s="24"/>
    </row>
    <row r="17788" customFormat="false" ht="15" hidden="false" customHeight="false" outlineLevel="0" collapsed="false">
      <c r="A17788" s="2" t="s">
        <v>499</v>
      </c>
      <c r="C17788" s="16" t="n">
        <f aca="false">C17760+C17784</f>
        <v>1068.84800987949</v>
      </c>
    </row>
    <row r="17789" customFormat="false" ht="15" hidden="false" customHeight="false" outlineLevel="0" collapsed="false">
      <c r="A17789" s="2" t="s">
        <v>500</v>
      </c>
      <c r="C17789" s="16" t="n">
        <f aca="false">C17761+C17785</f>
        <v>0</v>
      </c>
    </row>
    <row r="17790" customFormat="false" ht="15" hidden="false" customHeight="false" outlineLevel="0" collapsed="false">
      <c r="A17790" s="2" t="s">
        <v>501</v>
      </c>
      <c r="C17790" s="16" t="n">
        <f aca="false">C17762+C17786</f>
        <v>0</v>
      </c>
    </row>
    <row r="17791" customFormat="false" ht="15" hidden="false" customHeight="false" outlineLevel="0" collapsed="false">
      <c r="A17791" s="23" t="s">
        <v>512</v>
      </c>
      <c r="B17791" s="24"/>
      <c r="C17791" s="24"/>
      <c r="D17791" s="24"/>
      <c r="E17791" s="24"/>
      <c r="F17791" s="24"/>
      <c r="G17791" s="24"/>
      <c r="H17791" s="24"/>
      <c r="I17791" s="24"/>
      <c r="J17791" s="24"/>
      <c r="K17791" s="24"/>
    </row>
    <row r="17792" customFormat="false" ht="15" hidden="false" customHeight="false" outlineLevel="0" collapsed="false">
      <c r="A17792" s="3" t="s">
        <v>499</v>
      </c>
      <c r="C17792" s="21" t="n">
        <f aca="false">IF(C17748=0,1,C17788/C17748)</f>
        <v>0.812751604731729</v>
      </c>
    </row>
    <row r="17793" customFormat="false" ht="15" hidden="false" customHeight="false" outlineLevel="0" collapsed="false">
      <c r="A17793" s="3" t="s">
        <v>500</v>
      </c>
      <c r="C17793" s="21" t="n">
        <f aca="false">IF(C17749=0,1,C17789/C17749)</f>
        <v>1</v>
      </c>
    </row>
    <row r="17794" customFormat="false" ht="15" hidden="false" customHeight="false" outlineLevel="0" collapsed="false">
      <c r="A17794" s="3" t="s">
        <v>501</v>
      </c>
      <c r="C17794" s="21" t="n">
        <f aca="false">IF(C17750=0,1,C17790/C17750)</f>
        <v>1</v>
      </c>
    </row>
    <row r="17795" customFormat="false" ht="15" hidden="false" customHeight="false" outlineLevel="0" collapsed="false">
      <c r="A17795" s="23" t="s">
        <v>513</v>
      </c>
      <c r="B17795" s="24"/>
      <c r="C17795" s="24"/>
      <c r="D17795" s="24"/>
      <c r="E17795" s="24"/>
      <c r="F17795" s="24"/>
      <c r="G17795" s="24"/>
      <c r="H17795" s="24"/>
      <c r="I17795" s="24"/>
      <c r="J17795" s="24"/>
      <c r="K17795" s="24"/>
    </row>
    <row r="17796" customFormat="false" ht="15" hidden="false" customHeight="false" outlineLevel="0" collapsed="false">
      <c r="A17796" s="3" t="s">
        <v>499</v>
      </c>
      <c r="C17796" s="25" t="n">
        <f aca="false">C17748-C17788</f>
        <v>246.249990120512</v>
      </c>
    </row>
    <row r="17797" customFormat="false" ht="15" hidden="false" customHeight="false" outlineLevel="0" collapsed="false">
      <c r="A17797" s="3" t="s">
        <v>500</v>
      </c>
      <c r="C17797" s="25" t="n">
        <f aca="false">C17749-C17789</f>
        <v>0</v>
      </c>
    </row>
    <row r="17798" customFormat="false" ht="15" hidden="false" customHeight="false" outlineLevel="0" collapsed="false">
      <c r="A17798" s="3" t="s">
        <v>501</v>
      </c>
      <c r="C17798" s="25" t="n">
        <f aca="false">C17750-C17790</f>
        <v>0</v>
      </c>
    </row>
    <row r="17799" customFormat="false" ht="15" hidden="false" customHeight="false" outlineLevel="0" collapsed="false">
      <c r="A17799" s="23" t="s">
        <v>514</v>
      </c>
      <c r="B17799" s="24"/>
      <c r="C17799" s="24"/>
      <c r="D17799" s="24"/>
      <c r="E17799" s="24"/>
      <c r="F17799" s="24"/>
      <c r="G17799" s="24"/>
      <c r="H17799" s="24"/>
      <c r="I17799" s="24"/>
      <c r="J17799" s="24"/>
      <c r="K17799" s="24"/>
    </row>
    <row r="17800" customFormat="false" ht="15" hidden="false" customHeight="false" outlineLevel="0" collapsed="false">
      <c r="A17800" s="3" t="s">
        <v>499</v>
      </c>
      <c r="C17800" s="21" t="n">
        <f aca="false">IF(C17748=0,0,C17796/C17748)</f>
        <v>0.187248395268271</v>
      </c>
    </row>
    <row r="17801" customFormat="false" ht="15" hidden="false" customHeight="false" outlineLevel="0" collapsed="false">
      <c r="A17801" s="3" t="s">
        <v>500</v>
      </c>
      <c r="C17801" s="21" t="n">
        <f aca="false">IF(C17749=0,0,C17797/C17749)</f>
        <v>0</v>
      </c>
    </row>
    <row r="17802" customFormat="false" ht="15" hidden="false" customHeight="false" outlineLevel="0" collapsed="false">
      <c r="A17802" s="3" t="s">
        <v>501</v>
      </c>
      <c r="C17802" s="21" t="n">
        <f aca="false">IF(C17750=0,0,C17798/C17750)</f>
        <v>0</v>
      </c>
    </row>
    <row r="17803" customFormat="false" ht="15" hidden="false" customHeight="false" outlineLevel="0" collapsed="false">
      <c r="A17803" s="2" t="s">
        <v>515</v>
      </c>
      <c r="C17803" s="16" t="n">
        <f aca="false">MAX(0,$C$17746-SUM($C$17760:$C$17762)-SUM($C$17768:$C$17770))</f>
        <v>0</v>
      </c>
    </row>
    <row r="17804" customFormat="false" ht="15" hidden="false" customHeight="false" outlineLevel="0" collapsed="false">
      <c r="A17804" s="3" t="s">
        <v>533</v>
      </c>
      <c r="C17804" s="34" t="n">
        <f aca="false">MIN(C17745,100*CHOOSE(C17735,C17792,C17793,C17794))</f>
        <v>81.2751604731729</v>
      </c>
    </row>
    <row r="17805" customFormat="false" ht="15" hidden="false" customHeight="false" outlineLevel="0" collapsed="false">
      <c r="A17805" s="3" t="s">
        <v>534</v>
      </c>
      <c r="C17805" s="20" t="n">
        <f aca="false">IF(C17665=1,C17740+Assumptions!$C$39,C17739)</f>
        <v>3</v>
      </c>
    </row>
    <row r="17806" customFormat="false" ht="15" hidden="false" customHeight="false" outlineLevel="0" collapsed="false">
      <c r="A17806" s="23" t="s">
        <v>535</v>
      </c>
      <c r="B17806" s="24"/>
      <c r="C17806" s="24"/>
      <c r="D17806" s="24"/>
      <c r="E17806" s="24"/>
      <c r="F17806" s="24"/>
      <c r="G17806" s="24"/>
      <c r="H17806" s="24"/>
      <c r="I17806" s="24"/>
      <c r="J17806" s="24"/>
      <c r="K17806" s="24"/>
    </row>
    <row r="17807" customFormat="false" ht="15" hidden="false" customHeight="false" outlineLevel="0" collapsed="false">
      <c r="A17807" s="3" t="s">
        <v>536</v>
      </c>
      <c r="C17807" s="20" t="n">
        <f aca="false">COLUMN()-COLUMN($C$1)</f>
        <v>0</v>
      </c>
      <c r="D17807" s="20" t="n">
        <f aca="false">COLUMN()-COLUMN($C$1)</f>
        <v>1</v>
      </c>
      <c r="E17807" s="20" t="n">
        <f aca="false">COLUMN()-COLUMN($C$1)</f>
        <v>2</v>
      </c>
      <c r="F17807" s="20" t="n">
        <f aca="false">COLUMN()-COLUMN($C$1)</f>
        <v>3</v>
      </c>
      <c r="G17807" s="20" t="n">
        <f aca="false">COLUMN()-COLUMN($C$1)</f>
        <v>4</v>
      </c>
      <c r="H17807" s="20" t="n">
        <f aca="false">COLUMN()-COLUMN($C$1)</f>
        <v>5</v>
      </c>
      <c r="I17807" s="20" t="n">
        <f aca="false">COLUMN()-COLUMN($C$1)</f>
        <v>6</v>
      </c>
    </row>
    <row r="17808" customFormat="false" ht="15" hidden="false" customHeight="false" outlineLevel="0" collapsed="false">
      <c r="A17808" s="3" t="s">
        <v>537</v>
      </c>
      <c r="D17808" s="31" t="n">
        <f aca="false">CHOOSE($C$17735,G17548,G17561,G17574)</f>
        <v>0.105</v>
      </c>
      <c r="E17808" s="31" t="n">
        <f aca="false">CHOOSE($C$17735,H17548,H17561,H17574)</f>
        <v>0.105</v>
      </c>
      <c r="F17808" s="31" t="n">
        <f aca="false">CHOOSE($C$17735,I17548,I17561,I17574)</f>
        <v>0.105</v>
      </c>
      <c r="G17808" s="31" t="n">
        <f aca="false">CHOOSE($C$17735,J17548,J17561,J17574)</f>
        <v>0.105</v>
      </c>
      <c r="H17808" s="31" t="n">
        <f aca="false">CHOOSE($C$17735,K17548,K17561,K17574)</f>
        <v>0.105</v>
      </c>
    </row>
    <row r="17809" customFormat="false" ht="15" hidden="false" customHeight="false" outlineLevel="0" collapsed="false">
      <c r="A17809" s="3" t="s">
        <v>538</v>
      </c>
      <c r="D17809" s="25" t="n">
        <f aca="false">IF(D17807&lt;=$C$17744,$C$17736*D17808,0)</f>
        <v>10.5</v>
      </c>
      <c r="E17809" s="25" t="n">
        <f aca="false">IF(E17807&lt;=$C$17744,$C$17736*E17808,0)</f>
        <v>10.5</v>
      </c>
      <c r="F17809" s="25" t="n">
        <f aca="false">IF(F17807&lt;=$C$17744,$C$17736*F17808,0)</f>
        <v>10.5</v>
      </c>
      <c r="G17809" s="25" t="n">
        <f aca="false">IF(G17807&lt;=$C$17744,$C$17736*G17808,0)</f>
        <v>0</v>
      </c>
      <c r="H17809" s="25" t="n">
        <f aca="false">IF(H17807&lt;=$C$17744,$C$17736*H17808,0)</f>
        <v>0</v>
      </c>
    </row>
    <row r="17810" customFormat="false" ht="15" hidden="false" customHeight="false" outlineLevel="0" collapsed="false">
      <c r="A17810" s="3" t="s">
        <v>539</v>
      </c>
      <c r="D17810" s="25" t="n">
        <f aca="false">IF(AND($C$17665=0,D17807=$C$17739),$C$17736*$C$17804/100,0)+IF(AND($C$17665=1,D17807=$C$17805),$C$17742,0)</f>
        <v>0</v>
      </c>
      <c r="E17810" s="25" t="n">
        <f aca="false">IF(AND($C$17665=0,E17807=$C$17739),$C$17736*$C$17804/100,0)+IF(AND($C$17665=1,E17807=$C$17805),$C$17742,0)</f>
        <v>0</v>
      </c>
      <c r="F17810" s="25" t="n">
        <f aca="false">IF(AND($C$17665=0,F17807=$C$17739),$C$17736*$C$17804/100,0)+IF(AND($C$17665=1,F17807=$C$17805),$C$17742,0)</f>
        <v>81.2751604731729</v>
      </c>
      <c r="G17810" s="25" t="n">
        <f aca="false">IF(AND($C$17665=0,G17807=$C$17739),$C$17736*$C$17804/100,0)+IF(AND($C$17665=1,G17807=$C$17805),$C$17742,0)</f>
        <v>0</v>
      </c>
      <c r="H17810" s="25" t="n">
        <f aca="false">IF(AND($C$17665=0,H17807=$C$17739),$C$17736*$C$17804/100,0)+IF(AND($C$17665=1,H17807=$C$17805),$C$17742,0)</f>
        <v>0</v>
      </c>
      <c r="I17810" s="25" t="n">
        <f aca="false">IF(AND($C$17665=0,I17807=$C$17739),$C$17736*$C$17804/100,0)+IF(AND($C$17665=1,I17807=$C$17805),$C$17742,0)</f>
        <v>0</v>
      </c>
    </row>
    <row r="17811" customFormat="false" ht="15" hidden="false" customHeight="false" outlineLevel="0" collapsed="false">
      <c r="A17811" s="2" t="s">
        <v>540</v>
      </c>
      <c r="C17811" s="16" t="n">
        <f aca="false">-$C$17738</f>
        <v>-95</v>
      </c>
      <c r="D17811" s="16" t="n">
        <f aca="false">D17809+D17810</f>
        <v>10.5</v>
      </c>
      <c r="E17811" s="16" t="n">
        <f aca="false">E17809+E17810</f>
        <v>10.5</v>
      </c>
      <c r="F17811" s="16" t="n">
        <f aca="false">F17809+F17810</f>
        <v>91.7751604731729</v>
      </c>
      <c r="G17811" s="16" t="n">
        <f aca="false">G17809+G17810</f>
        <v>0</v>
      </c>
      <c r="H17811" s="16" t="n">
        <f aca="false">H17809+H17810</f>
        <v>0</v>
      </c>
      <c r="I17811" s="16" t="n">
        <f aca="false">I17809+I17810</f>
        <v>0</v>
      </c>
    </row>
    <row r="17812" customFormat="false" ht="15" hidden="false" customHeight="false" outlineLevel="0" collapsed="false">
      <c r="A17812" s="3" t="s">
        <v>541</v>
      </c>
      <c r="C17812" s="25" t="n">
        <f aca="false">SUM($C$17809:$I$17809)</f>
        <v>31.5</v>
      </c>
    </row>
    <row r="17813" customFormat="false" ht="15" hidden="false" customHeight="false" outlineLevel="0" collapsed="false">
      <c r="A17813" s="3" t="s">
        <v>542</v>
      </c>
      <c r="C17813" s="25" t="n">
        <f aca="false">SUM($C$17810:$I$17810)</f>
        <v>81.2751604731729</v>
      </c>
    </row>
    <row r="17814" customFormat="false" ht="15" hidden="false" customHeight="false" outlineLevel="0" collapsed="false">
      <c r="A17814" s="3" t="s">
        <v>543</v>
      </c>
      <c r="C17814" s="25" t="n">
        <f aca="false">C17812+C17813</f>
        <v>112.775160473173</v>
      </c>
    </row>
    <row r="17815" customFormat="false" ht="15" hidden="false" customHeight="false" outlineLevel="0" collapsed="false">
      <c r="A17815" s="3" t="s">
        <v>544</v>
      </c>
      <c r="C17815" s="25" t="n">
        <f aca="false">C17813-C17736*C17737/100</f>
        <v>-13.7248395268271</v>
      </c>
    </row>
    <row r="17816" customFormat="false" ht="15" hidden="false" customHeight="false" outlineLevel="0" collapsed="false">
      <c r="A17816" s="3" t="s">
        <v>545</v>
      </c>
      <c r="C17816" s="25" t="n">
        <f aca="false">C17814-C17738</f>
        <v>17.7751604731729</v>
      </c>
    </row>
    <row r="17817" customFormat="false" ht="15" hidden="false" customHeight="false" outlineLevel="0" collapsed="false">
      <c r="A17817" s="2" t="s">
        <v>427</v>
      </c>
      <c r="C17817" s="44" t="n">
        <f aca="false">C17814/C17738</f>
        <v>1.18710695234919</v>
      </c>
    </row>
    <row r="17818" customFormat="false" ht="15" hidden="false" customHeight="false" outlineLevel="0" collapsed="false">
      <c r="A17818" s="2" t="s">
        <v>426</v>
      </c>
      <c r="C17818" s="42" t="n">
        <f aca="false">IF(C17814&lt;=0,-1,IFERROR(IRR($C$17811:$I$17811,MAX(-0.9,C17817^(1/C17805)-1)),IRR($C$17811:$I$17811,0.1)))</f>
        <v>0.0653848807562152</v>
      </c>
    </row>
    <row r="17819" customFormat="false" ht="15" hidden="false" customHeight="false" outlineLevel="0" collapsed="false">
      <c r="A17819" s="3" t="s">
        <v>546</v>
      </c>
      <c r="C17819" s="32" t="n">
        <f aca="false">MAX($G$17625:$K$17625)</f>
        <v>7.33831226622703</v>
      </c>
    </row>
    <row r="17820" customFormat="false" ht="15" hidden="false" customHeight="false" outlineLevel="0" collapsed="false">
      <c r="A17820" s="3" t="s">
        <v>547</v>
      </c>
      <c r="C17820" s="32" t="n">
        <f aca="false">MIN($G$17626:$K$17626)</f>
        <v>1.18070192905498</v>
      </c>
    </row>
    <row r="17821" customFormat="false" ht="15" hidden="false" customHeight="false" outlineLevel="0" collapsed="false">
      <c r="A17821" s="3" t="s">
        <v>548</v>
      </c>
      <c r="C17821" s="25" t="n">
        <f aca="false">SUM($G$17532:$K$17532)</f>
        <v>75.1374128562126</v>
      </c>
    </row>
    <row r="17825" customFormat="false" ht="15" hidden="false" customHeight="false" outlineLevel="0" collapsed="false">
      <c r="A17825" s="9" t="s">
        <v>1069</v>
      </c>
      <c r="B17825" s="10"/>
      <c r="C17825" s="10"/>
      <c r="D17825" s="10"/>
      <c r="E17825" s="10"/>
      <c r="F17825" s="10"/>
      <c r="G17825" s="10"/>
      <c r="H17825" s="10"/>
      <c r="I17825" s="10"/>
      <c r="J17825" s="10"/>
      <c r="K17825" s="10"/>
    </row>
    <row r="17826" customFormat="false" ht="15" hidden="false" customHeight="false" outlineLevel="0" collapsed="false">
      <c r="A17826" s="3" t="s">
        <v>1010</v>
      </c>
      <c r="C17826" s="11" t="n">
        <v>2</v>
      </c>
    </row>
    <row r="17827" customFormat="false" ht="15" hidden="false" customHeight="false" outlineLevel="0" collapsed="false">
      <c r="A17827" s="3" t="s">
        <v>1011</v>
      </c>
      <c r="C17827" s="18" t="n">
        <v>0</v>
      </c>
    </row>
    <row r="17828" customFormat="false" ht="15" hidden="false" customHeight="false" outlineLevel="0" collapsed="false">
      <c r="A17828" s="3" t="s">
        <v>1012</v>
      </c>
      <c r="C17828" s="18" t="n">
        <v>0</v>
      </c>
    </row>
    <row r="17829" customFormat="false" ht="15" hidden="false" customHeight="false" outlineLevel="0" collapsed="false">
      <c r="A17829" s="3" t="s">
        <v>1013</v>
      </c>
      <c r="C17829" s="18" t="n">
        <v>0</v>
      </c>
    </row>
    <row r="17830" customFormat="false" ht="15" hidden="false" customHeight="false" outlineLevel="0" collapsed="false">
      <c r="A17830" s="3" t="s">
        <v>1014</v>
      </c>
      <c r="C17830" s="33" t="n">
        <f aca="false">Sensitivities!$A$62</f>
        <v>0</v>
      </c>
    </row>
    <row r="17832" customFormat="false" ht="15" hidden="false" customHeight="false" outlineLevel="0" collapsed="false">
      <c r="A17832" s="23" t="s">
        <v>281</v>
      </c>
      <c r="B17832" s="24"/>
      <c r="C17832" s="24"/>
      <c r="D17832" s="24"/>
      <c r="E17832" s="24"/>
      <c r="F17832" s="24"/>
      <c r="G17832" s="24"/>
      <c r="H17832" s="24"/>
      <c r="I17832" s="24"/>
      <c r="J17832" s="24"/>
      <c r="K17832" s="24"/>
    </row>
    <row r="17833" customFormat="false" ht="15" hidden="false" customHeight="false" outlineLevel="0" collapsed="false">
      <c r="A17833" s="3" t="s">
        <v>282</v>
      </c>
      <c r="F17833" s="27" t="n">
        <f aca="false">Assumptions!$C$6</f>
        <v>2026</v>
      </c>
      <c r="G17833" s="20" t="n">
        <f aca="false">F17833+1</f>
        <v>2027</v>
      </c>
      <c r="H17833" s="20" t="n">
        <f aca="false">G17833+1</f>
        <v>2028</v>
      </c>
      <c r="I17833" s="20" t="n">
        <f aca="false">H17833+1</f>
        <v>2029</v>
      </c>
      <c r="J17833" s="20" t="n">
        <f aca="false">I17833+1</f>
        <v>2030</v>
      </c>
      <c r="K17833" s="20" t="n">
        <f aca="false">J17833+1</f>
        <v>2031</v>
      </c>
    </row>
    <row r="17834" customFormat="false" ht="15" hidden="false" customHeight="false" outlineLevel="0" collapsed="false">
      <c r="A17834" s="3" t="s">
        <v>283</v>
      </c>
      <c r="G17834" s="20" t="n">
        <f aca="false">G17833-Assumptions!$C$6</f>
        <v>1</v>
      </c>
      <c r="H17834" s="20" t="n">
        <f aca="false">H17833-Assumptions!$C$6</f>
        <v>2</v>
      </c>
      <c r="I17834" s="20" t="n">
        <f aca="false">I17833-Assumptions!$C$6</f>
        <v>3</v>
      </c>
      <c r="J17834" s="20" t="n">
        <f aca="false">J17833-Assumptions!$C$6</f>
        <v>4</v>
      </c>
      <c r="K17834" s="20" t="n">
        <f aca="false">K17833-Assumptions!$C$6</f>
        <v>5</v>
      </c>
    </row>
    <row r="17835" customFormat="false" ht="15" hidden="false" customHeight="false" outlineLevel="0" collapsed="false">
      <c r="A17835" s="3" t="s">
        <v>165</v>
      </c>
      <c r="G17835" s="21" t="n">
        <f aca="false">CHOOSE($C$17826,Assumptions!$G$71,Assumptions!$G$90,Assumptions!$G$109)+$C$17827</f>
        <v>-0.08</v>
      </c>
      <c r="H17835" s="21" t="n">
        <f aca="false">CHOOSE($C$17826,Assumptions!$H$71,Assumptions!$H$90,Assumptions!$H$109)+$C$17827</f>
        <v>-0.07</v>
      </c>
      <c r="I17835" s="21" t="n">
        <f aca="false">CHOOSE($C$17826,Assumptions!$I$71,Assumptions!$I$90,Assumptions!$I$109)+$C$17827</f>
        <v>-0.06</v>
      </c>
      <c r="J17835" s="21" t="n">
        <f aca="false">CHOOSE($C$17826,Assumptions!$J$71,Assumptions!$J$90,Assumptions!$J$109)+$C$17827</f>
        <v>-0.05</v>
      </c>
      <c r="K17835" s="21" t="n">
        <f aca="false">CHOOSE($C$17826,Assumptions!$K$71,Assumptions!$K$90,Assumptions!$K$109)+$C$17827</f>
        <v>-0.05</v>
      </c>
    </row>
    <row r="17836" customFormat="false" ht="15" hidden="false" customHeight="false" outlineLevel="0" collapsed="false">
      <c r="A17836" s="3" t="s">
        <v>166</v>
      </c>
      <c r="G17836" s="21" t="n">
        <f aca="false">CHOOSE($C$17826,Assumptions!$G$72,Assumptions!$G$91,Assumptions!$G$110)</f>
        <v>0.463246670103635</v>
      </c>
      <c r="H17836" s="21" t="n">
        <f aca="false">CHOOSE($C$17826,Assumptions!$H$72,Assumptions!$H$91,Assumptions!$H$110)</f>
        <v>0.453246670103635</v>
      </c>
      <c r="I17836" s="21" t="n">
        <f aca="false">CHOOSE($C$17826,Assumptions!$I$72,Assumptions!$I$91,Assumptions!$I$110)</f>
        <v>0.448246670103634</v>
      </c>
      <c r="J17836" s="21" t="n">
        <f aca="false">CHOOSE($C$17826,Assumptions!$J$72,Assumptions!$J$91,Assumptions!$J$110)</f>
        <v>0.443246670103635</v>
      </c>
      <c r="K17836" s="21" t="n">
        <f aca="false">CHOOSE($C$17826,Assumptions!$K$72,Assumptions!$K$91,Assumptions!$K$110)</f>
        <v>0.443246670103635</v>
      </c>
    </row>
    <row r="17837" customFormat="false" ht="15" hidden="false" customHeight="false" outlineLevel="0" collapsed="false">
      <c r="A17837" s="3" t="s">
        <v>167</v>
      </c>
      <c r="G17837" s="21" t="n">
        <f aca="false">CHOOSE($C$17826,Assumptions!$G$73,Assumptions!$G$92,Assumptions!$G$111)+$C$17828</f>
        <v>0.12</v>
      </c>
      <c r="H17837" s="21" t="n">
        <f aca="false">CHOOSE($C$17826,Assumptions!$H$73,Assumptions!$H$92,Assumptions!$H$111)+$C$17828</f>
        <v>0.11</v>
      </c>
      <c r="I17837" s="21" t="n">
        <f aca="false">CHOOSE($C$17826,Assumptions!$I$73,Assumptions!$I$92,Assumptions!$I$111)+$C$17828</f>
        <v>0.105</v>
      </c>
      <c r="J17837" s="21" t="n">
        <f aca="false">CHOOSE($C$17826,Assumptions!$J$73,Assumptions!$J$92,Assumptions!$J$111)+$C$17828</f>
        <v>0.1</v>
      </c>
      <c r="K17837" s="21" t="n">
        <f aca="false">CHOOSE($C$17826,Assumptions!$K$73,Assumptions!$K$92,Assumptions!$K$111)+$C$17828</f>
        <v>0.1</v>
      </c>
    </row>
    <row r="17838" customFormat="false" ht="15" hidden="false" customHeight="false" outlineLevel="0" collapsed="false">
      <c r="A17838" s="23" t="s">
        <v>284</v>
      </c>
      <c r="B17838" s="24"/>
      <c r="C17838" s="24"/>
      <c r="D17838" s="24"/>
      <c r="E17838" s="24"/>
      <c r="F17838" s="24"/>
      <c r="G17838" s="24"/>
      <c r="H17838" s="24"/>
      <c r="I17838" s="24"/>
      <c r="J17838" s="24"/>
      <c r="K17838" s="24"/>
    </row>
    <row r="17839" customFormat="false" ht="15" hidden="false" customHeight="false" outlineLevel="0" collapsed="false">
      <c r="A17839" s="2" t="s">
        <v>256</v>
      </c>
      <c r="F17839" s="28" t="n">
        <f aca="false">'Historical Financials'!G23</f>
        <v>2246.166</v>
      </c>
      <c r="G17839" s="16" t="n">
        <f aca="false">F17839*(1+G17835)</f>
        <v>2066.47272</v>
      </c>
      <c r="H17839" s="16" t="n">
        <f aca="false">G17839*(1+H17835)</f>
        <v>1921.8196296</v>
      </c>
      <c r="I17839" s="16" t="n">
        <f aca="false">H17839*(1+I17835)</f>
        <v>1806.510451824</v>
      </c>
      <c r="J17839" s="16" t="n">
        <f aca="false">I17839*(1+J17835)</f>
        <v>1716.1849292328</v>
      </c>
      <c r="K17839" s="16" t="n">
        <f aca="false">J17839*(1+K17835)</f>
        <v>1630.37568277116</v>
      </c>
    </row>
    <row r="17840" customFormat="false" ht="15" hidden="false" customHeight="false" outlineLevel="0" collapsed="false">
      <c r="A17840" s="3" t="s">
        <v>257</v>
      </c>
      <c r="G17840" s="25" t="n">
        <f aca="false">G17839*(1-G17836)</f>
        <v>1109.1861136</v>
      </c>
      <c r="H17840" s="25" t="n">
        <f aca="false">H17839*(1-H17836)</f>
        <v>1050.761281944</v>
      </c>
      <c r="I17840" s="25" t="n">
        <f aca="false">I17839*(1-I17836)</f>
        <v>996.74815728648</v>
      </c>
      <c r="J17840" s="25" t="n">
        <f aca="false">J17839*(1-J17836)</f>
        <v>955.49167406832</v>
      </c>
      <c r="K17840" s="25" t="n">
        <f aca="false">K17839*(1-K17836)</f>
        <v>907.717090364904</v>
      </c>
    </row>
    <row r="17841" customFormat="false" ht="15" hidden="false" customHeight="false" outlineLevel="0" collapsed="false">
      <c r="A17841" s="2" t="s">
        <v>258</v>
      </c>
      <c r="G17841" s="16" t="n">
        <f aca="false">G17839-G17840</f>
        <v>957.2866064</v>
      </c>
      <c r="H17841" s="16" t="n">
        <f aca="false">H17839-H17840</f>
        <v>871.058347656</v>
      </c>
      <c r="I17841" s="16" t="n">
        <f aca="false">I17839-I17840</f>
        <v>809.76229453752</v>
      </c>
      <c r="J17841" s="16" t="n">
        <f aca="false">J17839-J17840</f>
        <v>760.69325516448</v>
      </c>
      <c r="K17841" s="16" t="n">
        <f aca="false">K17839-K17840</f>
        <v>722.658592406256</v>
      </c>
    </row>
    <row r="17842" customFormat="false" ht="15" hidden="false" customHeight="false" outlineLevel="0" collapsed="false">
      <c r="A17842" s="3" t="s">
        <v>285</v>
      </c>
      <c r="G17842" s="25" t="n">
        <f aca="false">G17841-G17843</f>
        <v>709.30988</v>
      </c>
      <c r="H17842" s="25" t="n">
        <f aca="false">H17841-H17843</f>
        <v>659.6581884</v>
      </c>
      <c r="I17842" s="25" t="n">
        <f aca="false">I17841-I17843</f>
        <v>620.078697096</v>
      </c>
      <c r="J17842" s="25" t="n">
        <f aca="false">J17841-J17843</f>
        <v>589.0747622412</v>
      </c>
      <c r="K17842" s="25" t="n">
        <f aca="false">K17841-K17843</f>
        <v>559.62102412914</v>
      </c>
    </row>
    <row r="17843" customFormat="false" ht="15" hidden="false" customHeight="false" outlineLevel="0" collapsed="false">
      <c r="A17843" s="2" t="s">
        <v>286</v>
      </c>
      <c r="G17843" s="16" t="n">
        <f aca="false">G17839*G17837</f>
        <v>247.9767264</v>
      </c>
      <c r="H17843" s="16" t="n">
        <f aca="false">H17839*H17837</f>
        <v>211.400159256</v>
      </c>
      <c r="I17843" s="16" t="n">
        <f aca="false">I17839*I17837</f>
        <v>189.68359744152</v>
      </c>
      <c r="J17843" s="16" t="n">
        <f aca="false">J17839*J17837</f>
        <v>171.61849292328</v>
      </c>
      <c r="K17843" s="16" t="n">
        <f aca="false">K17839*K17837</f>
        <v>163.037568277116</v>
      </c>
    </row>
    <row r="17844" customFormat="false" ht="15" hidden="false" customHeight="false" outlineLevel="0" collapsed="false">
      <c r="A17844" s="3" t="s">
        <v>287</v>
      </c>
      <c r="G17844" s="25" t="n">
        <f aca="false">G17839*'Historical Financials'!G28/'Historical Financials'!G23</f>
        <v>78.47232</v>
      </c>
      <c r="H17844" s="25" t="n">
        <f aca="false">H17839*'Historical Financials'!G28/'Historical Financials'!G23</f>
        <v>72.9792576</v>
      </c>
      <c r="I17844" s="25" t="n">
        <f aca="false">I17839*'Historical Financials'!G28/'Historical Financials'!G23</f>
        <v>68.600502144</v>
      </c>
      <c r="J17844" s="25" t="n">
        <f aca="false">J17839*'Historical Financials'!G28/'Historical Financials'!G23</f>
        <v>65.1704770368</v>
      </c>
      <c r="K17844" s="25" t="n">
        <f aca="false">K17839*'Historical Financials'!G28/'Historical Financials'!G23</f>
        <v>61.91195318496</v>
      </c>
    </row>
    <row r="17845" customFormat="false" ht="15" hidden="false" customHeight="false" outlineLevel="0" collapsed="false">
      <c r="A17845" s="3" t="s">
        <v>288</v>
      </c>
      <c r="G17845" s="25" t="n">
        <f aca="false">G17839*'Historical Financials'!G29/'Historical Financials'!G23</f>
        <v>22.40752</v>
      </c>
      <c r="H17845" s="25" t="n">
        <f aca="false">H17839*'Historical Financials'!G29/'Historical Financials'!G23</f>
        <v>20.8389936</v>
      </c>
      <c r="I17845" s="25" t="n">
        <f aca="false">I17839*'Historical Financials'!G29/'Historical Financials'!G23</f>
        <v>19.588653984</v>
      </c>
      <c r="J17845" s="25" t="n">
        <f aca="false">J17839*'Historical Financials'!G29/'Historical Financials'!G23</f>
        <v>18.6092212848</v>
      </c>
      <c r="K17845" s="25" t="n">
        <f aca="false">K17839*'Historical Financials'!G29/'Historical Financials'!G23</f>
        <v>17.67876022056</v>
      </c>
    </row>
    <row r="17846" customFormat="false" ht="15" hidden="false" customHeight="false" outlineLevel="0" collapsed="false">
      <c r="A17846" s="2" t="s">
        <v>289</v>
      </c>
      <c r="G17846" s="16" t="n">
        <f aca="false">G17843-G17844-G17845</f>
        <v>147.0968864</v>
      </c>
      <c r="H17846" s="16" t="n">
        <f aca="false">H17843-H17844-H17845</f>
        <v>117.581908056</v>
      </c>
      <c r="I17846" s="16" t="n">
        <f aca="false">I17843-I17844-I17845</f>
        <v>101.49444131352</v>
      </c>
      <c r="J17846" s="16" t="n">
        <f aca="false">J17843-J17844-J17845</f>
        <v>87.83879460168</v>
      </c>
      <c r="K17846" s="16" t="n">
        <f aca="false">K17843-K17844-K17845</f>
        <v>83.446854871596</v>
      </c>
    </row>
    <row r="17847" customFormat="false" ht="15" hidden="false" customHeight="false" outlineLevel="0" collapsed="false">
      <c r="A17847" s="3" t="s">
        <v>290</v>
      </c>
      <c r="G17847" s="25" t="n">
        <f aca="false">G17873+G17886+G17899</f>
        <v>155.95467</v>
      </c>
      <c r="H17847" s="25" t="n">
        <f aca="false">H17873+H17886+H17899</f>
        <v>155.95467</v>
      </c>
      <c r="I17847" s="25" t="n">
        <f aca="false">I17873+I17886+I17899</f>
        <v>155.95467</v>
      </c>
      <c r="J17847" s="25" t="n">
        <f aca="false">J17873+J17886+J17899</f>
        <v>138.08529</v>
      </c>
      <c r="K17847" s="25" t="n">
        <f aca="false">K17873+K17886+K17899</f>
        <v>138.08529</v>
      </c>
    </row>
    <row r="17848" customFormat="false" ht="15" hidden="false" customHeight="false" outlineLevel="0" collapsed="false">
      <c r="A17848" s="3" t="s">
        <v>291</v>
      </c>
      <c r="G17848" s="25" t="n">
        <f aca="false">G17874+G17887+G17900</f>
        <v>0</v>
      </c>
      <c r="H17848" s="25" t="n">
        <f aca="false">H17874+H17887+H17900</f>
        <v>0</v>
      </c>
      <c r="I17848" s="25" t="n">
        <f aca="false">I17874+I17887+I17900</f>
        <v>0</v>
      </c>
      <c r="J17848" s="25" t="n">
        <f aca="false">J17874+J17887+J17900</f>
        <v>0</v>
      </c>
      <c r="K17848" s="25" t="n">
        <f aca="false">K17874+K17887+K17900</f>
        <v>0</v>
      </c>
    </row>
    <row r="17849" customFormat="false" ht="15" hidden="false" customHeight="false" outlineLevel="0" collapsed="false">
      <c r="A17849" s="3" t="s">
        <v>239</v>
      </c>
      <c r="G17849" s="25" t="n">
        <f aca="false">G17847+G17848</f>
        <v>155.95467</v>
      </c>
      <c r="H17849" s="25" t="n">
        <f aca="false">H17847+H17848</f>
        <v>155.95467</v>
      </c>
      <c r="I17849" s="25" t="n">
        <f aca="false">I17847+I17848</f>
        <v>155.95467</v>
      </c>
      <c r="J17849" s="25" t="n">
        <f aca="false">J17847+J17848</f>
        <v>138.08529</v>
      </c>
      <c r="K17849" s="25" t="n">
        <f aca="false">K17847+K17848</f>
        <v>138.08529</v>
      </c>
    </row>
    <row r="17850" customFormat="false" ht="15" hidden="false" customHeight="false" outlineLevel="0" collapsed="false">
      <c r="A17850" s="2" t="s">
        <v>264</v>
      </c>
      <c r="G17850" s="16" t="n">
        <f aca="false">G17846-G17849</f>
        <v>-8.85778360000006</v>
      </c>
      <c r="H17850" s="16" t="n">
        <f aca="false">H17846-H17849</f>
        <v>-38.372761944</v>
      </c>
      <c r="I17850" s="16" t="n">
        <f aca="false">I17846-I17849</f>
        <v>-54.46022868648</v>
      </c>
      <c r="J17850" s="16" t="n">
        <f aca="false">J17846-J17849</f>
        <v>-50.24649539832</v>
      </c>
      <c r="K17850" s="16" t="n">
        <f aca="false">K17846-K17849</f>
        <v>-54.638435128404</v>
      </c>
    </row>
    <row r="17851" customFormat="false" ht="15" hidden="false" customHeight="false" outlineLevel="0" collapsed="false">
      <c r="A17851" s="3" t="s">
        <v>292</v>
      </c>
      <c r="G17851" s="25" t="n">
        <f aca="false">MAX(0,G17850)*Assumptions!$C$9</f>
        <v>0</v>
      </c>
      <c r="H17851" s="25" t="n">
        <f aca="false">MAX(0,H17850)*Assumptions!$C$9</f>
        <v>0</v>
      </c>
      <c r="I17851" s="25" t="n">
        <f aca="false">MAX(0,I17850)*Assumptions!$C$9</f>
        <v>0</v>
      </c>
      <c r="J17851" s="25" t="n">
        <f aca="false">MAX(0,J17850)*Assumptions!$C$9</f>
        <v>0</v>
      </c>
      <c r="K17851" s="25" t="n">
        <f aca="false">MAX(0,K17850)*Assumptions!$C$9</f>
        <v>0</v>
      </c>
    </row>
    <row r="17852" customFormat="false" ht="15" hidden="false" customHeight="false" outlineLevel="0" collapsed="false">
      <c r="A17852" s="2" t="s">
        <v>293</v>
      </c>
      <c r="G17852" s="16" t="n">
        <f aca="false">G17850-G17851</f>
        <v>-8.85778360000006</v>
      </c>
      <c r="H17852" s="16" t="n">
        <f aca="false">H17850-H17851</f>
        <v>-38.372761944</v>
      </c>
      <c r="I17852" s="16" t="n">
        <f aca="false">I17850-I17851</f>
        <v>-54.46022868648</v>
      </c>
      <c r="J17852" s="16" t="n">
        <f aca="false">J17850-J17851</f>
        <v>-50.24649539832</v>
      </c>
      <c r="K17852" s="16" t="n">
        <f aca="false">K17850-K17851</f>
        <v>-54.638435128404</v>
      </c>
    </row>
    <row r="17853" customFormat="false" ht="15" hidden="false" customHeight="false" outlineLevel="0" collapsed="false">
      <c r="A17853" s="23" t="s">
        <v>294</v>
      </c>
      <c r="B17853" s="24"/>
      <c r="C17853" s="24"/>
      <c r="D17853" s="24"/>
      <c r="E17853" s="24"/>
      <c r="F17853" s="24"/>
      <c r="G17853" s="24"/>
      <c r="H17853" s="24"/>
      <c r="I17853" s="24"/>
      <c r="J17853" s="24"/>
      <c r="K17853" s="24"/>
    </row>
    <row r="17854" customFormat="false" ht="15" hidden="false" customHeight="false" outlineLevel="0" collapsed="false">
      <c r="A17854" s="3" t="s">
        <v>169</v>
      </c>
      <c r="G17854" s="25" t="n">
        <f aca="false">G17839*CHOOSE($C$17826,Assumptions!$C$75,Assumptions!$C$94,Assumptions!$C$113)</f>
        <v>26.86414536</v>
      </c>
      <c r="H17854" s="25" t="n">
        <f aca="false">H17839*CHOOSE($C$17826,Assumptions!$C$75,Assumptions!$C$94,Assumptions!$C$113)</f>
        <v>24.9836551848</v>
      </c>
      <c r="I17854" s="25" t="n">
        <f aca="false">I17839*CHOOSE($C$17826,Assumptions!$C$75,Assumptions!$C$94,Assumptions!$C$113)</f>
        <v>23.484635873712</v>
      </c>
      <c r="J17854" s="25" t="n">
        <f aca="false">J17839*CHOOSE($C$17826,Assumptions!$C$75,Assumptions!$C$94,Assumptions!$C$113)</f>
        <v>22.3104040800264</v>
      </c>
      <c r="K17854" s="25" t="n">
        <f aca="false">K17839*CHOOSE($C$17826,Assumptions!$C$75,Assumptions!$C$94,Assumptions!$C$113)</f>
        <v>21.1948838760251</v>
      </c>
    </row>
    <row r="17855" customFormat="false" ht="15" hidden="false" customHeight="false" outlineLevel="0" collapsed="false">
      <c r="A17855" s="3" t="s">
        <v>295</v>
      </c>
      <c r="G17855" s="25" t="n">
        <f aca="false">CHOOSE($C$17826,Assumptions!$C$76,Assumptions!$C$95,Assumptions!$C$114)*(G17839-F17839)+CHOOSE($C$17826,Assumptions!$C$77,Assumptions!$C$96,Assumptions!$C$115)*G17839</f>
        <v>10.3323636</v>
      </c>
      <c r="H17855" s="25" t="n">
        <f aca="false">CHOOSE($C$17826,Assumptions!$C$76,Assumptions!$C$95,Assumptions!$C$114)*(H17839-G17839)+CHOOSE($C$17826,Assumptions!$C$77,Assumptions!$C$96,Assumptions!$C$115)*H17839</f>
        <v>9.609098148</v>
      </c>
      <c r="I17855" s="25" t="n">
        <f aca="false">CHOOSE($C$17826,Assumptions!$C$76,Assumptions!$C$95,Assumptions!$C$114)*(I17839-H17839)+CHOOSE($C$17826,Assumptions!$C$77,Assumptions!$C$96,Assumptions!$C$115)*I17839</f>
        <v>9.03255225912</v>
      </c>
      <c r="J17855" s="25" t="n">
        <f aca="false">CHOOSE($C$17826,Assumptions!$C$76,Assumptions!$C$95,Assumptions!$C$114)*(J17839-I17839)+CHOOSE($C$17826,Assumptions!$C$77,Assumptions!$C$96,Assumptions!$C$115)*J17839</f>
        <v>8.580924646164</v>
      </c>
      <c r="K17855" s="25" t="n">
        <f aca="false">CHOOSE($C$17826,Assumptions!$C$76,Assumptions!$C$95,Assumptions!$C$114)*(K17839-J17839)+CHOOSE($C$17826,Assumptions!$C$77,Assumptions!$C$96,Assumptions!$C$115)*K17839</f>
        <v>8.1518784138558</v>
      </c>
    </row>
    <row r="17856" customFormat="false" ht="15" hidden="false" customHeight="false" outlineLevel="0" collapsed="false">
      <c r="A17856" s="2" t="s">
        <v>296</v>
      </c>
      <c r="G17856" s="16" t="n">
        <f aca="false">G17852+G17844+G17845+G17848-G17854-G17855</f>
        <v>54.8255474399999</v>
      </c>
      <c r="H17856" s="16" t="n">
        <f aca="false">H17852+H17844+H17845+H17848-H17854-H17855</f>
        <v>20.8527359232</v>
      </c>
      <c r="I17856" s="16" t="n">
        <f aca="false">I17852+I17844+I17845+I17848-I17854-I17855</f>
        <v>1.21173930868796</v>
      </c>
      <c r="J17856" s="16" t="n">
        <f aca="false">J17852+J17844+J17845+J17848-J17854-J17855</f>
        <v>2.6418741970896</v>
      </c>
      <c r="K17856" s="16" t="n">
        <f aca="false">K17852+K17844+K17845+K17848-K17854-K17855</f>
        <v>-4.39448401276491</v>
      </c>
    </row>
    <row r="17858" customFormat="false" ht="15" hidden="false" customHeight="false" outlineLevel="0" collapsed="false">
      <c r="A17858" s="23" t="s">
        <v>298</v>
      </c>
      <c r="B17858" s="24"/>
      <c r="C17858" s="24"/>
      <c r="D17858" s="24"/>
      <c r="E17858" s="24"/>
      <c r="F17858" s="24"/>
      <c r="G17858" s="24"/>
      <c r="H17858" s="24"/>
      <c r="I17858" s="24"/>
      <c r="J17858" s="24"/>
      <c r="K17858" s="24"/>
    </row>
    <row r="17859" customFormat="false" ht="15" hidden="false" customHeight="false" outlineLevel="0" collapsed="false">
      <c r="A17859" s="3" t="s">
        <v>299</v>
      </c>
      <c r="G17859" s="30" t="n">
        <f aca="false">Assumptions!$G$52</f>
        <v>0.039</v>
      </c>
      <c r="H17859" s="30" t="n">
        <f aca="false">Assumptions!$H$52</f>
        <v>0.0375</v>
      </c>
      <c r="I17859" s="30" t="n">
        <f aca="false">Assumptions!$I$52</f>
        <v>0.035</v>
      </c>
      <c r="J17859" s="30" t="n">
        <f aca="false">Assumptions!$J$52</f>
        <v>0.035</v>
      </c>
      <c r="K17859" s="30" t="n">
        <f aca="false">Assumptions!$K$52</f>
        <v>0.035</v>
      </c>
    </row>
    <row r="17860" customFormat="false" ht="15" hidden="false" customHeight="false" outlineLevel="0" collapsed="false">
      <c r="A17860" s="3" t="s">
        <v>300</v>
      </c>
      <c r="C17860" s="31" t="n">
        <f aca="false">CHOOSE($C$17826,Assumptions!$C$78,Assumptions!$C$97,Assumptions!$C$116)+$C$17829</f>
        <v>0.015</v>
      </c>
    </row>
    <row r="17861" customFormat="false" ht="15" hidden="false" customHeight="false" outlineLevel="0" collapsed="false">
      <c r="A17861" s="3" t="s">
        <v>301</v>
      </c>
      <c r="C17861" s="31" t="n">
        <f aca="false">CHOOSE($C$17826,Assumptions!$C$79,Assumptions!$C$98,Assumptions!$C$117)</f>
        <v>0.13</v>
      </c>
    </row>
    <row r="17862" customFormat="false" ht="15" hidden="false" customHeight="false" outlineLevel="0" collapsed="false">
      <c r="A17862" s="3" t="s">
        <v>302</v>
      </c>
      <c r="C17862" s="32" t="n">
        <f aca="false">CHOOSE($C$17826,Assumptions!$C$80,Assumptions!$C$99,Assumptions!$C$118)</f>
        <v>5.5</v>
      </c>
    </row>
    <row r="17863" customFormat="false" ht="15" hidden="false" customHeight="false" outlineLevel="0" collapsed="false">
      <c r="A17863" s="3" t="s">
        <v>303</v>
      </c>
      <c r="C17863" s="32" t="n">
        <f aca="false">CHOOSE($C$17826,Assumptions!$C$81,Assumptions!$C$100,Assumptions!$C$119)</f>
        <v>1.5</v>
      </c>
    </row>
    <row r="17864" customFormat="false" ht="15" hidden="false" customHeight="false" outlineLevel="0" collapsed="false">
      <c r="A17864" s="3" t="s">
        <v>304</v>
      </c>
      <c r="G17864" s="25" t="n">
        <f aca="false">G17869+G17882+G17895</f>
        <v>1735.554</v>
      </c>
      <c r="H17864" s="25" t="n">
        <f aca="false">H17869+H17882+H17895</f>
        <v>1735.554</v>
      </c>
      <c r="I17864" s="25" t="n">
        <f aca="false">I17869+I17882+I17895</f>
        <v>1735.554</v>
      </c>
      <c r="J17864" s="25" t="n">
        <f aca="false">J17869+J17882+J17895</f>
        <v>1315.098</v>
      </c>
      <c r="K17864" s="25" t="n">
        <f aca="false">K17869+K17882+K17895</f>
        <v>1315.098</v>
      </c>
    </row>
    <row r="17865" customFormat="false" ht="15" hidden="false" customHeight="false" outlineLevel="0" collapsed="false">
      <c r="A17865" s="3" t="s">
        <v>305</v>
      </c>
      <c r="G17865" s="25" t="n">
        <f aca="false">F17938</f>
        <v>463.996</v>
      </c>
      <c r="H17865" s="25" t="n">
        <f aca="false">G17938</f>
        <v>518.82154744</v>
      </c>
      <c r="I17865" s="25" t="n">
        <f aca="false">H17938</f>
        <v>539.6742833632</v>
      </c>
      <c r="J17865" s="25" t="n">
        <f aca="false">I17938</f>
        <v>120.430022671888</v>
      </c>
      <c r="K17865" s="25" t="n">
        <f aca="false">J17938</f>
        <v>123.071896868977</v>
      </c>
    </row>
    <row r="17866" customFormat="false" ht="15" hidden="false" customHeight="false" outlineLevel="0" collapsed="false">
      <c r="A17866" s="3" t="s">
        <v>306</v>
      </c>
      <c r="G17866" s="25" t="n">
        <f aca="false">G17869*IF(G17870=1,$C$17861,IF(Assumptions!$I$56=1,MAX(G17859,Assumptions!$G$56)+Assumptions!$F$56+$C$17860,Assumptions!$E$56))+G17882*IF(G17883=1,$C$17861,IF(Assumptions!$I$57=1,MAX(G17859,Assumptions!$G$57)+Assumptions!$F$57+$C$17860,Assumptions!$E$57))+G17895*IF(G17896=1,$C$17861,IF(Assumptions!$I$58=1,MAX(G17859,Assumptions!$G$58)+Assumptions!$F$58+$C$17860,Assumptions!$E$58))</f>
        <v>155.95467</v>
      </c>
      <c r="H17866" s="25" t="n">
        <f aca="false">H17869*IF(OR(H17870=1,G18016=1),$C$17861,IF(Assumptions!$I$56=1,MAX(H17859,Assumptions!$G$56)+Assumptions!$F$56+$C$17860,Assumptions!$E$56))+H17882*IF(OR(H17883=1,G18017=1),$C$17861,IF(Assumptions!$I$57=1,MAX(H17859,Assumptions!$G$57)+Assumptions!$F$57+$C$17860,Assumptions!$E$57))+H17895*IF(OR(H17896=1,G18018=1),$C$17861,IF(Assumptions!$I$58=1,MAX(H17859,Assumptions!$G$58)+Assumptions!$F$58+$C$17860,Assumptions!$E$58))</f>
        <v>155.95467</v>
      </c>
      <c r="I17866" s="25" t="n">
        <f aca="false">I17869*IF(OR(I17870=1,H18016=1),$C$17861,IF(Assumptions!$I$56=1,MAX(I17859,Assumptions!$G$56)+Assumptions!$F$56+$C$17860,Assumptions!$E$56))+I17882*IF(OR(I17883=1,H18017=1),$C$17861,IF(Assumptions!$I$57=1,MAX(I17859,Assumptions!$G$57)+Assumptions!$F$57+$C$17860,Assumptions!$E$57))+I17895*IF(OR(I17896=1,H18018=1),$C$17861,IF(Assumptions!$I$58=1,MAX(I17859,Assumptions!$G$58)+Assumptions!$F$58+$C$17860,Assumptions!$E$58))</f>
        <v>192.74457</v>
      </c>
      <c r="J17866" s="25" t="n">
        <f aca="false">J17869*IF(OR(J17870=1,I18016=1),$C$17861,IF(Assumptions!$I$56=1,MAX(J17859,Assumptions!$G$56)+Assumptions!$F$56+$C$17860,Assumptions!$E$56))+J17882*IF(OR(J17883=1,I18017=1),$C$17861,IF(Assumptions!$I$57=1,MAX(J17859,Assumptions!$G$57)+Assumptions!$F$57+$C$17860,Assumptions!$E$57))+J17895*IF(OR(J17896=1,I18018=1),$C$17861,IF(Assumptions!$I$58=1,MAX(J17859,Assumptions!$G$58)+Assumptions!$F$58+$C$17860,Assumptions!$E$58))</f>
        <v>138.08529</v>
      </c>
      <c r="K17866" s="25" t="n">
        <f aca="false">K17869*IF(OR(K17870=1,J18016=1),$C$17861,IF(Assumptions!$I$56=1,MAX(K17859,Assumptions!$G$56)+Assumptions!$F$56+$C$17860,Assumptions!$E$56))+K17882*IF(OR(K17883=1,J18017=1),$C$17861,IF(Assumptions!$I$57=1,MAX(K17859,Assumptions!$G$57)+Assumptions!$F$57+$C$17860,Assumptions!$E$57))+K17895*IF(OR(K17896=1,J18018=1),$C$17861,IF(Assumptions!$I$58=1,MAX(K17859,Assumptions!$G$58)+Assumptions!$F$58+$C$17860,Assumptions!$E$58))</f>
        <v>138.08529</v>
      </c>
    </row>
    <row r="17867" customFormat="false" ht="15" hidden="false" customHeight="false" outlineLevel="0" collapsed="false">
      <c r="A17867" s="3" t="s">
        <v>307</v>
      </c>
      <c r="G17867" s="20" t="n">
        <f aca="false">IF(G17843&lt;=0,0,IF(AND((G17864-G17865)/G17843&lt;=$C$17862,G17843/G17866&gt;=$C$17863),1,0))</f>
        <v>1</v>
      </c>
      <c r="H17867" s="20" t="n">
        <f aca="false">IF(H17843&lt;=0,0,IF(AND((H17864-H17865)/H17843&lt;=$C$17862,H17843/H17866&gt;=$C$17863),1,0))</f>
        <v>0</v>
      </c>
      <c r="I17867" s="20" t="n">
        <f aca="false">IF(I17843&lt;=0,0,IF(AND((I17864-I17865)/I17843&lt;=$C$17862,I17843/I17866&gt;=$C$17863),1,0))</f>
        <v>0</v>
      </c>
      <c r="J17867" s="20" t="n">
        <f aca="false">IF(J17843&lt;=0,0,IF(AND((J17864-J17865)/J17843&lt;=$C$17862,J17843/J17866&gt;=$C$17863),1,0))</f>
        <v>0</v>
      </c>
      <c r="K17867" s="20" t="n">
        <f aca="false">IF(K17843&lt;=0,0,IF(AND((K17864-K17865)/K17843&lt;=$C$17862,K17843/K17866&gt;=$C$17863),1,0))</f>
        <v>0</v>
      </c>
    </row>
    <row r="17868" customFormat="false" ht="15" hidden="false" customHeight="false" outlineLevel="0" collapsed="false">
      <c r="A17868" s="23" t="s">
        <v>308</v>
      </c>
      <c r="B17868" s="24"/>
      <c r="C17868" s="24"/>
      <c r="D17868" s="24"/>
      <c r="E17868" s="24"/>
      <c r="F17868" s="24"/>
      <c r="G17868" s="24"/>
      <c r="H17868" s="24"/>
      <c r="I17868" s="24"/>
      <c r="J17868" s="24"/>
      <c r="K17868" s="24"/>
    </row>
    <row r="17869" customFormat="false" ht="15" hidden="false" customHeight="false" outlineLevel="0" collapsed="false">
      <c r="A17869" s="3" t="s">
        <v>309</v>
      </c>
      <c r="G17869" s="25" t="n">
        <f aca="false">F17880</f>
        <v>1315.098</v>
      </c>
      <c r="H17869" s="25" t="n">
        <f aca="false">G17880</f>
        <v>1315.098</v>
      </c>
      <c r="I17869" s="25" t="n">
        <f aca="false">H17880</f>
        <v>1315.098</v>
      </c>
      <c r="J17869" s="25" t="n">
        <f aca="false">I17880</f>
        <v>1315.098</v>
      </c>
      <c r="K17869" s="25" t="n">
        <f aca="false">J17880</f>
        <v>1315.098</v>
      </c>
    </row>
    <row r="17870" customFormat="false" ht="15" hidden="false" customHeight="false" outlineLevel="0" collapsed="false">
      <c r="A17870" s="3" t="s">
        <v>310</v>
      </c>
      <c r="G17870" s="20" t="n">
        <f aca="false">IF(G17833=Assumptions!$K$56,1,0)</f>
        <v>0</v>
      </c>
      <c r="H17870" s="20" t="n">
        <f aca="false">IF(H17833=Assumptions!$K$56,1,0)</f>
        <v>0</v>
      </c>
      <c r="I17870" s="20" t="n">
        <f aca="false">IF(I17833=Assumptions!$K$56,1,0)</f>
        <v>0</v>
      </c>
      <c r="J17870" s="20" t="n">
        <f aca="false">IF(J17833=Assumptions!$K$56,1,0)</f>
        <v>0</v>
      </c>
      <c r="K17870" s="20" t="n">
        <f aca="false">IF(K17833=Assumptions!$K$56,1,0)</f>
        <v>0</v>
      </c>
    </row>
    <row r="17872" customFormat="false" ht="15" hidden="false" customHeight="false" outlineLevel="0" collapsed="false">
      <c r="A17872" s="3" t="s">
        <v>311</v>
      </c>
      <c r="G17872" s="31" t="n">
        <f aca="false">IF(Assumptions!$I$56=1,MAX(G17859,Assumptions!$G$56)+Assumptions!$F$56+$C$17860,Assumptions!$E$56)</f>
        <v>0.105</v>
      </c>
      <c r="H17872" s="31" t="n">
        <f aca="false">IF(G18016=1,$C$17861,IF(Assumptions!$I$56=1,MAX(H17859,Assumptions!$G$56)+Assumptions!$F$56+$C$17860,Assumptions!$E$56))</f>
        <v>0.105</v>
      </c>
      <c r="I17872" s="31" t="n">
        <f aca="false">IF(H18016=1,$C$17861,IF(Assumptions!$I$56=1,MAX(I17859,Assumptions!$G$56)+Assumptions!$F$56+$C$17860,Assumptions!$E$56))</f>
        <v>0.105</v>
      </c>
      <c r="J17872" s="31" t="n">
        <f aca="false">IF(I18016=1,$C$17861,IF(Assumptions!$I$56=1,MAX(J17859,Assumptions!$G$56)+Assumptions!$F$56+$C$17860,Assumptions!$E$56))</f>
        <v>0.105</v>
      </c>
      <c r="K17872" s="31" t="n">
        <f aca="false">IF(J18016=1,$C$17861,IF(Assumptions!$I$56=1,MAX(K17859,Assumptions!$G$56)+Assumptions!$F$56+$C$17860,Assumptions!$E$56))</f>
        <v>0.105</v>
      </c>
    </row>
    <row r="17873" customFormat="false" ht="15" hidden="false" customHeight="false" outlineLevel="0" collapsed="false">
      <c r="A17873" s="3" t="s">
        <v>312</v>
      </c>
      <c r="G17873" s="25" t="n">
        <f aca="false">G17869*G17872</f>
        <v>138.08529</v>
      </c>
      <c r="H17873" s="25" t="n">
        <f aca="false">H17869*H17872</f>
        <v>138.08529</v>
      </c>
      <c r="I17873" s="25" t="n">
        <f aca="false">I17869*I17872</f>
        <v>138.08529</v>
      </c>
      <c r="J17873" s="25" t="n">
        <f aca="false">J17869*J17872</f>
        <v>138.08529</v>
      </c>
      <c r="K17873" s="25" t="n">
        <f aca="false">K17869*K17872</f>
        <v>138.08529</v>
      </c>
    </row>
    <row r="17874" customFormat="false" ht="15" hidden="false" customHeight="false" outlineLevel="0" collapsed="false">
      <c r="A17874" s="3" t="s">
        <v>313</v>
      </c>
      <c r="G17874" s="25" t="n">
        <f aca="false">G17869*Assumptions!$H$56</f>
        <v>0</v>
      </c>
      <c r="H17874" s="25" t="n">
        <f aca="false">H17869*Assumptions!$H$56</f>
        <v>0</v>
      </c>
      <c r="I17874" s="25" t="n">
        <f aca="false">I17869*Assumptions!$H$56</f>
        <v>0</v>
      </c>
      <c r="J17874" s="25" t="n">
        <f aca="false">J17869*Assumptions!$H$56</f>
        <v>0</v>
      </c>
      <c r="K17874" s="25" t="n">
        <f aca="false">K17869*Assumptions!$H$56</f>
        <v>0</v>
      </c>
    </row>
    <row r="17875" customFormat="false" ht="15" hidden="false" customHeight="false" outlineLevel="0" collapsed="false">
      <c r="A17875" s="3" t="s">
        <v>314</v>
      </c>
      <c r="G17875" s="25" t="n">
        <f aca="false">MIN(G17869,Assumptions!$L$56*Assumptions!$C$56)</f>
        <v>0</v>
      </c>
      <c r="H17875" s="25" t="n">
        <f aca="false">MIN(H17869,Assumptions!$L$56*Assumptions!$C$56)</f>
        <v>0</v>
      </c>
      <c r="I17875" s="25" t="n">
        <f aca="false">MIN(I17869,Assumptions!$L$56*Assumptions!$C$56)</f>
        <v>0</v>
      </c>
      <c r="J17875" s="25" t="n">
        <f aca="false">MIN(J17869,Assumptions!$L$56*Assumptions!$C$56)</f>
        <v>0</v>
      </c>
      <c r="K17875" s="25" t="n">
        <f aca="false">MIN(K17869,Assumptions!$L$56*Assumptions!$C$56)</f>
        <v>0</v>
      </c>
    </row>
    <row r="17876" customFormat="false" ht="15" hidden="false" customHeight="false" outlineLevel="0" collapsed="false">
      <c r="A17876" s="3" t="s">
        <v>315</v>
      </c>
      <c r="G17876" s="25" t="n">
        <f aca="false">IF(AND(Assumptions!$P$56=1,G17833&lt;Assumptions!$K$56),MIN(MAX(0,-G17930),MAX(0,Assumptions!$D$56-G17869)),0)</f>
        <v>0</v>
      </c>
      <c r="H17876" s="25" t="n">
        <f aca="false">IF(AND(Assumptions!$P$56=1,OR(H17833&lt;Assumptions!$K$56,G18016=1)),MIN(MAX(0,-H17930),MAX(0,Assumptions!$D$56-H17869)),0)</f>
        <v>0</v>
      </c>
      <c r="I17876" s="25" t="n">
        <f aca="false">IF(AND(Assumptions!$P$56=1,OR(I17833&lt;Assumptions!$K$56,H18016=1)),MIN(MAX(0,-I17930),MAX(0,Assumptions!$D$56-I17869)),0)</f>
        <v>0</v>
      </c>
      <c r="J17876" s="25" t="n">
        <f aca="false">IF(AND(Assumptions!$P$56=1,OR(J17833&lt;Assumptions!$K$56,I18016=1)),MIN(MAX(0,-J17930),MAX(0,Assumptions!$D$56-J17869)),0)</f>
        <v>0</v>
      </c>
      <c r="K17876" s="25" t="n">
        <f aca="false">IF(AND(Assumptions!$P$56=1,OR(K17833&lt;Assumptions!$K$56,J18016=1)),MIN(MAX(0,-K17930),MAX(0,Assumptions!$D$56-K17869)),0)</f>
        <v>0</v>
      </c>
    </row>
    <row r="17877" customFormat="false" ht="15" hidden="false" customHeight="false" outlineLevel="0" collapsed="false">
      <c r="A17877" s="3" t="s">
        <v>316</v>
      </c>
      <c r="G17877" s="25" t="n">
        <f aca="false">G17870*MIN(G17869-G17875+G17874,MAX(0,G17932-Assumptions!$C$12*G17867))</f>
        <v>0</v>
      </c>
      <c r="H17877" s="25" t="n">
        <f aca="false">H17870*MIN(H17869-H17875+H17874,MAX(0,H17932-Assumptions!$C$12*H17867))</f>
        <v>0</v>
      </c>
      <c r="I17877" s="25" t="n">
        <f aca="false">I17870*MIN(I17869-I17875+I17874,MAX(0,I17932-Assumptions!$C$12*I17867))</f>
        <v>0</v>
      </c>
      <c r="J17877" s="25" t="n">
        <f aca="false">J17870*MIN(J17869-J17875+J17874,MAX(0,J17932-Assumptions!$C$12*J17867))</f>
        <v>0</v>
      </c>
      <c r="K17877" s="25" t="n">
        <f aca="false">K17870*MIN(K17869-K17875+K17874,MAX(0,K17932-Assumptions!$C$12*K17867))</f>
        <v>0</v>
      </c>
    </row>
    <row r="17878" customFormat="false" ht="15" hidden="false" customHeight="false" outlineLevel="0" collapsed="false">
      <c r="A17878" s="3" t="s">
        <v>317</v>
      </c>
      <c r="G17878" s="25" t="n">
        <f aca="false">Assumptions!$N$56*MIN(G17869+G17876+G17874-G17875-G17877,MAX(0,G17936))</f>
        <v>0</v>
      </c>
      <c r="H17878" s="25" t="n">
        <f aca="false">Assumptions!$N$56*MIN(H17869+H17876+H17874-H17875-H17877,MAX(0,H17936))</f>
        <v>0</v>
      </c>
      <c r="I17878" s="25" t="n">
        <f aca="false">Assumptions!$N$56*MIN(I17869+I17876+I17874-I17875-I17877,MAX(0,I17936))</f>
        <v>0</v>
      </c>
      <c r="J17878" s="25" t="n">
        <f aca="false">Assumptions!$N$56*MIN(J17869+J17876+J17874-J17875-J17877,MAX(0,J17936))</f>
        <v>0</v>
      </c>
      <c r="K17878" s="25" t="n">
        <f aca="false">Assumptions!$N$56*MIN(K17869+K17876+K17874-K17875-K17877,MAX(0,K17936))</f>
        <v>0</v>
      </c>
    </row>
    <row r="17879" customFormat="false" ht="15" hidden="false" customHeight="false" outlineLevel="0" collapsed="false">
      <c r="A17879" s="3" t="s">
        <v>318</v>
      </c>
      <c r="G17879" s="25" t="n">
        <f aca="false">G17870*(1-G17867)*(G17869-G17875+G17874-G17877)</f>
        <v>0</v>
      </c>
      <c r="H17879" s="25" t="n">
        <f aca="false">H17870*(1-H17867)*(H17869-H17875+H17874-H17877)</f>
        <v>0</v>
      </c>
      <c r="I17879" s="25" t="n">
        <f aca="false">I17870*(1-I17867)*(I17869-I17875+I17874-I17877)</f>
        <v>0</v>
      </c>
      <c r="J17879" s="25" t="n">
        <f aca="false">J17870*(1-J17867)*(J17869-J17875+J17874-J17877)</f>
        <v>0</v>
      </c>
      <c r="K17879" s="25" t="n">
        <f aca="false">K17870*(1-K17867)*(K17869-K17875+K17874-K17877)</f>
        <v>0</v>
      </c>
    </row>
    <row r="17880" customFormat="false" ht="15" hidden="false" customHeight="false" outlineLevel="0" collapsed="false">
      <c r="A17880" s="2" t="s">
        <v>319</v>
      </c>
      <c r="F17880" s="28" t="n">
        <f aca="false">Assumptions!$C$56</f>
        <v>1315.098</v>
      </c>
      <c r="G17880" s="16" t="n">
        <f aca="false">G17869+G17876+G17874-G17875-G17877-G17878</f>
        <v>1315.098</v>
      </c>
      <c r="H17880" s="16" t="n">
        <f aca="false">H17869+H17876+H17874-H17875-H17877-H17878</f>
        <v>1315.098</v>
      </c>
      <c r="I17880" s="16" t="n">
        <f aca="false">I17869+I17876+I17874-I17875-I17877-I17878</f>
        <v>1315.098</v>
      </c>
      <c r="J17880" s="16" t="n">
        <f aca="false">J17869+J17876+J17874-J17875-J17877-J17878</f>
        <v>1315.098</v>
      </c>
      <c r="K17880" s="16" t="n">
        <f aca="false">K17869+K17876+K17874-K17875-K17877-K17878</f>
        <v>1315.098</v>
      </c>
    </row>
    <row r="17881" customFormat="false" ht="15" hidden="false" customHeight="false" outlineLevel="0" collapsed="false">
      <c r="A17881" s="23" t="s">
        <v>320</v>
      </c>
      <c r="B17881" s="24"/>
      <c r="C17881" s="24"/>
      <c r="D17881" s="24"/>
      <c r="E17881" s="24"/>
      <c r="F17881" s="24"/>
      <c r="G17881" s="24"/>
      <c r="H17881" s="24"/>
      <c r="I17881" s="24"/>
      <c r="J17881" s="24"/>
      <c r="K17881" s="24"/>
    </row>
    <row r="17882" customFormat="false" ht="15" hidden="false" customHeight="false" outlineLevel="0" collapsed="false">
      <c r="A17882" s="3" t="s">
        <v>309</v>
      </c>
      <c r="G17882" s="25" t="n">
        <f aca="false">F17893</f>
        <v>276.706</v>
      </c>
      <c r="H17882" s="25" t="n">
        <f aca="false">G17893</f>
        <v>276.706</v>
      </c>
      <c r="I17882" s="25" t="n">
        <f aca="false">H17893</f>
        <v>276.706</v>
      </c>
      <c r="J17882" s="25" t="n">
        <f aca="false">I17893</f>
        <v>0</v>
      </c>
      <c r="K17882" s="25" t="n">
        <f aca="false">J17893</f>
        <v>0</v>
      </c>
    </row>
    <row r="17883" customFormat="false" ht="15" hidden="false" customHeight="false" outlineLevel="0" collapsed="false">
      <c r="A17883" s="3" t="s">
        <v>310</v>
      </c>
      <c r="G17883" s="20" t="n">
        <f aca="false">IF(G17833=Assumptions!$K$57,1,0)</f>
        <v>0</v>
      </c>
      <c r="H17883" s="20" t="n">
        <f aca="false">IF(H17833=Assumptions!$K$57,1,0)</f>
        <v>0</v>
      </c>
      <c r="I17883" s="20" t="n">
        <f aca="false">IF(I17833=Assumptions!$K$57,1,0)</f>
        <v>1</v>
      </c>
      <c r="J17883" s="20" t="n">
        <f aca="false">IF(J17833=Assumptions!$K$57,1,0)</f>
        <v>0</v>
      </c>
      <c r="K17883" s="20" t="n">
        <f aca="false">IF(K17833=Assumptions!$K$57,1,0)</f>
        <v>0</v>
      </c>
    </row>
    <row r="17885" customFormat="false" ht="15" hidden="false" customHeight="false" outlineLevel="0" collapsed="false">
      <c r="A17885" s="3" t="s">
        <v>311</v>
      </c>
      <c r="G17885" s="31" t="n">
        <f aca="false">IF(Assumptions!$I$57=1,MAX(G17859,Assumptions!$G$57)+Assumptions!$F$57+$C$17860,Assumptions!$E$57)</f>
        <v>0.0425</v>
      </c>
      <c r="H17885" s="31" t="n">
        <f aca="false">IF(G18017=1,$C$17861,IF(Assumptions!$I$57=1,MAX(H17859,Assumptions!$G$57)+Assumptions!$F$57+$C$17860,Assumptions!$E$57))</f>
        <v>0.0425</v>
      </c>
      <c r="I17885" s="31" t="n">
        <f aca="false">IF(H18017=1,$C$17861,IF(Assumptions!$I$57=1,MAX(I17859,Assumptions!$G$57)+Assumptions!$F$57+$C$17860,Assumptions!$E$57))</f>
        <v>0.0425</v>
      </c>
      <c r="J17885" s="31" t="n">
        <f aca="false">IF(I18017=1,$C$17861,IF(Assumptions!$I$57=1,MAX(J17859,Assumptions!$G$57)+Assumptions!$F$57+$C$17860,Assumptions!$E$57))</f>
        <v>0.0425</v>
      </c>
      <c r="K17885" s="31" t="n">
        <f aca="false">IF(J18017=1,$C$17861,IF(Assumptions!$I$57=1,MAX(K17859,Assumptions!$G$57)+Assumptions!$F$57+$C$17860,Assumptions!$E$57))</f>
        <v>0.0425</v>
      </c>
    </row>
    <row r="17886" customFormat="false" ht="15" hidden="false" customHeight="false" outlineLevel="0" collapsed="false">
      <c r="A17886" s="3" t="s">
        <v>312</v>
      </c>
      <c r="G17886" s="25" t="n">
        <f aca="false">G17882*G17885</f>
        <v>11.760005</v>
      </c>
      <c r="H17886" s="25" t="n">
        <f aca="false">H17882*H17885</f>
        <v>11.760005</v>
      </c>
      <c r="I17886" s="25" t="n">
        <f aca="false">I17882*I17885</f>
        <v>11.760005</v>
      </c>
      <c r="J17886" s="25" t="n">
        <f aca="false">J17882*J17885</f>
        <v>0</v>
      </c>
      <c r="K17886" s="25" t="n">
        <f aca="false">K17882*K17885</f>
        <v>0</v>
      </c>
    </row>
    <row r="17887" customFormat="false" ht="15" hidden="false" customHeight="false" outlineLevel="0" collapsed="false">
      <c r="A17887" s="3" t="s">
        <v>313</v>
      </c>
      <c r="G17887" s="25" t="n">
        <f aca="false">G17882*Assumptions!$H$57</f>
        <v>0</v>
      </c>
      <c r="H17887" s="25" t="n">
        <f aca="false">H17882*Assumptions!$H$57</f>
        <v>0</v>
      </c>
      <c r="I17887" s="25" t="n">
        <f aca="false">I17882*Assumptions!$H$57</f>
        <v>0</v>
      </c>
      <c r="J17887" s="25" t="n">
        <f aca="false">J17882*Assumptions!$H$57</f>
        <v>0</v>
      </c>
      <c r="K17887" s="25" t="n">
        <f aca="false">K17882*Assumptions!$H$57</f>
        <v>0</v>
      </c>
    </row>
    <row r="17888" customFormat="false" ht="15" hidden="false" customHeight="false" outlineLevel="0" collapsed="false">
      <c r="A17888" s="3" t="s">
        <v>314</v>
      </c>
      <c r="G17888" s="25" t="n">
        <f aca="false">MIN(G17882,Assumptions!$L$57*Assumptions!$C$57)</f>
        <v>0</v>
      </c>
      <c r="H17888" s="25" t="n">
        <f aca="false">MIN(H17882,Assumptions!$L$57*Assumptions!$C$57)</f>
        <v>0</v>
      </c>
      <c r="I17888" s="25" t="n">
        <f aca="false">MIN(I17882,Assumptions!$L$57*Assumptions!$C$57)</f>
        <v>0</v>
      </c>
      <c r="J17888" s="25" t="n">
        <f aca="false">MIN(J17882,Assumptions!$L$57*Assumptions!$C$57)</f>
        <v>0</v>
      </c>
      <c r="K17888" s="25" t="n">
        <f aca="false">MIN(K17882,Assumptions!$L$57*Assumptions!$C$57)</f>
        <v>0</v>
      </c>
    </row>
    <row r="17889" customFormat="false" ht="15" hidden="false" customHeight="false" outlineLevel="0" collapsed="false">
      <c r="A17889" s="3" t="s">
        <v>315</v>
      </c>
      <c r="G17889" s="25" t="n">
        <f aca="false">IF(AND(Assumptions!$P$57=1,G17833&lt;Assumptions!$K$57),MIN(MAX(0,-G17930),MAX(0,Assumptions!$D$57-G17882)),0)</f>
        <v>0</v>
      </c>
      <c r="H17889" s="25" t="n">
        <f aca="false">IF(AND(Assumptions!$P$57=1,OR(H17833&lt;Assumptions!$K$57,G18017=1)),MIN(MAX(0,-H17930),MAX(0,Assumptions!$D$57-H17882)),0)</f>
        <v>0</v>
      </c>
      <c r="I17889" s="25" t="n">
        <f aca="false">IF(AND(Assumptions!$P$57=1,OR(I17833&lt;Assumptions!$K$57,H18017=1)),MIN(MAX(0,-I17930),MAX(0,Assumptions!$D$57-I17882)),0)</f>
        <v>0</v>
      </c>
      <c r="J17889" s="25" t="n">
        <f aca="false">IF(AND(Assumptions!$P$57=1,OR(J17833&lt;Assumptions!$K$57,I18017=1)),MIN(MAX(0,-J17930),MAX(0,Assumptions!$D$57-J17882)),0)</f>
        <v>0</v>
      </c>
      <c r="K17889" s="25" t="n">
        <f aca="false">IF(AND(Assumptions!$P$57=1,OR(K17833&lt;Assumptions!$K$57,J18017=1)),MIN(MAX(0,-K17930),MAX(0,Assumptions!$D$57-K17882)),0)</f>
        <v>0</v>
      </c>
    </row>
    <row r="17890" customFormat="false" ht="15" hidden="false" customHeight="false" outlineLevel="0" collapsed="false">
      <c r="A17890" s="3" t="s">
        <v>316</v>
      </c>
      <c r="G17890" s="25" t="n">
        <f aca="false">G17883*MIN(G17882-G17888+G17887,MAX(0,G17932-Assumptions!$C$12*G17867-G17877))</f>
        <v>0</v>
      </c>
      <c r="H17890" s="25" t="n">
        <f aca="false">H17883*MIN(H17882-H17888+H17887,MAX(0,H17932-Assumptions!$C$12*H17867-H17877))</f>
        <v>0</v>
      </c>
      <c r="I17890" s="25" t="n">
        <f aca="false">I17883*MIN(I17882-I17888+I17887,MAX(0,I17932-Assumptions!$C$12*I17867-I17877))</f>
        <v>276.706</v>
      </c>
      <c r="J17890" s="25" t="n">
        <f aca="false">J17883*MIN(J17882-J17888+J17887,MAX(0,J17932-Assumptions!$C$12*J17867-J17877))</f>
        <v>0</v>
      </c>
      <c r="K17890" s="25" t="n">
        <f aca="false">K17883*MIN(K17882-K17888+K17887,MAX(0,K17932-Assumptions!$C$12*K17867-K17877))</f>
        <v>0</v>
      </c>
    </row>
    <row r="17891" customFormat="false" ht="15" hidden="false" customHeight="false" outlineLevel="0" collapsed="false">
      <c r="A17891" s="3" t="s">
        <v>317</v>
      </c>
      <c r="G17891" s="25" t="n">
        <f aca="false">Assumptions!$N$57*MIN(G17882+G17889+G17887-G17888-G17890,MAX(0,G17936-G17878))</f>
        <v>0</v>
      </c>
      <c r="H17891" s="25" t="n">
        <f aca="false">Assumptions!$N$57*MIN(H17882+H17889+H17887-H17888-H17890,MAX(0,H17936-H17878))</f>
        <v>0</v>
      </c>
      <c r="I17891" s="25" t="n">
        <f aca="false">Assumptions!$N$57*MIN(I17882+I17889+I17887-I17888-I17890,MAX(0,I17936-I17878))</f>
        <v>0</v>
      </c>
      <c r="J17891" s="25" t="n">
        <f aca="false">Assumptions!$N$57*MIN(J17882+J17889+J17887-J17888-J17890,MAX(0,J17936-J17878))</f>
        <v>0</v>
      </c>
      <c r="K17891" s="25" t="n">
        <f aca="false">Assumptions!$N$57*MIN(K17882+K17889+K17887-K17888-K17890,MAX(0,K17936-K17878))</f>
        <v>0</v>
      </c>
    </row>
    <row r="17892" customFormat="false" ht="15" hidden="false" customHeight="false" outlineLevel="0" collapsed="false">
      <c r="A17892" s="3" t="s">
        <v>318</v>
      </c>
      <c r="G17892" s="25" t="n">
        <f aca="false">G17883*(1-G17867)*(G17882-G17888+G17887-G17890)</f>
        <v>0</v>
      </c>
      <c r="H17892" s="25" t="n">
        <f aca="false">H17883*(1-H17867)*(H17882-H17888+H17887-H17890)</f>
        <v>0</v>
      </c>
      <c r="I17892" s="25" t="n">
        <f aca="false">I17883*(1-I17867)*(I17882-I17888+I17887-I17890)</f>
        <v>0</v>
      </c>
      <c r="J17892" s="25" t="n">
        <f aca="false">J17883*(1-J17867)*(J17882-J17888+J17887-J17890)</f>
        <v>0</v>
      </c>
      <c r="K17892" s="25" t="n">
        <f aca="false">K17883*(1-K17867)*(K17882-K17888+K17887-K17890)</f>
        <v>0</v>
      </c>
    </row>
    <row r="17893" customFormat="false" ht="15" hidden="false" customHeight="false" outlineLevel="0" collapsed="false">
      <c r="A17893" s="2" t="s">
        <v>319</v>
      </c>
      <c r="F17893" s="28" t="n">
        <f aca="false">Assumptions!$C$57</f>
        <v>276.706</v>
      </c>
      <c r="G17893" s="16" t="n">
        <f aca="false">G17882+G17889+G17887-G17888-G17890-G17891</f>
        <v>276.706</v>
      </c>
      <c r="H17893" s="16" t="n">
        <f aca="false">H17882+H17889+H17887-H17888-H17890-H17891</f>
        <v>276.706</v>
      </c>
      <c r="I17893" s="16" t="n">
        <f aca="false">I17882+I17889+I17887-I17888-I17890-I17891</f>
        <v>0</v>
      </c>
      <c r="J17893" s="16" t="n">
        <f aca="false">J17882+J17889+J17887-J17888-J17890-J17891</f>
        <v>0</v>
      </c>
      <c r="K17893" s="16" t="n">
        <f aca="false">K17882+K17889+K17887-K17888-K17890-K17891</f>
        <v>0</v>
      </c>
    </row>
    <row r="17894" customFormat="false" ht="15" hidden="false" customHeight="false" outlineLevel="0" collapsed="false">
      <c r="A17894" s="23" t="s">
        <v>321</v>
      </c>
      <c r="B17894" s="24"/>
      <c r="C17894" s="24"/>
      <c r="D17894" s="24"/>
      <c r="E17894" s="24"/>
      <c r="F17894" s="24"/>
      <c r="G17894" s="24"/>
      <c r="H17894" s="24"/>
      <c r="I17894" s="24"/>
      <c r="J17894" s="24"/>
      <c r="K17894" s="24"/>
    </row>
    <row r="17895" customFormat="false" ht="15" hidden="false" customHeight="false" outlineLevel="0" collapsed="false">
      <c r="A17895" s="3" t="s">
        <v>309</v>
      </c>
      <c r="G17895" s="25" t="n">
        <f aca="false">F17906</f>
        <v>143.75</v>
      </c>
      <c r="H17895" s="25" t="n">
        <f aca="false">G17906</f>
        <v>143.75</v>
      </c>
      <c r="I17895" s="25" t="n">
        <f aca="false">H17906</f>
        <v>143.75</v>
      </c>
      <c r="J17895" s="25" t="n">
        <f aca="false">I17906</f>
        <v>0</v>
      </c>
      <c r="K17895" s="25" t="n">
        <f aca="false">J17906</f>
        <v>0</v>
      </c>
    </row>
    <row r="17896" customFormat="false" ht="15" hidden="false" customHeight="false" outlineLevel="0" collapsed="false">
      <c r="A17896" s="3" t="s">
        <v>310</v>
      </c>
      <c r="G17896" s="20" t="n">
        <f aca="false">IF(G17833=Assumptions!$K$58,1,0)</f>
        <v>0</v>
      </c>
      <c r="H17896" s="20" t="n">
        <f aca="false">IF(H17833=Assumptions!$K$58,1,0)</f>
        <v>0</v>
      </c>
      <c r="I17896" s="20" t="n">
        <f aca="false">IF(I17833=Assumptions!$K$58,1,0)</f>
        <v>1</v>
      </c>
      <c r="J17896" s="20" t="n">
        <f aca="false">IF(J17833=Assumptions!$K$58,1,0)</f>
        <v>0</v>
      </c>
      <c r="K17896" s="20" t="n">
        <f aca="false">IF(K17833=Assumptions!$K$58,1,0)</f>
        <v>0</v>
      </c>
    </row>
    <row r="17898" customFormat="false" ht="15" hidden="false" customHeight="false" outlineLevel="0" collapsed="false">
      <c r="A17898" s="3" t="s">
        <v>311</v>
      </c>
      <c r="G17898" s="31" t="n">
        <f aca="false">IF(Assumptions!$I$58=1,MAX(G17859,Assumptions!$G$58)+Assumptions!$F$58+$C$17860,Assumptions!$E$58)</f>
        <v>0.0425</v>
      </c>
      <c r="H17898" s="31" t="n">
        <f aca="false">IF(G18018=1,$C$17861,IF(Assumptions!$I$58=1,MAX(H17859,Assumptions!$G$58)+Assumptions!$F$58+$C$17860,Assumptions!$E$58))</f>
        <v>0.0425</v>
      </c>
      <c r="I17898" s="31" t="n">
        <f aca="false">IF(H18018=1,$C$17861,IF(Assumptions!$I$58=1,MAX(I17859,Assumptions!$G$58)+Assumptions!$F$58+$C$17860,Assumptions!$E$58))</f>
        <v>0.0425</v>
      </c>
      <c r="J17898" s="31" t="n">
        <f aca="false">IF(I18018=1,$C$17861,IF(Assumptions!$I$58=1,MAX(J17859,Assumptions!$G$58)+Assumptions!$F$58+$C$17860,Assumptions!$E$58))</f>
        <v>0.0425</v>
      </c>
      <c r="K17898" s="31" t="n">
        <f aca="false">IF(J18018=1,$C$17861,IF(Assumptions!$I$58=1,MAX(K17859,Assumptions!$G$58)+Assumptions!$F$58+$C$17860,Assumptions!$E$58))</f>
        <v>0.0425</v>
      </c>
    </row>
    <row r="17899" customFormat="false" ht="15" hidden="false" customHeight="false" outlineLevel="0" collapsed="false">
      <c r="A17899" s="3" t="s">
        <v>312</v>
      </c>
      <c r="G17899" s="25" t="n">
        <f aca="false">G17895*G17898</f>
        <v>6.109375</v>
      </c>
      <c r="H17899" s="25" t="n">
        <f aca="false">H17895*H17898</f>
        <v>6.109375</v>
      </c>
      <c r="I17899" s="25" t="n">
        <f aca="false">I17895*I17898</f>
        <v>6.109375</v>
      </c>
      <c r="J17899" s="25" t="n">
        <f aca="false">J17895*J17898</f>
        <v>0</v>
      </c>
      <c r="K17899" s="25" t="n">
        <f aca="false">K17895*K17898</f>
        <v>0</v>
      </c>
    </row>
    <row r="17900" customFormat="false" ht="15" hidden="false" customHeight="false" outlineLevel="0" collapsed="false">
      <c r="A17900" s="3" t="s">
        <v>313</v>
      </c>
      <c r="G17900" s="25" t="n">
        <f aca="false">G17895*Assumptions!$H$58</f>
        <v>0</v>
      </c>
      <c r="H17900" s="25" t="n">
        <f aca="false">H17895*Assumptions!$H$58</f>
        <v>0</v>
      </c>
      <c r="I17900" s="25" t="n">
        <f aca="false">I17895*Assumptions!$H$58</f>
        <v>0</v>
      </c>
      <c r="J17900" s="25" t="n">
        <f aca="false">J17895*Assumptions!$H$58</f>
        <v>0</v>
      </c>
      <c r="K17900" s="25" t="n">
        <f aca="false">K17895*Assumptions!$H$58</f>
        <v>0</v>
      </c>
    </row>
    <row r="17901" customFormat="false" ht="15" hidden="false" customHeight="false" outlineLevel="0" collapsed="false">
      <c r="A17901" s="3" t="s">
        <v>314</v>
      </c>
      <c r="G17901" s="25" t="n">
        <f aca="false">MIN(G17895,Assumptions!$L$58*Assumptions!$C$58)</f>
        <v>0</v>
      </c>
      <c r="H17901" s="25" t="n">
        <f aca="false">MIN(H17895,Assumptions!$L$58*Assumptions!$C$58)</f>
        <v>0</v>
      </c>
      <c r="I17901" s="25" t="n">
        <f aca="false">MIN(I17895,Assumptions!$L$58*Assumptions!$C$58)</f>
        <v>0</v>
      </c>
      <c r="J17901" s="25" t="n">
        <f aca="false">MIN(J17895,Assumptions!$L$58*Assumptions!$C$58)</f>
        <v>0</v>
      </c>
      <c r="K17901" s="25" t="n">
        <f aca="false">MIN(K17895,Assumptions!$L$58*Assumptions!$C$58)</f>
        <v>0</v>
      </c>
    </row>
    <row r="17902" customFormat="false" ht="15" hidden="false" customHeight="false" outlineLevel="0" collapsed="false">
      <c r="A17902" s="3" t="s">
        <v>315</v>
      </c>
      <c r="G17902" s="25" t="n">
        <f aca="false">IF(AND(Assumptions!$P$58=1,G17833&lt;Assumptions!$K$58),MIN(MAX(0,-G17930),MAX(0,Assumptions!$D$58-G17895)),0)</f>
        <v>0</v>
      </c>
      <c r="H17902" s="25" t="n">
        <f aca="false">IF(AND(Assumptions!$P$58=1,OR(H17833&lt;Assumptions!$K$58,G18018=1)),MIN(MAX(0,-H17930),MAX(0,Assumptions!$D$58-H17895)),0)</f>
        <v>0</v>
      </c>
      <c r="I17902" s="25" t="n">
        <f aca="false">IF(AND(Assumptions!$P$58=1,OR(I17833&lt;Assumptions!$K$58,H18018=1)),MIN(MAX(0,-I17930),MAX(0,Assumptions!$D$58-I17895)),0)</f>
        <v>0</v>
      </c>
      <c r="J17902" s="25" t="n">
        <f aca="false">IF(AND(Assumptions!$P$58=1,OR(J17833&lt;Assumptions!$K$58,I18018=1)),MIN(MAX(0,-J17930),MAX(0,Assumptions!$D$58-J17895)),0)</f>
        <v>0</v>
      </c>
      <c r="K17902" s="25" t="n">
        <f aca="false">IF(AND(Assumptions!$P$58=1,OR(K17833&lt;Assumptions!$K$58,J18018=1)),MIN(MAX(0,-K17930),MAX(0,Assumptions!$D$58-K17895)),0)</f>
        <v>0</v>
      </c>
    </row>
    <row r="17903" customFormat="false" ht="15" hidden="false" customHeight="false" outlineLevel="0" collapsed="false">
      <c r="A17903" s="3" t="s">
        <v>316</v>
      </c>
      <c r="G17903" s="25" t="n">
        <f aca="false">G17896*MIN(G17895-G17901+G17900,MAX(0,G17932-Assumptions!$C$12*G17867-G17877-G17890))</f>
        <v>0</v>
      </c>
      <c r="H17903" s="25" t="n">
        <f aca="false">H17896*MIN(H17895-H17901+H17900,MAX(0,H17932-Assumptions!$C$12*H17867-H17877-H17890))</f>
        <v>0</v>
      </c>
      <c r="I17903" s="25" t="n">
        <f aca="false">I17896*MIN(I17895-I17901+I17900,MAX(0,I17932-Assumptions!$C$12*I17867-I17877-I17890))</f>
        <v>143.75</v>
      </c>
      <c r="J17903" s="25" t="n">
        <f aca="false">J17896*MIN(J17895-J17901+J17900,MAX(0,J17932-Assumptions!$C$12*J17867-J17877-J17890))</f>
        <v>0</v>
      </c>
      <c r="K17903" s="25" t="n">
        <f aca="false">K17896*MIN(K17895-K17901+K17900,MAX(0,K17932-Assumptions!$C$12*K17867-K17877-K17890))</f>
        <v>0</v>
      </c>
    </row>
    <row r="17904" customFormat="false" ht="15" hidden="false" customHeight="false" outlineLevel="0" collapsed="false">
      <c r="A17904" s="3" t="s">
        <v>317</v>
      </c>
      <c r="G17904" s="25" t="n">
        <f aca="false">Assumptions!$N$58*MIN(G17895+G17902+G17900-G17901-G17903,MAX(0,G17936-G17878-G17891))</f>
        <v>0</v>
      </c>
      <c r="H17904" s="25" t="n">
        <f aca="false">Assumptions!$N$58*MIN(H17895+H17902+H17900-H17901-H17903,MAX(0,H17936-H17878-H17891))</f>
        <v>0</v>
      </c>
      <c r="I17904" s="25" t="n">
        <f aca="false">Assumptions!$N$58*MIN(I17895+I17902+I17900-I17901-I17903,MAX(0,I17936-I17878-I17891))</f>
        <v>0</v>
      </c>
      <c r="J17904" s="25" t="n">
        <f aca="false">Assumptions!$N$58*MIN(J17895+J17902+J17900-J17901-J17903,MAX(0,J17936-J17878-J17891))</f>
        <v>0</v>
      </c>
      <c r="K17904" s="25" t="n">
        <f aca="false">Assumptions!$N$58*MIN(K17895+K17902+K17900-K17901-K17903,MAX(0,K17936-K17878-K17891))</f>
        <v>0</v>
      </c>
    </row>
    <row r="17905" customFormat="false" ht="15" hidden="false" customHeight="false" outlineLevel="0" collapsed="false">
      <c r="A17905" s="3" t="s">
        <v>318</v>
      </c>
      <c r="G17905" s="25" t="n">
        <f aca="false">G17896*(1-G17867)*(G17895-G17901+G17900-G17903)</f>
        <v>0</v>
      </c>
      <c r="H17905" s="25" t="n">
        <f aca="false">H17896*(1-H17867)*(H17895-H17901+H17900-H17903)</f>
        <v>0</v>
      </c>
      <c r="I17905" s="25" t="n">
        <f aca="false">I17896*(1-I17867)*(I17895-I17901+I17900-I17903)</f>
        <v>0</v>
      </c>
      <c r="J17905" s="25" t="n">
        <f aca="false">J17896*(1-J17867)*(J17895-J17901+J17900-J17903)</f>
        <v>0</v>
      </c>
      <c r="K17905" s="25" t="n">
        <f aca="false">K17896*(1-K17867)*(K17895-K17901+K17900-K17903)</f>
        <v>0</v>
      </c>
    </row>
    <row r="17906" customFormat="false" ht="15" hidden="false" customHeight="false" outlineLevel="0" collapsed="false">
      <c r="A17906" s="2" t="s">
        <v>319</v>
      </c>
      <c r="F17906" s="28" t="n">
        <f aca="false">Assumptions!$C$58</f>
        <v>143.75</v>
      </c>
      <c r="G17906" s="16" t="n">
        <f aca="false">G17895+G17902+G17900-G17901-G17903-G17904</f>
        <v>143.75</v>
      </c>
      <c r="H17906" s="16" t="n">
        <f aca="false">H17895+H17902+H17900-H17901-H17903-H17904</f>
        <v>143.75</v>
      </c>
      <c r="I17906" s="16" t="n">
        <f aca="false">I17895+I17902+I17900-I17901-I17903-I17904</f>
        <v>0</v>
      </c>
      <c r="J17906" s="16" t="n">
        <f aca="false">J17895+J17902+J17900-J17901-J17903-J17904</f>
        <v>0</v>
      </c>
      <c r="K17906" s="16" t="n">
        <f aca="false">K17895+K17902+K17900-K17901-K17903-K17904</f>
        <v>0</v>
      </c>
    </row>
    <row r="17907" customFormat="false" ht="15" hidden="false" customHeight="false" outlineLevel="0" collapsed="false">
      <c r="A17907" s="23" t="s">
        <v>322</v>
      </c>
      <c r="B17907" s="24"/>
      <c r="C17907" s="24"/>
      <c r="D17907" s="24"/>
      <c r="E17907" s="24"/>
      <c r="F17907" s="24"/>
      <c r="G17907" s="24"/>
      <c r="H17907" s="24"/>
      <c r="I17907" s="24"/>
      <c r="J17907" s="24"/>
      <c r="K17907" s="24"/>
    </row>
    <row r="17908" customFormat="false" ht="15" hidden="false" customHeight="false" outlineLevel="0" collapsed="false">
      <c r="A17908" s="2" t="s">
        <v>323</v>
      </c>
      <c r="F17908" s="16" t="n">
        <f aca="false">F17880+F17893+F17906</f>
        <v>1735.554</v>
      </c>
      <c r="G17908" s="16" t="n">
        <f aca="false">G17880+G17893+G17906</f>
        <v>1735.554</v>
      </c>
      <c r="H17908" s="16" t="n">
        <f aca="false">H17880+H17893+H17906</f>
        <v>1735.554</v>
      </c>
      <c r="I17908" s="16" t="n">
        <f aca="false">I17880+I17893+I17906</f>
        <v>1315.098</v>
      </c>
      <c r="J17908" s="16" t="n">
        <f aca="false">J17880+J17893+J17906</f>
        <v>1315.098</v>
      </c>
      <c r="K17908" s="16" t="n">
        <f aca="false">K17880+K17893+K17906</f>
        <v>1315.098</v>
      </c>
    </row>
    <row r="17909" customFormat="false" ht="15" hidden="false" customHeight="false" outlineLevel="0" collapsed="false">
      <c r="A17909" s="3" t="s">
        <v>324</v>
      </c>
      <c r="G17909" s="25" t="n">
        <f aca="false">G17870*Assumptions!$C$56+G17883*Assumptions!$C$57+G17896*Assumptions!$C$58</f>
        <v>0</v>
      </c>
      <c r="H17909" s="25" t="n">
        <f aca="false">H17870*Assumptions!$C$56+H17883*Assumptions!$C$57+H17896*Assumptions!$C$58</f>
        <v>0</v>
      </c>
      <c r="I17909" s="25" t="n">
        <f aca="false">I17870*Assumptions!$C$56+I17883*Assumptions!$C$57+I17896*Assumptions!$C$58</f>
        <v>420.456</v>
      </c>
      <c r="J17909" s="25" t="n">
        <f aca="false">J17870*Assumptions!$C$56+J17883*Assumptions!$C$57+J17896*Assumptions!$C$58</f>
        <v>0</v>
      </c>
      <c r="K17909" s="25" t="n">
        <f aca="false">K17870*Assumptions!$C$56+K17883*Assumptions!$C$57+K17896*Assumptions!$C$58</f>
        <v>0</v>
      </c>
    </row>
    <row r="17910" customFormat="false" ht="15" hidden="false" customHeight="false" outlineLevel="0" collapsed="false">
      <c r="A17910" s="23" t="s">
        <v>325</v>
      </c>
      <c r="B17910" s="24"/>
      <c r="C17910" s="24"/>
      <c r="D17910" s="24"/>
      <c r="E17910" s="24"/>
      <c r="F17910" s="24"/>
      <c r="G17910" s="24"/>
      <c r="H17910" s="24"/>
      <c r="I17910" s="24"/>
      <c r="J17910" s="24"/>
      <c r="K17910" s="24"/>
    </row>
    <row r="17911" customFormat="false" ht="15" hidden="false" customHeight="false" outlineLevel="0" collapsed="false">
      <c r="A17911" s="3" t="s">
        <v>326</v>
      </c>
      <c r="C17911" s="25" t="n">
        <f aca="false">SUMPRODUCT($G$17870:$K$17870,$G$17869:$K$17869-$G$17875:$K$17875+$G$17874:$K$17874)</f>
        <v>0</v>
      </c>
    </row>
    <row r="17912" customFormat="false" ht="15" hidden="false" customHeight="false" outlineLevel="0" collapsed="false">
      <c r="A17912" s="3" t="s">
        <v>327</v>
      </c>
      <c r="C17912" s="25" t="n">
        <f aca="false">SUMPRODUCT($G$17870:$K$17870,$G$17877:$K$17877)</f>
        <v>0</v>
      </c>
    </row>
    <row r="17913" customFormat="false" ht="15" hidden="false" customHeight="false" outlineLevel="0" collapsed="false">
      <c r="A17913" s="3" t="s">
        <v>328</v>
      </c>
      <c r="C17913" s="3" t="str">
        <f aca="false">IF(SUM($G$17870:$K$17870)=0,"n/a (beyond horizon)",IF(SUMPRODUCT($G$17870:$K$17870,$G$17867:$K$17867)&gt;0,"REFINANCING PASS","REFINANCING FAILURE"))</f>
        <v>n/a (beyond horizon)</v>
      </c>
    </row>
    <row r="17914" customFormat="false" ht="15" hidden="false" customHeight="false" outlineLevel="0" collapsed="false">
      <c r="A17914" s="3" t="s">
        <v>329</v>
      </c>
      <c r="C17914" s="3" t="str">
        <f aca="false">IF(SUM($G$17870:$K$17870)=0,"n/a",IF(C17912&gt;=C17911-0.001,"Repaid from cash",IF(SUMPRODUCT($G$17870:$K$17870,$G$17867:$K$17867)&gt;0,IF(C17912&gt;0,"Partly repaid; remainder refinanced","Refinanced"),IF(SUM($G$17879:$K$17879)&gt;0.001,IF(C17912&gt;0,"Partial repayment; PAYMENT DEFAULT","PAYMENT DEFAULT"),"Repaid from cash"))))</f>
        <v>n/a</v>
      </c>
    </row>
    <row r="17915" customFormat="false" ht="15" hidden="false" customHeight="false" outlineLevel="0" collapsed="false">
      <c r="A17915" s="3" t="s">
        <v>330</v>
      </c>
      <c r="C17915" s="25" t="n">
        <f aca="false">SUMPRODUCT($G$17883:$K$17883,$G$17882:$K$17882-$G$17888:$K$17888+$G$17887:$K$17887)</f>
        <v>276.706</v>
      </c>
    </row>
    <row r="17916" customFormat="false" ht="15" hidden="false" customHeight="false" outlineLevel="0" collapsed="false">
      <c r="A17916" s="3" t="s">
        <v>331</v>
      </c>
      <c r="C17916" s="25" t="n">
        <f aca="false">SUMPRODUCT($G$17883:$K$17883,$G$17890:$K$17890)</f>
        <v>276.706</v>
      </c>
    </row>
    <row r="17917" customFormat="false" ht="15" hidden="false" customHeight="false" outlineLevel="0" collapsed="false">
      <c r="A17917" s="3" t="s">
        <v>332</v>
      </c>
      <c r="C17917" s="3" t="str">
        <f aca="false">IF(SUM($G$17883:$K$17883)=0,"n/a (beyond horizon)",IF(SUMPRODUCT($G$17883:$K$17883,$G$17867:$K$17867)&gt;0,"REFINANCING PASS","REFINANCING FAILURE"))</f>
        <v>REFINANCING FAILURE</v>
      </c>
    </row>
    <row r="17918" customFormat="false" ht="15" hidden="false" customHeight="false" outlineLevel="0" collapsed="false">
      <c r="A17918" s="3" t="s">
        <v>333</v>
      </c>
      <c r="C17918" s="3" t="str">
        <f aca="false">IF(SUM($G$17883:$K$17883)=0,"n/a",IF(C17916&gt;=C17915-0.001,"Repaid from cash",IF(SUMPRODUCT($G$17883:$K$17883,$G$17867:$K$17867)&gt;0,IF(C17916&gt;0,"Partly repaid; remainder refinanced","Refinanced"),IF(SUM($G$17892:$K$17892)&gt;0.001,IF(C17916&gt;0,"Partial repayment; PAYMENT DEFAULT","PAYMENT DEFAULT"),"Repaid from cash"))))</f>
        <v>Repaid from cash</v>
      </c>
    </row>
    <row r="17919" customFormat="false" ht="15" hidden="false" customHeight="false" outlineLevel="0" collapsed="false">
      <c r="A17919" s="3" t="s">
        <v>334</v>
      </c>
      <c r="C17919" s="25" t="n">
        <f aca="false">SUMPRODUCT($G$17896:$K$17896,$G$17895:$K$17895-$G$17901:$K$17901+$G$17900:$K$17900)</f>
        <v>143.75</v>
      </c>
    </row>
    <row r="17920" customFormat="false" ht="15" hidden="false" customHeight="false" outlineLevel="0" collapsed="false">
      <c r="A17920" s="3" t="s">
        <v>335</v>
      </c>
      <c r="C17920" s="25" t="n">
        <f aca="false">SUMPRODUCT($G$17896:$K$17896,$G$17903:$K$17903)</f>
        <v>143.75</v>
      </c>
    </row>
    <row r="17921" customFormat="false" ht="15" hidden="false" customHeight="false" outlineLevel="0" collapsed="false">
      <c r="A17921" s="3" t="s">
        <v>336</v>
      </c>
      <c r="C17921" s="3" t="str">
        <f aca="false">IF(SUM($G$17896:$K$17896)=0,"n/a (beyond horizon)",IF(SUMPRODUCT($G$17896:$K$17896,$G$17867:$K$17867)&gt;0,"REFINANCING PASS","REFINANCING FAILURE"))</f>
        <v>REFINANCING FAILURE</v>
      </c>
    </row>
    <row r="17922" customFormat="false" ht="15" hidden="false" customHeight="false" outlineLevel="0" collapsed="false">
      <c r="A17922" s="3" t="s">
        <v>337</v>
      </c>
      <c r="C17922" s="3" t="str">
        <f aca="false">IF(SUM($G$17896:$K$17896)=0,"n/a",IF(C17920&gt;=C17919-0.001,"Repaid from cash",IF(SUMPRODUCT($G$17896:$K$17896,$G$17867:$K$17867)&gt;0,IF(C17920&gt;0,"Partly repaid; remainder refinanced","Refinanced"),IF(SUM($G$17905:$K$17905)&gt;0.001,IF(C17920&gt;0,"Partial repayment; PAYMENT DEFAULT","PAYMENT DEFAULT"),"Repaid from cash"))))</f>
        <v>Repaid from cash</v>
      </c>
    </row>
    <row r="17923" customFormat="false" ht="15" hidden="false" customHeight="false" outlineLevel="0" collapsed="false">
      <c r="A17923" s="3" t="s">
        <v>338</v>
      </c>
      <c r="C17923" s="20" t="n">
        <f aca="false">IF(C17913="REFINANCING FAILURE",1,0)+IF(C17917="REFINANCING FAILURE",1,0)+IF(C17921="REFINANCING FAILURE",1,0)</f>
        <v>2</v>
      </c>
    </row>
    <row r="17925" customFormat="false" ht="15" hidden="false" customHeight="false" outlineLevel="0" collapsed="false">
      <c r="A17925" s="23" t="s">
        <v>340</v>
      </c>
      <c r="B17925" s="24"/>
      <c r="C17925" s="24"/>
      <c r="D17925" s="24"/>
      <c r="E17925" s="24"/>
      <c r="F17925" s="24"/>
      <c r="G17925" s="24"/>
      <c r="H17925" s="24"/>
      <c r="I17925" s="24"/>
      <c r="J17925" s="24"/>
      <c r="K17925" s="24"/>
    </row>
    <row r="17926" customFormat="false" ht="15" hidden="false" customHeight="false" outlineLevel="0" collapsed="false">
      <c r="A17926" s="3" t="s">
        <v>305</v>
      </c>
      <c r="G17926" s="25" t="n">
        <f aca="false">F17938</f>
        <v>463.996</v>
      </c>
      <c r="H17926" s="25" t="n">
        <f aca="false">G17938</f>
        <v>518.82154744</v>
      </c>
      <c r="I17926" s="25" t="n">
        <f aca="false">H17938</f>
        <v>539.6742833632</v>
      </c>
      <c r="J17926" s="25" t="n">
        <f aca="false">I17938</f>
        <v>120.430022671888</v>
      </c>
      <c r="K17926" s="25" t="n">
        <f aca="false">J17938</f>
        <v>123.071896868977</v>
      </c>
    </row>
    <row r="17927" customFormat="false" ht="15" hidden="false" customHeight="false" outlineLevel="0" collapsed="false">
      <c r="A17927" s="3" t="s">
        <v>341</v>
      </c>
      <c r="G17927" s="25" t="n">
        <f aca="false">G17856</f>
        <v>54.8255474399999</v>
      </c>
      <c r="H17927" s="25" t="n">
        <f aca="false">H17856</f>
        <v>20.8527359232</v>
      </c>
      <c r="I17927" s="25" t="n">
        <f aca="false">I17856</f>
        <v>1.21173930868796</v>
      </c>
      <c r="J17927" s="25" t="n">
        <f aca="false">J17856</f>
        <v>2.6418741970896</v>
      </c>
      <c r="K17927" s="25" t="n">
        <f aca="false">K17856</f>
        <v>-4.39448401276491</v>
      </c>
    </row>
    <row r="17928" customFormat="false" ht="15" hidden="false" customHeight="false" outlineLevel="0" collapsed="false">
      <c r="A17928" s="3" t="s">
        <v>342</v>
      </c>
      <c r="G17928" s="25" t="n">
        <f aca="false">CHOOSE($C$17826,Assumptions!$G$74,Assumptions!$G$93,Assumptions!$G$112)</f>
        <v>0</v>
      </c>
      <c r="H17928" s="25" t="n">
        <f aca="false">CHOOSE($C$17826,Assumptions!$H$74,Assumptions!$H$93,Assumptions!$H$112)</f>
        <v>0</v>
      </c>
      <c r="I17928" s="25" t="n">
        <f aca="false">CHOOSE($C$17826,Assumptions!$I$74,Assumptions!$I$93,Assumptions!$I$112)</f>
        <v>0</v>
      </c>
      <c r="J17928" s="25" t="n">
        <f aca="false">CHOOSE($C$17826,Assumptions!$J$74,Assumptions!$J$93,Assumptions!$J$112)</f>
        <v>0</v>
      </c>
      <c r="K17928" s="25" t="n">
        <f aca="false">CHOOSE($C$17826,Assumptions!$K$74,Assumptions!$K$93,Assumptions!$K$112)</f>
        <v>0</v>
      </c>
    </row>
    <row r="17929" customFormat="false" ht="15" hidden="false" customHeight="false" outlineLevel="0" collapsed="false">
      <c r="A17929" s="3" t="s">
        <v>343</v>
      </c>
      <c r="G17929" s="25" t="n">
        <f aca="false">G17875+G17888+G17901</f>
        <v>0</v>
      </c>
      <c r="H17929" s="25" t="n">
        <f aca="false">H17875+H17888+H17901</f>
        <v>0</v>
      </c>
      <c r="I17929" s="25" t="n">
        <f aca="false">I17875+I17888+I17901</f>
        <v>0</v>
      </c>
      <c r="J17929" s="25" t="n">
        <f aca="false">J17875+J17888+J17901</f>
        <v>0</v>
      </c>
      <c r="K17929" s="25" t="n">
        <f aca="false">K17875+K17888+K17901</f>
        <v>0</v>
      </c>
    </row>
    <row r="17930" customFormat="false" ht="15" hidden="false" customHeight="false" outlineLevel="0" collapsed="false">
      <c r="A17930" s="2" t="s">
        <v>344</v>
      </c>
      <c r="G17930" s="16" t="n">
        <f aca="false">G17926+G17927+G17928-G17929</f>
        <v>518.82154744</v>
      </c>
      <c r="H17930" s="16" t="n">
        <f aca="false">H17926+H17927+H17928-H17929</f>
        <v>539.6742833632</v>
      </c>
      <c r="I17930" s="16" t="n">
        <f aca="false">I17926+I17927+I17928-I17929</f>
        <v>540.886022671888</v>
      </c>
      <c r="J17930" s="16" t="n">
        <f aca="false">J17926+J17927+J17928-J17929</f>
        <v>123.071896868977</v>
      </c>
      <c r="K17930" s="16" t="n">
        <f aca="false">K17926+K17927+K17928-K17929</f>
        <v>118.677412856212</v>
      </c>
    </row>
    <row r="17931" customFormat="false" ht="15" hidden="false" customHeight="false" outlineLevel="0" collapsed="false">
      <c r="A17931" s="3" t="s">
        <v>345</v>
      </c>
      <c r="G17931" s="25" t="n">
        <f aca="false">G17876+G17889+G17902</f>
        <v>0</v>
      </c>
      <c r="H17931" s="25" t="n">
        <f aca="false">H17876+H17889+H17902</f>
        <v>0</v>
      </c>
      <c r="I17931" s="25" t="n">
        <f aca="false">I17876+I17889+I17902</f>
        <v>0</v>
      </c>
      <c r="J17931" s="25" t="n">
        <f aca="false">J17876+J17889+J17902</f>
        <v>0</v>
      </c>
      <c r="K17931" s="25" t="n">
        <f aca="false">K17876+K17889+K17902</f>
        <v>0</v>
      </c>
    </row>
    <row r="17932" customFormat="false" ht="15" hidden="false" customHeight="false" outlineLevel="0" collapsed="false">
      <c r="A17932" s="2" t="s">
        <v>346</v>
      </c>
      <c r="G17932" s="16" t="n">
        <f aca="false">G17930+G17931</f>
        <v>518.82154744</v>
      </c>
      <c r="H17932" s="16" t="n">
        <f aca="false">H17930+H17931</f>
        <v>539.6742833632</v>
      </c>
      <c r="I17932" s="16" t="n">
        <f aca="false">I17930+I17931</f>
        <v>540.886022671888</v>
      </c>
      <c r="J17932" s="16" t="n">
        <f aca="false">J17930+J17931</f>
        <v>123.071896868977</v>
      </c>
      <c r="K17932" s="16" t="n">
        <f aca="false">K17930+K17931</f>
        <v>118.677412856212</v>
      </c>
    </row>
    <row r="17933" customFormat="false" ht="15" hidden="false" customHeight="false" outlineLevel="0" collapsed="false">
      <c r="A17933" s="3" t="s">
        <v>347</v>
      </c>
      <c r="G17933" s="25" t="n">
        <f aca="false">G17877+G17890+G17903</f>
        <v>0</v>
      </c>
      <c r="H17933" s="25" t="n">
        <f aca="false">H17877+H17890+H17903</f>
        <v>0</v>
      </c>
      <c r="I17933" s="25" t="n">
        <f aca="false">I17877+I17890+I17903</f>
        <v>420.456</v>
      </c>
      <c r="J17933" s="25" t="n">
        <f aca="false">J17877+J17890+J17903</f>
        <v>0</v>
      </c>
      <c r="K17933" s="25" t="n">
        <f aca="false">K17877+K17890+K17903</f>
        <v>0</v>
      </c>
    </row>
    <row r="17934" customFormat="false" ht="15" hidden="false" customHeight="false" outlineLevel="0" collapsed="false">
      <c r="A17934" s="2" t="s">
        <v>348</v>
      </c>
      <c r="G17934" s="16" t="n">
        <f aca="false">G17932-G17933</f>
        <v>518.82154744</v>
      </c>
      <c r="H17934" s="16" t="n">
        <f aca="false">H17932-H17933</f>
        <v>539.6742833632</v>
      </c>
      <c r="I17934" s="16" t="n">
        <f aca="false">I17932-I17933</f>
        <v>120.430022671888</v>
      </c>
      <c r="J17934" s="16" t="n">
        <f aca="false">J17932-J17933</f>
        <v>123.071896868977</v>
      </c>
      <c r="K17934" s="16" t="n">
        <f aca="false">K17932-K17933</f>
        <v>118.677412856212</v>
      </c>
    </row>
    <row r="17935" customFormat="false" ht="15" hidden="false" customHeight="false" outlineLevel="0" collapsed="false">
      <c r="A17935" s="3" t="s">
        <v>349</v>
      </c>
      <c r="G17935" s="25" t="n">
        <f aca="false">MAX(0,-G17934)</f>
        <v>0</v>
      </c>
      <c r="H17935" s="25" t="n">
        <f aca="false">MAX(0,-H17934)</f>
        <v>0</v>
      </c>
      <c r="I17935" s="25" t="n">
        <f aca="false">MAX(0,-I17934)</f>
        <v>0</v>
      </c>
      <c r="J17935" s="25" t="n">
        <f aca="false">MAX(0,-J17934)</f>
        <v>0</v>
      </c>
      <c r="K17935" s="25" t="n">
        <f aca="false">MAX(0,-K17934)</f>
        <v>0</v>
      </c>
    </row>
    <row r="17936" customFormat="false" ht="15" hidden="false" customHeight="false" outlineLevel="0" collapsed="false">
      <c r="A17936" s="3" t="s">
        <v>350</v>
      </c>
      <c r="G17936" s="25" t="n">
        <f aca="false">MAX(0,G17934-Assumptions!$C$12)*Assumptions!$C$13</f>
        <v>0</v>
      </c>
      <c r="H17936" s="25" t="n">
        <f aca="false">MAX(0,H17934-Assumptions!$C$12)*Assumptions!$C$13</f>
        <v>0</v>
      </c>
      <c r="I17936" s="25" t="n">
        <f aca="false">MAX(0,I17934-Assumptions!$C$12)*Assumptions!$C$13</f>
        <v>0</v>
      </c>
      <c r="J17936" s="25" t="n">
        <f aca="false">MAX(0,J17934-Assumptions!$C$12)*Assumptions!$C$13</f>
        <v>0</v>
      </c>
      <c r="K17936" s="25" t="n">
        <f aca="false">MAX(0,K17934-Assumptions!$C$12)*Assumptions!$C$13</f>
        <v>0</v>
      </c>
    </row>
    <row r="17937" customFormat="false" ht="15" hidden="false" customHeight="false" outlineLevel="0" collapsed="false">
      <c r="A17937" s="3" t="s">
        <v>351</v>
      </c>
      <c r="G17937" s="25" t="n">
        <f aca="false">G17878+G17891+G17904</f>
        <v>0</v>
      </c>
      <c r="H17937" s="25" t="n">
        <f aca="false">H17878+H17891+H17904</f>
        <v>0</v>
      </c>
      <c r="I17937" s="25" t="n">
        <f aca="false">I17878+I17891+I17904</f>
        <v>0</v>
      </c>
      <c r="J17937" s="25" t="n">
        <f aca="false">J17878+J17891+J17904</f>
        <v>0</v>
      </c>
      <c r="K17937" s="25" t="n">
        <f aca="false">K17878+K17891+K17904</f>
        <v>0</v>
      </c>
    </row>
    <row r="17938" customFormat="false" ht="15" hidden="false" customHeight="false" outlineLevel="0" collapsed="false">
      <c r="A17938" s="2" t="s">
        <v>352</v>
      </c>
      <c r="F17938" s="28" t="n">
        <f aca="false">Assumptions!$C$11</f>
        <v>463.996</v>
      </c>
      <c r="G17938" s="16" t="n">
        <f aca="false">G17934-G17937</f>
        <v>518.82154744</v>
      </c>
      <c r="H17938" s="16" t="n">
        <f aca="false">H17934-H17937</f>
        <v>539.6742833632</v>
      </c>
      <c r="I17938" s="16" t="n">
        <f aca="false">I17934-I17937</f>
        <v>120.430022671888</v>
      </c>
      <c r="J17938" s="16" t="n">
        <f aca="false">J17934-J17937</f>
        <v>123.071896868977</v>
      </c>
      <c r="K17938" s="16" t="n">
        <f aca="false">K17934-K17937</f>
        <v>118.677412856212</v>
      </c>
    </row>
    <row r="17939" customFormat="false" ht="15" hidden="false" customHeight="false" outlineLevel="0" collapsed="false">
      <c r="A17939" s="3" t="s">
        <v>353</v>
      </c>
      <c r="G17939" s="25" t="n">
        <f aca="false">G17879+G17892+G17905</f>
        <v>0</v>
      </c>
      <c r="H17939" s="25" t="n">
        <f aca="false">H17879+H17892+H17905</f>
        <v>0</v>
      </c>
      <c r="I17939" s="25" t="n">
        <f aca="false">I17879+I17892+I17905</f>
        <v>0</v>
      </c>
      <c r="J17939" s="25" t="n">
        <f aca="false">J17879+J17892+J17905</f>
        <v>0</v>
      </c>
      <c r="K17939" s="25" t="n">
        <f aca="false">K17879+K17892+K17905</f>
        <v>0</v>
      </c>
    </row>
    <row r="17940" customFormat="false" ht="15" hidden="false" customHeight="false" outlineLevel="0" collapsed="false">
      <c r="A17940" s="3" t="s">
        <v>354</v>
      </c>
      <c r="G17940" s="20" t="n">
        <f aca="false">IF(OR(G17935&gt;0.001,G17939&gt;0.001),1,0)</f>
        <v>0</v>
      </c>
      <c r="H17940" s="20" t="n">
        <f aca="false">IF(OR(H17935&gt;0.001,H17939&gt;0.001),1,0)</f>
        <v>0</v>
      </c>
      <c r="I17940" s="20" t="n">
        <f aca="false">IF(OR(I17935&gt;0.001,I17939&gt;0.001),1,0)</f>
        <v>0</v>
      </c>
      <c r="J17940" s="20" t="n">
        <f aca="false">IF(OR(J17935&gt;0.001,J17939&gt;0.001),1,0)</f>
        <v>0</v>
      </c>
      <c r="K17940" s="20" t="n">
        <f aca="false">IF(OR(K17935&gt;0.001,K17939&gt;0.001),1,0)</f>
        <v>0</v>
      </c>
    </row>
    <row r="17941" customFormat="false" ht="15" hidden="false" customHeight="false" outlineLevel="0" collapsed="false">
      <c r="A17941" s="3" t="s">
        <v>355</v>
      </c>
      <c r="G17941" s="20" t="n">
        <f aca="false">IF(G17940=1,1,0)</f>
        <v>0</v>
      </c>
      <c r="H17941" s="20" t="n">
        <f aca="false">IF(AND(H17940=1,SUM($G$17940:G17940)=0),1,0)</f>
        <v>0</v>
      </c>
      <c r="I17941" s="20" t="n">
        <f aca="false">IF(AND(I17940=1,SUM($G$17940:H17940)=0),1,0)</f>
        <v>0</v>
      </c>
      <c r="J17941" s="20" t="n">
        <f aca="false">IF(AND(J17940=1,SUM($G$17940:I17940)=0),1,0)</f>
        <v>0</v>
      </c>
      <c r="K17941" s="20" t="n">
        <f aca="false">IF(AND(K17940=1,SUM($G$17940:J17940)=0),1,0)</f>
        <v>0</v>
      </c>
    </row>
    <row r="17942" customFormat="false" ht="15" hidden="false" customHeight="false" outlineLevel="0" collapsed="false">
      <c r="A17942" s="3" t="s">
        <v>356</v>
      </c>
      <c r="G17942" s="25" t="n">
        <f aca="false">(G17908-F17908)-(G17931+G17848-G17929-G17933-G17937)</f>
        <v>0</v>
      </c>
      <c r="H17942" s="25" t="n">
        <f aca="false">(H17908-G17908)-(H17931+H17848-H17929-H17933-H17937)</f>
        <v>0</v>
      </c>
      <c r="I17942" s="25" t="n">
        <f aca="false">(I17908-H17908)-(I17931+I17848-I17929-I17933-I17937)</f>
        <v>0</v>
      </c>
      <c r="J17942" s="25" t="n">
        <f aca="false">(J17908-I17908)-(J17931+J17848-J17929-J17933-J17937)</f>
        <v>0</v>
      </c>
      <c r="K17942" s="25" t="n">
        <f aca="false">(K17908-J17908)-(K17931+K17848-K17929-K17933-K17937)</f>
        <v>0</v>
      </c>
    </row>
    <row r="17944" customFormat="false" ht="15" hidden="false" customHeight="false" outlineLevel="0" collapsed="false">
      <c r="A17944" s="23" t="s">
        <v>358</v>
      </c>
      <c r="B17944" s="24"/>
      <c r="C17944" s="24"/>
      <c r="D17944" s="24"/>
      <c r="E17944" s="24"/>
      <c r="F17944" s="24"/>
      <c r="G17944" s="24"/>
      <c r="H17944" s="24"/>
      <c r="I17944" s="24"/>
      <c r="J17944" s="24"/>
      <c r="K17944" s="24"/>
    </row>
    <row r="17945" customFormat="false" ht="15" hidden="false" customHeight="false" outlineLevel="0" collapsed="false">
      <c r="A17945" s="3" t="s">
        <v>359</v>
      </c>
      <c r="G17945" s="25" t="n">
        <f aca="false">G17908</f>
        <v>1735.554</v>
      </c>
      <c r="H17945" s="25" t="n">
        <f aca="false">H17908</f>
        <v>1735.554</v>
      </c>
      <c r="I17945" s="25" t="n">
        <f aca="false">I17908</f>
        <v>1315.098</v>
      </c>
      <c r="J17945" s="25" t="n">
        <f aca="false">J17908</f>
        <v>1315.098</v>
      </c>
      <c r="K17945" s="25" t="n">
        <f aca="false">K17908</f>
        <v>1315.098</v>
      </c>
    </row>
    <row r="17946" customFormat="false" ht="15" hidden="false" customHeight="false" outlineLevel="0" collapsed="false">
      <c r="A17946" s="3" t="s">
        <v>360</v>
      </c>
      <c r="G17946" s="25" t="n">
        <f aca="false">Assumptions!$O$56*G17880+Assumptions!$O$57*G17893+Assumptions!$O$58*G17906</f>
        <v>1315.098</v>
      </c>
      <c r="H17946" s="25" t="n">
        <f aca="false">Assumptions!$O$56*H17880+Assumptions!$O$57*H17893+Assumptions!$O$58*H17906</f>
        <v>1315.098</v>
      </c>
      <c r="I17946" s="25" t="n">
        <f aca="false">Assumptions!$O$56*I17880+Assumptions!$O$57*I17893+Assumptions!$O$58*I17906</f>
        <v>1315.098</v>
      </c>
      <c r="J17946" s="25" t="n">
        <f aca="false">Assumptions!$O$56*J17880+Assumptions!$O$57*J17893+Assumptions!$O$58*J17906</f>
        <v>1315.098</v>
      </c>
      <c r="K17946" s="25" t="n">
        <f aca="false">Assumptions!$O$56*K17880+Assumptions!$O$57*K17893+Assumptions!$O$58*K17906</f>
        <v>1315.098</v>
      </c>
    </row>
    <row r="17947" customFormat="false" ht="15" hidden="false" customHeight="false" outlineLevel="0" collapsed="false">
      <c r="A17947" s="3" t="s">
        <v>361</v>
      </c>
      <c r="G17947" s="25" t="n">
        <f aca="false">G17945-G17938</f>
        <v>1216.73245256</v>
      </c>
      <c r="H17947" s="25" t="n">
        <f aca="false">H17945-H17938</f>
        <v>1195.8797166368</v>
      </c>
      <c r="I17947" s="25" t="n">
        <f aca="false">I17945-I17938</f>
        <v>1194.66797732811</v>
      </c>
      <c r="J17947" s="25" t="n">
        <f aca="false">J17945-J17938</f>
        <v>1192.02610313102</v>
      </c>
      <c r="K17947" s="25" t="n">
        <f aca="false">K17945-K17938</f>
        <v>1196.42058714379</v>
      </c>
    </row>
    <row r="17948" customFormat="false" ht="15" hidden="false" customHeight="false" outlineLevel="0" collapsed="false">
      <c r="A17948" s="3" t="s">
        <v>362</v>
      </c>
      <c r="G17948" s="32" t="n">
        <f aca="false">IF(G17843&gt;0,G17945/G17843,0)</f>
        <v>6.99885842190068</v>
      </c>
      <c r="H17948" s="32" t="n">
        <f aca="false">IF(H17843&gt;0,H17945/H17843,0)</f>
        <v>8.20980460047</v>
      </c>
      <c r="I17948" s="32" t="n">
        <f aca="false">IF(I17843&gt;0,I17945/I17843,0)</f>
        <v>6.93311397368161</v>
      </c>
      <c r="J17948" s="32" t="n">
        <f aca="false">IF(J17843&gt;0,J17945/J17843,0)</f>
        <v>7.66291544459547</v>
      </c>
      <c r="K17948" s="32" t="n">
        <f aca="false">IF(K17843&gt;0,K17945/K17843,0)</f>
        <v>8.0662267837847</v>
      </c>
    </row>
    <row r="17949" customFormat="false" ht="15" hidden="false" customHeight="false" outlineLevel="0" collapsed="false">
      <c r="A17949" s="3" t="s">
        <v>363</v>
      </c>
      <c r="G17949" s="32" t="n">
        <f aca="false">IF(G17843&gt;0,G17947/G17843,0)</f>
        <v>4.9066397085884</v>
      </c>
      <c r="H17949" s="32" t="n">
        <f aca="false">IF(H17843&gt;0,H17947/H17843,0)</f>
        <v>5.65694804036842</v>
      </c>
      <c r="I17949" s="32" t="n">
        <f aca="false">IF(I17843&gt;0,I17947/I17843,0)</f>
        <v>6.29821446578391</v>
      </c>
      <c r="J17949" s="32" t="n">
        <f aca="false">IF(J17843&gt;0,J17947/J17843,0)</f>
        <v>6.94579053123316</v>
      </c>
      <c r="K17949" s="32" t="n">
        <f aca="false">IF(K17843&gt;0,K17947/K17843,0)</f>
        <v>7.33831226622703</v>
      </c>
    </row>
    <row r="17950" customFormat="false" ht="15" hidden="false" customHeight="false" outlineLevel="0" collapsed="false">
      <c r="A17950" s="3" t="s">
        <v>364</v>
      </c>
      <c r="G17950" s="32" t="n">
        <f aca="false">IF(G17847&gt;0,G17843/G17847,0)</f>
        <v>1.59005643370602</v>
      </c>
      <c r="H17950" s="32" t="n">
        <f aca="false">IF(H17847&gt;0,H17843/H17847,0)</f>
        <v>1.35552310973439</v>
      </c>
      <c r="I17950" s="32" t="n">
        <f aca="false">IF(I17847&gt;0,I17843/I17847,0)</f>
        <v>1.21627391755258</v>
      </c>
      <c r="J17950" s="32" t="n">
        <f aca="false">IF(J17847&gt;0,J17843/J17847,0)</f>
        <v>1.24284413584734</v>
      </c>
      <c r="K17950" s="32" t="n">
        <f aca="false">IF(K17847&gt;0,K17843/K17847,0)</f>
        <v>1.18070192905498</v>
      </c>
    </row>
    <row r="17951" customFormat="false" ht="15" hidden="false" customHeight="false" outlineLevel="0" collapsed="false">
      <c r="A17951" s="3" t="s">
        <v>365</v>
      </c>
      <c r="G17951" s="32" t="n">
        <f aca="false">IF(G17847&gt;0,G17846/G17847,0)</f>
        <v>0.943202831951104</v>
      </c>
      <c r="H17951" s="32" t="n">
        <f aca="false">IF(H17847&gt;0,H17846/H17847,0)</f>
        <v>0.75394926010231</v>
      </c>
      <c r="I17951" s="32" t="n">
        <f aca="false">IF(I17847&gt;0,I17846/I17847,0)</f>
        <v>0.65079449889843</v>
      </c>
      <c r="J17951" s="32" t="n">
        <f aca="false">IF(J17847&gt;0,J17846/J17847,0)</f>
        <v>0.636119854632452</v>
      </c>
      <c r="K17951" s="32" t="n">
        <f aca="false">IF(K17847&gt;0,K17846/K17847,0)</f>
        <v>0.604313861900829</v>
      </c>
    </row>
    <row r="17952" customFormat="false" ht="15" hidden="false" customHeight="false" outlineLevel="0" collapsed="false">
      <c r="A17952" s="3" t="s">
        <v>198</v>
      </c>
      <c r="G17952" s="21" t="n">
        <f aca="false">IF(G17945&gt;0,G17856/G17945,0)</f>
        <v>0.0315896523185104</v>
      </c>
      <c r="H17952" s="21" t="n">
        <f aca="false">IF(H17945&gt;0,H17856/H17945,0)</f>
        <v>0.0120150314673009</v>
      </c>
      <c r="I17952" s="21" t="n">
        <f aca="false">IF(I17945&gt;0,I17856/I17945,0)</f>
        <v>0.000921406091932281</v>
      </c>
      <c r="J17952" s="21" t="n">
        <f aca="false">IF(J17945&gt;0,J17856/J17945,0)</f>
        <v>0.00200888009645638</v>
      </c>
      <c r="K17952" s="21" t="n">
        <f aca="false">IF(K17945&gt;0,K17856/K17945,0)</f>
        <v>-0.00334156390836645</v>
      </c>
    </row>
    <row r="17953" customFormat="false" ht="15" hidden="false" customHeight="false" outlineLevel="0" collapsed="false">
      <c r="A17953" s="3" t="s">
        <v>366</v>
      </c>
      <c r="G17953" s="32" t="n">
        <f aca="false">IF(G17847+G17929&gt;0,(G17843-G17854-G17851)/(G17847+G17929),0)</f>
        <v>1.41780032005454</v>
      </c>
      <c r="H17953" s="32" t="n">
        <f aca="false">IF(H17847+H17929&gt;0,(H17843-H17854-H17851)/(H17847+H17929),0)</f>
        <v>1.1953249240385</v>
      </c>
      <c r="I17953" s="32" t="n">
        <f aca="false">IF(I17847+I17929&gt;0,(I17843-I17854-I17851)/(I17847+I17929),0)</f>
        <v>1.06568762299845</v>
      </c>
      <c r="J17953" s="32" t="n">
        <f aca="false">IF(J17847+J17929&gt;0,(J17843-J17854-J17851)/(J17847+J17929),0)</f>
        <v>1.08127439818719</v>
      </c>
      <c r="K17953" s="32" t="n">
        <f aca="false">IF(K17847+K17929&gt;0,(K17843-K17854-K17851)/(K17847+K17929),0)</f>
        <v>1.02721067827783</v>
      </c>
    </row>
    <row r="17954" customFormat="false" ht="15" hidden="false" customHeight="false" outlineLevel="0" collapsed="false">
      <c r="A17954" s="3" t="s">
        <v>367</v>
      </c>
      <c r="G17954" s="25" t="n">
        <f aca="false">MAX(0,G17938)+Assumptions!$P$56*MAX(0,Assumptions!$D$56-G17880)+Assumptions!$P$57*MAX(0,Assumptions!$D$57-G17893)+Assumptions!$P$58*MAX(0,Assumptions!$D$58-G17906)</f>
        <v>518.82154744</v>
      </c>
      <c r="H17954" s="25" t="n">
        <f aca="false">MAX(0,H17938)+Assumptions!$P$56*MAX(0,Assumptions!$D$56-H17880)+Assumptions!$P$57*MAX(0,Assumptions!$D$57-H17893)+Assumptions!$P$58*MAX(0,Assumptions!$D$58-H17906)</f>
        <v>539.6742833632</v>
      </c>
      <c r="I17954" s="25" t="n">
        <f aca="false">MAX(0,I17938)+Assumptions!$P$56*MAX(0,Assumptions!$D$56-I17880)+Assumptions!$P$57*MAX(0,Assumptions!$D$57-I17893)+Assumptions!$P$58*MAX(0,Assumptions!$D$58-I17906)</f>
        <v>120.430022671888</v>
      </c>
      <c r="J17954" s="25" t="n">
        <f aca="false">MAX(0,J17938)+Assumptions!$P$56*MAX(0,Assumptions!$D$56-J17880)+Assumptions!$P$57*MAX(0,Assumptions!$D$57-J17893)+Assumptions!$P$58*MAX(0,Assumptions!$D$58-J17906)</f>
        <v>123.071896868977</v>
      </c>
      <c r="K17954" s="25" t="n">
        <f aca="false">MAX(0,K17938)+Assumptions!$P$56*MAX(0,Assumptions!$D$56-K17880)+Assumptions!$P$57*MAX(0,Assumptions!$D$57-K17893)+Assumptions!$P$58*MAX(0,Assumptions!$D$58-K17906)</f>
        <v>118.677412856212</v>
      </c>
    </row>
    <row r="17955" customFormat="false" ht="15" hidden="false" customHeight="false" outlineLevel="0" collapsed="false">
      <c r="A17955" s="3" t="s">
        <v>368</v>
      </c>
      <c r="G17955" s="21" t="n">
        <f aca="false">IF(G17945&gt;0,G17945/(G17945+MAX(0,G17843*CHOOSE($C$17826,Assumptions!$C$82,Assumptions!$C$101,Assumptions!$C$120)-G17947)),0)</f>
        <v>0.986836236277321</v>
      </c>
      <c r="H17955" s="21" t="n">
        <f aca="false">IF(H17945&gt;0,H17945/(H17945+MAX(0,H17843*CHOOSE($C$17826,Assumptions!$C$82,Assumptions!$C$101,Assumptions!$C$120)-H17947)),0)</f>
        <v>1</v>
      </c>
      <c r="I17955" s="21" t="n">
        <f aca="false">IF(I17945&gt;0,I17945/(I17945+MAX(0,I17843*CHOOSE($C$17826,Assumptions!$C$82,Assumptions!$C$101,Assumptions!$C$120)-I17947)),0)</f>
        <v>1</v>
      </c>
      <c r="J17955" s="21" t="n">
        <f aca="false">IF(J17945&gt;0,J17945/(J17945+MAX(0,J17843*CHOOSE($C$17826,Assumptions!$C$82,Assumptions!$C$101,Assumptions!$C$120)-J17947)),0)</f>
        <v>1</v>
      </c>
      <c r="K17955" s="21" t="n">
        <f aca="false">IF(K17945&gt;0,K17945/(K17945+MAX(0,K17843*CHOOSE($C$17826,Assumptions!$C$82,Assumptions!$C$101,Assumptions!$C$120)-K17947)),0)</f>
        <v>1</v>
      </c>
    </row>
    <row r="17956" customFormat="false" ht="15" hidden="false" customHeight="false" outlineLevel="0" collapsed="false">
      <c r="A17956" s="3" t="s">
        <v>369</v>
      </c>
      <c r="G17956" s="21" t="n">
        <f aca="false">IF(G17945&gt;0,MAX(0,G17938)/G17945,0)</f>
        <v>0.298937139057615</v>
      </c>
      <c r="H17956" s="21" t="n">
        <f aca="false">IF(H17945&gt;0,MAX(0,H17938)/H17945,0)</f>
        <v>0.310952170524916</v>
      </c>
      <c r="I17956" s="21" t="n">
        <f aca="false">IF(I17945&gt;0,MAX(0,I17938)/I17945,0)</f>
        <v>0.0915749416939937</v>
      </c>
      <c r="J17956" s="21" t="n">
        <f aca="false">IF(J17945&gt;0,MAX(0,J17938)/J17945,0)</f>
        <v>0.0935838217904501</v>
      </c>
      <c r="K17956" s="21" t="n">
        <f aca="false">IF(K17945&gt;0,MAX(0,K17938)/K17945,0)</f>
        <v>0.0902422578820836</v>
      </c>
    </row>
    <row r="17957" customFormat="false" ht="15" hidden="false" customHeight="false" outlineLevel="0" collapsed="false">
      <c r="A17957" s="3" t="s">
        <v>370</v>
      </c>
      <c r="G17957" s="25" t="n">
        <f aca="false">Assumptions!$C$30*(1-CHOOSE($C$17826,Assumptions!$C$85,Assumptions!$C$104,Assumptions!$C$123))</f>
        <v>2086.72535</v>
      </c>
      <c r="H17957" s="25" t="n">
        <f aca="false">Assumptions!$C$30*(1-CHOOSE($C$17826,Assumptions!$C$85,Assumptions!$C$104,Assumptions!$C$123))</f>
        <v>2086.72535</v>
      </c>
      <c r="I17957" s="25" t="n">
        <f aca="false">Assumptions!$C$30*(1-CHOOSE($C$17826,Assumptions!$C$85,Assumptions!$C$104,Assumptions!$C$123))</f>
        <v>2086.72535</v>
      </c>
      <c r="J17957" s="25" t="n">
        <f aca="false">Assumptions!$C$30*(1-CHOOSE($C$17826,Assumptions!$C$85,Assumptions!$C$104,Assumptions!$C$123))</f>
        <v>2086.72535</v>
      </c>
      <c r="K17957" s="25" t="n">
        <f aca="false">Assumptions!$C$30*(1-CHOOSE($C$17826,Assumptions!$C$85,Assumptions!$C$104,Assumptions!$C$123))</f>
        <v>2086.72535</v>
      </c>
    </row>
    <row r="17958" customFormat="false" ht="15" hidden="false" customHeight="false" outlineLevel="0" collapsed="false">
      <c r="A17958" s="23" t="s">
        <v>371</v>
      </c>
      <c r="B17958" s="24"/>
      <c r="C17958" s="24"/>
      <c r="D17958" s="24"/>
      <c r="E17958" s="24"/>
      <c r="F17958" s="24"/>
      <c r="G17958" s="24"/>
      <c r="H17958" s="24"/>
      <c r="I17958" s="24"/>
      <c r="J17958" s="24"/>
      <c r="K17958" s="24"/>
    </row>
    <row r="17959" customFormat="false" ht="15" hidden="false" customHeight="false" outlineLevel="0" collapsed="false">
      <c r="A17959" s="23" t="s">
        <v>372</v>
      </c>
      <c r="B17959" s="24"/>
      <c r="C17959" s="24"/>
      <c r="D17959" s="24"/>
      <c r="E17959" s="24"/>
      <c r="F17959" s="24"/>
      <c r="G17959" s="24"/>
      <c r="H17959" s="24"/>
      <c r="I17959" s="24"/>
      <c r="J17959" s="24"/>
      <c r="K17959" s="24"/>
    </row>
    <row r="17960" customFormat="false" ht="15" hidden="false" customHeight="false" outlineLevel="0" collapsed="false">
      <c r="A17960" s="3" t="s">
        <v>373</v>
      </c>
      <c r="G17960" s="32" t="n">
        <f aca="false">IF(G17843&gt;0,G17947/G17843,99)</f>
        <v>4.9066397085884</v>
      </c>
      <c r="H17960" s="32" t="n">
        <f aca="false">IF(H17843&gt;0,H17947/H17843,99)</f>
        <v>5.65694804036842</v>
      </c>
      <c r="I17960" s="32" t="n">
        <f aca="false">IF(I17843&gt;0,I17947/I17843,99)</f>
        <v>6.29821446578391</v>
      </c>
      <c r="J17960" s="32" t="n">
        <f aca="false">IF(J17843&gt;0,J17947/J17843,99)</f>
        <v>6.94579053123316</v>
      </c>
      <c r="K17960" s="32" t="n">
        <f aca="false">IF(K17843&gt;0,K17947/K17843,99)</f>
        <v>7.33831226622703</v>
      </c>
    </row>
    <row r="17961" customFormat="false" ht="15" hidden="false" customHeight="false" outlineLevel="0" collapsed="false">
      <c r="A17961" s="3" t="s">
        <v>374</v>
      </c>
      <c r="G17961" s="33" t="n">
        <f aca="false">Assumptions!$G$65</f>
        <v>5.25</v>
      </c>
      <c r="H17961" s="33" t="n">
        <f aca="false">Assumptions!$H$65</f>
        <v>5.25</v>
      </c>
      <c r="I17961" s="33" t="n">
        <f aca="false">Assumptions!$I$65</f>
        <v>5</v>
      </c>
      <c r="J17961" s="33" t="n">
        <f aca="false">Assumptions!$J$65</f>
        <v>5</v>
      </c>
      <c r="K17961" s="33" t="n">
        <f aca="false">Assumptions!$K$65</f>
        <v>5</v>
      </c>
    </row>
    <row r="17962" customFormat="false" ht="15" hidden="false" customHeight="false" outlineLevel="0" collapsed="false">
      <c r="A17962" s="3" t="s">
        <v>375</v>
      </c>
      <c r="G17962" s="32" t="n">
        <f aca="false">G17961-G17960</f>
        <v>0.343360291411604</v>
      </c>
      <c r="H17962" s="32" t="n">
        <f aca="false">H17961-H17960</f>
        <v>-0.406948040368418</v>
      </c>
      <c r="I17962" s="32" t="n">
        <f aca="false">I17961-I17960</f>
        <v>-1.29821446578391</v>
      </c>
      <c r="J17962" s="32" t="n">
        <f aca="false">J17961-J17960</f>
        <v>-1.94579053123316</v>
      </c>
      <c r="K17962" s="32" t="n">
        <f aca="false">K17961-K17960</f>
        <v>-2.33831226622703</v>
      </c>
    </row>
    <row r="17963" customFormat="false" ht="15" hidden="false" customHeight="false" outlineLevel="0" collapsed="false">
      <c r="A17963" s="3" t="s">
        <v>376</v>
      </c>
      <c r="G17963" s="21" t="n">
        <f aca="false">IF(G17961=0,0,G17962/ABS(G17961))</f>
        <v>0.0654019602688769</v>
      </c>
      <c r="H17963" s="21" t="n">
        <f aca="false">IF(H17961=0,0,H17962/ABS(H17961))</f>
        <v>-0.0775139124511272</v>
      </c>
      <c r="I17963" s="21" t="n">
        <f aca="false">IF(I17961=0,0,I17962/ABS(I17961))</f>
        <v>-0.259642893156781</v>
      </c>
      <c r="J17963" s="21" t="n">
        <f aca="false">IF(J17961=0,0,J17962/ABS(J17961))</f>
        <v>-0.389158106246632</v>
      </c>
      <c r="K17963" s="21" t="n">
        <f aca="false">IF(K17961=0,0,K17962/ABS(K17961))</f>
        <v>-0.467662453245407</v>
      </c>
    </row>
    <row r="17964" customFormat="false" ht="15" hidden="false" customHeight="false" outlineLevel="0" collapsed="false">
      <c r="A17964" s="3" t="s">
        <v>377</v>
      </c>
      <c r="G17964" s="20" t="n">
        <f aca="false">IF(G17962&lt;0,1,0)</f>
        <v>0</v>
      </c>
      <c r="H17964" s="20" t="n">
        <f aca="false">IF(H17962&lt;0,1,0)</f>
        <v>1</v>
      </c>
      <c r="I17964" s="20" t="n">
        <f aca="false">IF(I17962&lt;0,1,0)</f>
        <v>1</v>
      </c>
      <c r="J17964" s="20" t="n">
        <f aca="false">IF(J17962&lt;0,1,0)</f>
        <v>1</v>
      </c>
      <c r="K17964" s="20" t="n">
        <f aca="false">IF(K17962&lt;0,1,0)</f>
        <v>1</v>
      </c>
    </row>
    <row r="17965" customFormat="false" ht="15" hidden="false" customHeight="false" outlineLevel="0" collapsed="false">
      <c r="A17965" s="3" t="s">
        <v>378</v>
      </c>
      <c r="C17965" s="20" t="n">
        <f aca="false">IFERROR(INDEX($G$17833:$K$17833,MATCH(1,$G$17964:$K$17964,0)),0)</f>
        <v>2028</v>
      </c>
    </row>
    <row r="17966" customFormat="false" ht="15" hidden="false" customHeight="false" outlineLevel="0" collapsed="false">
      <c r="A17966" s="3" t="s">
        <v>379</v>
      </c>
      <c r="C17966" s="21" t="n">
        <f aca="false">MIN($G$17963:$K$17963)</f>
        <v>-0.467662453245407</v>
      </c>
    </row>
    <row r="17967" customFormat="false" ht="15" hidden="false" customHeight="false" outlineLevel="0" collapsed="false">
      <c r="A17967" s="23" t="s">
        <v>380</v>
      </c>
      <c r="B17967" s="24"/>
      <c r="C17967" s="24"/>
      <c r="D17967" s="24"/>
      <c r="E17967" s="24"/>
      <c r="F17967" s="24"/>
      <c r="G17967" s="24"/>
      <c r="H17967" s="24"/>
      <c r="I17967" s="24"/>
      <c r="J17967" s="24"/>
      <c r="K17967" s="24"/>
    </row>
    <row r="17968" customFormat="false" ht="15" hidden="false" customHeight="false" outlineLevel="0" collapsed="false">
      <c r="A17968" s="3" t="s">
        <v>373</v>
      </c>
      <c r="G17968" s="32" t="n">
        <f aca="false">IF(G17847&gt;0,G17843/G17847,99)</f>
        <v>1.59005643370602</v>
      </c>
      <c r="H17968" s="32" t="n">
        <f aca="false">IF(H17847&gt;0,H17843/H17847,99)</f>
        <v>1.35552310973439</v>
      </c>
      <c r="I17968" s="32" t="n">
        <f aca="false">IF(I17847&gt;0,I17843/I17847,99)</f>
        <v>1.21627391755258</v>
      </c>
      <c r="J17968" s="32" t="n">
        <f aca="false">IF(J17847&gt;0,J17843/J17847,99)</f>
        <v>1.24284413584734</v>
      </c>
      <c r="K17968" s="32" t="n">
        <f aca="false">IF(K17847&gt;0,K17843/K17847,99)</f>
        <v>1.18070192905498</v>
      </c>
    </row>
    <row r="17969" customFormat="false" ht="15" hidden="false" customHeight="false" outlineLevel="0" collapsed="false">
      <c r="A17969" s="3" t="s">
        <v>374</v>
      </c>
      <c r="G17969" s="33" t="n">
        <f aca="false">Assumptions!$G$66</f>
        <v>1.4</v>
      </c>
      <c r="H17969" s="33" t="n">
        <f aca="false">Assumptions!$H$66</f>
        <v>1.4</v>
      </c>
      <c r="I17969" s="33" t="n">
        <f aca="false">Assumptions!$I$66</f>
        <v>1.4</v>
      </c>
      <c r="J17969" s="33" t="n">
        <f aca="false">Assumptions!$J$66</f>
        <v>1.5</v>
      </c>
      <c r="K17969" s="33" t="n">
        <f aca="false">Assumptions!$K$66</f>
        <v>1.5</v>
      </c>
    </row>
    <row r="17970" customFormat="false" ht="15" hidden="false" customHeight="false" outlineLevel="0" collapsed="false">
      <c r="A17970" s="3" t="s">
        <v>375</v>
      </c>
      <c r="G17970" s="32" t="n">
        <f aca="false">G17968-G17969</f>
        <v>0.190056433706025</v>
      </c>
      <c r="H17970" s="32" t="n">
        <f aca="false">H17968-H17969</f>
        <v>-0.0444768902656139</v>
      </c>
      <c r="I17970" s="32" t="n">
        <f aca="false">I17968-I17969</f>
        <v>-0.183726082447419</v>
      </c>
      <c r="J17970" s="32" t="n">
        <f aca="false">J17968-J17969</f>
        <v>-0.257155864152655</v>
      </c>
      <c r="K17970" s="32" t="n">
        <f aca="false">K17968-K17969</f>
        <v>-0.319298070945023</v>
      </c>
    </row>
    <row r="17971" customFormat="false" ht="15" hidden="false" customHeight="false" outlineLevel="0" collapsed="false">
      <c r="A17971" s="3" t="s">
        <v>376</v>
      </c>
      <c r="G17971" s="21" t="n">
        <f aca="false">IF(G17969=0,0,G17970/ABS(G17969))</f>
        <v>0.135754595504304</v>
      </c>
      <c r="H17971" s="21" t="n">
        <f aca="false">IF(H17969=0,0,H17970/ABS(H17969))</f>
        <v>-0.0317692073325813</v>
      </c>
      <c r="I17971" s="21" t="n">
        <f aca="false">IF(I17969=0,0,I17970/ABS(I17969))</f>
        <v>-0.131232916033871</v>
      </c>
      <c r="J17971" s="21" t="n">
        <f aca="false">IF(J17969=0,0,J17970/ABS(J17969))</f>
        <v>-0.171437242768437</v>
      </c>
      <c r="K17971" s="21" t="n">
        <f aca="false">IF(K17969=0,0,K17970/ABS(K17969))</f>
        <v>-0.212865380630015</v>
      </c>
    </row>
    <row r="17972" customFormat="false" ht="15" hidden="false" customHeight="false" outlineLevel="0" collapsed="false">
      <c r="A17972" s="3" t="s">
        <v>377</v>
      </c>
      <c r="G17972" s="20" t="n">
        <f aca="false">IF(G17970&lt;0,1,0)</f>
        <v>0</v>
      </c>
      <c r="H17972" s="20" t="n">
        <f aca="false">IF(H17970&lt;0,1,0)</f>
        <v>1</v>
      </c>
      <c r="I17972" s="20" t="n">
        <f aca="false">IF(I17970&lt;0,1,0)</f>
        <v>1</v>
      </c>
      <c r="J17972" s="20" t="n">
        <f aca="false">IF(J17970&lt;0,1,0)</f>
        <v>1</v>
      </c>
      <c r="K17972" s="20" t="n">
        <f aca="false">IF(K17970&lt;0,1,0)</f>
        <v>1</v>
      </c>
    </row>
    <row r="17973" customFormat="false" ht="15" hidden="false" customHeight="false" outlineLevel="0" collapsed="false">
      <c r="A17973" s="3" t="s">
        <v>378</v>
      </c>
      <c r="C17973" s="20" t="n">
        <f aca="false">IFERROR(INDEX($G$17833:$K$17833,MATCH(1,$G$17972:$K$17972,0)),0)</f>
        <v>2028</v>
      </c>
    </row>
    <row r="17974" customFormat="false" ht="15" hidden="false" customHeight="false" outlineLevel="0" collapsed="false">
      <c r="A17974" s="3" t="s">
        <v>379</v>
      </c>
      <c r="C17974" s="21" t="n">
        <f aca="false">MIN($G$17971:$K$17971)</f>
        <v>-0.212865380630015</v>
      </c>
    </row>
    <row r="17975" customFormat="false" ht="15" hidden="false" customHeight="false" outlineLevel="0" collapsed="false">
      <c r="A17975" s="23" t="s">
        <v>381</v>
      </c>
      <c r="B17975" s="24"/>
      <c r="C17975" s="24"/>
      <c r="D17975" s="24"/>
      <c r="E17975" s="24"/>
      <c r="F17975" s="24"/>
      <c r="G17975" s="24"/>
      <c r="H17975" s="24"/>
      <c r="I17975" s="24"/>
      <c r="J17975" s="24"/>
      <c r="K17975" s="24"/>
    </row>
    <row r="17976" customFormat="false" ht="15" hidden="false" customHeight="false" outlineLevel="0" collapsed="false">
      <c r="A17976" s="3" t="s">
        <v>373</v>
      </c>
      <c r="G17976" s="25" t="n">
        <f aca="false">G17954</f>
        <v>518.82154744</v>
      </c>
      <c r="H17976" s="25" t="n">
        <f aca="false">H17954</f>
        <v>539.6742833632</v>
      </c>
      <c r="I17976" s="25" t="n">
        <f aca="false">I17954</f>
        <v>120.430022671888</v>
      </c>
      <c r="J17976" s="25" t="n">
        <f aca="false">J17954</f>
        <v>123.071896868977</v>
      </c>
      <c r="K17976" s="25" t="n">
        <f aca="false">K17954</f>
        <v>118.677412856212</v>
      </c>
    </row>
    <row r="17977" customFormat="false" ht="15" hidden="false" customHeight="false" outlineLevel="0" collapsed="false">
      <c r="A17977" s="3" t="s">
        <v>374</v>
      </c>
      <c r="G17977" s="29" t="n">
        <f aca="false">Assumptions!$G$67</f>
        <v>200</v>
      </c>
      <c r="H17977" s="29" t="n">
        <f aca="false">Assumptions!$H$67</f>
        <v>200</v>
      </c>
      <c r="I17977" s="29" t="n">
        <f aca="false">Assumptions!$I$67</f>
        <v>200</v>
      </c>
      <c r="J17977" s="29" t="n">
        <f aca="false">Assumptions!$J$67</f>
        <v>200</v>
      </c>
      <c r="K17977" s="29" t="n">
        <f aca="false">Assumptions!$K$67</f>
        <v>200</v>
      </c>
    </row>
    <row r="17978" customFormat="false" ht="15" hidden="false" customHeight="false" outlineLevel="0" collapsed="false">
      <c r="A17978" s="3" t="s">
        <v>375</v>
      </c>
      <c r="G17978" s="25" t="n">
        <f aca="false">G17976-G17977</f>
        <v>318.82154744</v>
      </c>
      <c r="H17978" s="25" t="n">
        <f aca="false">H17976-H17977</f>
        <v>339.6742833632</v>
      </c>
      <c r="I17978" s="25" t="n">
        <f aca="false">I17976-I17977</f>
        <v>-79.5699773281123</v>
      </c>
      <c r="J17978" s="25" t="n">
        <f aca="false">J17976-J17977</f>
        <v>-76.9281031310227</v>
      </c>
      <c r="K17978" s="25" t="n">
        <f aca="false">K17976-K17977</f>
        <v>-81.3225871437876</v>
      </c>
    </row>
    <row r="17979" customFormat="false" ht="15" hidden="false" customHeight="false" outlineLevel="0" collapsed="false">
      <c r="A17979" s="3" t="s">
        <v>376</v>
      </c>
      <c r="G17979" s="21" t="n">
        <f aca="false">IF(G17977=0,0,G17978/ABS(G17977))</f>
        <v>1.5941077372</v>
      </c>
      <c r="H17979" s="21" t="n">
        <f aca="false">IF(H17977=0,0,H17978/ABS(H17977))</f>
        <v>1.698371416816</v>
      </c>
      <c r="I17979" s="21" t="n">
        <f aca="false">IF(I17977=0,0,I17978/ABS(I17977))</f>
        <v>-0.397849886640561</v>
      </c>
      <c r="J17979" s="21" t="n">
        <f aca="false">IF(J17977=0,0,J17978/ABS(J17977))</f>
        <v>-0.384640515655113</v>
      </c>
      <c r="K17979" s="21" t="n">
        <f aca="false">IF(K17977=0,0,K17978/ABS(K17977))</f>
        <v>-0.406612935718938</v>
      </c>
    </row>
    <row r="17980" customFormat="false" ht="15" hidden="false" customHeight="false" outlineLevel="0" collapsed="false">
      <c r="A17980" s="3" t="s">
        <v>377</v>
      </c>
      <c r="G17980" s="20" t="n">
        <f aca="false">IF(G17978&lt;0,1,0)</f>
        <v>0</v>
      </c>
      <c r="H17980" s="20" t="n">
        <f aca="false">IF(H17978&lt;0,1,0)</f>
        <v>0</v>
      </c>
      <c r="I17980" s="20" t="n">
        <f aca="false">IF(I17978&lt;0,1,0)</f>
        <v>1</v>
      </c>
      <c r="J17980" s="20" t="n">
        <f aca="false">IF(J17978&lt;0,1,0)</f>
        <v>1</v>
      </c>
      <c r="K17980" s="20" t="n">
        <f aca="false">IF(K17978&lt;0,1,0)</f>
        <v>1</v>
      </c>
    </row>
    <row r="17981" customFormat="false" ht="15" hidden="false" customHeight="false" outlineLevel="0" collapsed="false">
      <c r="A17981" s="3" t="s">
        <v>378</v>
      </c>
      <c r="C17981" s="20" t="n">
        <f aca="false">IFERROR(INDEX($G$17833:$K$17833,MATCH(1,$G$17980:$K$17980,0)),0)</f>
        <v>2029</v>
      </c>
    </row>
    <row r="17982" customFormat="false" ht="15" hidden="false" customHeight="false" outlineLevel="0" collapsed="false">
      <c r="A17982" s="3" t="s">
        <v>379</v>
      </c>
      <c r="C17982" s="21" t="n">
        <f aca="false">MIN($G$17979:$K$17979)</f>
        <v>-0.406612935718938</v>
      </c>
    </row>
    <row r="17983" customFormat="false" ht="15" hidden="false" customHeight="false" outlineLevel="0" collapsed="false">
      <c r="A17983" s="3" t="s">
        <v>382</v>
      </c>
      <c r="G17983" s="20" t="n">
        <f aca="false">G17964+G17972+G17980</f>
        <v>0</v>
      </c>
      <c r="H17983" s="20" t="n">
        <f aca="false">H17964+H17972+H17980</f>
        <v>2</v>
      </c>
      <c r="I17983" s="20" t="n">
        <f aca="false">I17964+I17972+I17980</f>
        <v>3</v>
      </c>
      <c r="J17983" s="20" t="n">
        <f aca="false">J17964+J17972+J17980</f>
        <v>3</v>
      </c>
      <c r="K17983" s="20" t="n">
        <f aca="false">K17964+K17972+K17980</f>
        <v>3</v>
      </c>
    </row>
    <row r="17984" customFormat="false" ht="15" hidden="false" customHeight="false" outlineLevel="0" collapsed="false">
      <c r="A17984" s="3" t="s">
        <v>383</v>
      </c>
      <c r="C17984" s="20" t="n">
        <f aca="false">SUM($G$17983:$K$17983)</f>
        <v>11</v>
      </c>
    </row>
    <row r="17985" customFormat="false" ht="15" hidden="false" customHeight="false" outlineLevel="0" collapsed="false">
      <c r="A17985" s="3" t="s">
        <v>384</v>
      </c>
      <c r="C17985" s="21" t="n">
        <f aca="false">MIN(C17966,C17974,C17982)</f>
        <v>-0.467662453245407</v>
      </c>
    </row>
    <row r="17987" customFormat="false" ht="15" hidden="false" customHeight="false" outlineLevel="0" collapsed="false">
      <c r="A17987" s="23" t="s">
        <v>486</v>
      </c>
      <c r="B17987" s="24"/>
      <c r="C17987" s="24"/>
      <c r="D17987" s="24"/>
      <c r="E17987" s="24"/>
      <c r="F17987" s="24"/>
      <c r="G17987" s="24"/>
      <c r="H17987" s="24"/>
      <c r="I17987" s="24"/>
      <c r="J17987" s="24"/>
      <c r="K17987" s="24"/>
    </row>
    <row r="17988" customFormat="false" ht="15" hidden="false" customHeight="false" outlineLevel="0" collapsed="false">
      <c r="A17988" s="3" t="s">
        <v>487</v>
      </c>
      <c r="G17988" s="20" t="n">
        <f aca="false">IF($C$17989=1,G17941,IF(G17843=MIN($G$17843:$K$17843),1,0))</f>
        <v>0</v>
      </c>
      <c r="H17988" s="20" t="n">
        <f aca="false">IF($C$17989=1,H17941,IF(AND(H17843=MIN($G$17843:$K$17843),SUM($G$17988:G17988)=0),1,0))</f>
        <v>0</v>
      </c>
      <c r="I17988" s="20" t="n">
        <f aca="false">IF($C$17989=1,I17941,IF(AND(I17843=MIN($G$17843:$K$17843),SUM($G$17988:H17988)=0),1,0))</f>
        <v>0</v>
      </c>
      <c r="J17988" s="20" t="n">
        <f aca="false">IF($C$17989=1,J17941,IF(AND(J17843=MIN($G$17843:$K$17843),SUM($G$17988:I17988)=0),1,0))</f>
        <v>0</v>
      </c>
      <c r="K17988" s="20" t="n">
        <f aca="false">IF($C$17989=1,K17941,IF(AND(K17843=MIN($G$17843:$K$17843),SUM($G$17988:J17988)=0),1,0))</f>
        <v>1</v>
      </c>
    </row>
    <row r="17989" customFormat="false" ht="15" hidden="false" customHeight="false" outlineLevel="0" collapsed="false">
      <c r="A17989" s="3" t="s">
        <v>488</v>
      </c>
      <c r="C17989" s="20" t="n">
        <f aca="false">IF(SUM($G$17941:$K$17941)&gt;0,1,0)</f>
        <v>0</v>
      </c>
    </row>
    <row r="17990" customFormat="false" ht="15" hidden="false" customHeight="false" outlineLevel="0" collapsed="false">
      <c r="A17990" s="3" t="s">
        <v>489</v>
      </c>
      <c r="C17990" s="20" t="n">
        <f aca="false">SUMPRODUCT($G$17988:$K$17988,$G$17833:$K$17833)</f>
        <v>2031</v>
      </c>
    </row>
    <row r="17991" customFormat="false" ht="15" hidden="false" customHeight="false" outlineLevel="0" collapsed="false">
      <c r="A17991" s="3" t="s">
        <v>490</v>
      </c>
      <c r="C17991" s="25" t="n">
        <f aca="false">SUMPRODUCT($G$17988:$K$17988,$G$17843:$K$17843)</f>
        <v>163.037568277116</v>
      </c>
    </row>
    <row r="17992" customFormat="false" ht="15" hidden="false" customHeight="false" outlineLevel="0" collapsed="false">
      <c r="A17992" s="3" t="s">
        <v>491</v>
      </c>
      <c r="C17992" s="25" t="n">
        <f aca="false">MAX(0,SUMPRODUCT($G$17988:$K$17988,$G$17938:$K$17938))</f>
        <v>118.677412856212</v>
      </c>
    </row>
    <row r="17993" customFormat="false" ht="15" hidden="false" customHeight="false" outlineLevel="0" collapsed="false">
      <c r="A17993" s="3" t="s">
        <v>492</v>
      </c>
      <c r="C17993" s="25" t="n">
        <f aca="false">(CHOOSE($C$17826,Assumptions!$C$84,Assumptions!$C$103,Assumptions!$C$122)+$C$17830)*C17991</f>
        <v>733.669057247022</v>
      </c>
    </row>
    <row r="17994" customFormat="false" ht="15" hidden="false" customHeight="false" outlineLevel="0" collapsed="false">
      <c r="A17994" s="3" t="s">
        <v>493</v>
      </c>
      <c r="C17994" s="25" t="n">
        <f aca="false">Assumptions!$C$30*(1-CHOOSE($C$17826,Assumptions!$C$85,Assumptions!$C$104,Assumptions!$C$123))*CHOOSE($C$17826,Assumptions!$C$86,Assumptions!$C$105,Assumptions!$C$124)</f>
        <v>626.017605</v>
      </c>
    </row>
    <row r="17995" customFormat="false" ht="15" hidden="false" customHeight="false" outlineLevel="0" collapsed="false">
      <c r="A17995" s="3" t="s">
        <v>494</v>
      </c>
      <c r="C17995" s="25" t="n">
        <f aca="false">MAX(C17993,C17994)+C17992</f>
        <v>852.346470103234</v>
      </c>
    </row>
    <row r="17996" customFormat="false" ht="15" hidden="false" customHeight="false" outlineLevel="0" collapsed="false">
      <c r="A17996" s="2" t="s">
        <v>495</v>
      </c>
      <c r="C17996" s="16" t="n">
        <f aca="false">IF(ISNUMBER(Assumptions!$C$14),Assumptions!$C$14,C17995)</f>
        <v>852.346470103234</v>
      </c>
    </row>
    <row r="17997" customFormat="false" ht="15" hidden="false" customHeight="false" outlineLevel="0" collapsed="false">
      <c r="A17997" s="3" t="s">
        <v>496</v>
      </c>
      <c r="C17997" s="25" t="n">
        <f aca="false">C17996*Assumptions!$C$15</f>
        <v>34.0938588041294</v>
      </c>
    </row>
    <row r="17998" customFormat="false" ht="15" hidden="false" customHeight="false" outlineLevel="0" collapsed="false">
      <c r="A17998" s="2" t="s">
        <v>497</v>
      </c>
      <c r="C17998" s="16" t="n">
        <f aca="false">C17996-C17997</f>
        <v>818.252611299105</v>
      </c>
    </row>
    <row r="17999" customFormat="false" ht="15" hidden="false" customHeight="false" outlineLevel="0" collapsed="false">
      <c r="A17999" s="23" t="s">
        <v>498</v>
      </c>
      <c r="B17999" s="24"/>
      <c r="C17999" s="24"/>
      <c r="D17999" s="24"/>
      <c r="E17999" s="24"/>
      <c r="F17999" s="24"/>
      <c r="G17999" s="24"/>
      <c r="H17999" s="24"/>
      <c r="I17999" s="24"/>
      <c r="J17999" s="24"/>
      <c r="K17999" s="24"/>
    </row>
    <row r="18000" customFormat="false" ht="15" hidden="false" customHeight="false" outlineLevel="0" collapsed="false">
      <c r="A18000" s="3" t="s">
        <v>499</v>
      </c>
      <c r="C18000" s="25" t="n">
        <f aca="false">SUMPRODUCT($G$17988:$K$17988,$G$17880:$K$17880)*(1+SUMPRODUCT($G$17988:$K$17988,$G$17872:$K$17872)*Assumptions!$C$16/12)</f>
        <v>1349.6193225</v>
      </c>
    </row>
    <row r="18001" customFormat="false" ht="15" hidden="false" customHeight="false" outlineLevel="0" collapsed="false">
      <c r="A18001" s="3" t="s">
        <v>500</v>
      </c>
      <c r="C18001" s="25" t="n">
        <f aca="false">SUMPRODUCT($G$17988:$K$17988,$G$17893:$K$17893)*(1+SUMPRODUCT($G$17988:$K$17988,$G$17885:$K$17885)*Assumptions!$C$16/12)</f>
        <v>0</v>
      </c>
    </row>
    <row r="18002" customFormat="false" ht="15" hidden="false" customHeight="false" outlineLevel="0" collapsed="false">
      <c r="A18002" s="3" t="s">
        <v>501</v>
      </c>
      <c r="C18002" s="25" t="n">
        <f aca="false">SUMPRODUCT($G$17988:$K$17988,$G$17906:$K$17906)*(1+SUMPRODUCT($G$17988:$K$17988,$G$17898:$K$17898)*Assumptions!$C$16/12)</f>
        <v>0</v>
      </c>
    </row>
    <row r="18003" customFormat="false" ht="15" hidden="false" customHeight="false" outlineLevel="0" collapsed="false">
      <c r="A18003" s="23" t="s">
        <v>502</v>
      </c>
      <c r="B18003" s="24"/>
      <c r="C18003" s="24"/>
      <c r="D18003" s="24"/>
      <c r="E18003" s="24"/>
      <c r="F18003" s="24"/>
      <c r="G18003" s="24"/>
      <c r="H18003" s="24"/>
      <c r="I18003" s="24"/>
      <c r="J18003" s="24"/>
      <c r="K18003" s="24"/>
    </row>
    <row r="18004" customFormat="false" ht="15" hidden="false" customHeight="false" outlineLevel="0" collapsed="false">
      <c r="A18004" s="3" t="s">
        <v>499</v>
      </c>
      <c r="C18004" s="27" t="n">
        <f aca="false">Assumptions!$M$56</f>
        <v>1</v>
      </c>
    </row>
    <row r="18005" customFormat="false" ht="15" hidden="false" customHeight="false" outlineLevel="0" collapsed="false">
      <c r="A18005" s="3" t="s">
        <v>500</v>
      </c>
      <c r="C18005" s="27" t="n">
        <f aca="false">Assumptions!$M$57</f>
        <v>2</v>
      </c>
    </row>
    <row r="18006" customFormat="false" ht="15" hidden="false" customHeight="false" outlineLevel="0" collapsed="false">
      <c r="A18006" s="3" t="s">
        <v>501</v>
      </c>
      <c r="C18006" s="27" t="n">
        <f aca="false">Assumptions!$M$58</f>
        <v>2</v>
      </c>
    </row>
    <row r="18007" customFormat="false" ht="15" hidden="false" customHeight="false" outlineLevel="0" collapsed="false">
      <c r="A18007" s="23" t="s">
        <v>503</v>
      </c>
      <c r="B18007" s="24"/>
      <c r="C18007" s="24"/>
      <c r="D18007" s="24"/>
      <c r="E18007" s="24"/>
      <c r="F18007" s="24"/>
      <c r="G18007" s="24"/>
      <c r="H18007" s="24"/>
      <c r="I18007" s="24"/>
      <c r="J18007" s="24"/>
      <c r="K18007" s="24"/>
    </row>
    <row r="18008" customFormat="false" ht="15" hidden="false" customHeight="false" outlineLevel="0" collapsed="false">
      <c r="A18008" s="3" t="s">
        <v>499</v>
      </c>
      <c r="C18008" s="35" t="n">
        <f aca="false">Assumptions!$Q$56</f>
        <v>0</v>
      </c>
    </row>
    <row r="18009" customFormat="false" ht="15" hidden="false" customHeight="false" outlineLevel="0" collapsed="false">
      <c r="A18009" s="3" t="s">
        <v>500</v>
      </c>
      <c r="C18009" s="35" t="n">
        <f aca="false">Assumptions!$Q$57</f>
        <v>0</v>
      </c>
    </row>
    <row r="18010" customFormat="false" ht="15" hidden="false" customHeight="false" outlineLevel="0" collapsed="false">
      <c r="A18010" s="3" t="s">
        <v>501</v>
      </c>
      <c r="C18010" s="35" t="n">
        <f aca="false">Assumptions!$Q$58</f>
        <v>0</v>
      </c>
    </row>
    <row r="18011" customFormat="false" ht="15" hidden="false" customHeight="false" outlineLevel="0" collapsed="false">
      <c r="A18011" s="23" t="s">
        <v>504</v>
      </c>
      <c r="B18011" s="24"/>
      <c r="C18011" s="24"/>
      <c r="D18011" s="24"/>
      <c r="E18011" s="24"/>
      <c r="F18011" s="24"/>
      <c r="G18011" s="24"/>
      <c r="H18011" s="24"/>
      <c r="I18011" s="24"/>
      <c r="J18011" s="24"/>
      <c r="K18011" s="24"/>
    </row>
    <row r="18012" customFormat="false" ht="15" hidden="false" customHeight="false" outlineLevel="0" collapsed="false">
      <c r="A18012" s="3" t="s">
        <v>499</v>
      </c>
      <c r="C18012" s="25" t="n">
        <f aca="false">IF(C18008&gt;0,MIN(C18000,C18008*$C$17998),0)</f>
        <v>0</v>
      </c>
    </row>
    <row r="18013" customFormat="false" ht="15" hidden="false" customHeight="false" outlineLevel="0" collapsed="false">
      <c r="A18013" s="3" t="s">
        <v>500</v>
      </c>
      <c r="C18013" s="25" t="n">
        <f aca="false">IF(C18009&gt;0,MIN(C18001,C18009*$C$17998),0)</f>
        <v>0</v>
      </c>
    </row>
    <row r="18014" customFormat="false" ht="15" hidden="false" customHeight="false" outlineLevel="0" collapsed="false">
      <c r="A18014" s="3" t="s">
        <v>501</v>
      </c>
      <c r="C18014" s="25" t="n">
        <f aca="false">IF(C18010&gt;0,MIN(C18002,C18010*$C$17998),0)</f>
        <v>0</v>
      </c>
    </row>
    <row r="18015" customFormat="false" ht="15" hidden="false" customHeight="false" outlineLevel="0" collapsed="false">
      <c r="A18015" s="23" t="s">
        <v>505</v>
      </c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</row>
    <row r="18016" customFormat="false" ht="15" hidden="false" customHeight="false" outlineLevel="0" collapsed="false">
      <c r="A18016" s="3" t="s">
        <v>499</v>
      </c>
      <c r="C18016" s="25" t="n">
        <f aca="false">IF(C18008&gt;0,C18000-C18012,0)</f>
        <v>0</v>
      </c>
      <c r="G18016" s="20" t="n">
        <f aca="false">IF(AND(G17870=1,G17867=1),1,0)</f>
        <v>0</v>
      </c>
      <c r="H18016" s="20" t="n">
        <f aca="false">IF(G18016=1,1,IF(AND(H17870=1,H17867=1),1,0))</f>
        <v>0</v>
      </c>
      <c r="I18016" s="20" t="n">
        <f aca="false">IF(H18016=1,1,IF(AND(I17870=1,I17867=1),1,0))</f>
        <v>0</v>
      </c>
      <c r="J18016" s="20" t="n">
        <f aca="false">IF(I18016=1,1,IF(AND(J17870=1,J17867=1),1,0))</f>
        <v>0</v>
      </c>
      <c r="K18016" s="20" t="n">
        <f aca="false">IF(J18016=1,1,IF(AND(K17870=1,K17867=1),1,0))</f>
        <v>0</v>
      </c>
    </row>
    <row r="18017" customFormat="false" ht="15" hidden="false" customHeight="false" outlineLevel="0" collapsed="false">
      <c r="A18017" s="3" t="s">
        <v>500</v>
      </c>
      <c r="C18017" s="25" t="n">
        <f aca="false">IF(C18009&gt;0,C18001-C18013,0)</f>
        <v>0</v>
      </c>
      <c r="G18017" s="20" t="n">
        <f aca="false">IF(AND(G17883=1,G17867=1),1,0)</f>
        <v>0</v>
      </c>
      <c r="H18017" s="20" t="n">
        <f aca="false">IF(G18017=1,1,IF(AND(H17883=1,H17867=1),1,0))</f>
        <v>0</v>
      </c>
      <c r="I18017" s="20" t="n">
        <f aca="false">IF(H18017=1,1,IF(AND(I17883=1,I17867=1),1,0))</f>
        <v>0</v>
      </c>
      <c r="J18017" s="20" t="n">
        <f aca="false">IF(I18017=1,1,IF(AND(J17883=1,J17867=1),1,0))</f>
        <v>0</v>
      </c>
      <c r="K18017" s="20" t="n">
        <f aca="false">IF(J18017=1,1,IF(AND(K17883=1,K17867=1),1,0))</f>
        <v>0</v>
      </c>
    </row>
    <row r="18018" customFormat="false" ht="15" hidden="false" customHeight="false" outlineLevel="0" collapsed="false">
      <c r="A18018" s="3" t="s">
        <v>501</v>
      </c>
      <c r="C18018" s="25" t="n">
        <f aca="false">IF(C18010&gt;0,C18002-C18014,0)</f>
        <v>0</v>
      </c>
      <c r="G18018" s="20" t="n">
        <f aca="false">IF(AND(G17896=1,G17867=1),1,0)</f>
        <v>0</v>
      </c>
      <c r="H18018" s="20" t="n">
        <f aca="false">IF(G18018=1,1,IF(AND(H17896=1,H17867=1),1,0))</f>
        <v>0</v>
      </c>
      <c r="I18018" s="20" t="n">
        <f aca="false">IF(H18018=1,1,IF(AND(I17896=1,I17867=1),1,0))</f>
        <v>0</v>
      </c>
      <c r="J18018" s="20" t="n">
        <f aca="false">IF(I18018=1,1,IF(AND(J17896=1,J17867=1),1,0))</f>
        <v>0</v>
      </c>
      <c r="K18018" s="20" t="n">
        <f aca="false">IF(J18018=1,1,IF(AND(K17896=1,K17867=1),1,0))</f>
        <v>0</v>
      </c>
    </row>
    <row r="18019" customFormat="false" ht="15" hidden="false" customHeight="false" outlineLevel="0" collapsed="false">
      <c r="A18019" s="23" t="s">
        <v>506</v>
      </c>
      <c r="B18019" s="24"/>
      <c r="C18019" s="24"/>
      <c r="D18019" s="24"/>
      <c r="E18019" s="24"/>
      <c r="F18019" s="24"/>
      <c r="G18019" s="24"/>
      <c r="H18019" s="24"/>
      <c r="I18019" s="24"/>
      <c r="J18019" s="24"/>
      <c r="K18019" s="24"/>
    </row>
    <row r="18020" customFormat="false" ht="15" hidden="false" customHeight="false" outlineLevel="0" collapsed="false">
      <c r="A18020" s="3" t="s">
        <v>499</v>
      </c>
      <c r="C18020" s="25" t="n">
        <f aca="false">IF(C18008&gt;0,C18016,C18000)</f>
        <v>1349.6193225</v>
      </c>
    </row>
    <row r="18021" customFormat="false" ht="15" hidden="false" customHeight="false" outlineLevel="0" collapsed="false">
      <c r="A18021" s="3" t="s">
        <v>500</v>
      </c>
      <c r="C18021" s="25" t="n">
        <f aca="false">IF(C18009&gt;0,C18017,C18001)</f>
        <v>0</v>
      </c>
    </row>
    <row r="18022" customFormat="false" ht="15" hidden="false" customHeight="false" outlineLevel="0" collapsed="false">
      <c r="A18022" s="3" t="s">
        <v>501</v>
      </c>
      <c r="C18022" s="25" t="n">
        <f aca="false">IF(C18010&gt;0,C18018,C18002)</f>
        <v>0</v>
      </c>
    </row>
    <row r="18023" customFormat="false" ht="15" hidden="false" customHeight="false" outlineLevel="0" collapsed="false">
      <c r="A18023" s="23" t="s">
        <v>507</v>
      </c>
      <c r="B18023" s="24"/>
      <c r="C18023" s="24"/>
      <c r="D18023" s="24"/>
      <c r="E18023" s="24"/>
      <c r="F18023" s="24"/>
      <c r="G18023" s="24"/>
      <c r="H18023" s="24"/>
      <c r="I18023" s="24"/>
      <c r="J18023" s="24"/>
      <c r="K18023" s="24"/>
    </row>
    <row r="18024" customFormat="false" ht="15" hidden="false" customHeight="false" outlineLevel="0" collapsed="false">
      <c r="A18024" s="3" t="s">
        <v>499</v>
      </c>
      <c r="C18024" s="20" t="n">
        <f aca="false">IF(C18008&gt;0,Assumptions!$C$17,C18004)</f>
        <v>1</v>
      </c>
    </row>
    <row r="18025" customFormat="false" ht="15" hidden="false" customHeight="false" outlineLevel="0" collapsed="false">
      <c r="A18025" s="3" t="s">
        <v>500</v>
      </c>
      <c r="C18025" s="20" t="n">
        <f aca="false">IF(C18009&gt;0,Assumptions!$C$17,C18005)</f>
        <v>2</v>
      </c>
    </row>
    <row r="18026" customFormat="false" ht="15" hidden="false" customHeight="false" outlineLevel="0" collapsed="false">
      <c r="A18026" s="3" t="s">
        <v>501</v>
      </c>
      <c r="C18026" s="20" t="n">
        <f aca="false">IF(C18010&gt;0,Assumptions!$C$17,C18006)</f>
        <v>2</v>
      </c>
    </row>
    <row r="18027" customFormat="false" ht="15" hidden="false" customHeight="false" outlineLevel="0" collapsed="false">
      <c r="A18027" s="23" t="s">
        <v>508</v>
      </c>
      <c r="B18027" s="24"/>
      <c r="C18027" s="24"/>
      <c r="D18027" s="24"/>
      <c r="E18027" s="24"/>
      <c r="F18027" s="24"/>
      <c r="G18027" s="24"/>
      <c r="H18027" s="24"/>
      <c r="I18027" s="24"/>
      <c r="J18027" s="24"/>
      <c r="K18027" s="24"/>
    </row>
    <row r="18028" customFormat="false" ht="15" hidden="false" customHeight="false" outlineLevel="0" collapsed="false">
      <c r="A18028" s="3" t="s">
        <v>499</v>
      </c>
      <c r="C18028" s="25" t="n">
        <f aca="false">SUMPRODUCT(($C$18024:$C$18026&lt;C18024)*$C$18020:$C$18022)</f>
        <v>0</v>
      </c>
    </row>
    <row r="18029" customFormat="false" ht="15" hidden="false" customHeight="false" outlineLevel="0" collapsed="false">
      <c r="A18029" s="3" t="s">
        <v>500</v>
      </c>
      <c r="C18029" s="25" t="n">
        <f aca="false">SUMPRODUCT(($C$18024:$C$18026&lt;C18025)*$C$18020:$C$18022)</f>
        <v>1349.6193225</v>
      </c>
    </row>
    <row r="18030" customFormat="false" ht="15" hidden="false" customHeight="false" outlineLevel="0" collapsed="false">
      <c r="A18030" s="3" t="s">
        <v>501</v>
      </c>
      <c r="C18030" s="25" t="n">
        <f aca="false">SUMPRODUCT(($C$18024:$C$18026&lt;C18026)*$C$18020:$C$18022)</f>
        <v>1349.6193225</v>
      </c>
    </row>
    <row r="18031" customFormat="false" ht="15" hidden="false" customHeight="false" outlineLevel="0" collapsed="false">
      <c r="A18031" s="23" t="s">
        <v>509</v>
      </c>
      <c r="B18031" s="24"/>
      <c r="C18031" s="24"/>
      <c r="D18031" s="24"/>
      <c r="E18031" s="24"/>
      <c r="F18031" s="24"/>
      <c r="G18031" s="24"/>
      <c r="H18031" s="24"/>
      <c r="I18031" s="24"/>
      <c r="J18031" s="24"/>
      <c r="K18031" s="24"/>
    </row>
    <row r="18032" customFormat="false" ht="15" hidden="false" customHeight="false" outlineLevel="0" collapsed="false">
      <c r="A18032" s="3" t="s">
        <v>499</v>
      </c>
      <c r="C18032" s="25" t="n">
        <f aca="false">SUMPRODUCT(($C$18024:$C$18026=C18024)*$C$18020:$C$18022)</f>
        <v>1349.6193225</v>
      </c>
    </row>
    <row r="18033" customFormat="false" ht="15" hidden="false" customHeight="false" outlineLevel="0" collapsed="false">
      <c r="A18033" s="3" t="s">
        <v>500</v>
      </c>
      <c r="C18033" s="25" t="n">
        <f aca="false">SUMPRODUCT(($C$18024:$C$18026=C18025)*$C$18020:$C$18022)</f>
        <v>0</v>
      </c>
    </row>
    <row r="18034" customFormat="false" ht="15" hidden="false" customHeight="false" outlineLevel="0" collapsed="false">
      <c r="A18034" s="3" t="s">
        <v>501</v>
      </c>
      <c r="C18034" s="25" t="n">
        <f aca="false">SUMPRODUCT(($C$18024:$C$18026=C18026)*$C$18020:$C$18022)</f>
        <v>0</v>
      </c>
    </row>
    <row r="18035" customFormat="false" ht="15" hidden="false" customHeight="false" outlineLevel="0" collapsed="false">
      <c r="A18035" s="23" t="s">
        <v>510</v>
      </c>
      <c r="B18035" s="24"/>
      <c r="C18035" s="24"/>
      <c r="D18035" s="24"/>
      <c r="E18035" s="24"/>
      <c r="F18035" s="24"/>
      <c r="G18035" s="24"/>
      <c r="H18035" s="24"/>
      <c r="I18035" s="24"/>
      <c r="J18035" s="24"/>
      <c r="K18035" s="24"/>
    </row>
    <row r="18036" customFormat="false" ht="15" hidden="false" customHeight="false" outlineLevel="0" collapsed="false">
      <c r="A18036" s="3" t="s">
        <v>499</v>
      </c>
      <c r="C18036" s="25" t="n">
        <f aca="false">IF(C18032=0,0,C18020/C18032*MAX(0,MIN(C18032,$C$17998-SUM($C$18012:$C$18014)-C18028)))</f>
        <v>818.252611299105</v>
      </c>
    </row>
    <row r="18037" customFormat="false" ht="15" hidden="false" customHeight="false" outlineLevel="0" collapsed="false">
      <c r="A18037" s="3" t="s">
        <v>500</v>
      </c>
      <c r="C18037" s="25" t="n">
        <f aca="false">IF(C18033=0,0,C18021/C18033*MAX(0,MIN(C18033,$C$17998-SUM($C$18012:$C$18014)-C18029)))</f>
        <v>0</v>
      </c>
    </row>
    <row r="18038" customFormat="false" ht="15" hidden="false" customHeight="false" outlineLevel="0" collapsed="false">
      <c r="A18038" s="3" t="s">
        <v>501</v>
      </c>
      <c r="C18038" s="25" t="n">
        <f aca="false">IF(C18034=0,0,C18022/C18034*MAX(0,MIN(C18034,$C$17998-SUM($C$18012:$C$18014)-C18030)))</f>
        <v>0</v>
      </c>
    </row>
    <row r="18039" customFormat="false" ht="15" hidden="false" customHeight="false" outlineLevel="0" collapsed="false">
      <c r="A18039" s="23" t="s">
        <v>511</v>
      </c>
      <c r="B18039" s="24"/>
      <c r="C18039" s="24"/>
      <c r="D18039" s="24"/>
      <c r="E18039" s="24"/>
      <c r="F18039" s="24"/>
      <c r="G18039" s="24"/>
      <c r="H18039" s="24"/>
      <c r="I18039" s="24"/>
      <c r="J18039" s="24"/>
      <c r="K18039" s="24"/>
    </row>
    <row r="18040" customFormat="false" ht="15" hidden="false" customHeight="false" outlineLevel="0" collapsed="false">
      <c r="A18040" s="2" t="s">
        <v>499</v>
      </c>
      <c r="C18040" s="16" t="n">
        <f aca="false">C18012+C18036</f>
        <v>818.252611299105</v>
      </c>
    </row>
    <row r="18041" customFormat="false" ht="15" hidden="false" customHeight="false" outlineLevel="0" collapsed="false">
      <c r="A18041" s="2" t="s">
        <v>500</v>
      </c>
      <c r="C18041" s="16" t="n">
        <f aca="false">C18013+C18037</f>
        <v>0</v>
      </c>
    </row>
    <row r="18042" customFormat="false" ht="15" hidden="false" customHeight="false" outlineLevel="0" collapsed="false">
      <c r="A18042" s="2" t="s">
        <v>501</v>
      </c>
      <c r="C18042" s="16" t="n">
        <f aca="false">C18014+C18038</f>
        <v>0</v>
      </c>
    </row>
    <row r="18043" customFormat="false" ht="15" hidden="false" customHeight="false" outlineLevel="0" collapsed="false">
      <c r="A18043" s="23" t="s">
        <v>512</v>
      </c>
      <c r="B18043" s="24"/>
      <c r="C18043" s="24"/>
      <c r="D18043" s="24"/>
      <c r="E18043" s="24"/>
      <c r="F18043" s="24"/>
      <c r="G18043" s="24"/>
      <c r="H18043" s="24"/>
      <c r="I18043" s="24"/>
      <c r="J18043" s="24"/>
      <c r="K18043" s="24"/>
    </row>
    <row r="18044" customFormat="false" ht="15" hidden="false" customHeight="false" outlineLevel="0" collapsed="false">
      <c r="A18044" s="3" t="s">
        <v>499</v>
      </c>
      <c r="C18044" s="21" t="n">
        <f aca="false">IF(C18000=0,1,C18040/C18000)</f>
        <v>0.606284007392095</v>
      </c>
    </row>
    <row r="18045" customFormat="false" ht="15" hidden="false" customHeight="false" outlineLevel="0" collapsed="false">
      <c r="A18045" s="3" t="s">
        <v>500</v>
      </c>
      <c r="C18045" s="21" t="n">
        <f aca="false">IF(C18001=0,1,C18041/C18001)</f>
        <v>1</v>
      </c>
    </row>
    <row r="18046" customFormat="false" ht="15" hidden="false" customHeight="false" outlineLevel="0" collapsed="false">
      <c r="A18046" s="3" t="s">
        <v>501</v>
      </c>
      <c r="C18046" s="21" t="n">
        <f aca="false">IF(C18002=0,1,C18042/C18002)</f>
        <v>1</v>
      </c>
    </row>
    <row r="18047" customFormat="false" ht="15" hidden="false" customHeight="false" outlineLevel="0" collapsed="false">
      <c r="A18047" s="23" t="s">
        <v>513</v>
      </c>
      <c r="B18047" s="24"/>
      <c r="C18047" s="24"/>
      <c r="D18047" s="24"/>
      <c r="E18047" s="24"/>
      <c r="F18047" s="24"/>
      <c r="G18047" s="24"/>
      <c r="H18047" s="24"/>
      <c r="I18047" s="24"/>
      <c r="J18047" s="24"/>
      <c r="K18047" s="24"/>
    </row>
    <row r="18048" customFormat="false" ht="15" hidden="false" customHeight="false" outlineLevel="0" collapsed="false">
      <c r="A18048" s="3" t="s">
        <v>499</v>
      </c>
      <c r="C18048" s="25" t="n">
        <f aca="false">C18000-C18040</f>
        <v>531.366711200895</v>
      </c>
    </row>
    <row r="18049" customFormat="false" ht="15" hidden="false" customHeight="false" outlineLevel="0" collapsed="false">
      <c r="A18049" s="3" t="s">
        <v>500</v>
      </c>
      <c r="C18049" s="25" t="n">
        <f aca="false">C18001-C18041</f>
        <v>0</v>
      </c>
    </row>
    <row r="18050" customFormat="false" ht="15" hidden="false" customHeight="false" outlineLevel="0" collapsed="false">
      <c r="A18050" s="3" t="s">
        <v>501</v>
      </c>
      <c r="C18050" s="25" t="n">
        <f aca="false">C18002-C18042</f>
        <v>0</v>
      </c>
    </row>
    <row r="18051" customFormat="false" ht="15" hidden="false" customHeight="false" outlineLevel="0" collapsed="false">
      <c r="A18051" s="23" t="s">
        <v>514</v>
      </c>
      <c r="B18051" s="24"/>
      <c r="C18051" s="24"/>
      <c r="D18051" s="24"/>
      <c r="E18051" s="24"/>
      <c r="F18051" s="24"/>
      <c r="G18051" s="24"/>
      <c r="H18051" s="24"/>
      <c r="I18051" s="24"/>
      <c r="J18051" s="24"/>
      <c r="K18051" s="24"/>
    </row>
    <row r="18052" customFormat="false" ht="15" hidden="false" customHeight="false" outlineLevel="0" collapsed="false">
      <c r="A18052" s="3" t="s">
        <v>499</v>
      </c>
      <c r="C18052" s="21" t="n">
        <f aca="false">IF(C18000=0,0,C18048/C18000)</f>
        <v>0.393715992607905</v>
      </c>
    </row>
    <row r="18053" customFormat="false" ht="15" hidden="false" customHeight="false" outlineLevel="0" collapsed="false">
      <c r="A18053" s="3" t="s">
        <v>500</v>
      </c>
      <c r="C18053" s="21" t="n">
        <f aca="false">IF(C18001=0,0,C18049/C18001)</f>
        <v>0</v>
      </c>
    </row>
    <row r="18054" customFormat="false" ht="15" hidden="false" customHeight="false" outlineLevel="0" collapsed="false">
      <c r="A18054" s="3" t="s">
        <v>501</v>
      </c>
      <c r="C18054" s="21" t="n">
        <f aca="false">IF(C18002=0,0,C18050/C18002)</f>
        <v>0</v>
      </c>
    </row>
    <row r="18055" customFormat="false" ht="15" hidden="false" customHeight="false" outlineLevel="0" collapsed="false">
      <c r="A18055" s="2" t="s">
        <v>515</v>
      </c>
      <c r="C18055" s="16" t="n">
        <f aca="false">MAX(0,$C$17998-SUM($C$18012:$C$18014)-SUM($C$18020:$C$18022))</f>
        <v>0</v>
      </c>
    </row>
    <row r="18056" customFormat="false" ht="15" hidden="false" customHeight="false" outlineLevel="0" collapsed="false">
      <c r="A18056" s="3" t="s">
        <v>516</v>
      </c>
      <c r="C18056" s="25" t="n">
        <f aca="false">SUM($C$18040:$C$18042)+C18055+C17997-C17996</f>
        <v>0</v>
      </c>
    </row>
    <row r="18058" customFormat="false" ht="15" hidden="false" customHeight="false" outlineLevel="0" collapsed="false">
      <c r="A18058" s="23" t="s">
        <v>519</v>
      </c>
      <c r="B18058" s="24"/>
      <c r="C18058" s="24"/>
      <c r="D18058" s="24"/>
      <c r="E18058" s="24"/>
      <c r="F18058" s="24"/>
      <c r="G18058" s="24"/>
      <c r="H18058" s="24"/>
      <c r="I18058" s="24"/>
      <c r="J18058" s="24"/>
      <c r="K18058" s="24"/>
    </row>
    <row r="18059" customFormat="false" ht="15" hidden="false" customHeight="false" outlineLevel="0" collapsed="false">
      <c r="A18059" s="3" t="s">
        <v>520</v>
      </c>
      <c r="C18059" s="27" t="n">
        <f aca="false">Assumptions!$C$33</f>
        <v>1</v>
      </c>
    </row>
    <row r="18060" customFormat="false" ht="15" hidden="false" customHeight="false" outlineLevel="0" collapsed="false">
      <c r="A18060" s="3" t="s">
        <v>521</v>
      </c>
      <c r="C18060" s="29" t="n">
        <f aca="false">Assumptions!$C$34</f>
        <v>100</v>
      </c>
    </row>
    <row r="18061" customFormat="false" ht="15" hidden="false" customHeight="false" outlineLevel="0" collapsed="false">
      <c r="A18061" s="3" t="s">
        <v>522</v>
      </c>
      <c r="C18061" s="40" t="n">
        <f aca="false">Assumptions!$C$35</f>
        <v>95</v>
      </c>
    </row>
    <row r="18062" customFormat="false" ht="15" hidden="false" customHeight="false" outlineLevel="0" collapsed="false">
      <c r="A18062" s="3" t="s">
        <v>523</v>
      </c>
      <c r="C18062" s="25" t="n">
        <f aca="false">C18060*C18061/100*(1+Assumptions!$C$36)</f>
        <v>95</v>
      </c>
    </row>
    <row r="18063" customFormat="false" ht="15" hidden="false" customHeight="false" outlineLevel="0" collapsed="false">
      <c r="A18063" s="3" t="s">
        <v>524</v>
      </c>
      <c r="C18063" s="27" t="n">
        <f aca="false">Assumptions!$C$37</f>
        <v>3</v>
      </c>
    </row>
    <row r="18064" customFormat="false" ht="15" hidden="false" customHeight="false" outlineLevel="0" collapsed="false">
      <c r="A18064" s="3" t="s">
        <v>525</v>
      </c>
      <c r="C18064" s="20" t="n">
        <f aca="false">IF(C17989=1,SUMPRODUCT($G$17941:$K$17941,$G$17834:$K$17834),0)</f>
        <v>0</v>
      </c>
    </row>
    <row r="18065" customFormat="false" ht="15" hidden="false" customHeight="false" outlineLevel="0" collapsed="false">
      <c r="A18065" s="3" t="s">
        <v>526</v>
      </c>
      <c r="C18065" s="21" t="n">
        <f aca="false">IFERROR(C18060/CHOOSE(C18059,SUMPRODUCT($G$17988:$K$17988,$G$17880:$K$17880),SUMPRODUCT($G$17988:$K$17988,$G$17893:$K$17893),SUMPRODUCT($G$17988:$K$17988,$G$17906:$K$17906)),0)</f>
        <v>0.0760399605200525</v>
      </c>
    </row>
    <row r="18066" customFormat="false" ht="15" hidden="false" customHeight="false" outlineLevel="0" collapsed="false">
      <c r="A18066" s="3" t="s">
        <v>527</v>
      </c>
      <c r="C18066" s="25" t="n">
        <f aca="false">CHOOSE(C18059,C18040,C18041,C18042)*C18065</f>
        <v>62.2198962586138</v>
      </c>
    </row>
    <row r="18067" customFormat="false" ht="15" hidden="false" customHeight="false" outlineLevel="0" collapsed="false">
      <c r="A18067" s="3" t="s">
        <v>528</v>
      </c>
      <c r="C18067" s="21" t="n">
        <f aca="false">CHOOSE(C18059,C18044,C18045,C18046)</f>
        <v>0.606284007392095</v>
      </c>
    </row>
    <row r="18068" customFormat="false" ht="15" hidden="false" customHeight="false" outlineLevel="0" collapsed="false">
      <c r="A18068" s="3" t="s">
        <v>529</v>
      </c>
      <c r="C18068" s="20" t="n">
        <f aca="false">IF(C17989=1,C18064,C18063)</f>
        <v>3</v>
      </c>
    </row>
    <row r="18069" customFormat="false" ht="15" hidden="false" customHeight="false" outlineLevel="0" collapsed="false">
      <c r="A18069" s="3" t="s">
        <v>530</v>
      </c>
      <c r="C18069" s="34" t="n">
        <f aca="false">CHOOSE($C$17826,Assumptions!$C$83,Assumptions!$C$102,Assumptions!$C$121)</f>
        <v>95</v>
      </c>
    </row>
    <row r="18070" customFormat="false" ht="15" hidden="false" customHeight="false" outlineLevel="0" collapsed="false">
      <c r="A18070" s="3" t="s">
        <v>531</v>
      </c>
      <c r="C18070" s="25" t="n">
        <f aca="false">INDEX($G$17843:$K$17843,C18063)*CHOOSE($C$17826,Assumptions!$C$82,Assumptions!$C$101,Assumptions!$C$120)+MAX(0,INDEX($G$17938:$K$17938,C18063))</f>
        <v>1068.84800987949</v>
      </c>
    </row>
    <row r="18071" customFormat="false" ht="15" hidden="false" customHeight="false" outlineLevel="0" collapsed="false">
      <c r="A18071" s="23" t="s">
        <v>532</v>
      </c>
      <c r="B18071" s="24"/>
      <c r="C18071" s="24"/>
      <c r="D18071" s="24"/>
      <c r="E18071" s="24"/>
      <c r="F18071" s="24"/>
      <c r="G18071" s="24"/>
      <c r="H18071" s="24"/>
      <c r="I18071" s="24"/>
      <c r="J18071" s="24"/>
      <c r="K18071" s="24"/>
    </row>
    <row r="18072" customFormat="false" ht="15" hidden="false" customHeight="false" outlineLevel="0" collapsed="false">
      <c r="A18072" s="3" t="s">
        <v>499</v>
      </c>
      <c r="C18072" s="25" t="n">
        <f aca="false">INDEX($G$17880:$K$17880,C18063)</f>
        <v>1315.098</v>
      </c>
    </row>
    <row r="18073" customFormat="false" ht="15" hidden="false" customHeight="false" outlineLevel="0" collapsed="false">
      <c r="A18073" s="3" t="s">
        <v>500</v>
      </c>
      <c r="C18073" s="25" t="n">
        <f aca="false">INDEX($G$17893:$K$17893,C18063)</f>
        <v>0</v>
      </c>
    </row>
    <row r="18074" customFormat="false" ht="15" hidden="false" customHeight="false" outlineLevel="0" collapsed="false">
      <c r="A18074" s="3" t="s">
        <v>501</v>
      </c>
      <c r="C18074" s="25" t="n">
        <f aca="false">INDEX($G$17906:$K$17906,C18063)</f>
        <v>0</v>
      </c>
    </row>
    <row r="18075" customFormat="false" ht="15" hidden="false" customHeight="false" outlineLevel="0" collapsed="false">
      <c r="A18075" s="23" t="s">
        <v>502</v>
      </c>
      <c r="B18075" s="24"/>
      <c r="C18075" s="24"/>
      <c r="D18075" s="24"/>
      <c r="E18075" s="24"/>
      <c r="F18075" s="24"/>
      <c r="G18075" s="24"/>
      <c r="H18075" s="24"/>
      <c r="I18075" s="24"/>
      <c r="J18075" s="24"/>
      <c r="K18075" s="24"/>
    </row>
    <row r="18076" customFormat="false" ht="15" hidden="false" customHeight="false" outlineLevel="0" collapsed="false">
      <c r="A18076" s="3" t="s">
        <v>499</v>
      </c>
      <c r="C18076" s="27" t="n">
        <f aca="false">Assumptions!$M$56</f>
        <v>1</v>
      </c>
    </row>
    <row r="18077" customFormat="false" ht="15" hidden="false" customHeight="false" outlineLevel="0" collapsed="false">
      <c r="A18077" s="3" t="s">
        <v>500</v>
      </c>
      <c r="C18077" s="27" t="n">
        <f aca="false">Assumptions!$M$57</f>
        <v>2</v>
      </c>
    </row>
    <row r="18078" customFormat="false" ht="15" hidden="false" customHeight="false" outlineLevel="0" collapsed="false">
      <c r="A18078" s="3" t="s">
        <v>501</v>
      </c>
      <c r="C18078" s="27" t="n">
        <f aca="false">Assumptions!$M$58</f>
        <v>2</v>
      </c>
    </row>
    <row r="18079" customFormat="false" ht="15" hidden="false" customHeight="false" outlineLevel="0" collapsed="false">
      <c r="A18079" s="23" t="s">
        <v>503</v>
      </c>
      <c r="B18079" s="24"/>
      <c r="C18079" s="24"/>
      <c r="D18079" s="24"/>
      <c r="E18079" s="24"/>
      <c r="F18079" s="24"/>
      <c r="G18079" s="24"/>
      <c r="H18079" s="24"/>
      <c r="I18079" s="24"/>
      <c r="J18079" s="24"/>
      <c r="K18079" s="24"/>
    </row>
    <row r="18080" customFormat="false" ht="15" hidden="false" customHeight="false" outlineLevel="0" collapsed="false">
      <c r="A18080" s="3" t="s">
        <v>499</v>
      </c>
      <c r="C18080" s="35" t="n">
        <f aca="false">Assumptions!$Q$56</f>
        <v>0</v>
      </c>
    </row>
    <row r="18081" customFormat="false" ht="15" hidden="false" customHeight="false" outlineLevel="0" collapsed="false">
      <c r="A18081" s="3" t="s">
        <v>500</v>
      </c>
      <c r="C18081" s="35" t="n">
        <f aca="false">Assumptions!$Q$57</f>
        <v>0</v>
      </c>
    </row>
    <row r="18082" customFormat="false" ht="15" hidden="false" customHeight="false" outlineLevel="0" collapsed="false">
      <c r="A18082" s="3" t="s">
        <v>501</v>
      </c>
      <c r="C18082" s="35" t="n">
        <f aca="false">Assumptions!$Q$58</f>
        <v>0</v>
      </c>
    </row>
    <row r="18083" customFormat="false" ht="15" hidden="false" customHeight="false" outlineLevel="0" collapsed="false">
      <c r="A18083" s="23" t="s">
        <v>504</v>
      </c>
      <c r="B18083" s="24"/>
      <c r="C18083" s="24"/>
      <c r="D18083" s="24"/>
      <c r="E18083" s="24"/>
      <c r="F18083" s="24"/>
      <c r="G18083" s="24"/>
      <c r="H18083" s="24"/>
      <c r="I18083" s="24"/>
      <c r="J18083" s="24"/>
      <c r="K18083" s="24"/>
    </row>
    <row r="18084" customFormat="false" ht="15" hidden="false" customHeight="false" outlineLevel="0" collapsed="false">
      <c r="A18084" s="3" t="s">
        <v>499</v>
      </c>
      <c r="C18084" s="25" t="n">
        <f aca="false">IF(C18080&gt;0,MIN(C18072,C18080*$C$18070),0)</f>
        <v>0</v>
      </c>
    </row>
    <row r="18085" customFormat="false" ht="15" hidden="false" customHeight="false" outlineLevel="0" collapsed="false">
      <c r="A18085" s="3" t="s">
        <v>500</v>
      </c>
      <c r="C18085" s="25" t="n">
        <f aca="false">IF(C18081&gt;0,MIN(C18073,C18081*$C$18070),0)</f>
        <v>0</v>
      </c>
    </row>
    <row r="18086" customFormat="false" ht="15" hidden="false" customHeight="false" outlineLevel="0" collapsed="false">
      <c r="A18086" s="3" t="s">
        <v>501</v>
      </c>
      <c r="C18086" s="25" t="n">
        <f aca="false">IF(C18082&gt;0,MIN(C18074,C18082*$C$18070),0)</f>
        <v>0</v>
      </c>
    </row>
    <row r="18087" customFormat="false" ht="15" hidden="false" customHeight="false" outlineLevel="0" collapsed="false">
      <c r="A18087" s="23" t="s">
        <v>505</v>
      </c>
      <c r="B18087" s="24"/>
      <c r="C18087" s="24"/>
      <c r="D18087" s="24"/>
      <c r="E18087" s="24"/>
      <c r="F18087" s="24"/>
      <c r="G18087" s="24"/>
      <c r="H18087" s="24"/>
      <c r="I18087" s="24"/>
      <c r="J18087" s="24"/>
      <c r="K18087" s="24"/>
    </row>
    <row r="18088" customFormat="false" ht="15" hidden="false" customHeight="false" outlineLevel="0" collapsed="false">
      <c r="A18088" s="3" t="s">
        <v>499</v>
      </c>
      <c r="C18088" s="25" t="n">
        <f aca="false">IF(C18080&gt;0,C18072-C18084,0)</f>
        <v>0</v>
      </c>
    </row>
    <row r="18089" customFormat="false" ht="15" hidden="false" customHeight="false" outlineLevel="0" collapsed="false">
      <c r="A18089" s="3" t="s">
        <v>500</v>
      </c>
      <c r="C18089" s="25" t="n">
        <f aca="false">IF(C18081&gt;0,C18073-C18085,0)</f>
        <v>0</v>
      </c>
    </row>
    <row r="18090" customFormat="false" ht="15" hidden="false" customHeight="false" outlineLevel="0" collapsed="false">
      <c r="A18090" s="3" t="s">
        <v>501</v>
      </c>
      <c r="C18090" s="25" t="n">
        <f aca="false">IF(C18082&gt;0,C18074-C18086,0)</f>
        <v>0</v>
      </c>
    </row>
    <row r="18091" customFormat="false" ht="15" hidden="false" customHeight="false" outlineLevel="0" collapsed="false">
      <c r="A18091" s="23" t="s">
        <v>506</v>
      </c>
      <c r="B18091" s="24"/>
      <c r="C18091" s="24"/>
      <c r="D18091" s="24"/>
      <c r="E18091" s="24"/>
      <c r="F18091" s="24"/>
      <c r="G18091" s="24"/>
      <c r="H18091" s="24"/>
      <c r="I18091" s="24"/>
      <c r="J18091" s="24"/>
      <c r="K18091" s="24"/>
    </row>
    <row r="18092" customFormat="false" ht="15" hidden="false" customHeight="false" outlineLevel="0" collapsed="false">
      <c r="A18092" s="3" t="s">
        <v>499</v>
      </c>
      <c r="C18092" s="25" t="n">
        <f aca="false">IF(C18080&gt;0,C18088,C18072)</f>
        <v>1315.098</v>
      </c>
    </row>
    <row r="18093" customFormat="false" ht="15" hidden="false" customHeight="false" outlineLevel="0" collapsed="false">
      <c r="A18093" s="3" t="s">
        <v>500</v>
      </c>
      <c r="C18093" s="25" t="n">
        <f aca="false">IF(C18081&gt;0,C18089,C18073)</f>
        <v>0</v>
      </c>
    </row>
    <row r="18094" customFormat="false" ht="15" hidden="false" customHeight="false" outlineLevel="0" collapsed="false">
      <c r="A18094" s="3" t="s">
        <v>501</v>
      </c>
      <c r="C18094" s="25" t="n">
        <f aca="false">IF(C18082&gt;0,C18090,C18074)</f>
        <v>0</v>
      </c>
    </row>
    <row r="18095" customFormat="false" ht="15" hidden="false" customHeight="false" outlineLevel="0" collapsed="false">
      <c r="A18095" s="23" t="s">
        <v>507</v>
      </c>
      <c r="B18095" s="24"/>
      <c r="C18095" s="24"/>
      <c r="D18095" s="24"/>
      <c r="E18095" s="24"/>
      <c r="F18095" s="24"/>
      <c r="G18095" s="24"/>
      <c r="H18095" s="24"/>
      <c r="I18095" s="24"/>
      <c r="J18095" s="24"/>
      <c r="K18095" s="24"/>
    </row>
    <row r="18096" customFormat="false" ht="15" hidden="false" customHeight="false" outlineLevel="0" collapsed="false">
      <c r="A18096" s="3" t="s">
        <v>499</v>
      </c>
      <c r="C18096" s="20" t="n">
        <f aca="false">IF(C18080&gt;0,Assumptions!$C$17,C18076)</f>
        <v>1</v>
      </c>
    </row>
    <row r="18097" customFormat="false" ht="15" hidden="false" customHeight="false" outlineLevel="0" collapsed="false">
      <c r="A18097" s="3" t="s">
        <v>500</v>
      </c>
      <c r="C18097" s="20" t="n">
        <f aca="false">IF(C18081&gt;0,Assumptions!$C$17,C18077)</f>
        <v>2</v>
      </c>
    </row>
    <row r="18098" customFormat="false" ht="15" hidden="false" customHeight="false" outlineLevel="0" collapsed="false">
      <c r="A18098" s="3" t="s">
        <v>501</v>
      </c>
      <c r="C18098" s="20" t="n">
        <f aca="false">IF(C18082&gt;0,Assumptions!$C$17,C18078)</f>
        <v>2</v>
      </c>
    </row>
    <row r="18099" customFormat="false" ht="15" hidden="false" customHeight="false" outlineLevel="0" collapsed="false">
      <c r="A18099" s="23" t="s">
        <v>508</v>
      </c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</row>
    <row r="18100" customFormat="false" ht="15" hidden="false" customHeight="false" outlineLevel="0" collapsed="false">
      <c r="A18100" s="3" t="s">
        <v>499</v>
      </c>
      <c r="C18100" s="25" t="n">
        <f aca="false">SUMPRODUCT(($C$18096:$C$18098&lt;C18096)*$C$18092:$C$18094)</f>
        <v>0</v>
      </c>
    </row>
    <row r="18101" customFormat="false" ht="15" hidden="false" customHeight="false" outlineLevel="0" collapsed="false">
      <c r="A18101" s="3" t="s">
        <v>500</v>
      </c>
      <c r="C18101" s="25" t="n">
        <f aca="false">SUMPRODUCT(($C$18096:$C$18098&lt;C18097)*$C$18092:$C$18094)</f>
        <v>1315.098</v>
      </c>
    </row>
    <row r="18102" customFormat="false" ht="15" hidden="false" customHeight="false" outlineLevel="0" collapsed="false">
      <c r="A18102" s="3" t="s">
        <v>501</v>
      </c>
      <c r="C18102" s="25" t="n">
        <f aca="false">SUMPRODUCT(($C$18096:$C$18098&lt;C18098)*$C$18092:$C$18094)</f>
        <v>1315.098</v>
      </c>
    </row>
    <row r="18103" customFormat="false" ht="15" hidden="false" customHeight="false" outlineLevel="0" collapsed="false">
      <c r="A18103" s="23" t="s">
        <v>509</v>
      </c>
      <c r="B18103" s="24"/>
      <c r="C18103" s="24"/>
      <c r="D18103" s="24"/>
      <c r="E18103" s="24"/>
      <c r="F18103" s="24"/>
      <c r="G18103" s="24"/>
      <c r="H18103" s="24"/>
      <c r="I18103" s="24"/>
      <c r="J18103" s="24"/>
      <c r="K18103" s="24"/>
    </row>
    <row r="18104" customFormat="false" ht="15" hidden="false" customHeight="false" outlineLevel="0" collapsed="false">
      <c r="A18104" s="3" t="s">
        <v>499</v>
      </c>
      <c r="C18104" s="25" t="n">
        <f aca="false">SUMPRODUCT(($C$18096:$C$18098=C18096)*$C$18092:$C$18094)</f>
        <v>1315.098</v>
      </c>
    </row>
    <row r="18105" customFormat="false" ht="15" hidden="false" customHeight="false" outlineLevel="0" collapsed="false">
      <c r="A18105" s="3" t="s">
        <v>500</v>
      </c>
      <c r="C18105" s="25" t="n">
        <f aca="false">SUMPRODUCT(($C$18096:$C$18098=C18097)*$C$18092:$C$18094)</f>
        <v>0</v>
      </c>
    </row>
    <row r="18106" customFormat="false" ht="15" hidden="false" customHeight="false" outlineLevel="0" collapsed="false">
      <c r="A18106" s="3" t="s">
        <v>501</v>
      </c>
      <c r="C18106" s="25" t="n">
        <f aca="false">SUMPRODUCT(($C$18096:$C$18098=C18098)*$C$18092:$C$18094)</f>
        <v>0</v>
      </c>
    </row>
    <row r="18107" customFormat="false" ht="15" hidden="false" customHeight="false" outlineLevel="0" collapsed="false">
      <c r="A18107" s="23" t="s">
        <v>510</v>
      </c>
      <c r="B18107" s="24"/>
      <c r="C18107" s="24"/>
      <c r="D18107" s="24"/>
      <c r="E18107" s="24"/>
      <c r="F18107" s="24"/>
      <c r="G18107" s="24"/>
      <c r="H18107" s="24"/>
      <c r="I18107" s="24"/>
      <c r="J18107" s="24"/>
      <c r="K18107" s="24"/>
    </row>
    <row r="18108" customFormat="false" ht="15" hidden="false" customHeight="false" outlineLevel="0" collapsed="false">
      <c r="A18108" s="3" t="s">
        <v>499</v>
      </c>
      <c r="C18108" s="25" t="n">
        <f aca="false">IF(C18104=0,0,C18092/C18104*MAX(0,MIN(C18104,$C$18070-SUM($C$18084:$C$18086)-C18100)))</f>
        <v>1068.84800987949</v>
      </c>
    </row>
    <row r="18109" customFormat="false" ht="15" hidden="false" customHeight="false" outlineLevel="0" collapsed="false">
      <c r="A18109" s="3" t="s">
        <v>500</v>
      </c>
      <c r="C18109" s="25" t="n">
        <f aca="false">IF(C18105=0,0,C18093/C18105*MAX(0,MIN(C18105,$C$18070-SUM($C$18084:$C$18086)-C18101)))</f>
        <v>0</v>
      </c>
    </row>
    <row r="18110" customFormat="false" ht="15" hidden="false" customHeight="false" outlineLevel="0" collapsed="false">
      <c r="A18110" s="3" t="s">
        <v>501</v>
      </c>
      <c r="C18110" s="25" t="n">
        <f aca="false">IF(C18106=0,0,C18094/C18106*MAX(0,MIN(C18106,$C$18070-SUM($C$18084:$C$18086)-C18102)))</f>
        <v>0</v>
      </c>
    </row>
    <row r="18111" customFormat="false" ht="15" hidden="false" customHeight="false" outlineLevel="0" collapsed="false">
      <c r="A18111" s="23" t="s">
        <v>511</v>
      </c>
      <c r="B18111" s="24"/>
      <c r="C18111" s="24"/>
      <c r="D18111" s="24"/>
      <c r="E18111" s="24"/>
      <c r="F18111" s="24"/>
      <c r="G18111" s="24"/>
      <c r="H18111" s="24"/>
      <c r="I18111" s="24"/>
      <c r="J18111" s="24"/>
      <c r="K18111" s="24"/>
    </row>
    <row r="18112" customFormat="false" ht="15" hidden="false" customHeight="false" outlineLevel="0" collapsed="false">
      <c r="A18112" s="2" t="s">
        <v>499</v>
      </c>
      <c r="C18112" s="16" t="n">
        <f aca="false">C18084+C18108</f>
        <v>1068.84800987949</v>
      </c>
    </row>
    <row r="18113" customFormat="false" ht="15" hidden="false" customHeight="false" outlineLevel="0" collapsed="false">
      <c r="A18113" s="2" t="s">
        <v>500</v>
      </c>
      <c r="C18113" s="16" t="n">
        <f aca="false">C18085+C18109</f>
        <v>0</v>
      </c>
    </row>
    <row r="18114" customFormat="false" ht="15" hidden="false" customHeight="false" outlineLevel="0" collapsed="false">
      <c r="A18114" s="2" t="s">
        <v>501</v>
      </c>
      <c r="C18114" s="16" t="n">
        <f aca="false">C18086+C18110</f>
        <v>0</v>
      </c>
    </row>
    <row r="18115" customFormat="false" ht="15" hidden="false" customHeight="false" outlineLevel="0" collapsed="false">
      <c r="A18115" s="23" t="s">
        <v>512</v>
      </c>
      <c r="B18115" s="24"/>
      <c r="C18115" s="24"/>
      <c r="D18115" s="24"/>
      <c r="E18115" s="24"/>
      <c r="F18115" s="24"/>
      <c r="G18115" s="24"/>
      <c r="H18115" s="24"/>
      <c r="I18115" s="24"/>
      <c r="J18115" s="24"/>
      <c r="K18115" s="24"/>
    </row>
    <row r="18116" customFormat="false" ht="15" hidden="false" customHeight="false" outlineLevel="0" collapsed="false">
      <c r="A18116" s="3" t="s">
        <v>499</v>
      </c>
      <c r="C18116" s="21" t="n">
        <f aca="false">IF(C18072=0,1,C18112/C18072)</f>
        <v>0.812751604731729</v>
      </c>
    </row>
    <row r="18117" customFormat="false" ht="15" hidden="false" customHeight="false" outlineLevel="0" collapsed="false">
      <c r="A18117" s="3" t="s">
        <v>500</v>
      </c>
      <c r="C18117" s="21" t="n">
        <f aca="false">IF(C18073=0,1,C18113/C18073)</f>
        <v>1</v>
      </c>
    </row>
    <row r="18118" customFormat="false" ht="15" hidden="false" customHeight="false" outlineLevel="0" collapsed="false">
      <c r="A18118" s="3" t="s">
        <v>501</v>
      </c>
      <c r="C18118" s="21" t="n">
        <f aca="false">IF(C18074=0,1,C18114/C18074)</f>
        <v>1</v>
      </c>
    </row>
    <row r="18119" customFormat="false" ht="15" hidden="false" customHeight="false" outlineLevel="0" collapsed="false">
      <c r="A18119" s="23" t="s">
        <v>513</v>
      </c>
      <c r="B18119" s="24"/>
      <c r="C18119" s="24"/>
      <c r="D18119" s="24"/>
      <c r="E18119" s="24"/>
      <c r="F18119" s="24"/>
      <c r="G18119" s="24"/>
      <c r="H18119" s="24"/>
      <c r="I18119" s="24"/>
      <c r="J18119" s="24"/>
      <c r="K18119" s="24"/>
    </row>
    <row r="18120" customFormat="false" ht="15" hidden="false" customHeight="false" outlineLevel="0" collapsed="false">
      <c r="A18120" s="3" t="s">
        <v>499</v>
      </c>
      <c r="C18120" s="25" t="n">
        <f aca="false">C18072-C18112</f>
        <v>246.249990120512</v>
      </c>
    </row>
    <row r="18121" customFormat="false" ht="15" hidden="false" customHeight="false" outlineLevel="0" collapsed="false">
      <c r="A18121" s="3" t="s">
        <v>500</v>
      </c>
      <c r="C18121" s="25" t="n">
        <f aca="false">C18073-C18113</f>
        <v>0</v>
      </c>
    </row>
    <row r="18122" customFormat="false" ht="15" hidden="false" customHeight="false" outlineLevel="0" collapsed="false">
      <c r="A18122" s="3" t="s">
        <v>501</v>
      </c>
      <c r="C18122" s="25" t="n">
        <f aca="false">C18074-C18114</f>
        <v>0</v>
      </c>
    </row>
    <row r="18123" customFormat="false" ht="15" hidden="false" customHeight="false" outlineLevel="0" collapsed="false">
      <c r="A18123" s="23" t="s">
        <v>514</v>
      </c>
      <c r="B18123" s="24"/>
      <c r="C18123" s="24"/>
      <c r="D18123" s="24"/>
      <c r="E18123" s="24"/>
      <c r="F18123" s="24"/>
      <c r="G18123" s="24"/>
      <c r="H18123" s="24"/>
      <c r="I18123" s="24"/>
      <c r="J18123" s="24"/>
      <c r="K18123" s="24"/>
    </row>
    <row r="18124" customFormat="false" ht="15" hidden="false" customHeight="false" outlineLevel="0" collapsed="false">
      <c r="A18124" s="3" t="s">
        <v>499</v>
      </c>
      <c r="C18124" s="21" t="n">
        <f aca="false">IF(C18072=0,0,C18120/C18072)</f>
        <v>0.187248395268271</v>
      </c>
    </row>
    <row r="18125" customFormat="false" ht="15" hidden="false" customHeight="false" outlineLevel="0" collapsed="false">
      <c r="A18125" s="3" t="s">
        <v>500</v>
      </c>
      <c r="C18125" s="21" t="n">
        <f aca="false">IF(C18073=0,0,C18121/C18073)</f>
        <v>0</v>
      </c>
    </row>
    <row r="18126" customFormat="false" ht="15" hidden="false" customHeight="false" outlineLevel="0" collapsed="false">
      <c r="A18126" s="3" t="s">
        <v>501</v>
      </c>
      <c r="C18126" s="21" t="n">
        <f aca="false">IF(C18074=0,0,C18122/C18074)</f>
        <v>0</v>
      </c>
    </row>
    <row r="18127" customFormat="false" ht="15" hidden="false" customHeight="false" outlineLevel="0" collapsed="false">
      <c r="A18127" s="2" t="s">
        <v>515</v>
      </c>
      <c r="C18127" s="16" t="n">
        <f aca="false">MAX(0,$C$18070-SUM($C$18084:$C$18086)-SUM($C$18092:$C$18094))</f>
        <v>0</v>
      </c>
    </row>
    <row r="18128" customFormat="false" ht="15" hidden="false" customHeight="false" outlineLevel="0" collapsed="false">
      <c r="A18128" s="3" t="s">
        <v>533</v>
      </c>
      <c r="C18128" s="34" t="n">
        <f aca="false">MIN(C18069,100*CHOOSE(C18059,C18116,C18117,C18118))</f>
        <v>81.2751604731729</v>
      </c>
    </row>
    <row r="18129" customFormat="false" ht="15" hidden="false" customHeight="false" outlineLevel="0" collapsed="false">
      <c r="A18129" s="3" t="s">
        <v>534</v>
      </c>
      <c r="C18129" s="20" t="n">
        <f aca="false">IF(C17989=1,C18064+Assumptions!$C$39,C18063)</f>
        <v>3</v>
      </c>
    </row>
    <row r="18130" customFormat="false" ht="15" hidden="false" customHeight="false" outlineLevel="0" collapsed="false">
      <c r="A18130" s="23" t="s">
        <v>535</v>
      </c>
      <c r="B18130" s="24"/>
      <c r="C18130" s="24"/>
      <c r="D18130" s="24"/>
      <c r="E18130" s="24"/>
      <c r="F18130" s="24"/>
      <c r="G18130" s="24"/>
      <c r="H18130" s="24"/>
      <c r="I18130" s="24"/>
      <c r="J18130" s="24"/>
      <c r="K18130" s="24"/>
    </row>
    <row r="18131" customFormat="false" ht="15" hidden="false" customHeight="false" outlineLevel="0" collapsed="false">
      <c r="A18131" s="3" t="s">
        <v>536</v>
      </c>
      <c r="C18131" s="20" t="n">
        <f aca="false">COLUMN()-COLUMN($C$1)</f>
        <v>0</v>
      </c>
      <c r="D18131" s="20" t="n">
        <f aca="false">COLUMN()-COLUMN($C$1)</f>
        <v>1</v>
      </c>
      <c r="E18131" s="20" t="n">
        <f aca="false">COLUMN()-COLUMN($C$1)</f>
        <v>2</v>
      </c>
      <c r="F18131" s="20" t="n">
        <f aca="false">COLUMN()-COLUMN($C$1)</f>
        <v>3</v>
      </c>
      <c r="G18131" s="20" t="n">
        <f aca="false">COLUMN()-COLUMN($C$1)</f>
        <v>4</v>
      </c>
      <c r="H18131" s="20" t="n">
        <f aca="false">COLUMN()-COLUMN($C$1)</f>
        <v>5</v>
      </c>
      <c r="I18131" s="20" t="n">
        <f aca="false">COLUMN()-COLUMN($C$1)</f>
        <v>6</v>
      </c>
    </row>
    <row r="18132" customFormat="false" ht="15" hidden="false" customHeight="false" outlineLevel="0" collapsed="false">
      <c r="A18132" s="3" t="s">
        <v>537</v>
      </c>
      <c r="D18132" s="31" t="n">
        <f aca="false">CHOOSE($C$18059,G17872,G17885,G17898)</f>
        <v>0.105</v>
      </c>
      <c r="E18132" s="31" t="n">
        <f aca="false">CHOOSE($C$18059,H17872,H17885,H17898)</f>
        <v>0.105</v>
      </c>
      <c r="F18132" s="31" t="n">
        <f aca="false">CHOOSE($C$18059,I17872,I17885,I17898)</f>
        <v>0.105</v>
      </c>
      <c r="G18132" s="31" t="n">
        <f aca="false">CHOOSE($C$18059,J17872,J17885,J17898)</f>
        <v>0.105</v>
      </c>
      <c r="H18132" s="31" t="n">
        <f aca="false">CHOOSE($C$18059,K17872,K17885,K17898)</f>
        <v>0.105</v>
      </c>
    </row>
    <row r="18133" customFormat="false" ht="15" hidden="false" customHeight="false" outlineLevel="0" collapsed="false">
      <c r="A18133" s="3" t="s">
        <v>538</v>
      </c>
      <c r="D18133" s="25" t="n">
        <f aca="false">IF(D18131&lt;=$C$18068,$C$18060*D18132,0)</f>
        <v>10.5</v>
      </c>
      <c r="E18133" s="25" t="n">
        <f aca="false">IF(E18131&lt;=$C$18068,$C$18060*E18132,0)</f>
        <v>10.5</v>
      </c>
      <c r="F18133" s="25" t="n">
        <f aca="false">IF(F18131&lt;=$C$18068,$C$18060*F18132,0)</f>
        <v>10.5</v>
      </c>
      <c r="G18133" s="25" t="n">
        <f aca="false">IF(G18131&lt;=$C$18068,$C$18060*G18132,0)</f>
        <v>0</v>
      </c>
      <c r="H18133" s="25" t="n">
        <f aca="false">IF(H18131&lt;=$C$18068,$C$18060*H18132,0)</f>
        <v>0</v>
      </c>
    </row>
    <row r="18134" customFormat="false" ht="15" hidden="false" customHeight="false" outlineLevel="0" collapsed="false">
      <c r="A18134" s="3" t="s">
        <v>539</v>
      </c>
      <c r="D18134" s="25" t="n">
        <f aca="false">IF(AND($C$17989=0,D18131=$C$18063),$C$18060*$C$18128/100,0)+IF(AND($C$17989=1,D18131=$C$18129),$C$18066,0)</f>
        <v>0</v>
      </c>
      <c r="E18134" s="25" t="n">
        <f aca="false">IF(AND($C$17989=0,E18131=$C$18063),$C$18060*$C$18128/100,0)+IF(AND($C$17989=1,E18131=$C$18129),$C$18066,0)</f>
        <v>0</v>
      </c>
      <c r="F18134" s="25" t="n">
        <f aca="false">IF(AND($C$17989=0,F18131=$C$18063),$C$18060*$C$18128/100,0)+IF(AND($C$17989=1,F18131=$C$18129),$C$18066,0)</f>
        <v>81.2751604731729</v>
      </c>
      <c r="G18134" s="25" t="n">
        <f aca="false">IF(AND($C$17989=0,G18131=$C$18063),$C$18060*$C$18128/100,0)+IF(AND($C$17989=1,G18131=$C$18129),$C$18066,0)</f>
        <v>0</v>
      </c>
      <c r="H18134" s="25" t="n">
        <f aca="false">IF(AND($C$17989=0,H18131=$C$18063),$C$18060*$C$18128/100,0)+IF(AND($C$17989=1,H18131=$C$18129),$C$18066,0)</f>
        <v>0</v>
      </c>
      <c r="I18134" s="25" t="n">
        <f aca="false">IF(AND($C$17989=0,I18131=$C$18063),$C$18060*$C$18128/100,0)+IF(AND($C$17989=1,I18131=$C$18129),$C$18066,0)</f>
        <v>0</v>
      </c>
    </row>
    <row r="18135" customFormat="false" ht="15" hidden="false" customHeight="false" outlineLevel="0" collapsed="false">
      <c r="A18135" s="2" t="s">
        <v>540</v>
      </c>
      <c r="C18135" s="16" t="n">
        <f aca="false">-$C$18062</f>
        <v>-95</v>
      </c>
      <c r="D18135" s="16" t="n">
        <f aca="false">D18133+D18134</f>
        <v>10.5</v>
      </c>
      <c r="E18135" s="16" t="n">
        <f aca="false">E18133+E18134</f>
        <v>10.5</v>
      </c>
      <c r="F18135" s="16" t="n">
        <f aca="false">F18133+F18134</f>
        <v>91.7751604731729</v>
      </c>
      <c r="G18135" s="16" t="n">
        <f aca="false">G18133+G18134</f>
        <v>0</v>
      </c>
      <c r="H18135" s="16" t="n">
        <f aca="false">H18133+H18134</f>
        <v>0</v>
      </c>
      <c r="I18135" s="16" t="n">
        <f aca="false">I18133+I18134</f>
        <v>0</v>
      </c>
    </row>
    <row r="18136" customFormat="false" ht="15" hidden="false" customHeight="false" outlineLevel="0" collapsed="false">
      <c r="A18136" s="3" t="s">
        <v>541</v>
      </c>
      <c r="C18136" s="25" t="n">
        <f aca="false">SUM($C$18133:$I$18133)</f>
        <v>31.5</v>
      </c>
    </row>
    <row r="18137" customFormat="false" ht="15" hidden="false" customHeight="false" outlineLevel="0" collapsed="false">
      <c r="A18137" s="3" t="s">
        <v>542</v>
      </c>
      <c r="C18137" s="25" t="n">
        <f aca="false">SUM($C$18134:$I$18134)</f>
        <v>81.2751604731729</v>
      </c>
    </row>
    <row r="18138" customFormat="false" ht="15" hidden="false" customHeight="false" outlineLevel="0" collapsed="false">
      <c r="A18138" s="3" t="s">
        <v>543</v>
      </c>
      <c r="C18138" s="25" t="n">
        <f aca="false">C18136+C18137</f>
        <v>112.775160473173</v>
      </c>
    </row>
    <row r="18139" customFormat="false" ht="15" hidden="false" customHeight="false" outlineLevel="0" collapsed="false">
      <c r="A18139" s="3" t="s">
        <v>544</v>
      </c>
      <c r="C18139" s="25" t="n">
        <f aca="false">C18137-C18060*C18061/100</f>
        <v>-13.7248395268271</v>
      </c>
    </row>
    <row r="18140" customFormat="false" ht="15" hidden="false" customHeight="false" outlineLevel="0" collapsed="false">
      <c r="A18140" s="3" t="s">
        <v>545</v>
      </c>
      <c r="C18140" s="25" t="n">
        <f aca="false">C18138-C18062</f>
        <v>17.7751604731729</v>
      </c>
    </row>
    <row r="18141" customFormat="false" ht="15" hidden="false" customHeight="false" outlineLevel="0" collapsed="false">
      <c r="A18141" s="2" t="s">
        <v>427</v>
      </c>
      <c r="C18141" s="44" t="n">
        <f aca="false">C18138/C18062</f>
        <v>1.18710695234919</v>
      </c>
    </row>
    <row r="18142" customFormat="false" ht="15" hidden="false" customHeight="false" outlineLevel="0" collapsed="false">
      <c r="A18142" s="2" t="s">
        <v>426</v>
      </c>
      <c r="C18142" s="42" t="n">
        <f aca="false">IF(C18138&lt;=0,-1,IFERROR(IRR($C$18135:$I$18135,MAX(-0.9,C18141^(1/C18129)-1)),IRR($C$18135:$I$18135,0.1)))</f>
        <v>0.0653848807562152</v>
      </c>
    </row>
    <row r="18143" customFormat="false" ht="15" hidden="false" customHeight="false" outlineLevel="0" collapsed="false">
      <c r="A18143" s="3" t="s">
        <v>546</v>
      </c>
      <c r="C18143" s="32" t="n">
        <f aca="false">MAX($G$17949:$K$17949)</f>
        <v>7.33831226622703</v>
      </c>
    </row>
    <row r="18144" customFormat="false" ht="15" hidden="false" customHeight="false" outlineLevel="0" collapsed="false">
      <c r="A18144" s="3" t="s">
        <v>547</v>
      </c>
      <c r="C18144" s="32" t="n">
        <f aca="false">MIN($G$17950:$K$17950)</f>
        <v>1.18070192905498</v>
      </c>
    </row>
    <row r="18145" customFormat="false" ht="15" hidden="false" customHeight="false" outlineLevel="0" collapsed="false">
      <c r="A18145" s="3" t="s">
        <v>548</v>
      </c>
      <c r="C18145" s="25" t="n">
        <f aca="false">SUM($G$17856:$K$17856)</f>
        <v>75.1374128562126</v>
      </c>
    </row>
    <row r="18149" customFormat="false" ht="15" hidden="false" customHeight="false" outlineLevel="0" collapsed="false">
      <c r="A18149" s="9" t="s">
        <v>1070</v>
      </c>
      <c r="B18149" s="10"/>
      <c r="C18149" s="10"/>
      <c r="D18149" s="10"/>
      <c r="E18149" s="10"/>
      <c r="F18149" s="10"/>
      <c r="G18149" s="10"/>
      <c r="H18149" s="10"/>
      <c r="I18149" s="10"/>
      <c r="J18149" s="10"/>
      <c r="K18149" s="10"/>
    </row>
    <row r="18150" customFormat="false" ht="15" hidden="false" customHeight="false" outlineLevel="0" collapsed="false">
      <c r="A18150" s="3" t="s">
        <v>1010</v>
      </c>
      <c r="C18150" s="11" t="n">
        <v>2</v>
      </c>
    </row>
    <row r="18151" customFormat="false" ht="15" hidden="false" customHeight="false" outlineLevel="0" collapsed="false">
      <c r="A18151" s="3" t="s">
        <v>1011</v>
      </c>
      <c r="C18151" s="18" t="n">
        <v>0</v>
      </c>
    </row>
    <row r="18152" customFormat="false" ht="15" hidden="false" customHeight="false" outlineLevel="0" collapsed="false">
      <c r="A18152" s="3" t="s">
        <v>1012</v>
      </c>
      <c r="C18152" s="18" t="n">
        <v>0</v>
      </c>
    </row>
    <row r="18153" customFormat="false" ht="15" hidden="false" customHeight="false" outlineLevel="0" collapsed="false">
      <c r="A18153" s="3" t="s">
        <v>1013</v>
      </c>
      <c r="C18153" s="18" t="n">
        <v>0</v>
      </c>
    </row>
    <row r="18154" customFormat="false" ht="15" hidden="false" customHeight="false" outlineLevel="0" collapsed="false">
      <c r="A18154" s="3" t="s">
        <v>1014</v>
      </c>
      <c r="C18154" s="33" t="n">
        <f aca="false">Sensitivities!$A$63</f>
        <v>1</v>
      </c>
    </row>
    <row r="18156" customFormat="false" ht="15" hidden="false" customHeight="false" outlineLevel="0" collapsed="false">
      <c r="A18156" s="23" t="s">
        <v>281</v>
      </c>
      <c r="B18156" s="24"/>
      <c r="C18156" s="24"/>
      <c r="D18156" s="24"/>
      <c r="E18156" s="24"/>
      <c r="F18156" s="24"/>
      <c r="G18156" s="24"/>
      <c r="H18156" s="24"/>
      <c r="I18156" s="24"/>
      <c r="J18156" s="24"/>
      <c r="K18156" s="24"/>
    </row>
    <row r="18157" customFormat="false" ht="15" hidden="false" customHeight="false" outlineLevel="0" collapsed="false">
      <c r="A18157" s="3" t="s">
        <v>282</v>
      </c>
      <c r="F18157" s="27" t="n">
        <f aca="false">Assumptions!$C$6</f>
        <v>2026</v>
      </c>
      <c r="G18157" s="20" t="n">
        <f aca="false">F18157+1</f>
        <v>2027</v>
      </c>
      <c r="H18157" s="20" t="n">
        <f aca="false">G18157+1</f>
        <v>2028</v>
      </c>
      <c r="I18157" s="20" t="n">
        <f aca="false">H18157+1</f>
        <v>2029</v>
      </c>
      <c r="J18157" s="20" t="n">
        <f aca="false">I18157+1</f>
        <v>2030</v>
      </c>
      <c r="K18157" s="20" t="n">
        <f aca="false">J18157+1</f>
        <v>2031</v>
      </c>
    </row>
    <row r="18158" customFormat="false" ht="15" hidden="false" customHeight="false" outlineLevel="0" collapsed="false">
      <c r="A18158" s="3" t="s">
        <v>283</v>
      </c>
      <c r="G18158" s="20" t="n">
        <f aca="false">G18157-Assumptions!$C$6</f>
        <v>1</v>
      </c>
      <c r="H18158" s="20" t="n">
        <f aca="false">H18157-Assumptions!$C$6</f>
        <v>2</v>
      </c>
      <c r="I18158" s="20" t="n">
        <f aca="false">I18157-Assumptions!$C$6</f>
        <v>3</v>
      </c>
      <c r="J18158" s="20" t="n">
        <f aca="false">J18157-Assumptions!$C$6</f>
        <v>4</v>
      </c>
      <c r="K18158" s="20" t="n">
        <f aca="false">K18157-Assumptions!$C$6</f>
        <v>5</v>
      </c>
    </row>
    <row r="18159" customFormat="false" ht="15" hidden="false" customHeight="false" outlineLevel="0" collapsed="false">
      <c r="A18159" s="3" t="s">
        <v>165</v>
      </c>
      <c r="G18159" s="21" t="n">
        <f aca="false">CHOOSE($C$18150,Assumptions!$G$71,Assumptions!$G$90,Assumptions!$G$109)+$C$18151</f>
        <v>-0.08</v>
      </c>
      <c r="H18159" s="21" t="n">
        <f aca="false">CHOOSE($C$18150,Assumptions!$H$71,Assumptions!$H$90,Assumptions!$H$109)+$C$18151</f>
        <v>-0.07</v>
      </c>
      <c r="I18159" s="21" t="n">
        <f aca="false">CHOOSE($C$18150,Assumptions!$I$71,Assumptions!$I$90,Assumptions!$I$109)+$C$18151</f>
        <v>-0.06</v>
      </c>
      <c r="J18159" s="21" t="n">
        <f aca="false">CHOOSE($C$18150,Assumptions!$J$71,Assumptions!$J$90,Assumptions!$J$109)+$C$18151</f>
        <v>-0.05</v>
      </c>
      <c r="K18159" s="21" t="n">
        <f aca="false">CHOOSE($C$18150,Assumptions!$K$71,Assumptions!$K$90,Assumptions!$K$109)+$C$18151</f>
        <v>-0.05</v>
      </c>
    </row>
    <row r="18160" customFormat="false" ht="15" hidden="false" customHeight="false" outlineLevel="0" collapsed="false">
      <c r="A18160" s="3" t="s">
        <v>166</v>
      </c>
      <c r="G18160" s="21" t="n">
        <f aca="false">CHOOSE($C$18150,Assumptions!$G$72,Assumptions!$G$91,Assumptions!$G$110)</f>
        <v>0.463246670103635</v>
      </c>
      <c r="H18160" s="21" t="n">
        <f aca="false">CHOOSE($C$18150,Assumptions!$H$72,Assumptions!$H$91,Assumptions!$H$110)</f>
        <v>0.453246670103635</v>
      </c>
      <c r="I18160" s="21" t="n">
        <f aca="false">CHOOSE($C$18150,Assumptions!$I$72,Assumptions!$I$91,Assumptions!$I$110)</f>
        <v>0.448246670103634</v>
      </c>
      <c r="J18160" s="21" t="n">
        <f aca="false">CHOOSE($C$18150,Assumptions!$J$72,Assumptions!$J$91,Assumptions!$J$110)</f>
        <v>0.443246670103635</v>
      </c>
      <c r="K18160" s="21" t="n">
        <f aca="false">CHOOSE($C$18150,Assumptions!$K$72,Assumptions!$K$91,Assumptions!$K$110)</f>
        <v>0.443246670103635</v>
      </c>
    </row>
    <row r="18161" customFormat="false" ht="15" hidden="false" customHeight="false" outlineLevel="0" collapsed="false">
      <c r="A18161" s="3" t="s">
        <v>167</v>
      </c>
      <c r="G18161" s="21" t="n">
        <f aca="false">CHOOSE($C$18150,Assumptions!$G$73,Assumptions!$G$92,Assumptions!$G$111)+$C$18152</f>
        <v>0.12</v>
      </c>
      <c r="H18161" s="21" t="n">
        <f aca="false">CHOOSE($C$18150,Assumptions!$H$73,Assumptions!$H$92,Assumptions!$H$111)+$C$18152</f>
        <v>0.11</v>
      </c>
      <c r="I18161" s="21" t="n">
        <f aca="false">CHOOSE($C$18150,Assumptions!$I$73,Assumptions!$I$92,Assumptions!$I$111)+$C$18152</f>
        <v>0.105</v>
      </c>
      <c r="J18161" s="21" t="n">
        <f aca="false">CHOOSE($C$18150,Assumptions!$J$73,Assumptions!$J$92,Assumptions!$J$111)+$C$18152</f>
        <v>0.1</v>
      </c>
      <c r="K18161" s="21" t="n">
        <f aca="false">CHOOSE($C$18150,Assumptions!$K$73,Assumptions!$K$92,Assumptions!$K$111)+$C$18152</f>
        <v>0.1</v>
      </c>
    </row>
    <row r="18162" customFormat="false" ht="15" hidden="false" customHeight="false" outlineLevel="0" collapsed="false">
      <c r="A18162" s="23" t="s">
        <v>284</v>
      </c>
      <c r="B18162" s="24"/>
      <c r="C18162" s="24"/>
      <c r="D18162" s="24"/>
      <c r="E18162" s="24"/>
      <c r="F18162" s="24"/>
      <c r="G18162" s="24"/>
      <c r="H18162" s="24"/>
      <c r="I18162" s="24"/>
      <c r="J18162" s="24"/>
      <c r="K18162" s="24"/>
    </row>
    <row r="18163" customFormat="false" ht="15" hidden="false" customHeight="false" outlineLevel="0" collapsed="false">
      <c r="A18163" s="2" t="s">
        <v>256</v>
      </c>
      <c r="F18163" s="28" t="n">
        <f aca="false">'Historical Financials'!G23</f>
        <v>2246.166</v>
      </c>
      <c r="G18163" s="16" t="n">
        <f aca="false">F18163*(1+G18159)</f>
        <v>2066.47272</v>
      </c>
      <c r="H18163" s="16" t="n">
        <f aca="false">G18163*(1+H18159)</f>
        <v>1921.8196296</v>
      </c>
      <c r="I18163" s="16" t="n">
        <f aca="false">H18163*(1+I18159)</f>
        <v>1806.510451824</v>
      </c>
      <c r="J18163" s="16" t="n">
        <f aca="false">I18163*(1+J18159)</f>
        <v>1716.1849292328</v>
      </c>
      <c r="K18163" s="16" t="n">
        <f aca="false">J18163*(1+K18159)</f>
        <v>1630.37568277116</v>
      </c>
    </row>
    <row r="18164" customFormat="false" ht="15" hidden="false" customHeight="false" outlineLevel="0" collapsed="false">
      <c r="A18164" s="3" t="s">
        <v>257</v>
      </c>
      <c r="G18164" s="25" t="n">
        <f aca="false">G18163*(1-G18160)</f>
        <v>1109.1861136</v>
      </c>
      <c r="H18164" s="25" t="n">
        <f aca="false">H18163*(1-H18160)</f>
        <v>1050.761281944</v>
      </c>
      <c r="I18164" s="25" t="n">
        <f aca="false">I18163*(1-I18160)</f>
        <v>996.74815728648</v>
      </c>
      <c r="J18164" s="25" t="n">
        <f aca="false">J18163*(1-J18160)</f>
        <v>955.49167406832</v>
      </c>
      <c r="K18164" s="25" t="n">
        <f aca="false">K18163*(1-K18160)</f>
        <v>907.717090364904</v>
      </c>
    </row>
    <row r="18165" customFormat="false" ht="15" hidden="false" customHeight="false" outlineLevel="0" collapsed="false">
      <c r="A18165" s="2" t="s">
        <v>258</v>
      </c>
      <c r="G18165" s="16" t="n">
        <f aca="false">G18163-G18164</f>
        <v>957.2866064</v>
      </c>
      <c r="H18165" s="16" t="n">
        <f aca="false">H18163-H18164</f>
        <v>871.058347656</v>
      </c>
      <c r="I18165" s="16" t="n">
        <f aca="false">I18163-I18164</f>
        <v>809.76229453752</v>
      </c>
      <c r="J18165" s="16" t="n">
        <f aca="false">J18163-J18164</f>
        <v>760.69325516448</v>
      </c>
      <c r="K18165" s="16" t="n">
        <f aca="false">K18163-K18164</f>
        <v>722.658592406256</v>
      </c>
    </row>
    <row r="18166" customFormat="false" ht="15" hidden="false" customHeight="false" outlineLevel="0" collapsed="false">
      <c r="A18166" s="3" t="s">
        <v>285</v>
      </c>
      <c r="G18166" s="25" t="n">
        <f aca="false">G18165-G18167</f>
        <v>709.30988</v>
      </c>
      <c r="H18166" s="25" t="n">
        <f aca="false">H18165-H18167</f>
        <v>659.6581884</v>
      </c>
      <c r="I18166" s="25" t="n">
        <f aca="false">I18165-I18167</f>
        <v>620.078697096</v>
      </c>
      <c r="J18166" s="25" t="n">
        <f aca="false">J18165-J18167</f>
        <v>589.0747622412</v>
      </c>
      <c r="K18166" s="25" t="n">
        <f aca="false">K18165-K18167</f>
        <v>559.62102412914</v>
      </c>
    </row>
    <row r="18167" customFormat="false" ht="15" hidden="false" customHeight="false" outlineLevel="0" collapsed="false">
      <c r="A18167" s="2" t="s">
        <v>286</v>
      </c>
      <c r="G18167" s="16" t="n">
        <f aca="false">G18163*G18161</f>
        <v>247.9767264</v>
      </c>
      <c r="H18167" s="16" t="n">
        <f aca="false">H18163*H18161</f>
        <v>211.400159256</v>
      </c>
      <c r="I18167" s="16" t="n">
        <f aca="false">I18163*I18161</f>
        <v>189.68359744152</v>
      </c>
      <c r="J18167" s="16" t="n">
        <f aca="false">J18163*J18161</f>
        <v>171.61849292328</v>
      </c>
      <c r="K18167" s="16" t="n">
        <f aca="false">K18163*K18161</f>
        <v>163.037568277116</v>
      </c>
    </row>
    <row r="18168" customFormat="false" ht="15" hidden="false" customHeight="false" outlineLevel="0" collapsed="false">
      <c r="A18168" s="3" t="s">
        <v>287</v>
      </c>
      <c r="G18168" s="25" t="n">
        <f aca="false">G18163*'Historical Financials'!G28/'Historical Financials'!G23</f>
        <v>78.47232</v>
      </c>
      <c r="H18168" s="25" t="n">
        <f aca="false">H18163*'Historical Financials'!G28/'Historical Financials'!G23</f>
        <v>72.9792576</v>
      </c>
      <c r="I18168" s="25" t="n">
        <f aca="false">I18163*'Historical Financials'!G28/'Historical Financials'!G23</f>
        <v>68.600502144</v>
      </c>
      <c r="J18168" s="25" t="n">
        <f aca="false">J18163*'Historical Financials'!G28/'Historical Financials'!G23</f>
        <v>65.1704770368</v>
      </c>
      <c r="K18168" s="25" t="n">
        <f aca="false">K18163*'Historical Financials'!G28/'Historical Financials'!G23</f>
        <v>61.91195318496</v>
      </c>
    </row>
    <row r="18169" customFormat="false" ht="15" hidden="false" customHeight="false" outlineLevel="0" collapsed="false">
      <c r="A18169" s="3" t="s">
        <v>288</v>
      </c>
      <c r="G18169" s="25" t="n">
        <f aca="false">G18163*'Historical Financials'!G29/'Historical Financials'!G23</f>
        <v>22.40752</v>
      </c>
      <c r="H18169" s="25" t="n">
        <f aca="false">H18163*'Historical Financials'!G29/'Historical Financials'!G23</f>
        <v>20.8389936</v>
      </c>
      <c r="I18169" s="25" t="n">
        <f aca="false">I18163*'Historical Financials'!G29/'Historical Financials'!G23</f>
        <v>19.588653984</v>
      </c>
      <c r="J18169" s="25" t="n">
        <f aca="false">J18163*'Historical Financials'!G29/'Historical Financials'!G23</f>
        <v>18.6092212848</v>
      </c>
      <c r="K18169" s="25" t="n">
        <f aca="false">K18163*'Historical Financials'!G29/'Historical Financials'!G23</f>
        <v>17.67876022056</v>
      </c>
    </row>
    <row r="18170" customFormat="false" ht="15" hidden="false" customHeight="false" outlineLevel="0" collapsed="false">
      <c r="A18170" s="2" t="s">
        <v>289</v>
      </c>
      <c r="G18170" s="16" t="n">
        <f aca="false">G18167-G18168-G18169</f>
        <v>147.0968864</v>
      </c>
      <c r="H18170" s="16" t="n">
        <f aca="false">H18167-H18168-H18169</f>
        <v>117.581908056</v>
      </c>
      <c r="I18170" s="16" t="n">
        <f aca="false">I18167-I18168-I18169</f>
        <v>101.49444131352</v>
      </c>
      <c r="J18170" s="16" t="n">
        <f aca="false">J18167-J18168-J18169</f>
        <v>87.83879460168</v>
      </c>
      <c r="K18170" s="16" t="n">
        <f aca="false">K18167-K18168-K18169</f>
        <v>83.446854871596</v>
      </c>
    </row>
    <row r="18171" customFormat="false" ht="15" hidden="false" customHeight="false" outlineLevel="0" collapsed="false">
      <c r="A18171" s="3" t="s">
        <v>290</v>
      </c>
      <c r="G18171" s="25" t="n">
        <f aca="false">G18197+G18210+G18223</f>
        <v>155.95467</v>
      </c>
      <c r="H18171" s="25" t="n">
        <f aca="false">H18197+H18210+H18223</f>
        <v>155.95467</v>
      </c>
      <c r="I18171" s="25" t="n">
        <f aca="false">I18197+I18210+I18223</f>
        <v>155.95467</v>
      </c>
      <c r="J18171" s="25" t="n">
        <f aca="false">J18197+J18210+J18223</f>
        <v>138.08529</v>
      </c>
      <c r="K18171" s="25" t="n">
        <f aca="false">K18197+K18210+K18223</f>
        <v>138.08529</v>
      </c>
    </row>
    <row r="18172" customFormat="false" ht="15" hidden="false" customHeight="false" outlineLevel="0" collapsed="false">
      <c r="A18172" s="3" t="s">
        <v>291</v>
      </c>
      <c r="G18172" s="25" t="n">
        <f aca="false">G18198+G18211+G18224</f>
        <v>0</v>
      </c>
      <c r="H18172" s="25" t="n">
        <f aca="false">H18198+H18211+H18224</f>
        <v>0</v>
      </c>
      <c r="I18172" s="25" t="n">
        <f aca="false">I18198+I18211+I18224</f>
        <v>0</v>
      </c>
      <c r="J18172" s="25" t="n">
        <f aca="false">J18198+J18211+J18224</f>
        <v>0</v>
      </c>
      <c r="K18172" s="25" t="n">
        <f aca="false">K18198+K18211+K18224</f>
        <v>0</v>
      </c>
    </row>
    <row r="18173" customFormat="false" ht="15" hidden="false" customHeight="false" outlineLevel="0" collapsed="false">
      <c r="A18173" s="3" t="s">
        <v>239</v>
      </c>
      <c r="G18173" s="25" t="n">
        <f aca="false">G18171+G18172</f>
        <v>155.95467</v>
      </c>
      <c r="H18173" s="25" t="n">
        <f aca="false">H18171+H18172</f>
        <v>155.95467</v>
      </c>
      <c r="I18173" s="25" t="n">
        <f aca="false">I18171+I18172</f>
        <v>155.95467</v>
      </c>
      <c r="J18173" s="25" t="n">
        <f aca="false">J18171+J18172</f>
        <v>138.08529</v>
      </c>
      <c r="K18173" s="25" t="n">
        <f aca="false">K18171+K18172</f>
        <v>138.08529</v>
      </c>
    </row>
    <row r="18174" customFormat="false" ht="15" hidden="false" customHeight="false" outlineLevel="0" collapsed="false">
      <c r="A18174" s="2" t="s">
        <v>264</v>
      </c>
      <c r="G18174" s="16" t="n">
        <f aca="false">G18170-G18173</f>
        <v>-8.85778360000006</v>
      </c>
      <c r="H18174" s="16" t="n">
        <f aca="false">H18170-H18173</f>
        <v>-38.372761944</v>
      </c>
      <c r="I18174" s="16" t="n">
        <f aca="false">I18170-I18173</f>
        <v>-54.46022868648</v>
      </c>
      <c r="J18174" s="16" t="n">
        <f aca="false">J18170-J18173</f>
        <v>-50.24649539832</v>
      </c>
      <c r="K18174" s="16" t="n">
        <f aca="false">K18170-K18173</f>
        <v>-54.638435128404</v>
      </c>
    </row>
    <row r="18175" customFormat="false" ht="15" hidden="false" customHeight="false" outlineLevel="0" collapsed="false">
      <c r="A18175" s="3" t="s">
        <v>292</v>
      </c>
      <c r="G18175" s="25" t="n">
        <f aca="false">MAX(0,G18174)*Assumptions!$C$9</f>
        <v>0</v>
      </c>
      <c r="H18175" s="25" t="n">
        <f aca="false">MAX(0,H18174)*Assumptions!$C$9</f>
        <v>0</v>
      </c>
      <c r="I18175" s="25" t="n">
        <f aca="false">MAX(0,I18174)*Assumptions!$C$9</f>
        <v>0</v>
      </c>
      <c r="J18175" s="25" t="n">
        <f aca="false">MAX(0,J18174)*Assumptions!$C$9</f>
        <v>0</v>
      </c>
      <c r="K18175" s="25" t="n">
        <f aca="false">MAX(0,K18174)*Assumptions!$C$9</f>
        <v>0</v>
      </c>
    </row>
    <row r="18176" customFormat="false" ht="15" hidden="false" customHeight="false" outlineLevel="0" collapsed="false">
      <c r="A18176" s="2" t="s">
        <v>293</v>
      </c>
      <c r="G18176" s="16" t="n">
        <f aca="false">G18174-G18175</f>
        <v>-8.85778360000006</v>
      </c>
      <c r="H18176" s="16" t="n">
        <f aca="false">H18174-H18175</f>
        <v>-38.372761944</v>
      </c>
      <c r="I18176" s="16" t="n">
        <f aca="false">I18174-I18175</f>
        <v>-54.46022868648</v>
      </c>
      <c r="J18176" s="16" t="n">
        <f aca="false">J18174-J18175</f>
        <v>-50.24649539832</v>
      </c>
      <c r="K18176" s="16" t="n">
        <f aca="false">K18174-K18175</f>
        <v>-54.638435128404</v>
      </c>
    </row>
    <row r="18177" customFormat="false" ht="15" hidden="false" customHeight="false" outlineLevel="0" collapsed="false">
      <c r="A18177" s="23" t="s">
        <v>294</v>
      </c>
      <c r="B18177" s="24"/>
      <c r="C18177" s="24"/>
      <c r="D18177" s="24"/>
      <c r="E18177" s="24"/>
      <c r="F18177" s="24"/>
      <c r="G18177" s="24"/>
      <c r="H18177" s="24"/>
      <c r="I18177" s="24"/>
      <c r="J18177" s="24"/>
      <c r="K18177" s="24"/>
    </row>
    <row r="18178" customFormat="false" ht="15" hidden="false" customHeight="false" outlineLevel="0" collapsed="false">
      <c r="A18178" s="3" t="s">
        <v>169</v>
      </c>
      <c r="G18178" s="25" t="n">
        <f aca="false">G18163*CHOOSE($C$18150,Assumptions!$C$75,Assumptions!$C$94,Assumptions!$C$113)</f>
        <v>26.86414536</v>
      </c>
      <c r="H18178" s="25" t="n">
        <f aca="false">H18163*CHOOSE($C$18150,Assumptions!$C$75,Assumptions!$C$94,Assumptions!$C$113)</f>
        <v>24.9836551848</v>
      </c>
      <c r="I18178" s="25" t="n">
        <f aca="false">I18163*CHOOSE($C$18150,Assumptions!$C$75,Assumptions!$C$94,Assumptions!$C$113)</f>
        <v>23.484635873712</v>
      </c>
      <c r="J18178" s="25" t="n">
        <f aca="false">J18163*CHOOSE($C$18150,Assumptions!$C$75,Assumptions!$C$94,Assumptions!$C$113)</f>
        <v>22.3104040800264</v>
      </c>
      <c r="K18178" s="25" t="n">
        <f aca="false">K18163*CHOOSE($C$18150,Assumptions!$C$75,Assumptions!$C$94,Assumptions!$C$113)</f>
        <v>21.1948838760251</v>
      </c>
    </row>
    <row r="18179" customFormat="false" ht="15" hidden="false" customHeight="false" outlineLevel="0" collapsed="false">
      <c r="A18179" s="3" t="s">
        <v>295</v>
      </c>
      <c r="G18179" s="25" t="n">
        <f aca="false">CHOOSE($C$18150,Assumptions!$C$76,Assumptions!$C$95,Assumptions!$C$114)*(G18163-F18163)+CHOOSE($C$18150,Assumptions!$C$77,Assumptions!$C$96,Assumptions!$C$115)*G18163</f>
        <v>10.3323636</v>
      </c>
      <c r="H18179" s="25" t="n">
        <f aca="false">CHOOSE($C$18150,Assumptions!$C$76,Assumptions!$C$95,Assumptions!$C$114)*(H18163-G18163)+CHOOSE($C$18150,Assumptions!$C$77,Assumptions!$C$96,Assumptions!$C$115)*H18163</f>
        <v>9.609098148</v>
      </c>
      <c r="I18179" s="25" t="n">
        <f aca="false">CHOOSE($C$18150,Assumptions!$C$76,Assumptions!$C$95,Assumptions!$C$114)*(I18163-H18163)+CHOOSE($C$18150,Assumptions!$C$77,Assumptions!$C$96,Assumptions!$C$115)*I18163</f>
        <v>9.03255225912</v>
      </c>
      <c r="J18179" s="25" t="n">
        <f aca="false">CHOOSE($C$18150,Assumptions!$C$76,Assumptions!$C$95,Assumptions!$C$114)*(J18163-I18163)+CHOOSE($C$18150,Assumptions!$C$77,Assumptions!$C$96,Assumptions!$C$115)*J18163</f>
        <v>8.580924646164</v>
      </c>
      <c r="K18179" s="25" t="n">
        <f aca="false">CHOOSE($C$18150,Assumptions!$C$76,Assumptions!$C$95,Assumptions!$C$114)*(K18163-J18163)+CHOOSE($C$18150,Assumptions!$C$77,Assumptions!$C$96,Assumptions!$C$115)*K18163</f>
        <v>8.1518784138558</v>
      </c>
    </row>
    <row r="18180" customFormat="false" ht="15" hidden="false" customHeight="false" outlineLevel="0" collapsed="false">
      <c r="A18180" s="2" t="s">
        <v>296</v>
      </c>
      <c r="G18180" s="16" t="n">
        <f aca="false">G18176+G18168+G18169+G18172-G18178-G18179</f>
        <v>54.8255474399999</v>
      </c>
      <c r="H18180" s="16" t="n">
        <f aca="false">H18176+H18168+H18169+H18172-H18178-H18179</f>
        <v>20.8527359232</v>
      </c>
      <c r="I18180" s="16" t="n">
        <f aca="false">I18176+I18168+I18169+I18172-I18178-I18179</f>
        <v>1.21173930868796</v>
      </c>
      <c r="J18180" s="16" t="n">
        <f aca="false">J18176+J18168+J18169+J18172-J18178-J18179</f>
        <v>2.6418741970896</v>
      </c>
      <c r="K18180" s="16" t="n">
        <f aca="false">K18176+K18168+K18169+K18172-K18178-K18179</f>
        <v>-4.39448401276491</v>
      </c>
    </row>
    <row r="18182" customFormat="false" ht="15" hidden="false" customHeight="false" outlineLevel="0" collapsed="false">
      <c r="A18182" s="23" t="s">
        <v>298</v>
      </c>
      <c r="B18182" s="24"/>
      <c r="C18182" s="24"/>
      <c r="D18182" s="24"/>
      <c r="E18182" s="24"/>
      <c r="F18182" s="24"/>
      <c r="G18182" s="24"/>
      <c r="H18182" s="24"/>
      <c r="I18182" s="24"/>
      <c r="J18182" s="24"/>
      <c r="K18182" s="24"/>
    </row>
    <row r="18183" customFormat="false" ht="15" hidden="false" customHeight="false" outlineLevel="0" collapsed="false">
      <c r="A18183" s="3" t="s">
        <v>299</v>
      </c>
      <c r="G18183" s="30" t="n">
        <f aca="false">Assumptions!$G$52</f>
        <v>0.039</v>
      </c>
      <c r="H18183" s="30" t="n">
        <f aca="false">Assumptions!$H$52</f>
        <v>0.0375</v>
      </c>
      <c r="I18183" s="30" t="n">
        <f aca="false">Assumptions!$I$52</f>
        <v>0.035</v>
      </c>
      <c r="J18183" s="30" t="n">
        <f aca="false">Assumptions!$J$52</f>
        <v>0.035</v>
      </c>
      <c r="K18183" s="30" t="n">
        <f aca="false">Assumptions!$K$52</f>
        <v>0.035</v>
      </c>
    </row>
    <row r="18184" customFormat="false" ht="15" hidden="false" customHeight="false" outlineLevel="0" collapsed="false">
      <c r="A18184" s="3" t="s">
        <v>300</v>
      </c>
      <c r="C18184" s="31" t="n">
        <f aca="false">CHOOSE($C$18150,Assumptions!$C$78,Assumptions!$C$97,Assumptions!$C$116)+$C$18153</f>
        <v>0.015</v>
      </c>
    </row>
    <row r="18185" customFormat="false" ht="15" hidden="false" customHeight="false" outlineLevel="0" collapsed="false">
      <c r="A18185" s="3" t="s">
        <v>301</v>
      </c>
      <c r="C18185" s="31" t="n">
        <f aca="false">CHOOSE($C$18150,Assumptions!$C$79,Assumptions!$C$98,Assumptions!$C$117)</f>
        <v>0.13</v>
      </c>
    </row>
    <row r="18186" customFormat="false" ht="15" hidden="false" customHeight="false" outlineLevel="0" collapsed="false">
      <c r="A18186" s="3" t="s">
        <v>302</v>
      </c>
      <c r="C18186" s="32" t="n">
        <f aca="false">CHOOSE($C$18150,Assumptions!$C$80,Assumptions!$C$99,Assumptions!$C$118)</f>
        <v>5.5</v>
      </c>
    </row>
    <row r="18187" customFormat="false" ht="15" hidden="false" customHeight="false" outlineLevel="0" collapsed="false">
      <c r="A18187" s="3" t="s">
        <v>303</v>
      </c>
      <c r="C18187" s="32" t="n">
        <f aca="false">CHOOSE($C$18150,Assumptions!$C$81,Assumptions!$C$100,Assumptions!$C$119)</f>
        <v>1.5</v>
      </c>
    </row>
    <row r="18188" customFormat="false" ht="15" hidden="false" customHeight="false" outlineLevel="0" collapsed="false">
      <c r="A18188" s="3" t="s">
        <v>304</v>
      </c>
      <c r="G18188" s="25" t="n">
        <f aca="false">G18193+G18206+G18219</f>
        <v>1735.554</v>
      </c>
      <c r="H18188" s="25" t="n">
        <f aca="false">H18193+H18206+H18219</f>
        <v>1735.554</v>
      </c>
      <c r="I18188" s="25" t="n">
        <f aca="false">I18193+I18206+I18219</f>
        <v>1735.554</v>
      </c>
      <c r="J18188" s="25" t="n">
        <f aca="false">J18193+J18206+J18219</f>
        <v>1315.098</v>
      </c>
      <c r="K18188" s="25" t="n">
        <f aca="false">K18193+K18206+K18219</f>
        <v>1315.098</v>
      </c>
    </row>
    <row r="18189" customFormat="false" ht="15" hidden="false" customHeight="false" outlineLevel="0" collapsed="false">
      <c r="A18189" s="3" t="s">
        <v>305</v>
      </c>
      <c r="G18189" s="25" t="n">
        <f aca="false">F18262</f>
        <v>463.996</v>
      </c>
      <c r="H18189" s="25" t="n">
        <f aca="false">G18262</f>
        <v>518.82154744</v>
      </c>
      <c r="I18189" s="25" t="n">
        <f aca="false">H18262</f>
        <v>539.6742833632</v>
      </c>
      <c r="J18189" s="25" t="n">
        <f aca="false">I18262</f>
        <v>120.430022671888</v>
      </c>
      <c r="K18189" s="25" t="n">
        <f aca="false">J18262</f>
        <v>123.071896868977</v>
      </c>
    </row>
    <row r="18190" customFormat="false" ht="15" hidden="false" customHeight="false" outlineLevel="0" collapsed="false">
      <c r="A18190" s="3" t="s">
        <v>306</v>
      </c>
      <c r="G18190" s="25" t="n">
        <f aca="false">G18193*IF(G18194=1,$C$18185,IF(Assumptions!$I$56=1,MAX(G18183,Assumptions!$G$56)+Assumptions!$F$56+$C$18184,Assumptions!$E$56))+G18206*IF(G18207=1,$C$18185,IF(Assumptions!$I$57=1,MAX(G18183,Assumptions!$G$57)+Assumptions!$F$57+$C$18184,Assumptions!$E$57))+G18219*IF(G18220=1,$C$18185,IF(Assumptions!$I$58=1,MAX(G18183,Assumptions!$G$58)+Assumptions!$F$58+$C$18184,Assumptions!$E$58))</f>
        <v>155.95467</v>
      </c>
      <c r="H18190" s="25" t="n">
        <f aca="false">H18193*IF(OR(H18194=1,G18340=1),$C$18185,IF(Assumptions!$I$56=1,MAX(H18183,Assumptions!$G$56)+Assumptions!$F$56+$C$18184,Assumptions!$E$56))+H18206*IF(OR(H18207=1,G18341=1),$C$18185,IF(Assumptions!$I$57=1,MAX(H18183,Assumptions!$G$57)+Assumptions!$F$57+$C$18184,Assumptions!$E$57))+H18219*IF(OR(H18220=1,G18342=1),$C$18185,IF(Assumptions!$I$58=1,MAX(H18183,Assumptions!$G$58)+Assumptions!$F$58+$C$18184,Assumptions!$E$58))</f>
        <v>155.95467</v>
      </c>
      <c r="I18190" s="25" t="n">
        <f aca="false">I18193*IF(OR(I18194=1,H18340=1),$C$18185,IF(Assumptions!$I$56=1,MAX(I18183,Assumptions!$G$56)+Assumptions!$F$56+$C$18184,Assumptions!$E$56))+I18206*IF(OR(I18207=1,H18341=1),$C$18185,IF(Assumptions!$I$57=1,MAX(I18183,Assumptions!$G$57)+Assumptions!$F$57+$C$18184,Assumptions!$E$57))+I18219*IF(OR(I18220=1,H18342=1),$C$18185,IF(Assumptions!$I$58=1,MAX(I18183,Assumptions!$G$58)+Assumptions!$F$58+$C$18184,Assumptions!$E$58))</f>
        <v>192.74457</v>
      </c>
      <c r="J18190" s="25" t="n">
        <f aca="false">J18193*IF(OR(J18194=1,I18340=1),$C$18185,IF(Assumptions!$I$56=1,MAX(J18183,Assumptions!$G$56)+Assumptions!$F$56+$C$18184,Assumptions!$E$56))+J18206*IF(OR(J18207=1,I18341=1),$C$18185,IF(Assumptions!$I$57=1,MAX(J18183,Assumptions!$G$57)+Assumptions!$F$57+$C$18184,Assumptions!$E$57))+J18219*IF(OR(J18220=1,I18342=1),$C$18185,IF(Assumptions!$I$58=1,MAX(J18183,Assumptions!$G$58)+Assumptions!$F$58+$C$18184,Assumptions!$E$58))</f>
        <v>138.08529</v>
      </c>
      <c r="K18190" s="25" t="n">
        <f aca="false">K18193*IF(OR(K18194=1,J18340=1),$C$18185,IF(Assumptions!$I$56=1,MAX(K18183,Assumptions!$G$56)+Assumptions!$F$56+$C$18184,Assumptions!$E$56))+K18206*IF(OR(K18207=1,J18341=1),$C$18185,IF(Assumptions!$I$57=1,MAX(K18183,Assumptions!$G$57)+Assumptions!$F$57+$C$18184,Assumptions!$E$57))+K18219*IF(OR(K18220=1,J18342=1),$C$18185,IF(Assumptions!$I$58=1,MAX(K18183,Assumptions!$G$58)+Assumptions!$F$58+$C$18184,Assumptions!$E$58))</f>
        <v>138.08529</v>
      </c>
    </row>
    <row r="18191" customFormat="false" ht="15" hidden="false" customHeight="false" outlineLevel="0" collapsed="false">
      <c r="A18191" s="3" t="s">
        <v>307</v>
      </c>
      <c r="G18191" s="20" t="n">
        <f aca="false">IF(G18167&lt;=0,0,IF(AND((G18188-G18189)/G18167&lt;=$C$18186,G18167/G18190&gt;=$C$18187),1,0))</f>
        <v>1</v>
      </c>
      <c r="H18191" s="20" t="n">
        <f aca="false">IF(H18167&lt;=0,0,IF(AND((H18188-H18189)/H18167&lt;=$C$18186,H18167/H18190&gt;=$C$18187),1,0))</f>
        <v>0</v>
      </c>
      <c r="I18191" s="20" t="n">
        <f aca="false">IF(I18167&lt;=0,0,IF(AND((I18188-I18189)/I18167&lt;=$C$18186,I18167/I18190&gt;=$C$18187),1,0))</f>
        <v>0</v>
      </c>
      <c r="J18191" s="20" t="n">
        <f aca="false">IF(J18167&lt;=0,0,IF(AND((J18188-J18189)/J18167&lt;=$C$18186,J18167/J18190&gt;=$C$18187),1,0))</f>
        <v>0</v>
      </c>
      <c r="K18191" s="20" t="n">
        <f aca="false">IF(K18167&lt;=0,0,IF(AND((K18188-K18189)/K18167&lt;=$C$18186,K18167/K18190&gt;=$C$18187),1,0))</f>
        <v>0</v>
      </c>
    </row>
    <row r="18192" customFormat="false" ht="15" hidden="false" customHeight="false" outlineLevel="0" collapsed="false">
      <c r="A18192" s="23" t="s">
        <v>308</v>
      </c>
      <c r="B18192" s="24"/>
      <c r="C18192" s="24"/>
      <c r="D18192" s="24"/>
      <c r="E18192" s="24"/>
      <c r="F18192" s="24"/>
      <c r="G18192" s="24"/>
      <c r="H18192" s="24"/>
      <c r="I18192" s="24"/>
      <c r="J18192" s="24"/>
      <c r="K18192" s="24"/>
    </row>
    <row r="18193" customFormat="false" ht="15" hidden="false" customHeight="false" outlineLevel="0" collapsed="false">
      <c r="A18193" s="3" t="s">
        <v>309</v>
      </c>
      <c r="G18193" s="25" t="n">
        <f aca="false">F18204</f>
        <v>1315.098</v>
      </c>
      <c r="H18193" s="25" t="n">
        <f aca="false">G18204</f>
        <v>1315.098</v>
      </c>
      <c r="I18193" s="25" t="n">
        <f aca="false">H18204</f>
        <v>1315.098</v>
      </c>
      <c r="J18193" s="25" t="n">
        <f aca="false">I18204</f>
        <v>1315.098</v>
      </c>
      <c r="K18193" s="25" t="n">
        <f aca="false">J18204</f>
        <v>1315.098</v>
      </c>
    </row>
    <row r="18194" customFormat="false" ht="15" hidden="false" customHeight="false" outlineLevel="0" collapsed="false">
      <c r="A18194" s="3" t="s">
        <v>310</v>
      </c>
      <c r="G18194" s="20" t="n">
        <f aca="false">IF(G18157=Assumptions!$K$56,1,0)</f>
        <v>0</v>
      </c>
      <c r="H18194" s="20" t="n">
        <f aca="false">IF(H18157=Assumptions!$K$56,1,0)</f>
        <v>0</v>
      </c>
      <c r="I18194" s="20" t="n">
        <f aca="false">IF(I18157=Assumptions!$K$56,1,0)</f>
        <v>0</v>
      </c>
      <c r="J18194" s="20" t="n">
        <f aca="false">IF(J18157=Assumptions!$K$56,1,0)</f>
        <v>0</v>
      </c>
      <c r="K18194" s="20" t="n">
        <f aca="false">IF(K18157=Assumptions!$K$56,1,0)</f>
        <v>0</v>
      </c>
    </row>
    <row r="18196" customFormat="false" ht="15" hidden="false" customHeight="false" outlineLevel="0" collapsed="false">
      <c r="A18196" s="3" t="s">
        <v>311</v>
      </c>
      <c r="G18196" s="31" t="n">
        <f aca="false">IF(Assumptions!$I$56=1,MAX(G18183,Assumptions!$G$56)+Assumptions!$F$56+$C$18184,Assumptions!$E$56)</f>
        <v>0.105</v>
      </c>
      <c r="H18196" s="31" t="n">
        <f aca="false">IF(G18340=1,$C$18185,IF(Assumptions!$I$56=1,MAX(H18183,Assumptions!$G$56)+Assumptions!$F$56+$C$18184,Assumptions!$E$56))</f>
        <v>0.105</v>
      </c>
      <c r="I18196" s="31" t="n">
        <f aca="false">IF(H18340=1,$C$18185,IF(Assumptions!$I$56=1,MAX(I18183,Assumptions!$G$56)+Assumptions!$F$56+$C$18184,Assumptions!$E$56))</f>
        <v>0.105</v>
      </c>
      <c r="J18196" s="31" t="n">
        <f aca="false">IF(I18340=1,$C$18185,IF(Assumptions!$I$56=1,MAX(J18183,Assumptions!$G$56)+Assumptions!$F$56+$C$18184,Assumptions!$E$56))</f>
        <v>0.105</v>
      </c>
      <c r="K18196" s="31" t="n">
        <f aca="false">IF(J18340=1,$C$18185,IF(Assumptions!$I$56=1,MAX(K18183,Assumptions!$G$56)+Assumptions!$F$56+$C$18184,Assumptions!$E$56))</f>
        <v>0.105</v>
      </c>
    </row>
    <row r="18197" customFormat="false" ht="15" hidden="false" customHeight="false" outlineLevel="0" collapsed="false">
      <c r="A18197" s="3" t="s">
        <v>312</v>
      </c>
      <c r="G18197" s="25" t="n">
        <f aca="false">G18193*G18196</f>
        <v>138.08529</v>
      </c>
      <c r="H18197" s="25" t="n">
        <f aca="false">H18193*H18196</f>
        <v>138.08529</v>
      </c>
      <c r="I18197" s="25" t="n">
        <f aca="false">I18193*I18196</f>
        <v>138.08529</v>
      </c>
      <c r="J18197" s="25" t="n">
        <f aca="false">J18193*J18196</f>
        <v>138.08529</v>
      </c>
      <c r="K18197" s="25" t="n">
        <f aca="false">K18193*K18196</f>
        <v>138.08529</v>
      </c>
    </row>
    <row r="18198" customFormat="false" ht="15" hidden="false" customHeight="false" outlineLevel="0" collapsed="false">
      <c r="A18198" s="3" t="s">
        <v>313</v>
      </c>
      <c r="G18198" s="25" t="n">
        <f aca="false">G18193*Assumptions!$H$56</f>
        <v>0</v>
      </c>
      <c r="H18198" s="25" t="n">
        <f aca="false">H18193*Assumptions!$H$56</f>
        <v>0</v>
      </c>
      <c r="I18198" s="25" t="n">
        <f aca="false">I18193*Assumptions!$H$56</f>
        <v>0</v>
      </c>
      <c r="J18198" s="25" t="n">
        <f aca="false">J18193*Assumptions!$H$56</f>
        <v>0</v>
      </c>
      <c r="K18198" s="25" t="n">
        <f aca="false">K18193*Assumptions!$H$56</f>
        <v>0</v>
      </c>
    </row>
    <row r="18199" customFormat="false" ht="15" hidden="false" customHeight="false" outlineLevel="0" collapsed="false">
      <c r="A18199" s="3" t="s">
        <v>314</v>
      </c>
      <c r="G18199" s="25" t="n">
        <f aca="false">MIN(G18193,Assumptions!$L$56*Assumptions!$C$56)</f>
        <v>0</v>
      </c>
      <c r="H18199" s="25" t="n">
        <f aca="false">MIN(H18193,Assumptions!$L$56*Assumptions!$C$56)</f>
        <v>0</v>
      </c>
      <c r="I18199" s="25" t="n">
        <f aca="false">MIN(I18193,Assumptions!$L$56*Assumptions!$C$56)</f>
        <v>0</v>
      </c>
      <c r="J18199" s="25" t="n">
        <f aca="false">MIN(J18193,Assumptions!$L$56*Assumptions!$C$56)</f>
        <v>0</v>
      </c>
      <c r="K18199" s="25" t="n">
        <f aca="false">MIN(K18193,Assumptions!$L$56*Assumptions!$C$56)</f>
        <v>0</v>
      </c>
    </row>
    <row r="18200" customFormat="false" ht="15" hidden="false" customHeight="false" outlineLevel="0" collapsed="false">
      <c r="A18200" s="3" t="s">
        <v>315</v>
      </c>
      <c r="G18200" s="25" t="n">
        <f aca="false">IF(AND(Assumptions!$P$56=1,G18157&lt;Assumptions!$K$56),MIN(MAX(0,-G18254),MAX(0,Assumptions!$D$56-G18193)),0)</f>
        <v>0</v>
      </c>
      <c r="H18200" s="25" t="n">
        <f aca="false">IF(AND(Assumptions!$P$56=1,OR(H18157&lt;Assumptions!$K$56,G18340=1)),MIN(MAX(0,-H18254),MAX(0,Assumptions!$D$56-H18193)),0)</f>
        <v>0</v>
      </c>
      <c r="I18200" s="25" t="n">
        <f aca="false">IF(AND(Assumptions!$P$56=1,OR(I18157&lt;Assumptions!$K$56,H18340=1)),MIN(MAX(0,-I18254),MAX(0,Assumptions!$D$56-I18193)),0)</f>
        <v>0</v>
      </c>
      <c r="J18200" s="25" t="n">
        <f aca="false">IF(AND(Assumptions!$P$56=1,OR(J18157&lt;Assumptions!$K$56,I18340=1)),MIN(MAX(0,-J18254),MAX(0,Assumptions!$D$56-J18193)),0)</f>
        <v>0</v>
      </c>
      <c r="K18200" s="25" t="n">
        <f aca="false">IF(AND(Assumptions!$P$56=1,OR(K18157&lt;Assumptions!$K$56,J18340=1)),MIN(MAX(0,-K18254),MAX(0,Assumptions!$D$56-K18193)),0)</f>
        <v>0</v>
      </c>
    </row>
    <row r="18201" customFormat="false" ht="15" hidden="false" customHeight="false" outlineLevel="0" collapsed="false">
      <c r="A18201" s="3" t="s">
        <v>316</v>
      </c>
      <c r="G18201" s="25" t="n">
        <f aca="false">G18194*MIN(G18193-G18199+G18198,MAX(0,G18256-Assumptions!$C$12*G18191))</f>
        <v>0</v>
      </c>
      <c r="H18201" s="25" t="n">
        <f aca="false">H18194*MIN(H18193-H18199+H18198,MAX(0,H18256-Assumptions!$C$12*H18191))</f>
        <v>0</v>
      </c>
      <c r="I18201" s="25" t="n">
        <f aca="false">I18194*MIN(I18193-I18199+I18198,MAX(0,I18256-Assumptions!$C$12*I18191))</f>
        <v>0</v>
      </c>
      <c r="J18201" s="25" t="n">
        <f aca="false">J18194*MIN(J18193-J18199+J18198,MAX(0,J18256-Assumptions!$C$12*J18191))</f>
        <v>0</v>
      </c>
      <c r="K18201" s="25" t="n">
        <f aca="false">K18194*MIN(K18193-K18199+K18198,MAX(0,K18256-Assumptions!$C$12*K18191))</f>
        <v>0</v>
      </c>
    </row>
    <row r="18202" customFormat="false" ht="15" hidden="false" customHeight="false" outlineLevel="0" collapsed="false">
      <c r="A18202" s="3" t="s">
        <v>317</v>
      </c>
      <c r="G18202" s="25" t="n">
        <f aca="false">Assumptions!$N$56*MIN(G18193+G18200+G18198-G18199-G18201,MAX(0,G18260))</f>
        <v>0</v>
      </c>
      <c r="H18202" s="25" t="n">
        <f aca="false">Assumptions!$N$56*MIN(H18193+H18200+H18198-H18199-H18201,MAX(0,H18260))</f>
        <v>0</v>
      </c>
      <c r="I18202" s="25" t="n">
        <f aca="false">Assumptions!$N$56*MIN(I18193+I18200+I18198-I18199-I18201,MAX(0,I18260))</f>
        <v>0</v>
      </c>
      <c r="J18202" s="25" t="n">
        <f aca="false">Assumptions!$N$56*MIN(J18193+J18200+J18198-J18199-J18201,MAX(0,J18260))</f>
        <v>0</v>
      </c>
      <c r="K18202" s="25" t="n">
        <f aca="false">Assumptions!$N$56*MIN(K18193+K18200+K18198-K18199-K18201,MAX(0,K18260))</f>
        <v>0</v>
      </c>
    </row>
    <row r="18203" customFormat="false" ht="15" hidden="false" customHeight="false" outlineLevel="0" collapsed="false">
      <c r="A18203" s="3" t="s">
        <v>318</v>
      </c>
      <c r="G18203" s="25" t="n">
        <f aca="false">G18194*(1-G18191)*(G18193-G18199+G18198-G18201)</f>
        <v>0</v>
      </c>
      <c r="H18203" s="25" t="n">
        <f aca="false">H18194*(1-H18191)*(H18193-H18199+H18198-H18201)</f>
        <v>0</v>
      </c>
      <c r="I18203" s="25" t="n">
        <f aca="false">I18194*(1-I18191)*(I18193-I18199+I18198-I18201)</f>
        <v>0</v>
      </c>
      <c r="J18203" s="25" t="n">
        <f aca="false">J18194*(1-J18191)*(J18193-J18199+J18198-J18201)</f>
        <v>0</v>
      </c>
      <c r="K18203" s="25" t="n">
        <f aca="false">K18194*(1-K18191)*(K18193-K18199+K18198-K18201)</f>
        <v>0</v>
      </c>
    </row>
    <row r="18204" customFormat="false" ht="15" hidden="false" customHeight="false" outlineLevel="0" collapsed="false">
      <c r="A18204" s="2" t="s">
        <v>319</v>
      </c>
      <c r="F18204" s="28" t="n">
        <f aca="false">Assumptions!$C$56</f>
        <v>1315.098</v>
      </c>
      <c r="G18204" s="16" t="n">
        <f aca="false">G18193+G18200+G18198-G18199-G18201-G18202</f>
        <v>1315.098</v>
      </c>
      <c r="H18204" s="16" t="n">
        <f aca="false">H18193+H18200+H18198-H18199-H18201-H18202</f>
        <v>1315.098</v>
      </c>
      <c r="I18204" s="16" t="n">
        <f aca="false">I18193+I18200+I18198-I18199-I18201-I18202</f>
        <v>1315.098</v>
      </c>
      <c r="J18204" s="16" t="n">
        <f aca="false">J18193+J18200+J18198-J18199-J18201-J18202</f>
        <v>1315.098</v>
      </c>
      <c r="K18204" s="16" t="n">
        <f aca="false">K18193+K18200+K18198-K18199-K18201-K18202</f>
        <v>1315.098</v>
      </c>
    </row>
    <row r="18205" customFormat="false" ht="15" hidden="false" customHeight="false" outlineLevel="0" collapsed="false">
      <c r="A18205" s="23" t="s">
        <v>320</v>
      </c>
      <c r="B18205" s="24"/>
      <c r="C18205" s="24"/>
      <c r="D18205" s="24"/>
      <c r="E18205" s="24"/>
      <c r="F18205" s="24"/>
      <c r="G18205" s="24"/>
      <c r="H18205" s="24"/>
      <c r="I18205" s="24"/>
      <c r="J18205" s="24"/>
      <c r="K18205" s="24"/>
    </row>
    <row r="18206" customFormat="false" ht="15" hidden="false" customHeight="false" outlineLevel="0" collapsed="false">
      <c r="A18206" s="3" t="s">
        <v>309</v>
      </c>
      <c r="G18206" s="25" t="n">
        <f aca="false">F18217</f>
        <v>276.706</v>
      </c>
      <c r="H18206" s="25" t="n">
        <f aca="false">G18217</f>
        <v>276.706</v>
      </c>
      <c r="I18206" s="25" t="n">
        <f aca="false">H18217</f>
        <v>276.706</v>
      </c>
      <c r="J18206" s="25" t="n">
        <f aca="false">I18217</f>
        <v>0</v>
      </c>
      <c r="K18206" s="25" t="n">
        <f aca="false">J18217</f>
        <v>0</v>
      </c>
    </row>
    <row r="18207" customFormat="false" ht="15" hidden="false" customHeight="false" outlineLevel="0" collapsed="false">
      <c r="A18207" s="3" t="s">
        <v>310</v>
      </c>
      <c r="G18207" s="20" t="n">
        <f aca="false">IF(G18157=Assumptions!$K$57,1,0)</f>
        <v>0</v>
      </c>
      <c r="H18207" s="20" t="n">
        <f aca="false">IF(H18157=Assumptions!$K$57,1,0)</f>
        <v>0</v>
      </c>
      <c r="I18207" s="20" t="n">
        <f aca="false">IF(I18157=Assumptions!$K$57,1,0)</f>
        <v>1</v>
      </c>
      <c r="J18207" s="20" t="n">
        <f aca="false">IF(J18157=Assumptions!$K$57,1,0)</f>
        <v>0</v>
      </c>
      <c r="K18207" s="20" t="n">
        <f aca="false">IF(K18157=Assumptions!$K$57,1,0)</f>
        <v>0</v>
      </c>
    </row>
    <row r="18209" customFormat="false" ht="15" hidden="false" customHeight="false" outlineLevel="0" collapsed="false">
      <c r="A18209" s="3" t="s">
        <v>311</v>
      </c>
      <c r="G18209" s="31" t="n">
        <f aca="false">IF(Assumptions!$I$57=1,MAX(G18183,Assumptions!$G$57)+Assumptions!$F$57+$C$18184,Assumptions!$E$57)</f>
        <v>0.0425</v>
      </c>
      <c r="H18209" s="31" t="n">
        <f aca="false">IF(G18341=1,$C$18185,IF(Assumptions!$I$57=1,MAX(H18183,Assumptions!$G$57)+Assumptions!$F$57+$C$18184,Assumptions!$E$57))</f>
        <v>0.0425</v>
      </c>
      <c r="I18209" s="31" t="n">
        <f aca="false">IF(H18341=1,$C$18185,IF(Assumptions!$I$57=1,MAX(I18183,Assumptions!$G$57)+Assumptions!$F$57+$C$18184,Assumptions!$E$57))</f>
        <v>0.0425</v>
      </c>
      <c r="J18209" s="31" t="n">
        <f aca="false">IF(I18341=1,$C$18185,IF(Assumptions!$I$57=1,MAX(J18183,Assumptions!$G$57)+Assumptions!$F$57+$C$18184,Assumptions!$E$57))</f>
        <v>0.0425</v>
      </c>
      <c r="K18209" s="31" t="n">
        <f aca="false">IF(J18341=1,$C$18185,IF(Assumptions!$I$57=1,MAX(K18183,Assumptions!$G$57)+Assumptions!$F$57+$C$18184,Assumptions!$E$57))</f>
        <v>0.0425</v>
      </c>
    </row>
    <row r="18210" customFormat="false" ht="15" hidden="false" customHeight="false" outlineLevel="0" collapsed="false">
      <c r="A18210" s="3" t="s">
        <v>312</v>
      </c>
      <c r="G18210" s="25" t="n">
        <f aca="false">G18206*G18209</f>
        <v>11.760005</v>
      </c>
      <c r="H18210" s="25" t="n">
        <f aca="false">H18206*H18209</f>
        <v>11.760005</v>
      </c>
      <c r="I18210" s="25" t="n">
        <f aca="false">I18206*I18209</f>
        <v>11.760005</v>
      </c>
      <c r="J18210" s="25" t="n">
        <f aca="false">J18206*J18209</f>
        <v>0</v>
      </c>
      <c r="K18210" s="25" t="n">
        <f aca="false">K18206*K18209</f>
        <v>0</v>
      </c>
    </row>
    <row r="18211" customFormat="false" ht="15" hidden="false" customHeight="false" outlineLevel="0" collapsed="false">
      <c r="A18211" s="3" t="s">
        <v>313</v>
      </c>
      <c r="G18211" s="25" t="n">
        <f aca="false">G18206*Assumptions!$H$57</f>
        <v>0</v>
      </c>
      <c r="H18211" s="25" t="n">
        <f aca="false">H18206*Assumptions!$H$57</f>
        <v>0</v>
      </c>
      <c r="I18211" s="25" t="n">
        <f aca="false">I18206*Assumptions!$H$57</f>
        <v>0</v>
      </c>
      <c r="J18211" s="25" t="n">
        <f aca="false">J18206*Assumptions!$H$57</f>
        <v>0</v>
      </c>
      <c r="K18211" s="25" t="n">
        <f aca="false">K18206*Assumptions!$H$57</f>
        <v>0</v>
      </c>
    </row>
    <row r="18212" customFormat="false" ht="15" hidden="false" customHeight="false" outlineLevel="0" collapsed="false">
      <c r="A18212" s="3" t="s">
        <v>314</v>
      </c>
      <c r="G18212" s="25" t="n">
        <f aca="false">MIN(G18206,Assumptions!$L$57*Assumptions!$C$57)</f>
        <v>0</v>
      </c>
      <c r="H18212" s="25" t="n">
        <f aca="false">MIN(H18206,Assumptions!$L$57*Assumptions!$C$57)</f>
        <v>0</v>
      </c>
      <c r="I18212" s="25" t="n">
        <f aca="false">MIN(I18206,Assumptions!$L$57*Assumptions!$C$57)</f>
        <v>0</v>
      </c>
      <c r="J18212" s="25" t="n">
        <f aca="false">MIN(J18206,Assumptions!$L$57*Assumptions!$C$57)</f>
        <v>0</v>
      </c>
      <c r="K18212" s="25" t="n">
        <f aca="false">MIN(K18206,Assumptions!$L$57*Assumptions!$C$57)</f>
        <v>0</v>
      </c>
    </row>
    <row r="18213" customFormat="false" ht="15" hidden="false" customHeight="false" outlineLevel="0" collapsed="false">
      <c r="A18213" s="3" t="s">
        <v>315</v>
      </c>
      <c r="G18213" s="25" t="n">
        <f aca="false">IF(AND(Assumptions!$P$57=1,G18157&lt;Assumptions!$K$57),MIN(MAX(0,-G18254),MAX(0,Assumptions!$D$57-G18206)),0)</f>
        <v>0</v>
      </c>
      <c r="H18213" s="25" t="n">
        <f aca="false">IF(AND(Assumptions!$P$57=1,OR(H18157&lt;Assumptions!$K$57,G18341=1)),MIN(MAX(0,-H18254),MAX(0,Assumptions!$D$57-H18206)),0)</f>
        <v>0</v>
      </c>
      <c r="I18213" s="25" t="n">
        <f aca="false">IF(AND(Assumptions!$P$57=1,OR(I18157&lt;Assumptions!$K$57,H18341=1)),MIN(MAX(0,-I18254),MAX(0,Assumptions!$D$57-I18206)),0)</f>
        <v>0</v>
      </c>
      <c r="J18213" s="25" t="n">
        <f aca="false">IF(AND(Assumptions!$P$57=1,OR(J18157&lt;Assumptions!$K$57,I18341=1)),MIN(MAX(0,-J18254),MAX(0,Assumptions!$D$57-J18206)),0)</f>
        <v>0</v>
      </c>
      <c r="K18213" s="25" t="n">
        <f aca="false">IF(AND(Assumptions!$P$57=1,OR(K18157&lt;Assumptions!$K$57,J18341=1)),MIN(MAX(0,-K18254),MAX(0,Assumptions!$D$57-K18206)),0)</f>
        <v>0</v>
      </c>
    </row>
    <row r="18214" customFormat="false" ht="15" hidden="false" customHeight="false" outlineLevel="0" collapsed="false">
      <c r="A18214" s="3" t="s">
        <v>316</v>
      </c>
      <c r="G18214" s="25" t="n">
        <f aca="false">G18207*MIN(G18206-G18212+G18211,MAX(0,G18256-Assumptions!$C$12*G18191-G18201))</f>
        <v>0</v>
      </c>
      <c r="H18214" s="25" t="n">
        <f aca="false">H18207*MIN(H18206-H18212+H18211,MAX(0,H18256-Assumptions!$C$12*H18191-H18201))</f>
        <v>0</v>
      </c>
      <c r="I18214" s="25" t="n">
        <f aca="false">I18207*MIN(I18206-I18212+I18211,MAX(0,I18256-Assumptions!$C$12*I18191-I18201))</f>
        <v>276.706</v>
      </c>
      <c r="J18214" s="25" t="n">
        <f aca="false">J18207*MIN(J18206-J18212+J18211,MAX(0,J18256-Assumptions!$C$12*J18191-J18201))</f>
        <v>0</v>
      </c>
      <c r="K18214" s="25" t="n">
        <f aca="false">K18207*MIN(K18206-K18212+K18211,MAX(0,K18256-Assumptions!$C$12*K18191-K18201))</f>
        <v>0</v>
      </c>
    </row>
    <row r="18215" customFormat="false" ht="15" hidden="false" customHeight="false" outlineLevel="0" collapsed="false">
      <c r="A18215" s="3" t="s">
        <v>317</v>
      </c>
      <c r="G18215" s="25" t="n">
        <f aca="false">Assumptions!$N$57*MIN(G18206+G18213+G18211-G18212-G18214,MAX(0,G18260-G18202))</f>
        <v>0</v>
      </c>
      <c r="H18215" s="25" t="n">
        <f aca="false">Assumptions!$N$57*MIN(H18206+H18213+H18211-H18212-H18214,MAX(0,H18260-H18202))</f>
        <v>0</v>
      </c>
      <c r="I18215" s="25" t="n">
        <f aca="false">Assumptions!$N$57*MIN(I18206+I18213+I18211-I18212-I18214,MAX(0,I18260-I18202))</f>
        <v>0</v>
      </c>
      <c r="J18215" s="25" t="n">
        <f aca="false">Assumptions!$N$57*MIN(J18206+J18213+J18211-J18212-J18214,MAX(0,J18260-J18202))</f>
        <v>0</v>
      </c>
      <c r="K18215" s="25" t="n">
        <f aca="false">Assumptions!$N$57*MIN(K18206+K18213+K18211-K18212-K18214,MAX(0,K18260-K18202))</f>
        <v>0</v>
      </c>
    </row>
    <row r="18216" customFormat="false" ht="15" hidden="false" customHeight="false" outlineLevel="0" collapsed="false">
      <c r="A18216" s="3" t="s">
        <v>318</v>
      </c>
      <c r="G18216" s="25" t="n">
        <f aca="false">G18207*(1-G18191)*(G18206-G18212+G18211-G18214)</f>
        <v>0</v>
      </c>
      <c r="H18216" s="25" t="n">
        <f aca="false">H18207*(1-H18191)*(H18206-H18212+H18211-H18214)</f>
        <v>0</v>
      </c>
      <c r="I18216" s="25" t="n">
        <f aca="false">I18207*(1-I18191)*(I18206-I18212+I18211-I18214)</f>
        <v>0</v>
      </c>
      <c r="J18216" s="25" t="n">
        <f aca="false">J18207*(1-J18191)*(J18206-J18212+J18211-J18214)</f>
        <v>0</v>
      </c>
      <c r="K18216" s="25" t="n">
        <f aca="false">K18207*(1-K18191)*(K18206-K18212+K18211-K18214)</f>
        <v>0</v>
      </c>
    </row>
    <row r="18217" customFormat="false" ht="15" hidden="false" customHeight="false" outlineLevel="0" collapsed="false">
      <c r="A18217" s="2" t="s">
        <v>319</v>
      </c>
      <c r="F18217" s="28" t="n">
        <f aca="false">Assumptions!$C$57</f>
        <v>276.706</v>
      </c>
      <c r="G18217" s="16" t="n">
        <f aca="false">G18206+G18213+G18211-G18212-G18214-G18215</f>
        <v>276.706</v>
      </c>
      <c r="H18217" s="16" t="n">
        <f aca="false">H18206+H18213+H18211-H18212-H18214-H18215</f>
        <v>276.706</v>
      </c>
      <c r="I18217" s="16" t="n">
        <f aca="false">I18206+I18213+I18211-I18212-I18214-I18215</f>
        <v>0</v>
      </c>
      <c r="J18217" s="16" t="n">
        <f aca="false">J18206+J18213+J18211-J18212-J18214-J18215</f>
        <v>0</v>
      </c>
      <c r="K18217" s="16" t="n">
        <f aca="false">K18206+K18213+K18211-K18212-K18214-K18215</f>
        <v>0</v>
      </c>
    </row>
    <row r="18218" customFormat="false" ht="15" hidden="false" customHeight="false" outlineLevel="0" collapsed="false">
      <c r="A18218" s="23" t="s">
        <v>321</v>
      </c>
      <c r="B18218" s="24"/>
      <c r="C18218" s="24"/>
      <c r="D18218" s="24"/>
      <c r="E18218" s="24"/>
      <c r="F18218" s="24"/>
      <c r="G18218" s="24"/>
      <c r="H18218" s="24"/>
      <c r="I18218" s="24"/>
      <c r="J18218" s="24"/>
      <c r="K18218" s="24"/>
    </row>
    <row r="18219" customFormat="false" ht="15" hidden="false" customHeight="false" outlineLevel="0" collapsed="false">
      <c r="A18219" s="3" t="s">
        <v>309</v>
      </c>
      <c r="G18219" s="25" t="n">
        <f aca="false">F18230</f>
        <v>143.75</v>
      </c>
      <c r="H18219" s="25" t="n">
        <f aca="false">G18230</f>
        <v>143.75</v>
      </c>
      <c r="I18219" s="25" t="n">
        <f aca="false">H18230</f>
        <v>143.75</v>
      </c>
      <c r="J18219" s="25" t="n">
        <f aca="false">I18230</f>
        <v>0</v>
      </c>
      <c r="K18219" s="25" t="n">
        <f aca="false">J18230</f>
        <v>0</v>
      </c>
    </row>
    <row r="18220" customFormat="false" ht="15" hidden="false" customHeight="false" outlineLevel="0" collapsed="false">
      <c r="A18220" s="3" t="s">
        <v>310</v>
      </c>
      <c r="G18220" s="20" t="n">
        <f aca="false">IF(G18157=Assumptions!$K$58,1,0)</f>
        <v>0</v>
      </c>
      <c r="H18220" s="20" t="n">
        <f aca="false">IF(H18157=Assumptions!$K$58,1,0)</f>
        <v>0</v>
      </c>
      <c r="I18220" s="20" t="n">
        <f aca="false">IF(I18157=Assumptions!$K$58,1,0)</f>
        <v>1</v>
      </c>
      <c r="J18220" s="20" t="n">
        <f aca="false">IF(J18157=Assumptions!$K$58,1,0)</f>
        <v>0</v>
      </c>
      <c r="K18220" s="20" t="n">
        <f aca="false">IF(K18157=Assumptions!$K$58,1,0)</f>
        <v>0</v>
      </c>
    </row>
    <row r="18222" customFormat="false" ht="15" hidden="false" customHeight="false" outlineLevel="0" collapsed="false">
      <c r="A18222" s="3" t="s">
        <v>311</v>
      </c>
      <c r="G18222" s="31" t="n">
        <f aca="false">IF(Assumptions!$I$58=1,MAX(G18183,Assumptions!$G$58)+Assumptions!$F$58+$C$18184,Assumptions!$E$58)</f>
        <v>0.0425</v>
      </c>
      <c r="H18222" s="31" t="n">
        <f aca="false">IF(G18342=1,$C$18185,IF(Assumptions!$I$58=1,MAX(H18183,Assumptions!$G$58)+Assumptions!$F$58+$C$18184,Assumptions!$E$58))</f>
        <v>0.0425</v>
      </c>
      <c r="I18222" s="31" t="n">
        <f aca="false">IF(H18342=1,$C$18185,IF(Assumptions!$I$58=1,MAX(I18183,Assumptions!$G$58)+Assumptions!$F$58+$C$18184,Assumptions!$E$58))</f>
        <v>0.0425</v>
      </c>
      <c r="J18222" s="31" t="n">
        <f aca="false">IF(I18342=1,$C$18185,IF(Assumptions!$I$58=1,MAX(J18183,Assumptions!$G$58)+Assumptions!$F$58+$C$18184,Assumptions!$E$58))</f>
        <v>0.0425</v>
      </c>
      <c r="K18222" s="31" t="n">
        <f aca="false">IF(J18342=1,$C$18185,IF(Assumptions!$I$58=1,MAX(K18183,Assumptions!$G$58)+Assumptions!$F$58+$C$18184,Assumptions!$E$58))</f>
        <v>0.0425</v>
      </c>
    </row>
    <row r="18223" customFormat="false" ht="15" hidden="false" customHeight="false" outlineLevel="0" collapsed="false">
      <c r="A18223" s="3" t="s">
        <v>312</v>
      </c>
      <c r="G18223" s="25" t="n">
        <f aca="false">G18219*G18222</f>
        <v>6.109375</v>
      </c>
      <c r="H18223" s="25" t="n">
        <f aca="false">H18219*H18222</f>
        <v>6.109375</v>
      </c>
      <c r="I18223" s="25" t="n">
        <f aca="false">I18219*I18222</f>
        <v>6.109375</v>
      </c>
      <c r="J18223" s="25" t="n">
        <f aca="false">J18219*J18222</f>
        <v>0</v>
      </c>
      <c r="K18223" s="25" t="n">
        <f aca="false">K18219*K18222</f>
        <v>0</v>
      </c>
    </row>
    <row r="18224" customFormat="false" ht="15" hidden="false" customHeight="false" outlineLevel="0" collapsed="false">
      <c r="A18224" s="3" t="s">
        <v>313</v>
      </c>
      <c r="G18224" s="25" t="n">
        <f aca="false">G18219*Assumptions!$H$58</f>
        <v>0</v>
      </c>
      <c r="H18224" s="25" t="n">
        <f aca="false">H18219*Assumptions!$H$58</f>
        <v>0</v>
      </c>
      <c r="I18224" s="25" t="n">
        <f aca="false">I18219*Assumptions!$H$58</f>
        <v>0</v>
      </c>
      <c r="J18224" s="25" t="n">
        <f aca="false">J18219*Assumptions!$H$58</f>
        <v>0</v>
      </c>
      <c r="K18224" s="25" t="n">
        <f aca="false">K18219*Assumptions!$H$58</f>
        <v>0</v>
      </c>
    </row>
    <row r="18225" customFormat="false" ht="15" hidden="false" customHeight="false" outlineLevel="0" collapsed="false">
      <c r="A18225" s="3" t="s">
        <v>314</v>
      </c>
      <c r="G18225" s="25" t="n">
        <f aca="false">MIN(G18219,Assumptions!$L$58*Assumptions!$C$58)</f>
        <v>0</v>
      </c>
      <c r="H18225" s="25" t="n">
        <f aca="false">MIN(H18219,Assumptions!$L$58*Assumptions!$C$58)</f>
        <v>0</v>
      </c>
      <c r="I18225" s="25" t="n">
        <f aca="false">MIN(I18219,Assumptions!$L$58*Assumptions!$C$58)</f>
        <v>0</v>
      </c>
      <c r="J18225" s="25" t="n">
        <f aca="false">MIN(J18219,Assumptions!$L$58*Assumptions!$C$58)</f>
        <v>0</v>
      </c>
      <c r="K18225" s="25" t="n">
        <f aca="false">MIN(K18219,Assumptions!$L$58*Assumptions!$C$58)</f>
        <v>0</v>
      </c>
    </row>
    <row r="18226" customFormat="false" ht="15" hidden="false" customHeight="false" outlineLevel="0" collapsed="false">
      <c r="A18226" s="3" t="s">
        <v>315</v>
      </c>
      <c r="G18226" s="25" t="n">
        <f aca="false">IF(AND(Assumptions!$P$58=1,G18157&lt;Assumptions!$K$58),MIN(MAX(0,-G18254),MAX(0,Assumptions!$D$58-G18219)),0)</f>
        <v>0</v>
      </c>
      <c r="H18226" s="25" t="n">
        <f aca="false">IF(AND(Assumptions!$P$58=1,OR(H18157&lt;Assumptions!$K$58,G18342=1)),MIN(MAX(0,-H18254),MAX(0,Assumptions!$D$58-H18219)),0)</f>
        <v>0</v>
      </c>
      <c r="I18226" s="25" t="n">
        <f aca="false">IF(AND(Assumptions!$P$58=1,OR(I18157&lt;Assumptions!$K$58,H18342=1)),MIN(MAX(0,-I18254),MAX(0,Assumptions!$D$58-I18219)),0)</f>
        <v>0</v>
      </c>
      <c r="J18226" s="25" t="n">
        <f aca="false">IF(AND(Assumptions!$P$58=1,OR(J18157&lt;Assumptions!$K$58,I18342=1)),MIN(MAX(0,-J18254),MAX(0,Assumptions!$D$58-J18219)),0)</f>
        <v>0</v>
      </c>
      <c r="K18226" s="25" t="n">
        <f aca="false">IF(AND(Assumptions!$P$58=1,OR(K18157&lt;Assumptions!$K$58,J18342=1)),MIN(MAX(0,-K18254),MAX(0,Assumptions!$D$58-K18219)),0)</f>
        <v>0</v>
      </c>
    </row>
    <row r="18227" customFormat="false" ht="15" hidden="false" customHeight="false" outlineLevel="0" collapsed="false">
      <c r="A18227" s="3" t="s">
        <v>316</v>
      </c>
      <c r="G18227" s="25" t="n">
        <f aca="false">G18220*MIN(G18219-G18225+G18224,MAX(0,G18256-Assumptions!$C$12*G18191-G18201-G18214))</f>
        <v>0</v>
      </c>
      <c r="H18227" s="25" t="n">
        <f aca="false">H18220*MIN(H18219-H18225+H18224,MAX(0,H18256-Assumptions!$C$12*H18191-H18201-H18214))</f>
        <v>0</v>
      </c>
      <c r="I18227" s="25" t="n">
        <f aca="false">I18220*MIN(I18219-I18225+I18224,MAX(0,I18256-Assumptions!$C$12*I18191-I18201-I18214))</f>
        <v>143.75</v>
      </c>
      <c r="J18227" s="25" t="n">
        <f aca="false">J18220*MIN(J18219-J18225+J18224,MAX(0,J18256-Assumptions!$C$12*J18191-J18201-J18214))</f>
        <v>0</v>
      </c>
      <c r="K18227" s="25" t="n">
        <f aca="false">K18220*MIN(K18219-K18225+K18224,MAX(0,K18256-Assumptions!$C$12*K18191-K18201-K18214))</f>
        <v>0</v>
      </c>
    </row>
    <row r="18228" customFormat="false" ht="15" hidden="false" customHeight="false" outlineLevel="0" collapsed="false">
      <c r="A18228" s="3" t="s">
        <v>317</v>
      </c>
      <c r="G18228" s="25" t="n">
        <f aca="false">Assumptions!$N$58*MIN(G18219+G18226+G18224-G18225-G18227,MAX(0,G18260-G18202-G18215))</f>
        <v>0</v>
      </c>
      <c r="H18228" s="25" t="n">
        <f aca="false">Assumptions!$N$58*MIN(H18219+H18226+H18224-H18225-H18227,MAX(0,H18260-H18202-H18215))</f>
        <v>0</v>
      </c>
      <c r="I18228" s="25" t="n">
        <f aca="false">Assumptions!$N$58*MIN(I18219+I18226+I18224-I18225-I18227,MAX(0,I18260-I18202-I18215))</f>
        <v>0</v>
      </c>
      <c r="J18228" s="25" t="n">
        <f aca="false">Assumptions!$N$58*MIN(J18219+J18226+J18224-J18225-J18227,MAX(0,J18260-J18202-J18215))</f>
        <v>0</v>
      </c>
      <c r="K18228" s="25" t="n">
        <f aca="false">Assumptions!$N$58*MIN(K18219+K18226+K18224-K18225-K18227,MAX(0,K18260-K18202-K18215))</f>
        <v>0</v>
      </c>
    </row>
    <row r="18229" customFormat="false" ht="15" hidden="false" customHeight="false" outlineLevel="0" collapsed="false">
      <c r="A18229" s="3" t="s">
        <v>318</v>
      </c>
      <c r="G18229" s="25" t="n">
        <f aca="false">G18220*(1-G18191)*(G18219-G18225+G18224-G18227)</f>
        <v>0</v>
      </c>
      <c r="H18229" s="25" t="n">
        <f aca="false">H18220*(1-H18191)*(H18219-H18225+H18224-H18227)</f>
        <v>0</v>
      </c>
      <c r="I18229" s="25" t="n">
        <f aca="false">I18220*(1-I18191)*(I18219-I18225+I18224-I18227)</f>
        <v>0</v>
      </c>
      <c r="J18229" s="25" t="n">
        <f aca="false">J18220*(1-J18191)*(J18219-J18225+J18224-J18227)</f>
        <v>0</v>
      </c>
      <c r="K18229" s="25" t="n">
        <f aca="false">K18220*(1-K18191)*(K18219-K18225+K18224-K18227)</f>
        <v>0</v>
      </c>
    </row>
    <row r="18230" customFormat="false" ht="15" hidden="false" customHeight="false" outlineLevel="0" collapsed="false">
      <c r="A18230" s="2" t="s">
        <v>319</v>
      </c>
      <c r="F18230" s="28" t="n">
        <f aca="false">Assumptions!$C$58</f>
        <v>143.75</v>
      </c>
      <c r="G18230" s="16" t="n">
        <f aca="false">G18219+G18226+G18224-G18225-G18227-G18228</f>
        <v>143.75</v>
      </c>
      <c r="H18230" s="16" t="n">
        <f aca="false">H18219+H18226+H18224-H18225-H18227-H18228</f>
        <v>143.75</v>
      </c>
      <c r="I18230" s="16" t="n">
        <f aca="false">I18219+I18226+I18224-I18225-I18227-I18228</f>
        <v>0</v>
      </c>
      <c r="J18230" s="16" t="n">
        <f aca="false">J18219+J18226+J18224-J18225-J18227-J18228</f>
        <v>0</v>
      </c>
      <c r="K18230" s="16" t="n">
        <f aca="false">K18219+K18226+K18224-K18225-K18227-K18228</f>
        <v>0</v>
      </c>
    </row>
    <row r="18231" customFormat="false" ht="15" hidden="false" customHeight="false" outlineLevel="0" collapsed="false">
      <c r="A18231" s="23" t="s">
        <v>322</v>
      </c>
      <c r="B18231" s="24"/>
      <c r="C18231" s="24"/>
      <c r="D18231" s="24"/>
      <c r="E18231" s="24"/>
      <c r="F18231" s="24"/>
      <c r="G18231" s="24"/>
      <c r="H18231" s="24"/>
      <c r="I18231" s="24"/>
      <c r="J18231" s="24"/>
      <c r="K18231" s="24"/>
    </row>
    <row r="18232" customFormat="false" ht="15" hidden="false" customHeight="false" outlineLevel="0" collapsed="false">
      <c r="A18232" s="2" t="s">
        <v>323</v>
      </c>
      <c r="F18232" s="16" t="n">
        <f aca="false">F18204+F18217+F18230</f>
        <v>1735.554</v>
      </c>
      <c r="G18232" s="16" t="n">
        <f aca="false">G18204+G18217+G18230</f>
        <v>1735.554</v>
      </c>
      <c r="H18232" s="16" t="n">
        <f aca="false">H18204+H18217+H18230</f>
        <v>1735.554</v>
      </c>
      <c r="I18232" s="16" t="n">
        <f aca="false">I18204+I18217+I18230</f>
        <v>1315.098</v>
      </c>
      <c r="J18232" s="16" t="n">
        <f aca="false">J18204+J18217+J18230</f>
        <v>1315.098</v>
      </c>
      <c r="K18232" s="16" t="n">
        <f aca="false">K18204+K18217+K18230</f>
        <v>1315.098</v>
      </c>
    </row>
    <row r="18233" customFormat="false" ht="15" hidden="false" customHeight="false" outlineLevel="0" collapsed="false">
      <c r="A18233" s="3" t="s">
        <v>324</v>
      </c>
      <c r="G18233" s="25" t="n">
        <f aca="false">G18194*Assumptions!$C$56+G18207*Assumptions!$C$57+G18220*Assumptions!$C$58</f>
        <v>0</v>
      </c>
      <c r="H18233" s="25" t="n">
        <f aca="false">H18194*Assumptions!$C$56+H18207*Assumptions!$C$57+H18220*Assumptions!$C$58</f>
        <v>0</v>
      </c>
      <c r="I18233" s="25" t="n">
        <f aca="false">I18194*Assumptions!$C$56+I18207*Assumptions!$C$57+I18220*Assumptions!$C$58</f>
        <v>420.456</v>
      </c>
      <c r="J18233" s="25" t="n">
        <f aca="false">J18194*Assumptions!$C$56+J18207*Assumptions!$C$57+J18220*Assumptions!$C$58</f>
        <v>0</v>
      </c>
      <c r="K18233" s="25" t="n">
        <f aca="false">K18194*Assumptions!$C$56+K18207*Assumptions!$C$57+K18220*Assumptions!$C$58</f>
        <v>0</v>
      </c>
    </row>
    <row r="18234" customFormat="false" ht="15" hidden="false" customHeight="false" outlineLevel="0" collapsed="false">
      <c r="A18234" s="23" t="s">
        <v>325</v>
      </c>
      <c r="B18234" s="24"/>
      <c r="C18234" s="24"/>
      <c r="D18234" s="24"/>
      <c r="E18234" s="24"/>
      <c r="F18234" s="24"/>
      <c r="G18234" s="24"/>
      <c r="H18234" s="24"/>
      <c r="I18234" s="24"/>
      <c r="J18234" s="24"/>
      <c r="K18234" s="24"/>
    </row>
    <row r="18235" customFormat="false" ht="15" hidden="false" customHeight="false" outlineLevel="0" collapsed="false">
      <c r="A18235" s="3" t="s">
        <v>326</v>
      </c>
      <c r="C18235" s="25" t="n">
        <f aca="false">SUMPRODUCT($G$18194:$K$18194,$G$18193:$K$18193-$G$18199:$K$18199+$G$18198:$K$18198)</f>
        <v>0</v>
      </c>
    </row>
    <row r="18236" customFormat="false" ht="15" hidden="false" customHeight="false" outlineLevel="0" collapsed="false">
      <c r="A18236" s="3" t="s">
        <v>327</v>
      </c>
      <c r="C18236" s="25" t="n">
        <f aca="false">SUMPRODUCT($G$18194:$K$18194,$G$18201:$K$18201)</f>
        <v>0</v>
      </c>
    </row>
    <row r="18237" customFormat="false" ht="15" hidden="false" customHeight="false" outlineLevel="0" collapsed="false">
      <c r="A18237" s="3" t="s">
        <v>328</v>
      </c>
      <c r="C18237" s="3" t="str">
        <f aca="false">IF(SUM($G$18194:$K$18194)=0,"n/a (beyond horizon)",IF(SUMPRODUCT($G$18194:$K$18194,$G$18191:$K$18191)&gt;0,"REFINANCING PASS","REFINANCING FAILURE"))</f>
        <v>n/a (beyond horizon)</v>
      </c>
    </row>
    <row r="18238" customFormat="false" ht="15" hidden="false" customHeight="false" outlineLevel="0" collapsed="false">
      <c r="A18238" s="3" t="s">
        <v>329</v>
      </c>
      <c r="C18238" s="3" t="str">
        <f aca="false">IF(SUM($G$18194:$K$18194)=0,"n/a",IF(C18236&gt;=C18235-0.001,"Repaid from cash",IF(SUMPRODUCT($G$18194:$K$18194,$G$18191:$K$18191)&gt;0,IF(C18236&gt;0,"Partly repaid; remainder refinanced","Refinanced"),IF(SUM($G$18203:$K$18203)&gt;0.001,IF(C18236&gt;0,"Partial repayment; PAYMENT DEFAULT","PAYMENT DEFAULT"),"Repaid from cash"))))</f>
        <v>n/a</v>
      </c>
    </row>
    <row r="18239" customFormat="false" ht="15" hidden="false" customHeight="false" outlineLevel="0" collapsed="false">
      <c r="A18239" s="3" t="s">
        <v>330</v>
      </c>
      <c r="C18239" s="25" t="n">
        <f aca="false">SUMPRODUCT($G$18207:$K$18207,$G$18206:$K$18206-$G$18212:$K$18212+$G$18211:$K$18211)</f>
        <v>276.706</v>
      </c>
    </row>
    <row r="18240" customFormat="false" ht="15" hidden="false" customHeight="false" outlineLevel="0" collapsed="false">
      <c r="A18240" s="3" t="s">
        <v>331</v>
      </c>
      <c r="C18240" s="25" t="n">
        <f aca="false">SUMPRODUCT($G$18207:$K$18207,$G$18214:$K$18214)</f>
        <v>276.706</v>
      </c>
    </row>
    <row r="18241" customFormat="false" ht="15" hidden="false" customHeight="false" outlineLevel="0" collapsed="false">
      <c r="A18241" s="3" t="s">
        <v>332</v>
      </c>
      <c r="C18241" s="3" t="str">
        <f aca="false">IF(SUM($G$18207:$K$18207)=0,"n/a (beyond horizon)",IF(SUMPRODUCT($G$18207:$K$18207,$G$18191:$K$18191)&gt;0,"REFINANCING PASS","REFINANCING FAILURE"))</f>
        <v>REFINANCING FAILURE</v>
      </c>
    </row>
    <row r="18242" customFormat="false" ht="15" hidden="false" customHeight="false" outlineLevel="0" collapsed="false">
      <c r="A18242" s="3" t="s">
        <v>333</v>
      </c>
      <c r="C18242" s="3" t="str">
        <f aca="false">IF(SUM($G$18207:$K$18207)=0,"n/a",IF(C18240&gt;=C18239-0.001,"Repaid from cash",IF(SUMPRODUCT($G$18207:$K$18207,$G$18191:$K$18191)&gt;0,IF(C18240&gt;0,"Partly repaid; remainder refinanced","Refinanced"),IF(SUM($G$18216:$K$18216)&gt;0.001,IF(C18240&gt;0,"Partial repayment; PAYMENT DEFAULT","PAYMENT DEFAULT"),"Repaid from cash"))))</f>
        <v>Repaid from cash</v>
      </c>
    </row>
    <row r="18243" customFormat="false" ht="15" hidden="false" customHeight="false" outlineLevel="0" collapsed="false">
      <c r="A18243" s="3" t="s">
        <v>334</v>
      </c>
      <c r="C18243" s="25" t="n">
        <f aca="false">SUMPRODUCT($G$18220:$K$18220,$G$18219:$K$18219-$G$18225:$K$18225+$G$18224:$K$18224)</f>
        <v>143.75</v>
      </c>
    </row>
    <row r="18244" customFormat="false" ht="15" hidden="false" customHeight="false" outlineLevel="0" collapsed="false">
      <c r="A18244" s="3" t="s">
        <v>335</v>
      </c>
      <c r="C18244" s="25" t="n">
        <f aca="false">SUMPRODUCT($G$18220:$K$18220,$G$18227:$K$18227)</f>
        <v>143.75</v>
      </c>
    </row>
    <row r="18245" customFormat="false" ht="15" hidden="false" customHeight="false" outlineLevel="0" collapsed="false">
      <c r="A18245" s="3" t="s">
        <v>336</v>
      </c>
      <c r="C18245" s="3" t="str">
        <f aca="false">IF(SUM($G$18220:$K$18220)=0,"n/a (beyond horizon)",IF(SUMPRODUCT($G$18220:$K$18220,$G$18191:$K$18191)&gt;0,"REFINANCING PASS","REFINANCING FAILURE"))</f>
        <v>REFINANCING FAILURE</v>
      </c>
    </row>
    <row r="18246" customFormat="false" ht="15" hidden="false" customHeight="false" outlineLevel="0" collapsed="false">
      <c r="A18246" s="3" t="s">
        <v>337</v>
      </c>
      <c r="C18246" s="3" t="str">
        <f aca="false">IF(SUM($G$18220:$K$18220)=0,"n/a",IF(C18244&gt;=C18243-0.001,"Repaid from cash",IF(SUMPRODUCT($G$18220:$K$18220,$G$18191:$K$18191)&gt;0,IF(C18244&gt;0,"Partly repaid; remainder refinanced","Refinanced"),IF(SUM($G$18229:$K$18229)&gt;0.001,IF(C18244&gt;0,"Partial repayment; PAYMENT DEFAULT","PAYMENT DEFAULT"),"Repaid from cash"))))</f>
        <v>Repaid from cash</v>
      </c>
    </row>
    <row r="18247" customFormat="false" ht="15" hidden="false" customHeight="false" outlineLevel="0" collapsed="false">
      <c r="A18247" s="3" t="s">
        <v>338</v>
      </c>
      <c r="C18247" s="20" t="n">
        <f aca="false">IF(C18237="REFINANCING FAILURE",1,0)+IF(C18241="REFINANCING FAILURE",1,0)+IF(C18245="REFINANCING FAILURE",1,0)</f>
        <v>2</v>
      </c>
    </row>
    <row r="18249" customFormat="false" ht="15" hidden="false" customHeight="false" outlineLevel="0" collapsed="false">
      <c r="A18249" s="23" t="s">
        <v>340</v>
      </c>
      <c r="B18249" s="24"/>
      <c r="C18249" s="24"/>
      <c r="D18249" s="24"/>
      <c r="E18249" s="24"/>
      <c r="F18249" s="24"/>
      <c r="G18249" s="24"/>
      <c r="H18249" s="24"/>
      <c r="I18249" s="24"/>
      <c r="J18249" s="24"/>
      <c r="K18249" s="24"/>
    </row>
    <row r="18250" customFormat="false" ht="15" hidden="false" customHeight="false" outlineLevel="0" collapsed="false">
      <c r="A18250" s="3" t="s">
        <v>305</v>
      </c>
      <c r="G18250" s="25" t="n">
        <f aca="false">F18262</f>
        <v>463.996</v>
      </c>
      <c r="H18250" s="25" t="n">
        <f aca="false">G18262</f>
        <v>518.82154744</v>
      </c>
      <c r="I18250" s="25" t="n">
        <f aca="false">H18262</f>
        <v>539.6742833632</v>
      </c>
      <c r="J18250" s="25" t="n">
        <f aca="false">I18262</f>
        <v>120.430022671888</v>
      </c>
      <c r="K18250" s="25" t="n">
        <f aca="false">J18262</f>
        <v>123.071896868977</v>
      </c>
    </row>
    <row r="18251" customFormat="false" ht="15" hidden="false" customHeight="false" outlineLevel="0" collapsed="false">
      <c r="A18251" s="3" t="s">
        <v>341</v>
      </c>
      <c r="G18251" s="25" t="n">
        <f aca="false">G18180</f>
        <v>54.8255474399999</v>
      </c>
      <c r="H18251" s="25" t="n">
        <f aca="false">H18180</f>
        <v>20.8527359232</v>
      </c>
      <c r="I18251" s="25" t="n">
        <f aca="false">I18180</f>
        <v>1.21173930868796</v>
      </c>
      <c r="J18251" s="25" t="n">
        <f aca="false">J18180</f>
        <v>2.6418741970896</v>
      </c>
      <c r="K18251" s="25" t="n">
        <f aca="false">K18180</f>
        <v>-4.39448401276491</v>
      </c>
    </row>
    <row r="18252" customFormat="false" ht="15" hidden="false" customHeight="false" outlineLevel="0" collapsed="false">
      <c r="A18252" s="3" t="s">
        <v>342</v>
      </c>
      <c r="G18252" s="25" t="n">
        <f aca="false">CHOOSE($C$18150,Assumptions!$G$74,Assumptions!$G$93,Assumptions!$G$112)</f>
        <v>0</v>
      </c>
      <c r="H18252" s="25" t="n">
        <f aca="false">CHOOSE($C$18150,Assumptions!$H$74,Assumptions!$H$93,Assumptions!$H$112)</f>
        <v>0</v>
      </c>
      <c r="I18252" s="25" t="n">
        <f aca="false">CHOOSE($C$18150,Assumptions!$I$74,Assumptions!$I$93,Assumptions!$I$112)</f>
        <v>0</v>
      </c>
      <c r="J18252" s="25" t="n">
        <f aca="false">CHOOSE($C$18150,Assumptions!$J$74,Assumptions!$J$93,Assumptions!$J$112)</f>
        <v>0</v>
      </c>
      <c r="K18252" s="25" t="n">
        <f aca="false">CHOOSE($C$18150,Assumptions!$K$74,Assumptions!$K$93,Assumptions!$K$112)</f>
        <v>0</v>
      </c>
    </row>
    <row r="18253" customFormat="false" ht="15" hidden="false" customHeight="false" outlineLevel="0" collapsed="false">
      <c r="A18253" s="3" t="s">
        <v>343</v>
      </c>
      <c r="G18253" s="25" t="n">
        <f aca="false">G18199+G18212+G18225</f>
        <v>0</v>
      </c>
      <c r="H18253" s="25" t="n">
        <f aca="false">H18199+H18212+H18225</f>
        <v>0</v>
      </c>
      <c r="I18253" s="25" t="n">
        <f aca="false">I18199+I18212+I18225</f>
        <v>0</v>
      </c>
      <c r="J18253" s="25" t="n">
        <f aca="false">J18199+J18212+J18225</f>
        <v>0</v>
      </c>
      <c r="K18253" s="25" t="n">
        <f aca="false">K18199+K18212+K18225</f>
        <v>0</v>
      </c>
    </row>
    <row r="18254" customFormat="false" ht="15" hidden="false" customHeight="false" outlineLevel="0" collapsed="false">
      <c r="A18254" s="2" t="s">
        <v>344</v>
      </c>
      <c r="G18254" s="16" t="n">
        <f aca="false">G18250+G18251+G18252-G18253</f>
        <v>518.82154744</v>
      </c>
      <c r="H18254" s="16" t="n">
        <f aca="false">H18250+H18251+H18252-H18253</f>
        <v>539.6742833632</v>
      </c>
      <c r="I18254" s="16" t="n">
        <f aca="false">I18250+I18251+I18252-I18253</f>
        <v>540.886022671888</v>
      </c>
      <c r="J18254" s="16" t="n">
        <f aca="false">J18250+J18251+J18252-J18253</f>
        <v>123.071896868977</v>
      </c>
      <c r="K18254" s="16" t="n">
        <f aca="false">K18250+K18251+K18252-K18253</f>
        <v>118.677412856212</v>
      </c>
    </row>
    <row r="18255" customFormat="false" ht="15" hidden="false" customHeight="false" outlineLevel="0" collapsed="false">
      <c r="A18255" s="3" t="s">
        <v>345</v>
      </c>
      <c r="G18255" s="25" t="n">
        <f aca="false">G18200+G18213+G18226</f>
        <v>0</v>
      </c>
      <c r="H18255" s="25" t="n">
        <f aca="false">H18200+H18213+H18226</f>
        <v>0</v>
      </c>
      <c r="I18255" s="25" t="n">
        <f aca="false">I18200+I18213+I18226</f>
        <v>0</v>
      </c>
      <c r="J18255" s="25" t="n">
        <f aca="false">J18200+J18213+J18226</f>
        <v>0</v>
      </c>
      <c r="K18255" s="25" t="n">
        <f aca="false">K18200+K18213+K18226</f>
        <v>0</v>
      </c>
    </row>
    <row r="18256" customFormat="false" ht="15" hidden="false" customHeight="false" outlineLevel="0" collapsed="false">
      <c r="A18256" s="2" t="s">
        <v>346</v>
      </c>
      <c r="G18256" s="16" t="n">
        <f aca="false">G18254+G18255</f>
        <v>518.82154744</v>
      </c>
      <c r="H18256" s="16" t="n">
        <f aca="false">H18254+H18255</f>
        <v>539.6742833632</v>
      </c>
      <c r="I18256" s="16" t="n">
        <f aca="false">I18254+I18255</f>
        <v>540.886022671888</v>
      </c>
      <c r="J18256" s="16" t="n">
        <f aca="false">J18254+J18255</f>
        <v>123.071896868977</v>
      </c>
      <c r="K18256" s="16" t="n">
        <f aca="false">K18254+K18255</f>
        <v>118.677412856212</v>
      </c>
    </row>
    <row r="18257" customFormat="false" ht="15" hidden="false" customHeight="false" outlineLevel="0" collapsed="false">
      <c r="A18257" s="3" t="s">
        <v>347</v>
      </c>
      <c r="G18257" s="25" t="n">
        <f aca="false">G18201+G18214+G18227</f>
        <v>0</v>
      </c>
      <c r="H18257" s="25" t="n">
        <f aca="false">H18201+H18214+H18227</f>
        <v>0</v>
      </c>
      <c r="I18257" s="25" t="n">
        <f aca="false">I18201+I18214+I18227</f>
        <v>420.456</v>
      </c>
      <c r="J18257" s="25" t="n">
        <f aca="false">J18201+J18214+J18227</f>
        <v>0</v>
      </c>
      <c r="K18257" s="25" t="n">
        <f aca="false">K18201+K18214+K18227</f>
        <v>0</v>
      </c>
    </row>
    <row r="18258" customFormat="false" ht="15" hidden="false" customHeight="false" outlineLevel="0" collapsed="false">
      <c r="A18258" s="2" t="s">
        <v>348</v>
      </c>
      <c r="G18258" s="16" t="n">
        <f aca="false">G18256-G18257</f>
        <v>518.82154744</v>
      </c>
      <c r="H18258" s="16" t="n">
        <f aca="false">H18256-H18257</f>
        <v>539.6742833632</v>
      </c>
      <c r="I18258" s="16" t="n">
        <f aca="false">I18256-I18257</f>
        <v>120.430022671888</v>
      </c>
      <c r="J18258" s="16" t="n">
        <f aca="false">J18256-J18257</f>
        <v>123.071896868977</v>
      </c>
      <c r="K18258" s="16" t="n">
        <f aca="false">K18256-K18257</f>
        <v>118.677412856212</v>
      </c>
    </row>
    <row r="18259" customFormat="false" ht="15" hidden="false" customHeight="false" outlineLevel="0" collapsed="false">
      <c r="A18259" s="3" t="s">
        <v>349</v>
      </c>
      <c r="G18259" s="25" t="n">
        <f aca="false">MAX(0,-G18258)</f>
        <v>0</v>
      </c>
      <c r="H18259" s="25" t="n">
        <f aca="false">MAX(0,-H18258)</f>
        <v>0</v>
      </c>
      <c r="I18259" s="25" t="n">
        <f aca="false">MAX(0,-I18258)</f>
        <v>0</v>
      </c>
      <c r="J18259" s="25" t="n">
        <f aca="false">MAX(0,-J18258)</f>
        <v>0</v>
      </c>
      <c r="K18259" s="25" t="n">
        <f aca="false">MAX(0,-K18258)</f>
        <v>0</v>
      </c>
    </row>
    <row r="18260" customFormat="false" ht="15" hidden="false" customHeight="false" outlineLevel="0" collapsed="false">
      <c r="A18260" s="3" t="s">
        <v>350</v>
      </c>
      <c r="G18260" s="25" t="n">
        <f aca="false">MAX(0,G18258-Assumptions!$C$12)*Assumptions!$C$13</f>
        <v>0</v>
      </c>
      <c r="H18260" s="25" t="n">
        <f aca="false">MAX(0,H18258-Assumptions!$C$12)*Assumptions!$C$13</f>
        <v>0</v>
      </c>
      <c r="I18260" s="25" t="n">
        <f aca="false">MAX(0,I18258-Assumptions!$C$12)*Assumptions!$C$13</f>
        <v>0</v>
      </c>
      <c r="J18260" s="25" t="n">
        <f aca="false">MAX(0,J18258-Assumptions!$C$12)*Assumptions!$C$13</f>
        <v>0</v>
      </c>
      <c r="K18260" s="25" t="n">
        <f aca="false">MAX(0,K18258-Assumptions!$C$12)*Assumptions!$C$13</f>
        <v>0</v>
      </c>
    </row>
    <row r="18261" customFormat="false" ht="15" hidden="false" customHeight="false" outlineLevel="0" collapsed="false">
      <c r="A18261" s="3" t="s">
        <v>351</v>
      </c>
      <c r="G18261" s="25" t="n">
        <f aca="false">G18202+G18215+G18228</f>
        <v>0</v>
      </c>
      <c r="H18261" s="25" t="n">
        <f aca="false">H18202+H18215+H18228</f>
        <v>0</v>
      </c>
      <c r="I18261" s="25" t="n">
        <f aca="false">I18202+I18215+I18228</f>
        <v>0</v>
      </c>
      <c r="J18261" s="25" t="n">
        <f aca="false">J18202+J18215+J18228</f>
        <v>0</v>
      </c>
      <c r="K18261" s="25" t="n">
        <f aca="false">K18202+K18215+K18228</f>
        <v>0</v>
      </c>
    </row>
    <row r="18262" customFormat="false" ht="15" hidden="false" customHeight="false" outlineLevel="0" collapsed="false">
      <c r="A18262" s="2" t="s">
        <v>352</v>
      </c>
      <c r="F18262" s="28" t="n">
        <f aca="false">Assumptions!$C$11</f>
        <v>463.996</v>
      </c>
      <c r="G18262" s="16" t="n">
        <f aca="false">G18258-G18261</f>
        <v>518.82154744</v>
      </c>
      <c r="H18262" s="16" t="n">
        <f aca="false">H18258-H18261</f>
        <v>539.6742833632</v>
      </c>
      <c r="I18262" s="16" t="n">
        <f aca="false">I18258-I18261</f>
        <v>120.430022671888</v>
      </c>
      <c r="J18262" s="16" t="n">
        <f aca="false">J18258-J18261</f>
        <v>123.071896868977</v>
      </c>
      <c r="K18262" s="16" t="n">
        <f aca="false">K18258-K18261</f>
        <v>118.677412856212</v>
      </c>
    </row>
    <row r="18263" customFormat="false" ht="15" hidden="false" customHeight="false" outlineLevel="0" collapsed="false">
      <c r="A18263" s="3" t="s">
        <v>353</v>
      </c>
      <c r="G18263" s="25" t="n">
        <f aca="false">G18203+G18216+G18229</f>
        <v>0</v>
      </c>
      <c r="H18263" s="25" t="n">
        <f aca="false">H18203+H18216+H18229</f>
        <v>0</v>
      </c>
      <c r="I18263" s="25" t="n">
        <f aca="false">I18203+I18216+I18229</f>
        <v>0</v>
      </c>
      <c r="J18263" s="25" t="n">
        <f aca="false">J18203+J18216+J18229</f>
        <v>0</v>
      </c>
      <c r="K18263" s="25" t="n">
        <f aca="false">K18203+K18216+K18229</f>
        <v>0</v>
      </c>
    </row>
    <row r="18264" customFormat="false" ht="15" hidden="false" customHeight="false" outlineLevel="0" collapsed="false">
      <c r="A18264" s="3" t="s">
        <v>354</v>
      </c>
      <c r="G18264" s="20" t="n">
        <f aca="false">IF(OR(G18259&gt;0.001,G18263&gt;0.001),1,0)</f>
        <v>0</v>
      </c>
      <c r="H18264" s="20" t="n">
        <f aca="false">IF(OR(H18259&gt;0.001,H18263&gt;0.001),1,0)</f>
        <v>0</v>
      </c>
      <c r="I18264" s="20" t="n">
        <f aca="false">IF(OR(I18259&gt;0.001,I18263&gt;0.001),1,0)</f>
        <v>0</v>
      </c>
      <c r="J18264" s="20" t="n">
        <f aca="false">IF(OR(J18259&gt;0.001,J18263&gt;0.001),1,0)</f>
        <v>0</v>
      </c>
      <c r="K18264" s="20" t="n">
        <f aca="false">IF(OR(K18259&gt;0.001,K18263&gt;0.001),1,0)</f>
        <v>0</v>
      </c>
    </row>
    <row r="18265" customFormat="false" ht="15" hidden="false" customHeight="false" outlineLevel="0" collapsed="false">
      <c r="A18265" s="3" t="s">
        <v>355</v>
      </c>
      <c r="G18265" s="20" t="n">
        <f aca="false">IF(G18264=1,1,0)</f>
        <v>0</v>
      </c>
      <c r="H18265" s="20" t="n">
        <f aca="false">IF(AND(H18264=1,SUM($G$18264:G18264)=0),1,0)</f>
        <v>0</v>
      </c>
      <c r="I18265" s="20" t="n">
        <f aca="false">IF(AND(I18264=1,SUM($G$18264:H18264)=0),1,0)</f>
        <v>0</v>
      </c>
      <c r="J18265" s="20" t="n">
        <f aca="false">IF(AND(J18264=1,SUM($G$18264:I18264)=0),1,0)</f>
        <v>0</v>
      </c>
      <c r="K18265" s="20" t="n">
        <f aca="false">IF(AND(K18264=1,SUM($G$18264:J18264)=0),1,0)</f>
        <v>0</v>
      </c>
    </row>
    <row r="18266" customFormat="false" ht="15" hidden="false" customHeight="false" outlineLevel="0" collapsed="false">
      <c r="A18266" s="3" t="s">
        <v>356</v>
      </c>
      <c r="G18266" s="25" t="n">
        <f aca="false">(G18232-F18232)-(G18255+G18172-G18253-G18257-G18261)</f>
        <v>0</v>
      </c>
      <c r="H18266" s="25" t="n">
        <f aca="false">(H18232-G18232)-(H18255+H18172-H18253-H18257-H18261)</f>
        <v>0</v>
      </c>
      <c r="I18266" s="25" t="n">
        <f aca="false">(I18232-H18232)-(I18255+I18172-I18253-I18257-I18261)</f>
        <v>0</v>
      </c>
      <c r="J18266" s="25" t="n">
        <f aca="false">(J18232-I18232)-(J18255+J18172-J18253-J18257-J18261)</f>
        <v>0</v>
      </c>
      <c r="K18266" s="25" t="n">
        <f aca="false">(K18232-J18232)-(K18255+K18172-K18253-K18257-K18261)</f>
        <v>0</v>
      </c>
    </row>
    <row r="18268" customFormat="false" ht="15" hidden="false" customHeight="false" outlineLevel="0" collapsed="false">
      <c r="A18268" s="23" t="s">
        <v>358</v>
      </c>
      <c r="B18268" s="24"/>
      <c r="C18268" s="24"/>
      <c r="D18268" s="24"/>
      <c r="E18268" s="24"/>
      <c r="F18268" s="24"/>
      <c r="G18268" s="24"/>
      <c r="H18268" s="24"/>
      <c r="I18268" s="24"/>
      <c r="J18268" s="24"/>
      <c r="K18268" s="24"/>
    </row>
    <row r="18269" customFormat="false" ht="15" hidden="false" customHeight="false" outlineLevel="0" collapsed="false">
      <c r="A18269" s="3" t="s">
        <v>359</v>
      </c>
      <c r="G18269" s="25" t="n">
        <f aca="false">G18232</f>
        <v>1735.554</v>
      </c>
      <c r="H18269" s="25" t="n">
        <f aca="false">H18232</f>
        <v>1735.554</v>
      </c>
      <c r="I18269" s="25" t="n">
        <f aca="false">I18232</f>
        <v>1315.098</v>
      </c>
      <c r="J18269" s="25" t="n">
        <f aca="false">J18232</f>
        <v>1315.098</v>
      </c>
      <c r="K18269" s="25" t="n">
        <f aca="false">K18232</f>
        <v>1315.098</v>
      </c>
    </row>
    <row r="18270" customFormat="false" ht="15" hidden="false" customHeight="false" outlineLevel="0" collapsed="false">
      <c r="A18270" s="3" t="s">
        <v>360</v>
      </c>
      <c r="G18270" s="25" t="n">
        <f aca="false">Assumptions!$O$56*G18204+Assumptions!$O$57*G18217+Assumptions!$O$58*G18230</f>
        <v>1315.098</v>
      </c>
      <c r="H18270" s="25" t="n">
        <f aca="false">Assumptions!$O$56*H18204+Assumptions!$O$57*H18217+Assumptions!$O$58*H18230</f>
        <v>1315.098</v>
      </c>
      <c r="I18270" s="25" t="n">
        <f aca="false">Assumptions!$O$56*I18204+Assumptions!$O$57*I18217+Assumptions!$O$58*I18230</f>
        <v>1315.098</v>
      </c>
      <c r="J18270" s="25" t="n">
        <f aca="false">Assumptions!$O$56*J18204+Assumptions!$O$57*J18217+Assumptions!$O$58*J18230</f>
        <v>1315.098</v>
      </c>
      <c r="K18270" s="25" t="n">
        <f aca="false">Assumptions!$O$56*K18204+Assumptions!$O$57*K18217+Assumptions!$O$58*K18230</f>
        <v>1315.098</v>
      </c>
    </row>
    <row r="18271" customFormat="false" ht="15" hidden="false" customHeight="false" outlineLevel="0" collapsed="false">
      <c r="A18271" s="3" t="s">
        <v>361</v>
      </c>
      <c r="G18271" s="25" t="n">
        <f aca="false">G18269-G18262</f>
        <v>1216.73245256</v>
      </c>
      <c r="H18271" s="25" t="n">
        <f aca="false">H18269-H18262</f>
        <v>1195.8797166368</v>
      </c>
      <c r="I18271" s="25" t="n">
        <f aca="false">I18269-I18262</f>
        <v>1194.66797732811</v>
      </c>
      <c r="J18271" s="25" t="n">
        <f aca="false">J18269-J18262</f>
        <v>1192.02610313102</v>
      </c>
      <c r="K18271" s="25" t="n">
        <f aca="false">K18269-K18262</f>
        <v>1196.42058714379</v>
      </c>
    </row>
    <row r="18272" customFormat="false" ht="15" hidden="false" customHeight="false" outlineLevel="0" collapsed="false">
      <c r="A18272" s="3" t="s">
        <v>362</v>
      </c>
      <c r="G18272" s="32" t="n">
        <f aca="false">IF(G18167&gt;0,G18269/G18167,0)</f>
        <v>6.99885842190068</v>
      </c>
      <c r="H18272" s="32" t="n">
        <f aca="false">IF(H18167&gt;0,H18269/H18167,0)</f>
        <v>8.20980460047</v>
      </c>
      <c r="I18272" s="32" t="n">
        <f aca="false">IF(I18167&gt;0,I18269/I18167,0)</f>
        <v>6.93311397368161</v>
      </c>
      <c r="J18272" s="32" t="n">
        <f aca="false">IF(J18167&gt;0,J18269/J18167,0)</f>
        <v>7.66291544459547</v>
      </c>
      <c r="K18272" s="32" t="n">
        <f aca="false">IF(K18167&gt;0,K18269/K18167,0)</f>
        <v>8.0662267837847</v>
      </c>
    </row>
    <row r="18273" customFormat="false" ht="15" hidden="false" customHeight="false" outlineLevel="0" collapsed="false">
      <c r="A18273" s="3" t="s">
        <v>363</v>
      </c>
      <c r="G18273" s="32" t="n">
        <f aca="false">IF(G18167&gt;0,G18271/G18167,0)</f>
        <v>4.9066397085884</v>
      </c>
      <c r="H18273" s="32" t="n">
        <f aca="false">IF(H18167&gt;0,H18271/H18167,0)</f>
        <v>5.65694804036842</v>
      </c>
      <c r="I18273" s="32" t="n">
        <f aca="false">IF(I18167&gt;0,I18271/I18167,0)</f>
        <v>6.29821446578391</v>
      </c>
      <c r="J18273" s="32" t="n">
        <f aca="false">IF(J18167&gt;0,J18271/J18167,0)</f>
        <v>6.94579053123316</v>
      </c>
      <c r="K18273" s="32" t="n">
        <f aca="false">IF(K18167&gt;0,K18271/K18167,0)</f>
        <v>7.33831226622703</v>
      </c>
    </row>
    <row r="18274" customFormat="false" ht="15" hidden="false" customHeight="false" outlineLevel="0" collapsed="false">
      <c r="A18274" s="3" t="s">
        <v>364</v>
      </c>
      <c r="G18274" s="32" t="n">
        <f aca="false">IF(G18171&gt;0,G18167/G18171,0)</f>
        <v>1.59005643370602</v>
      </c>
      <c r="H18274" s="32" t="n">
        <f aca="false">IF(H18171&gt;0,H18167/H18171,0)</f>
        <v>1.35552310973439</v>
      </c>
      <c r="I18274" s="32" t="n">
        <f aca="false">IF(I18171&gt;0,I18167/I18171,0)</f>
        <v>1.21627391755258</v>
      </c>
      <c r="J18274" s="32" t="n">
        <f aca="false">IF(J18171&gt;0,J18167/J18171,0)</f>
        <v>1.24284413584734</v>
      </c>
      <c r="K18274" s="32" t="n">
        <f aca="false">IF(K18171&gt;0,K18167/K18171,0)</f>
        <v>1.18070192905498</v>
      </c>
    </row>
    <row r="18275" customFormat="false" ht="15" hidden="false" customHeight="false" outlineLevel="0" collapsed="false">
      <c r="A18275" s="3" t="s">
        <v>365</v>
      </c>
      <c r="G18275" s="32" t="n">
        <f aca="false">IF(G18171&gt;0,G18170/G18171,0)</f>
        <v>0.943202831951104</v>
      </c>
      <c r="H18275" s="32" t="n">
        <f aca="false">IF(H18171&gt;0,H18170/H18171,0)</f>
        <v>0.75394926010231</v>
      </c>
      <c r="I18275" s="32" t="n">
        <f aca="false">IF(I18171&gt;0,I18170/I18171,0)</f>
        <v>0.65079449889843</v>
      </c>
      <c r="J18275" s="32" t="n">
        <f aca="false">IF(J18171&gt;0,J18170/J18171,0)</f>
        <v>0.636119854632452</v>
      </c>
      <c r="K18275" s="32" t="n">
        <f aca="false">IF(K18171&gt;0,K18170/K18171,0)</f>
        <v>0.604313861900829</v>
      </c>
    </row>
    <row r="18276" customFormat="false" ht="15" hidden="false" customHeight="false" outlineLevel="0" collapsed="false">
      <c r="A18276" s="3" t="s">
        <v>198</v>
      </c>
      <c r="G18276" s="21" t="n">
        <f aca="false">IF(G18269&gt;0,G18180/G18269,0)</f>
        <v>0.0315896523185104</v>
      </c>
      <c r="H18276" s="21" t="n">
        <f aca="false">IF(H18269&gt;0,H18180/H18269,0)</f>
        <v>0.0120150314673009</v>
      </c>
      <c r="I18276" s="21" t="n">
        <f aca="false">IF(I18269&gt;0,I18180/I18269,0)</f>
        <v>0.000921406091932281</v>
      </c>
      <c r="J18276" s="21" t="n">
        <f aca="false">IF(J18269&gt;0,J18180/J18269,0)</f>
        <v>0.00200888009645638</v>
      </c>
      <c r="K18276" s="21" t="n">
        <f aca="false">IF(K18269&gt;0,K18180/K18269,0)</f>
        <v>-0.00334156390836645</v>
      </c>
    </row>
    <row r="18277" customFormat="false" ht="15" hidden="false" customHeight="false" outlineLevel="0" collapsed="false">
      <c r="A18277" s="3" t="s">
        <v>366</v>
      </c>
      <c r="G18277" s="32" t="n">
        <f aca="false">IF(G18171+G18253&gt;0,(G18167-G18178-G18175)/(G18171+G18253),0)</f>
        <v>1.41780032005454</v>
      </c>
      <c r="H18277" s="32" t="n">
        <f aca="false">IF(H18171+H18253&gt;0,(H18167-H18178-H18175)/(H18171+H18253),0)</f>
        <v>1.1953249240385</v>
      </c>
      <c r="I18277" s="32" t="n">
        <f aca="false">IF(I18171+I18253&gt;0,(I18167-I18178-I18175)/(I18171+I18253),0)</f>
        <v>1.06568762299845</v>
      </c>
      <c r="J18277" s="32" t="n">
        <f aca="false">IF(J18171+J18253&gt;0,(J18167-J18178-J18175)/(J18171+J18253),0)</f>
        <v>1.08127439818719</v>
      </c>
      <c r="K18277" s="32" t="n">
        <f aca="false">IF(K18171+K18253&gt;0,(K18167-K18178-K18175)/(K18171+K18253),0)</f>
        <v>1.02721067827783</v>
      </c>
    </row>
    <row r="18278" customFormat="false" ht="15" hidden="false" customHeight="false" outlineLevel="0" collapsed="false">
      <c r="A18278" s="3" t="s">
        <v>367</v>
      </c>
      <c r="G18278" s="25" t="n">
        <f aca="false">MAX(0,G18262)+Assumptions!$P$56*MAX(0,Assumptions!$D$56-G18204)+Assumptions!$P$57*MAX(0,Assumptions!$D$57-G18217)+Assumptions!$P$58*MAX(0,Assumptions!$D$58-G18230)</f>
        <v>518.82154744</v>
      </c>
      <c r="H18278" s="25" t="n">
        <f aca="false">MAX(0,H18262)+Assumptions!$P$56*MAX(0,Assumptions!$D$56-H18204)+Assumptions!$P$57*MAX(0,Assumptions!$D$57-H18217)+Assumptions!$P$58*MAX(0,Assumptions!$D$58-H18230)</f>
        <v>539.6742833632</v>
      </c>
      <c r="I18278" s="25" t="n">
        <f aca="false">MAX(0,I18262)+Assumptions!$P$56*MAX(0,Assumptions!$D$56-I18204)+Assumptions!$P$57*MAX(0,Assumptions!$D$57-I18217)+Assumptions!$P$58*MAX(0,Assumptions!$D$58-I18230)</f>
        <v>120.430022671888</v>
      </c>
      <c r="J18278" s="25" t="n">
        <f aca="false">MAX(0,J18262)+Assumptions!$P$56*MAX(0,Assumptions!$D$56-J18204)+Assumptions!$P$57*MAX(0,Assumptions!$D$57-J18217)+Assumptions!$P$58*MAX(0,Assumptions!$D$58-J18230)</f>
        <v>123.071896868977</v>
      </c>
      <c r="K18278" s="25" t="n">
        <f aca="false">MAX(0,K18262)+Assumptions!$P$56*MAX(0,Assumptions!$D$56-K18204)+Assumptions!$P$57*MAX(0,Assumptions!$D$57-K18217)+Assumptions!$P$58*MAX(0,Assumptions!$D$58-K18230)</f>
        <v>118.677412856212</v>
      </c>
    </row>
    <row r="18279" customFormat="false" ht="15" hidden="false" customHeight="false" outlineLevel="0" collapsed="false">
      <c r="A18279" s="3" t="s">
        <v>368</v>
      </c>
      <c r="G18279" s="21" t="n">
        <f aca="false">IF(G18269&gt;0,G18269/(G18269+MAX(0,G18167*CHOOSE($C$18150,Assumptions!$C$82,Assumptions!$C$101,Assumptions!$C$120)-G18271)),0)</f>
        <v>0.986836236277321</v>
      </c>
      <c r="H18279" s="21" t="n">
        <f aca="false">IF(H18269&gt;0,H18269/(H18269+MAX(0,H18167*CHOOSE($C$18150,Assumptions!$C$82,Assumptions!$C$101,Assumptions!$C$120)-H18271)),0)</f>
        <v>1</v>
      </c>
      <c r="I18279" s="21" t="n">
        <f aca="false">IF(I18269&gt;0,I18269/(I18269+MAX(0,I18167*CHOOSE($C$18150,Assumptions!$C$82,Assumptions!$C$101,Assumptions!$C$120)-I18271)),0)</f>
        <v>1</v>
      </c>
      <c r="J18279" s="21" t="n">
        <f aca="false">IF(J18269&gt;0,J18269/(J18269+MAX(0,J18167*CHOOSE($C$18150,Assumptions!$C$82,Assumptions!$C$101,Assumptions!$C$120)-J18271)),0)</f>
        <v>1</v>
      </c>
      <c r="K18279" s="21" t="n">
        <f aca="false">IF(K18269&gt;0,K18269/(K18269+MAX(0,K18167*CHOOSE($C$18150,Assumptions!$C$82,Assumptions!$C$101,Assumptions!$C$120)-K18271)),0)</f>
        <v>1</v>
      </c>
    </row>
    <row r="18280" customFormat="false" ht="15" hidden="false" customHeight="false" outlineLevel="0" collapsed="false">
      <c r="A18280" s="3" t="s">
        <v>369</v>
      </c>
      <c r="G18280" s="21" t="n">
        <f aca="false">IF(G18269&gt;0,MAX(0,G18262)/G18269,0)</f>
        <v>0.298937139057615</v>
      </c>
      <c r="H18280" s="21" t="n">
        <f aca="false">IF(H18269&gt;0,MAX(0,H18262)/H18269,0)</f>
        <v>0.310952170524916</v>
      </c>
      <c r="I18280" s="21" t="n">
        <f aca="false">IF(I18269&gt;0,MAX(0,I18262)/I18269,0)</f>
        <v>0.0915749416939937</v>
      </c>
      <c r="J18280" s="21" t="n">
        <f aca="false">IF(J18269&gt;0,MAX(0,J18262)/J18269,0)</f>
        <v>0.0935838217904501</v>
      </c>
      <c r="K18280" s="21" t="n">
        <f aca="false">IF(K18269&gt;0,MAX(0,K18262)/K18269,0)</f>
        <v>0.0902422578820836</v>
      </c>
    </row>
    <row r="18281" customFormat="false" ht="15" hidden="false" customHeight="false" outlineLevel="0" collapsed="false">
      <c r="A18281" s="3" t="s">
        <v>370</v>
      </c>
      <c r="G18281" s="25" t="n">
        <f aca="false">Assumptions!$C$30*(1-CHOOSE($C$18150,Assumptions!$C$85,Assumptions!$C$104,Assumptions!$C$123))</f>
        <v>2086.72535</v>
      </c>
      <c r="H18281" s="25" t="n">
        <f aca="false">Assumptions!$C$30*(1-CHOOSE($C$18150,Assumptions!$C$85,Assumptions!$C$104,Assumptions!$C$123))</f>
        <v>2086.72535</v>
      </c>
      <c r="I18281" s="25" t="n">
        <f aca="false">Assumptions!$C$30*(1-CHOOSE($C$18150,Assumptions!$C$85,Assumptions!$C$104,Assumptions!$C$123))</f>
        <v>2086.72535</v>
      </c>
      <c r="J18281" s="25" t="n">
        <f aca="false">Assumptions!$C$30*(1-CHOOSE($C$18150,Assumptions!$C$85,Assumptions!$C$104,Assumptions!$C$123))</f>
        <v>2086.72535</v>
      </c>
      <c r="K18281" s="25" t="n">
        <f aca="false">Assumptions!$C$30*(1-CHOOSE($C$18150,Assumptions!$C$85,Assumptions!$C$104,Assumptions!$C$123))</f>
        <v>2086.72535</v>
      </c>
    </row>
    <row r="18282" customFormat="false" ht="15" hidden="false" customHeight="false" outlineLevel="0" collapsed="false">
      <c r="A18282" s="23" t="s">
        <v>371</v>
      </c>
      <c r="B18282" s="24"/>
      <c r="C18282" s="24"/>
      <c r="D18282" s="24"/>
      <c r="E18282" s="24"/>
      <c r="F18282" s="24"/>
      <c r="G18282" s="24"/>
      <c r="H18282" s="24"/>
      <c r="I18282" s="24"/>
      <c r="J18282" s="24"/>
      <c r="K18282" s="24"/>
    </row>
    <row r="18283" customFormat="false" ht="15" hidden="false" customHeight="false" outlineLevel="0" collapsed="false">
      <c r="A18283" s="23" t="s">
        <v>372</v>
      </c>
      <c r="B18283" s="24"/>
      <c r="C18283" s="24"/>
      <c r="D18283" s="24"/>
      <c r="E18283" s="24"/>
      <c r="F18283" s="24"/>
      <c r="G18283" s="24"/>
      <c r="H18283" s="24"/>
      <c r="I18283" s="24"/>
      <c r="J18283" s="24"/>
      <c r="K18283" s="24"/>
    </row>
    <row r="18284" customFormat="false" ht="15" hidden="false" customHeight="false" outlineLevel="0" collapsed="false">
      <c r="A18284" s="3" t="s">
        <v>373</v>
      </c>
      <c r="G18284" s="32" t="n">
        <f aca="false">IF(G18167&gt;0,G18271/G18167,99)</f>
        <v>4.9066397085884</v>
      </c>
      <c r="H18284" s="32" t="n">
        <f aca="false">IF(H18167&gt;0,H18271/H18167,99)</f>
        <v>5.65694804036842</v>
      </c>
      <c r="I18284" s="32" t="n">
        <f aca="false">IF(I18167&gt;0,I18271/I18167,99)</f>
        <v>6.29821446578391</v>
      </c>
      <c r="J18284" s="32" t="n">
        <f aca="false">IF(J18167&gt;0,J18271/J18167,99)</f>
        <v>6.94579053123316</v>
      </c>
      <c r="K18284" s="32" t="n">
        <f aca="false">IF(K18167&gt;0,K18271/K18167,99)</f>
        <v>7.33831226622703</v>
      </c>
    </row>
    <row r="18285" customFormat="false" ht="15" hidden="false" customHeight="false" outlineLevel="0" collapsed="false">
      <c r="A18285" s="3" t="s">
        <v>374</v>
      </c>
      <c r="G18285" s="33" t="n">
        <f aca="false">Assumptions!$G$65</f>
        <v>5.25</v>
      </c>
      <c r="H18285" s="33" t="n">
        <f aca="false">Assumptions!$H$65</f>
        <v>5.25</v>
      </c>
      <c r="I18285" s="33" t="n">
        <f aca="false">Assumptions!$I$65</f>
        <v>5</v>
      </c>
      <c r="J18285" s="33" t="n">
        <f aca="false">Assumptions!$J$65</f>
        <v>5</v>
      </c>
      <c r="K18285" s="33" t="n">
        <f aca="false">Assumptions!$K$65</f>
        <v>5</v>
      </c>
    </row>
    <row r="18286" customFormat="false" ht="15" hidden="false" customHeight="false" outlineLevel="0" collapsed="false">
      <c r="A18286" s="3" t="s">
        <v>375</v>
      </c>
      <c r="G18286" s="32" t="n">
        <f aca="false">G18285-G18284</f>
        <v>0.343360291411604</v>
      </c>
      <c r="H18286" s="32" t="n">
        <f aca="false">H18285-H18284</f>
        <v>-0.406948040368418</v>
      </c>
      <c r="I18286" s="32" t="n">
        <f aca="false">I18285-I18284</f>
        <v>-1.29821446578391</v>
      </c>
      <c r="J18286" s="32" t="n">
        <f aca="false">J18285-J18284</f>
        <v>-1.94579053123316</v>
      </c>
      <c r="K18286" s="32" t="n">
        <f aca="false">K18285-K18284</f>
        <v>-2.33831226622703</v>
      </c>
    </row>
    <row r="18287" customFormat="false" ht="15" hidden="false" customHeight="false" outlineLevel="0" collapsed="false">
      <c r="A18287" s="3" t="s">
        <v>376</v>
      </c>
      <c r="G18287" s="21" t="n">
        <f aca="false">IF(G18285=0,0,G18286/ABS(G18285))</f>
        <v>0.0654019602688769</v>
      </c>
      <c r="H18287" s="21" t="n">
        <f aca="false">IF(H18285=0,0,H18286/ABS(H18285))</f>
        <v>-0.0775139124511272</v>
      </c>
      <c r="I18287" s="21" t="n">
        <f aca="false">IF(I18285=0,0,I18286/ABS(I18285))</f>
        <v>-0.259642893156781</v>
      </c>
      <c r="J18287" s="21" t="n">
        <f aca="false">IF(J18285=0,0,J18286/ABS(J18285))</f>
        <v>-0.389158106246632</v>
      </c>
      <c r="K18287" s="21" t="n">
        <f aca="false">IF(K18285=0,0,K18286/ABS(K18285))</f>
        <v>-0.467662453245407</v>
      </c>
    </row>
    <row r="18288" customFormat="false" ht="15" hidden="false" customHeight="false" outlineLevel="0" collapsed="false">
      <c r="A18288" s="3" t="s">
        <v>377</v>
      </c>
      <c r="G18288" s="20" t="n">
        <f aca="false">IF(G18286&lt;0,1,0)</f>
        <v>0</v>
      </c>
      <c r="H18288" s="20" t="n">
        <f aca="false">IF(H18286&lt;0,1,0)</f>
        <v>1</v>
      </c>
      <c r="I18288" s="20" t="n">
        <f aca="false">IF(I18286&lt;0,1,0)</f>
        <v>1</v>
      </c>
      <c r="J18288" s="20" t="n">
        <f aca="false">IF(J18286&lt;0,1,0)</f>
        <v>1</v>
      </c>
      <c r="K18288" s="20" t="n">
        <f aca="false">IF(K18286&lt;0,1,0)</f>
        <v>1</v>
      </c>
    </row>
    <row r="18289" customFormat="false" ht="15" hidden="false" customHeight="false" outlineLevel="0" collapsed="false">
      <c r="A18289" s="3" t="s">
        <v>378</v>
      </c>
      <c r="C18289" s="20" t="n">
        <f aca="false">IFERROR(INDEX($G$18157:$K$18157,MATCH(1,$G$18288:$K$18288,0)),0)</f>
        <v>2028</v>
      </c>
    </row>
    <row r="18290" customFormat="false" ht="15" hidden="false" customHeight="false" outlineLevel="0" collapsed="false">
      <c r="A18290" s="3" t="s">
        <v>379</v>
      </c>
      <c r="C18290" s="21" t="n">
        <f aca="false">MIN($G$18287:$K$18287)</f>
        <v>-0.467662453245407</v>
      </c>
    </row>
    <row r="18291" customFormat="false" ht="15" hidden="false" customHeight="false" outlineLevel="0" collapsed="false">
      <c r="A18291" s="23" t="s">
        <v>380</v>
      </c>
      <c r="B18291" s="24"/>
      <c r="C18291" s="24"/>
      <c r="D18291" s="24"/>
      <c r="E18291" s="24"/>
      <c r="F18291" s="24"/>
      <c r="G18291" s="24"/>
      <c r="H18291" s="24"/>
      <c r="I18291" s="24"/>
      <c r="J18291" s="24"/>
      <c r="K18291" s="24"/>
    </row>
    <row r="18292" customFormat="false" ht="15" hidden="false" customHeight="false" outlineLevel="0" collapsed="false">
      <c r="A18292" s="3" t="s">
        <v>373</v>
      </c>
      <c r="G18292" s="32" t="n">
        <f aca="false">IF(G18171&gt;0,G18167/G18171,99)</f>
        <v>1.59005643370602</v>
      </c>
      <c r="H18292" s="32" t="n">
        <f aca="false">IF(H18171&gt;0,H18167/H18171,99)</f>
        <v>1.35552310973439</v>
      </c>
      <c r="I18292" s="32" t="n">
        <f aca="false">IF(I18171&gt;0,I18167/I18171,99)</f>
        <v>1.21627391755258</v>
      </c>
      <c r="J18292" s="32" t="n">
        <f aca="false">IF(J18171&gt;0,J18167/J18171,99)</f>
        <v>1.24284413584734</v>
      </c>
      <c r="K18292" s="32" t="n">
        <f aca="false">IF(K18171&gt;0,K18167/K18171,99)</f>
        <v>1.18070192905498</v>
      </c>
    </row>
    <row r="18293" customFormat="false" ht="15" hidden="false" customHeight="false" outlineLevel="0" collapsed="false">
      <c r="A18293" s="3" t="s">
        <v>374</v>
      </c>
      <c r="G18293" s="33" t="n">
        <f aca="false">Assumptions!$G$66</f>
        <v>1.4</v>
      </c>
      <c r="H18293" s="33" t="n">
        <f aca="false">Assumptions!$H$66</f>
        <v>1.4</v>
      </c>
      <c r="I18293" s="33" t="n">
        <f aca="false">Assumptions!$I$66</f>
        <v>1.4</v>
      </c>
      <c r="J18293" s="33" t="n">
        <f aca="false">Assumptions!$J$66</f>
        <v>1.5</v>
      </c>
      <c r="K18293" s="33" t="n">
        <f aca="false">Assumptions!$K$66</f>
        <v>1.5</v>
      </c>
    </row>
    <row r="18294" customFormat="false" ht="15" hidden="false" customHeight="false" outlineLevel="0" collapsed="false">
      <c r="A18294" s="3" t="s">
        <v>375</v>
      </c>
      <c r="G18294" s="32" t="n">
        <f aca="false">G18292-G18293</f>
        <v>0.190056433706025</v>
      </c>
      <c r="H18294" s="32" t="n">
        <f aca="false">H18292-H18293</f>
        <v>-0.0444768902656139</v>
      </c>
      <c r="I18294" s="32" t="n">
        <f aca="false">I18292-I18293</f>
        <v>-0.183726082447419</v>
      </c>
      <c r="J18294" s="32" t="n">
        <f aca="false">J18292-J18293</f>
        <v>-0.257155864152655</v>
      </c>
      <c r="K18294" s="32" t="n">
        <f aca="false">K18292-K18293</f>
        <v>-0.319298070945023</v>
      </c>
    </row>
    <row r="18295" customFormat="false" ht="15" hidden="false" customHeight="false" outlineLevel="0" collapsed="false">
      <c r="A18295" s="3" t="s">
        <v>376</v>
      </c>
      <c r="G18295" s="21" t="n">
        <f aca="false">IF(G18293=0,0,G18294/ABS(G18293))</f>
        <v>0.135754595504304</v>
      </c>
      <c r="H18295" s="21" t="n">
        <f aca="false">IF(H18293=0,0,H18294/ABS(H18293))</f>
        <v>-0.0317692073325813</v>
      </c>
      <c r="I18295" s="21" t="n">
        <f aca="false">IF(I18293=0,0,I18294/ABS(I18293))</f>
        <v>-0.131232916033871</v>
      </c>
      <c r="J18295" s="21" t="n">
        <f aca="false">IF(J18293=0,0,J18294/ABS(J18293))</f>
        <v>-0.171437242768437</v>
      </c>
      <c r="K18295" s="21" t="n">
        <f aca="false">IF(K18293=0,0,K18294/ABS(K18293))</f>
        <v>-0.212865380630015</v>
      </c>
    </row>
    <row r="18296" customFormat="false" ht="15" hidden="false" customHeight="false" outlineLevel="0" collapsed="false">
      <c r="A18296" s="3" t="s">
        <v>377</v>
      </c>
      <c r="G18296" s="20" t="n">
        <f aca="false">IF(G18294&lt;0,1,0)</f>
        <v>0</v>
      </c>
      <c r="H18296" s="20" t="n">
        <f aca="false">IF(H18294&lt;0,1,0)</f>
        <v>1</v>
      </c>
      <c r="I18296" s="20" t="n">
        <f aca="false">IF(I18294&lt;0,1,0)</f>
        <v>1</v>
      </c>
      <c r="J18296" s="20" t="n">
        <f aca="false">IF(J18294&lt;0,1,0)</f>
        <v>1</v>
      </c>
      <c r="K18296" s="20" t="n">
        <f aca="false">IF(K18294&lt;0,1,0)</f>
        <v>1</v>
      </c>
    </row>
    <row r="18297" customFormat="false" ht="15" hidden="false" customHeight="false" outlineLevel="0" collapsed="false">
      <c r="A18297" s="3" t="s">
        <v>378</v>
      </c>
      <c r="C18297" s="20" t="n">
        <f aca="false">IFERROR(INDEX($G$18157:$K$18157,MATCH(1,$G$18296:$K$18296,0)),0)</f>
        <v>2028</v>
      </c>
    </row>
    <row r="18298" customFormat="false" ht="15" hidden="false" customHeight="false" outlineLevel="0" collapsed="false">
      <c r="A18298" s="3" t="s">
        <v>379</v>
      </c>
      <c r="C18298" s="21" t="n">
        <f aca="false">MIN($G$18295:$K$18295)</f>
        <v>-0.212865380630015</v>
      </c>
    </row>
    <row r="18299" customFormat="false" ht="15" hidden="false" customHeight="false" outlineLevel="0" collapsed="false">
      <c r="A18299" s="23" t="s">
        <v>381</v>
      </c>
      <c r="B18299" s="24"/>
      <c r="C18299" s="24"/>
      <c r="D18299" s="24"/>
      <c r="E18299" s="24"/>
      <c r="F18299" s="24"/>
      <c r="G18299" s="24"/>
      <c r="H18299" s="24"/>
      <c r="I18299" s="24"/>
      <c r="J18299" s="24"/>
      <c r="K18299" s="24"/>
    </row>
    <row r="18300" customFormat="false" ht="15" hidden="false" customHeight="false" outlineLevel="0" collapsed="false">
      <c r="A18300" s="3" t="s">
        <v>373</v>
      </c>
      <c r="G18300" s="25" t="n">
        <f aca="false">G18278</f>
        <v>518.82154744</v>
      </c>
      <c r="H18300" s="25" t="n">
        <f aca="false">H18278</f>
        <v>539.6742833632</v>
      </c>
      <c r="I18300" s="25" t="n">
        <f aca="false">I18278</f>
        <v>120.430022671888</v>
      </c>
      <c r="J18300" s="25" t="n">
        <f aca="false">J18278</f>
        <v>123.071896868977</v>
      </c>
      <c r="K18300" s="25" t="n">
        <f aca="false">K18278</f>
        <v>118.677412856212</v>
      </c>
    </row>
    <row r="18301" customFormat="false" ht="15" hidden="false" customHeight="false" outlineLevel="0" collapsed="false">
      <c r="A18301" s="3" t="s">
        <v>374</v>
      </c>
      <c r="G18301" s="29" t="n">
        <f aca="false">Assumptions!$G$67</f>
        <v>200</v>
      </c>
      <c r="H18301" s="29" t="n">
        <f aca="false">Assumptions!$H$67</f>
        <v>200</v>
      </c>
      <c r="I18301" s="29" t="n">
        <f aca="false">Assumptions!$I$67</f>
        <v>200</v>
      </c>
      <c r="J18301" s="29" t="n">
        <f aca="false">Assumptions!$J$67</f>
        <v>200</v>
      </c>
      <c r="K18301" s="29" t="n">
        <f aca="false">Assumptions!$K$67</f>
        <v>200</v>
      </c>
    </row>
    <row r="18302" customFormat="false" ht="15" hidden="false" customHeight="false" outlineLevel="0" collapsed="false">
      <c r="A18302" s="3" t="s">
        <v>375</v>
      </c>
      <c r="G18302" s="25" t="n">
        <f aca="false">G18300-G18301</f>
        <v>318.82154744</v>
      </c>
      <c r="H18302" s="25" t="n">
        <f aca="false">H18300-H18301</f>
        <v>339.6742833632</v>
      </c>
      <c r="I18302" s="25" t="n">
        <f aca="false">I18300-I18301</f>
        <v>-79.5699773281123</v>
      </c>
      <c r="J18302" s="25" t="n">
        <f aca="false">J18300-J18301</f>
        <v>-76.9281031310227</v>
      </c>
      <c r="K18302" s="25" t="n">
        <f aca="false">K18300-K18301</f>
        <v>-81.3225871437876</v>
      </c>
    </row>
    <row r="18303" customFormat="false" ht="15" hidden="false" customHeight="false" outlineLevel="0" collapsed="false">
      <c r="A18303" s="3" t="s">
        <v>376</v>
      </c>
      <c r="G18303" s="21" t="n">
        <f aca="false">IF(G18301=0,0,G18302/ABS(G18301))</f>
        <v>1.5941077372</v>
      </c>
      <c r="H18303" s="21" t="n">
        <f aca="false">IF(H18301=0,0,H18302/ABS(H18301))</f>
        <v>1.698371416816</v>
      </c>
      <c r="I18303" s="21" t="n">
        <f aca="false">IF(I18301=0,0,I18302/ABS(I18301))</f>
        <v>-0.397849886640561</v>
      </c>
      <c r="J18303" s="21" t="n">
        <f aca="false">IF(J18301=0,0,J18302/ABS(J18301))</f>
        <v>-0.384640515655113</v>
      </c>
      <c r="K18303" s="21" t="n">
        <f aca="false">IF(K18301=0,0,K18302/ABS(K18301))</f>
        <v>-0.406612935718938</v>
      </c>
    </row>
    <row r="18304" customFormat="false" ht="15" hidden="false" customHeight="false" outlineLevel="0" collapsed="false">
      <c r="A18304" s="3" t="s">
        <v>377</v>
      </c>
      <c r="G18304" s="20" t="n">
        <f aca="false">IF(G18302&lt;0,1,0)</f>
        <v>0</v>
      </c>
      <c r="H18304" s="20" t="n">
        <f aca="false">IF(H18302&lt;0,1,0)</f>
        <v>0</v>
      </c>
      <c r="I18304" s="20" t="n">
        <f aca="false">IF(I18302&lt;0,1,0)</f>
        <v>1</v>
      </c>
      <c r="J18304" s="20" t="n">
        <f aca="false">IF(J18302&lt;0,1,0)</f>
        <v>1</v>
      </c>
      <c r="K18304" s="20" t="n">
        <f aca="false">IF(K18302&lt;0,1,0)</f>
        <v>1</v>
      </c>
    </row>
    <row r="18305" customFormat="false" ht="15" hidden="false" customHeight="false" outlineLevel="0" collapsed="false">
      <c r="A18305" s="3" t="s">
        <v>378</v>
      </c>
      <c r="C18305" s="20" t="n">
        <f aca="false">IFERROR(INDEX($G$18157:$K$18157,MATCH(1,$G$18304:$K$18304,0)),0)</f>
        <v>2029</v>
      </c>
    </row>
    <row r="18306" customFormat="false" ht="15" hidden="false" customHeight="false" outlineLevel="0" collapsed="false">
      <c r="A18306" s="3" t="s">
        <v>379</v>
      </c>
      <c r="C18306" s="21" t="n">
        <f aca="false">MIN($G$18303:$K$18303)</f>
        <v>-0.406612935718938</v>
      </c>
    </row>
    <row r="18307" customFormat="false" ht="15" hidden="false" customHeight="false" outlineLevel="0" collapsed="false">
      <c r="A18307" s="3" t="s">
        <v>382</v>
      </c>
      <c r="G18307" s="20" t="n">
        <f aca="false">G18288+G18296+G18304</f>
        <v>0</v>
      </c>
      <c r="H18307" s="20" t="n">
        <f aca="false">H18288+H18296+H18304</f>
        <v>2</v>
      </c>
      <c r="I18307" s="20" t="n">
        <f aca="false">I18288+I18296+I18304</f>
        <v>3</v>
      </c>
      <c r="J18307" s="20" t="n">
        <f aca="false">J18288+J18296+J18304</f>
        <v>3</v>
      </c>
      <c r="K18307" s="20" t="n">
        <f aca="false">K18288+K18296+K18304</f>
        <v>3</v>
      </c>
    </row>
    <row r="18308" customFormat="false" ht="15" hidden="false" customHeight="false" outlineLevel="0" collapsed="false">
      <c r="A18308" s="3" t="s">
        <v>383</v>
      </c>
      <c r="C18308" s="20" t="n">
        <f aca="false">SUM($G$18307:$K$18307)</f>
        <v>11</v>
      </c>
    </row>
    <row r="18309" customFormat="false" ht="15" hidden="false" customHeight="false" outlineLevel="0" collapsed="false">
      <c r="A18309" s="3" t="s">
        <v>384</v>
      </c>
      <c r="C18309" s="21" t="n">
        <f aca="false">MIN(C18290,C18298,C18306)</f>
        <v>-0.467662453245407</v>
      </c>
    </row>
    <row r="18311" customFormat="false" ht="15" hidden="false" customHeight="false" outlineLevel="0" collapsed="false">
      <c r="A18311" s="23" t="s">
        <v>486</v>
      </c>
      <c r="B18311" s="24"/>
      <c r="C18311" s="24"/>
      <c r="D18311" s="24"/>
      <c r="E18311" s="24"/>
      <c r="F18311" s="24"/>
      <c r="G18311" s="24"/>
      <c r="H18311" s="24"/>
      <c r="I18311" s="24"/>
      <c r="J18311" s="24"/>
      <c r="K18311" s="24"/>
    </row>
    <row r="18312" customFormat="false" ht="15" hidden="false" customHeight="false" outlineLevel="0" collapsed="false">
      <c r="A18312" s="3" t="s">
        <v>487</v>
      </c>
      <c r="G18312" s="20" t="n">
        <f aca="false">IF($C$18313=1,G18265,IF(G18167=MIN($G$18167:$K$18167),1,0))</f>
        <v>0</v>
      </c>
      <c r="H18312" s="20" t="n">
        <f aca="false">IF($C$18313=1,H18265,IF(AND(H18167=MIN($G$18167:$K$18167),SUM($G$18312:G18312)=0),1,0))</f>
        <v>0</v>
      </c>
      <c r="I18312" s="20" t="n">
        <f aca="false">IF($C$18313=1,I18265,IF(AND(I18167=MIN($G$18167:$K$18167),SUM($G$18312:H18312)=0),1,0))</f>
        <v>0</v>
      </c>
      <c r="J18312" s="20" t="n">
        <f aca="false">IF($C$18313=1,J18265,IF(AND(J18167=MIN($G$18167:$K$18167),SUM($G$18312:I18312)=0),1,0))</f>
        <v>0</v>
      </c>
      <c r="K18312" s="20" t="n">
        <f aca="false">IF($C$18313=1,K18265,IF(AND(K18167=MIN($G$18167:$K$18167),SUM($G$18312:J18312)=0),1,0))</f>
        <v>1</v>
      </c>
    </row>
    <row r="18313" customFormat="false" ht="15" hidden="false" customHeight="false" outlineLevel="0" collapsed="false">
      <c r="A18313" s="3" t="s">
        <v>488</v>
      </c>
      <c r="C18313" s="20" t="n">
        <f aca="false">IF(SUM($G$18265:$K$18265)&gt;0,1,0)</f>
        <v>0</v>
      </c>
    </row>
    <row r="18314" customFormat="false" ht="15" hidden="false" customHeight="false" outlineLevel="0" collapsed="false">
      <c r="A18314" s="3" t="s">
        <v>489</v>
      </c>
      <c r="C18314" s="20" t="n">
        <f aca="false">SUMPRODUCT($G$18312:$K$18312,$G$18157:$K$18157)</f>
        <v>2031</v>
      </c>
    </row>
    <row r="18315" customFormat="false" ht="15" hidden="false" customHeight="false" outlineLevel="0" collapsed="false">
      <c r="A18315" s="3" t="s">
        <v>490</v>
      </c>
      <c r="C18315" s="25" t="n">
        <f aca="false">SUMPRODUCT($G$18312:$K$18312,$G$18167:$K$18167)</f>
        <v>163.037568277116</v>
      </c>
    </row>
    <row r="18316" customFormat="false" ht="15" hidden="false" customHeight="false" outlineLevel="0" collapsed="false">
      <c r="A18316" s="3" t="s">
        <v>491</v>
      </c>
      <c r="C18316" s="25" t="n">
        <f aca="false">MAX(0,SUMPRODUCT($G$18312:$K$18312,$G$18262:$K$18262))</f>
        <v>118.677412856212</v>
      </c>
    </row>
    <row r="18317" customFormat="false" ht="15" hidden="false" customHeight="false" outlineLevel="0" collapsed="false">
      <c r="A18317" s="3" t="s">
        <v>492</v>
      </c>
      <c r="C18317" s="25" t="n">
        <f aca="false">(CHOOSE($C$18150,Assumptions!$C$84,Assumptions!$C$103,Assumptions!$C$122)+$C$18154)*C18315</f>
        <v>896.706625524138</v>
      </c>
    </row>
    <row r="18318" customFormat="false" ht="15" hidden="false" customHeight="false" outlineLevel="0" collapsed="false">
      <c r="A18318" s="3" t="s">
        <v>493</v>
      </c>
      <c r="C18318" s="25" t="n">
        <f aca="false">Assumptions!$C$30*(1-CHOOSE($C$18150,Assumptions!$C$85,Assumptions!$C$104,Assumptions!$C$123))*CHOOSE($C$18150,Assumptions!$C$86,Assumptions!$C$105,Assumptions!$C$124)</f>
        <v>626.017605</v>
      </c>
    </row>
    <row r="18319" customFormat="false" ht="15" hidden="false" customHeight="false" outlineLevel="0" collapsed="false">
      <c r="A18319" s="3" t="s">
        <v>494</v>
      </c>
      <c r="C18319" s="25" t="n">
        <f aca="false">MAX(C18317,C18318)+C18316</f>
        <v>1015.38403838035</v>
      </c>
    </row>
    <row r="18320" customFormat="false" ht="15" hidden="false" customHeight="false" outlineLevel="0" collapsed="false">
      <c r="A18320" s="2" t="s">
        <v>495</v>
      </c>
      <c r="C18320" s="16" t="n">
        <f aca="false">IF(ISNUMBER(Assumptions!$C$14),Assumptions!$C$14,C18319)</f>
        <v>1015.38403838035</v>
      </c>
    </row>
    <row r="18321" customFormat="false" ht="15" hidden="false" customHeight="false" outlineLevel="0" collapsed="false">
      <c r="A18321" s="3" t="s">
        <v>496</v>
      </c>
      <c r="C18321" s="25" t="n">
        <f aca="false">C18320*Assumptions!$C$15</f>
        <v>40.615361535214</v>
      </c>
    </row>
    <row r="18322" customFormat="false" ht="15" hidden="false" customHeight="false" outlineLevel="0" collapsed="false">
      <c r="A18322" s="2" t="s">
        <v>497</v>
      </c>
      <c r="C18322" s="16" t="n">
        <f aca="false">C18320-C18321</f>
        <v>974.768676845136</v>
      </c>
    </row>
    <row r="18323" customFormat="false" ht="15" hidden="false" customHeight="false" outlineLevel="0" collapsed="false">
      <c r="A18323" s="23" t="s">
        <v>498</v>
      </c>
      <c r="B18323" s="24"/>
      <c r="C18323" s="24"/>
      <c r="D18323" s="24"/>
      <c r="E18323" s="24"/>
      <c r="F18323" s="24"/>
      <c r="G18323" s="24"/>
      <c r="H18323" s="24"/>
      <c r="I18323" s="24"/>
      <c r="J18323" s="24"/>
      <c r="K18323" s="24"/>
    </row>
    <row r="18324" customFormat="false" ht="15" hidden="false" customHeight="false" outlineLevel="0" collapsed="false">
      <c r="A18324" s="3" t="s">
        <v>499</v>
      </c>
      <c r="C18324" s="25" t="n">
        <f aca="false">SUMPRODUCT($G$18312:$K$18312,$G$18204:$K$18204)*(1+SUMPRODUCT($G$18312:$K$18312,$G$18196:$K$18196)*Assumptions!$C$16/12)</f>
        <v>1349.6193225</v>
      </c>
    </row>
    <row r="18325" customFormat="false" ht="15" hidden="false" customHeight="false" outlineLevel="0" collapsed="false">
      <c r="A18325" s="3" t="s">
        <v>500</v>
      </c>
      <c r="C18325" s="25" t="n">
        <f aca="false">SUMPRODUCT($G$18312:$K$18312,$G$18217:$K$18217)*(1+SUMPRODUCT($G$18312:$K$18312,$G$18209:$K$18209)*Assumptions!$C$16/12)</f>
        <v>0</v>
      </c>
    </row>
    <row r="18326" customFormat="false" ht="15" hidden="false" customHeight="false" outlineLevel="0" collapsed="false">
      <c r="A18326" s="3" t="s">
        <v>501</v>
      </c>
      <c r="C18326" s="25" t="n">
        <f aca="false">SUMPRODUCT($G$18312:$K$18312,$G$18230:$K$18230)*(1+SUMPRODUCT($G$18312:$K$18312,$G$18222:$K$18222)*Assumptions!$C$16/12)</f>
        <v>0</v>
      </c>
    </row>
    <row r="18327" customFormat="false" ht="15" hidden="false" customHeight="false" outlineLevel="0" collapsed="false">
      <c r="A18327" s="23" t="s">
        <v>502</v>
      </c>
      <c r="B18327" s="24"/>
      <c r="C18327" s="24"/>
      <c r="D18327" s="24"/>
      <c r="E18327" s="24"/>
      <c r="F18327" s="24"/>
      <c r="G18327" s="24"/>
      <c r="H18327" s="24"/>
      <c r="I18327" s="24"/>
      <c r="J18327" s="24"/>
      <c r="K18327" s="24"/>
    </row>
    <row r="18328" customFormat="false" ht="15" hidden="false" customHeight="false" outlineLevel="0" collapsed="false">
      <c r="A18328" s="3" t="s">
        <v>499</v>
      </c>
      <c r="C18328" s="27" t="n">
        <f aca="false">Assumptions!$M$56</f>
        <v>1</v>
      </c>
    </row>
    <row r="18329" customFormat="false" ht="15" hidden="false" customHeight="false" outlineLevel="0" collapsed="false">
      <c r="A18329" s="3" t="s">
        <v>500</v>
      </c>
      <c r="C18329" s="27" t="n">
        <f aca="false">Assumptions!$M$57</f>
        <v>2</v>
      </c>
    </row>
    <row r="18330" customFormat="false" ht="15" hidden="false" customHeight="false" outlineLevel="0" collapsed="false">
      <c r="A18330" s="3" t="s">
        <v>501</v>
      </c>
      <c r="C18330" s="27" t="n">
        <f aca="false">Assumptions!$M$58</f>
        <v>2</v>
      </c>
    </row>
    <row r="18331" customFormat="false" ht="15" hidden="false" customHeight="false" outlineLevel="0" collapsed="false">
      <c r="A18331" s="23" t="s">
        <v>503</v>
      </c>
      <c r="B18331" s="24"/>
      <c r="C18331" s="24"/>
      <c r="D18331" s="24"/>
      <c r="E18331" s="24"/>
      <c r="F18331" s="24"/>
      <c r="G18331" s="24"/>
      <c r="H18331" s="24"/>
      <c r="I18331" s="24"/>
      <c r="J18331" s="24"/>
      <c r="K18331" s="24"/>
    </row>
    <row r="18332" customFormat="false" ht="15" hidden="false" customHeight="false" outlineLevel="0" collapsed="false">
      <c r="A18332" s="3" t="s">
        <v>499</v>
      </c>
      <c r="C18332" s="35" t="n">
        <f aca="false">Assumptions!$Q$56</f>
        <v>0</v>
      </c>
    </row>
    <row r="18333" customFormat="false" ht="15" hidden="false" customHeight="false" outlineLevel="0" collapsed="false">
      <c r="A18333" s="3" t="s">
        <v>500</v>
      </c>
      <c r="C18333" s="35" t="n">
        <f aca="false">Assumptions!$Q$57</f>
        <v>0</v>
      </c>
    </row>
    <row r="18334" customFormat="false" ht="15" hidden="false" customHeight="false" outlineLevel="0" collapsed="false">
      <c r="A18334" s="3" t="s">
        <v>501</v>
      </c>
      <c r="C18334" s="35" t="n">
        <f aca="false">Assumptions!$Q$58</f>
        <v>0</v>
      </c>
    </row>
    <row r="18335" customFormat="false" ht="15" hidden="false" customHeight="false" outlineLevel="0" collapsed="false">
      <c r="A18335" s="23" t="s">
        <v>504</v>
      </c>
      <c r="B18335" s="24"/>
      <c r="C18335" s="24"/>
      <c r="D18335" s="24"/>
      <c r="E18335" s="24"/>
      <c r="F18335" s="24"/>
      <c r="G18335" s="24"/>
      <c r="H18335" s="24"/>
      <c r="I18335" s="24"/>
      <c r="J18335" s="24"/>
      <c r="K18335" s="24"/>
    </row>
    <row r="18336" customFormat="false" ht="15" hidden="false" customHeight="false" outlineLevel="0" collapsed="false">
      <c r="A18336" s="3" t="s">
        <v>499</v>
      </c>
      <c r="C18336" s="25" t="n">
        <f aca="false">IF(C18332&gt;0,MIN(C18324,C18332*$C$18322),0)</f>
        <v>0</v>
      </c>
    </row>
    <row r="18337" customFormat="false" ht="15" hidden="false" customHeight="false" outlineLevel="0" collapsed="false">
      <c r="A18337" s="3" t="s">
        <v>500</v>
      </c>
      <c r="C18337" s="25" t="n">
        <f aca="false">IF(C18333&gt;0,MIN(C18325,C18333*$C$18322),0)</f>
        <v>0</v>
      </c>
    </row>
    <row r="18338" customFormat="false" ht="15" hidden="false" customHeight="false" outlineLevel="0" collapsed="false">
      <c r="A18338" s="3" t="s">
        <v>501</v>
      </c>
      <c r="C18338" s="25" t="n">
        <f aca="false">IF(C18334&gt;0,MIN(C18326,C18334*$C$18322),0)</f>
        <v>0</v>
      </c>
    </row>
    <row r="18339" customFormat="false" ht="15" hidden="false" customHeight="false" outlineLevel="0" collapsed="false">
      <c r="A18339" s="23" t="s">
        <v>505</v>
      </c>
      <c r="B18339" s="24"/>
      <c r="C18339" s="24"/>
      <c r="D18339" s="24"/>
      <c r="E18339" s="24"/>
      <c r="F18339" s="24"/>
      <c r="G18339" s="24"/>
      <c r="H18339" s="24"/>
      <c r="I18339" s="24"/>
      <c r="J18339" s="24"/>
      <c r="K18339" s="24"/>
    </row>
    <row r="18340" customFormat="false" ht="15" hidden="false" customHeight="false" outlineLevel="0" collapsed="false">
      <c r="A18340" s="3" t="s">
        <v>499</v>
      </c>
      <c r="C18340" s="25" t="n">
        <f aca="false">IF(C18332&gt;0,C18324-C18336,0)</f>
        <v>0</v>
      </c>
      <c r="G18340" s="20" t="n">
        <f aca="false">IF(AND(G18194=1,G18191=1),1,0)</f>
        <v>0</v>
      </c>
      <c r="H18340" s="20" t="n">
        <f aca="false">IF(G18340=1,1,IF(AND(H18194=1,H18191=1),1,0))</f>
        <v>0</v>
      </c>
      <c r="I18340" s="20" t="n">
        <f aca="false">IF(H18340=1,1,IF(AND(I18194=1,I18191=1),1,0))</f>
        <v>0</v>
      </c>
      <c r="J18340" s="20" t="n">
        <f aca="false">IF(I18340=1,1,IF(AND(J18194=1,J18191=1),1,0))</f>
        <v>0</v>
      </c>
      <c r="K18340" s="20" t="n">
        <f aca="false">IF(J18340=1,1,IF(AND(K18194=1,K18191=1),1,0))</f>
        <v>0</v>
      </c>
    </row>
    <row r="18341" customFormat="false" ht="15" hidden="false" customHeight="false" outlineLevel="0" collapsed="false">
      <c r="A18341" s="3" t="s">
        <v>500</v>
      </c>
      <c r="C18341" s="25" t="n">
        <f aca="false">IF(C18333&gt;0,C18325-C18337,0)</f>
        <v>0</v>
      </c>
      <c r="G18341" s="20" t="n">
        <f aca="false">IF(AND(G18207=1,G18191=1),1,0)</f>
        <v>0</v>
      </c>
      <c r="H18341" s="20" t="n">
        <f aca="false">IF(G18341=1,1,IF(AND(H18207=1,H18191=1),1,0))</f>
        <v>0</v>
      </c>
      <c r="I18341" s="20" t="n">
        <f aca="false">IF(H18341=1,1,IF(AND(I18207=1,I18191=1),1,0))</f>
        <v>0</v>
      </c>
      <c r="J18341" s="20" t="n">
        <f aca="false">IF(I18341=1,1,IF(AND(J18207=1,J18191=1),1,0))</f>
        <v>0</v>
      </c>
      <c r="K18341" s="20" t="n">
        <f aca="false">IF(J18341=1,1,IF(AND(K18207=1,K18191=1),1,0))</f>
        <v>0</v>
      </c>
    </row>
    <row r="18342" customFormat="false" ht="15" hidden="false" customHeight="false" outlineLevel="0" collapsed="false">
      <c r="A18342" s="3" t="s">
        <v>501</v>
      </c>
      <c r="C18342" s="25" t="n">
        <f aca="false">IF(C18334&gt;0,C18326-C18338,0)</f>
        <v>0</v>
      </c>
      <c r="G18342" s="20" t="n">
        <f aca="false">IF(AND(G18220=1,G18191=1),1,0)</f>
        <v>0</v>
      </c>
      <c r="H18342" s="20" t="n">
        <f aca="false">IF(G18342=1,1,IF(AND(H18220=1,H18191=1),1,0))</f>
        <v>0</v>
      </c>
      <c r="I18342" s="20" t="n">
        <f aca="false">IF(H18342=1,1,IF(AND(I18220=1,I18191=1),1,0))</f>
        <v>0</v>
      </c>
      <c r="J18342" s="20" t="n">
        <f aca="false">IF(I18342=1,1,IF(AND(J18220=1,J18191=1),1,0))</f>
        <v>0</v>
      </c>
      <c r="K18342" s="20" t="n">
        <f aca="false">IF(J18342=1,1,IF(AND(K18220=1,K18191=1),1,0))</f>
        <v>0</v>
      </c>
    </row>
    <row r="18343" customFormat="false" ht="15" hidden="false" customHeight="false" outlineLevel="0" collapsed="false">
      <c r="A18343" s="23" t="s">
        <v>506</v>
      </c>
      <c r="B18343" s="24"/>
      <c r="C18343" s="24"/>
      <c r="D18343" s="24"/>
      <c r="E18343" s="24"/>
      <c r="F18343" s="24"/>
      <c r="G18343" s="24"/>
      <c r="H18343" s="24"/>
      <c r="I18343" s="24"/>
      <c r="J18343" s="24"/>
      <c r="K18343" s="24"/>
    </row>
    <row r="18344" customFormat="false" ht="15" hidden="false" customHeight="false" outlineLevel="0" collapsed="false">
      <c r="A18344" s="3" t="s">
        <v>499</v>
      </c>
      <c r="C18344" s="25" t="n">
        <f aca="false">IF(C18332&gt;0,C18340,C18324)</f>
        <v>1349.6193225</v>
      </c>
    </row>
    <row r="18345" customFormat="false" ht="15" hidden="false" customHeight="false" outlineLevel="0" collapsed="false">
      <c r="A18345" s="3" t="s">
        <v>500</v>
      </c>
      <c r="C18345" s="25" t="n">
        <f aca="false">IF(C18333&gt;0,C18341,C18325)</f>
        <v>0</v>
      </c>
    </row>
    <row r="18346" customFormat="false" ht="15" hidden="false" customHeight="false" outlineLevel="0" collapsed="false">
      <c r="A18346" s="3" t="s">
        <v>501</v>
      </c>
      <c r="C18346" s="25" t="n">
        <f aca="false">IF(C18334&gt;0,C18342,C18326)</f>
        <v>0</v>
      </c>
    </row>
    <row r="18347" customFormat="false" ht="15" hidden="false" customHeight="false" outlineLevel="0" collapsed="false">
      <c r="A18347" s="23" t="s">
        <v>507</v>
      </c>
      <c r="B18347" s="24"/>
      <c r="C18347" s="24"/>
      <c r="D18347" s="24"/>
      <c r="E18347" s="24"/>
      <c r="F18347" s="24"/>
      <c r="G18347" s="24"/>
      <c r="H18347" s="24"/>
      <c r="I18347" s="24"/>
      <c r="J18347" s="24"/>
      <c r="K18347" s="24"/>
    </row>
    <row r="18348" customFormat="false" ht="15" hidden="false" customHeight="false" outlineLevel="0" collapsed="false">
      <c r="A18348" s="3" t="s">
        <v>499</v>
      </c>
      <c r="C18348" s="20" t="n">
        <f aca="false">IF(C18332&gt;0,Assumptions!$C$17,C18328)</f>
        <v>1</v>
      </c>
    </row>
    <row r="18349" customFormat="false" ht="15" hidden="false" customHeight="false" outlineLevel="0" collapsed="false">
      <c r="A18349" s="3" t="s">
        <v>500</v>
      </c>
      <c r="C18349" s="20" t="n">
        <f aca="false">IF(C18333&gt;0,Assumptions!$C$17,C18329)</f>
        <v>2</v>
      </c>
    </row>
    <row r="18350" customFormat="false" ht="15" hidden="false" customHeight="false" outlineLevel="0" collapsed="false">
      <c r="A18350" s="3" t="s">
        <v>501</v>
      </c>
      <c r="C18350" s="20" t="n">
        <f aca="false">IF(C18334&gt;0,Assumptions!$C$17,C18330)</f>
        <v>2</v>
      </c>
    </row>
    <row r="18351" customFormat="false" ht="15" hidden="false" customHeight="false" outlineLevel="0" collapsed="false">
      <c r="A18351" s="23" t="s">
        <v>508</v>
      </c>
      <c r="B18351" s="24"/>
      <c r="C18351" s="24"/>
      <c r="D18351" s="24"/>
      <c r="E18351" s="24"/>
      <c r="F18351" s="24"/>
      <c r="G18351" s="24"/>
      <c r="H18351" s="24"/>
      <c r="I18351" s="24"/>
      <c r="J18351" s="24"/>
      <c r="K18351" s="24"/>
    </row>
    <row r="18352" customFormat="false" ht="15" hidden="false" customHeight="false" outlineLevel="0" collapsed="false">
      <c r="A18352" s="3" t="s">
        <v>499</v>
      </c>
      <c r="C18352" s="25" t="n">
        <f aca="false">SUMPRODUCT(($C$18348:$C$18350&lt;C18348)*$C$18344:$C$18346)</f>
        <v>0</v>
      </c>
    </row>
    <row r="18353" customFormat="false" ht="15" hidden="false" customHeight="false" outlineLevel="0" collapsed="false">
      <c r="A18353" s="3" t="s">
        <v>500</v>
      </c>
      <c r="C18353" s="25" t="n">
        <f aca="false">SUMPRODUCT(($C$18348:$C$18350&lt;C18349)*$C$18344:$C$18346)</f>
        <v>1349.6193225</v>
      </c>
    </row>
    <row r="18354" customFormat="false" ht="15" hidden="false" customHeight="false" outlineLevel="0" collapsed="false">
      <c r="A18354" s="3" t="s">
        <v>501</v>
      </c>
      <c r="C18354" s="25" t="n">
        <f aca="false">SUMPRODUCT(($C$18348:$C$18350&lt;C18350)*$C$18344:$C$18346)</f>
        <v>1349.6193225</v>
      </c>
    </row>
    <row r="18355" customFormat="false" ht="15" hidden="false" customHeight="false" outlineLevel="0" collapsed="false">
      <c r="A18355" s="23" t="s">
        <v>509</v>
      </c>
      <c r="B18355" s="24"/>
      <c r="C18355" s="24"/>
      <c r="D18355" s="24"/>
      <c r="E18355" s="24"/>
      <c r="F18355" s="24"/>
      <c r="G18355" s="24"/>
      <c r="H18355" s="24"/>
      <c r="I18355" s="24"/>
      <c r="J18355" s="24"/>
      <c r="K18355" s="24"/>
    </row>
    <row r="18356" customFormat="false" ht="15" hidden="false" customHeight="false" outlineLevel="0" collapsed="false">
      <c r="A18356" s="3" t="s">
        <v>499</v>
      </c>
      <c r="C18356" s="25" t="n">
        <f aca="false">SUMPRODUCT(($C$18348:$C$18350=C18348)*$C$18344:$C$18346)</f>
        <v>1349.6193225</v>
      </c>
    </row>
    <row r="18357" customFormat="false" ht="15" hidden="false" customHeight="false" outlineLevel="0" collapsed="false">
      <c r="A18357" s="3" t="s">
        <v>500</v>
      </c>
      <c r="C18357" s="25" t="n">
        <f aca="false">SUMPRODUCT(($C$18348:$C$18350=C18349)*$C$18344:$C$18346)</f>
        <v>0</v>
      </c>
    </row>
    <row r="18358" customFormat="false" ht="15" hidden="false" customHeight="false" outlineLevel="0" collapsed="false">
      <c r="A18358" s="3" t="s">
        <v>501</v>
      </c>
      <c r="C18358" s="25" t="n">
        <f aca="false">SUMPRODUCT(($C$18348:$C$18350=C18350)*$C$18344:$C$18346)</f>
        <v>0</v>
      </c>
    </row>
    <row r="18359" customFormat="false" ht="15" hidden="false" customHeight="false" outlineLevel="0" collapsed="false">
      <c r="A18359" s="23" t="s">
        <v>510</v>
      </c>
      <c r="B18359" s="24"/>
      <c r="C18359" s="24"/>
      <c r="D18359" s="24"/>
      <c r="E18359" s="24"/>
      <c r="F18359" s="24"/>
      <c r="G18359" s="24"/>
      <c r="H18359" s="24"/>
      <c r="I18359" s="24"/>
      <c r="J18359" s="24"/>
      <c r="K18359" s="24"/>
    </row>
    <row r="18360" customFormat="false" ht="15" hidden="false" customHeight="false" outlineLevel="0" collapsed="false">
      <c r="A18360" s="3" t="s">
        <v>499</v>
      </c>
      <c r="C18360" s="25" t="n">
        <f aca="false">IF(C18356=0,0,C18344/C18356*MAX(0,MIN(C18356,$C$18322-SUM($C$18336:$C$18338)-C18352)))</f>
        <v>974.768676845136</v>
      </c>
    </row>
    <row r="18361" customFormat="false" ht="15" hidden="false" customHeight="false" outlineLevel="0" collapsed="false">
      <c r="A18361" s="3" t="s">
        <v>500</v>
      </c>
      <c r="C18361" s="25" t="n">
        <f aca="false">IF(C18357=0,0,C18345/C18357*MAX(0,MIN(C18357,$C$18322-SUM($C$18336:$C$18338)-C18353)))</f>
        <v>0</v>
      </c>
    </row>
    <row r="18362" customFormat="false" ht="15" hidden="false" customHeight="false" outlineLevel="0" collapsed="false">
      <c r="A18362" s="3" t="s">
        <v>501</v>
      </c>
      <c r="C18362" s="25" t="n">
        <f aca="false">IF(C18358=0,0,C18346/C18358*MAX(0,MIN(C18358,$C$18322-SUM($C$18336:$C$18338)-C18354)))</f>
        <v>0</v>
      </c>
    </row>
    <row r="18363" customFormat="false" ht="15" hidden="false" customHeight="false" outlineLevel="0" collapsed="false">
      <c r="A18363" s="23" t="s">
        <v>511</v>
      </c>
      <c r="B18363" s="24"/>
      <c r="C18363" s="24"/>
      <c r="D18363" s="24"/>
      <c r="E18363" s="24"/>
      <c r="F18363" s="24"/>
      <c r="G18363" s="24"/>
      <c r="H18363" s="24"/>
      <c r="I18363" s="24"/>
      <c r="J18363" s="24"/>
      <c r="K18363" s="24"/>
    </row>
    <row r="18364" customFormat="false" ht="15" hidden="false" customHeight="false" outlineLevel="0" collapsed="false">
      <c r="A18364" s="2" t="s">
        <v>499</v>
      </c>
      <c r="C18364" s="16" t="n">
        <f aca="false">C18336+C18360</f>
        <v>974.768676845136</v>
      </c>
    </row>
    <row r="18365" customFormat="false" ht="15" hidden="false" customHeight="false" outlineLevel="0" collapsed="false">
      <c r="A18365" s="2" t="s">
        <v>500</v>
      </c>
      <c r="C18365" s="16" t="n">
        <f aca="false">C18337+C18361</f>
        <v>0</v>
      </c>
    </row>
    <row r="18366" customFormat="false" ht="15" hidden="false" customHeight="false" outlineLevel="0" collapsed="false">
      <c r="A18366" s="2" t="s">
        <v>501</v>
      </c>
      <c r="C18366" s="16" t="n">
        <f aca="false">C18338+C18362</f>
        <v>0</v>
      </c>
    </row>
    <row r="18367" customFormat="false" ht="15" hidden="false" customHeight="false" outlineLevel="0" collapsed="false">
      <c r="A18367" s="23" t="s">
        <v>512</v>
      </c>
      <c r="B18367" s="24"/>
      <c r="C18367" s="24"/>
      <c r="D18367" s="24"/>
      <c r="E18367" s="24"/>
      <c r="F18367" s="24"/>
      <c r="G18367" s="24"/>
      <c r="H18367" s="24"/>
      <c r="I18367" s="24"/>
      <c r="J18367" s="24"/>
      <c r="K18367" s="24"/>
    </row>
    <row r="18368" customFormat="false" ht="15" hidden="false" customHeight="false" outlineLevel="0" collapsed="false">
      <c r="A18368" s="3" t="s">
        <v>499</v>
      </c>
      <c r="C18368" s="21" t="n">
        <f aca="false">IF(C18324=0,1,C18364/C18324)</f>
        <v>0.722254535478567</v>
      </c>
    </row>
    <row r="18369" customFormat="false" ht="15" hidden="false" customHeight="false" outlineLevel="0" collapsed="false">
      <c r="A18369" s="3" t="s">
        <v>500</v>
      </c>
      <c r="C18369" s="21" t="n">
        <f aca="false">IF(C18325=0,1,C18365/C18325)</f>
        <v>1</v>
      </c>
    </row>
    <row r="18370" customFormat="false" ht="15" hidden="false" customHeight="false" outlineLevel="0" collapsed="false">
      <c r="A18370" s="3" t="s">
        <v>501</v>
      </c>
      <c r="C18370" s="21" t="n">
        <f aca="false">IF(C18326=0,1,C18366/C18326)</f>
        <v>1</v>
      </c>
    </row>
    <row r="18371" customFormat="false" ht="15" hidden="false" customHeight="false" outlineLevel="0" collapsed="false">
      <c r="A18371" s="23" t="s">
        <v>513</v>
      </c>
      <c r="B18371" s="24"/>
      <c r="C18371" s="24"/>
      <c r="D18371" s="24"/>
      <c r="E18371" s="24"/>
      <c r="F18371" s="24"/>
      <c r="G18371" s="24"/>
      <c r="H18371" s="24"/>
      <c r="I18371" s="24"/>
      <c r="J18371" s="24"/>
      <c r="K18371" s="24"/>
    </row>
    <row r="18372" customFormat="false" ht="15" hidden="false" customHeight="false" outlineLevel="0" collapsed="false">
      <c r="A18372" s="3" t="s">
        <v>499</v>
      </c>
      <c r="C18372" s="25" t="n">
        <f aca="false">C18324-C18364</f>
        <v>374.850645654864</v>
      </c>
    </row>
    <row r="18373" customFormat="false" ht="15" hidden="false" customHeight="false" outlineLevel="0" collapsed="false">
      <c r="A18373" s="3" t="s">
        <v>500</v>
      </c>
      <c r="C18373" s="25" t="n">
        <f aca="false">C18325-C18365</f>
        <v>0</v>
      </c>
    </row>
    <row r="18374" customFormat="false" ht="15" hidden="false" customHeight="false" outlineLevel="0" collapsed="false">
      <c r="A18374" s="3" t="s">
        <v>501</v>
      </c>
      <c r="C18374" s="25" t="n">
        <f aca="false">C18326-C18366</f>
        <v>0</v>
      </c>
    </row>
    <row r="18375" customFormat="false" ht="15" hidden="false" customHeight="false" outlineLevel="0" collapsed="false">
      <c r="A18375" s="23" t="s">
        <v>514</v>
      </c>
      <c r="B18375" s="24"/>
      <c r="C18375" s="24"/>
      <c r="D18375" s="24"/>
      <c r="E18375" s="24"/>
      <c r="F18375" s="24"/>
      <c r="G18375" s="24"/>
      <c r="H18375" s="24"/>
      <c r="I18375" s="24"/>
      <c r="J18375" s="24"/>
      <c r="K18375" s="24"/>
    </row>
    <row r="18376" customFormat="false" ht="15" hidden="false" customHeight="false" outlineLevel="0" collapsed="false">
      <c r="A18376" s="3" t="s">
        <v>499</v>
      </c>
      <c r="C18376" s="21" t="n">
        <f aca="false">IF(C18324=0,0,C18372/C18324)</f>
        <v>0.277745464521433</v>
      </c>
    </row>
    <row r="18377" customFormat="false" ht="15" hidden="false" customHeight="false" outlineLevel="0" collapsed="false">
      <c r="A18377" s="3" t="s">
        <v>500</v>
      </c>
      <c r="C18377" s="21" t="n">
        <f aca="false">IF(C18325=0,0,C18373/C18325)</f>
        <v>0</v>
      </c>
    </row>
    <row r="18378" customFormat="false" ht="15" hidden="false" customHeight="false" outlineLevel="0" collapsed="false">
      <c r="A18378" s="3" t="s">
        <v>501</v>
      </c>
      <c r="C18378" s="21" t="n">
        <f aca="false">IF(C18326=0,0,C18374/C18326)</f>
        <v>0</v>
      </c>
    </row>
    <row r="18379" customFormat="false" ht="15" hidden="false" customHeight="false" outlineLevel="0" collapsed="false">
      <c r="A18379" s="2" t="s">
        <v>515</v>
      </c>
      <c r="C18379" s="16" t="n">
        <f aca="false">MAX(0,$C$18322-SUM($C$18336:$C$18338)-SUM($C$18344:$C$18346))</f>
        <v>0</v>
      </c>
    </row>
    <row r="18380" customFormat="false" ht="15" hidden="false" customHeight="false" outlineLevel="0" collapsed="false">
      <c r="A18380" s="3" t="s">
        <v>516</v>
      </c>
      <c r="C18380" s="25" t="n">
        <f aca="false">SUM($C$18364:$C$18366)+C18379+C18321-C18320</f>
        <v>0</v>
      </c>
    </row>
    <row r="18382" customFormat="false" ht="15" hidden="false" customHeight="false" outlineLevel="0" collapsed="false">
      <c r="A18382" s="23" t="s">
        <v>519</v>
      </c>
      <c r="B18382" s="24"/>
      <c r="C18382" s="24"/>
      <c r="D18382" s="24"/>
      <c r="E18382" s="24"/>
      <c r="F18382" s="24"/>
      <c r="G18382" s="24"/>
      <c r="H18382" s="24"/>
      <c r="I18382" s="24"/>
      <c r="J18382" s="24"/>
      <c r="K18382" s="24"/>
    </row>
    <row r="18383" customFormat="false" ht="15" hidden="false" customHeight="false" outlineLevel="0" collapsed="false">
      <c r="A18383" s="3" t="s">
        <v>520</v>
      </c>
      <c r="C18383" s="27" t="n">
        <f aca="false">Assumptions!$C$33</f>
        <v>1</v>
      </c>
    </row>
    <row r="18384" customFormat="false" ht="15" hidden="false" customHeight="false" outlineLevel="0" collapsed="false">
      <c r="A18384" s="3" t="s">
        <v>521</v>
      </c>
      <c r="C18384" s="29" t="n">
        <f aca="false">Assumptions!$C$34</f>
        <v>100</v>
      </c>
    </row>
    <row r="18385" customFormat="false" ht="15" hidden="false" customHeight="false" outlineLevel="0" collapsed="false">
      <c r="A18385" s="3" t="s">
        <v>522</v>
      </c>
      <c r="C18385" s="40" t="n">
        <f aca="false">Assumptions!$C$35</f>
        <v>95</v>
      </c>
    </row>
    <row r="18386" customFormat="false" ht="15" hidden="false" customHeight="false" outlineLevel="0" collapsed="false">
      <c r="A18386" s="3" t="s">
        <v>523</v>
      </c>
      <c r="C18386" s="25" t="n">
        <f aca="false">C18384*C18385/100*(1+Assumptions!$C$36)</f>
        <v>95</v>
      </c>
    </row>
    <row r="18387" customFormat="false" ht="15" hidden="false" customHeight="false" outlineLevel="0" collapsed="false">
      <c r="A18387" s="3" t="s">
        <v>524</v>
      </c>
      <c r="C18387" s="27" t="n">
        <f aca="false">Assumptions!$C$37</f>
        <v>3</v>
      </c>
    </row>
    <row r="18388" customFormat="false" ht="15" hidden="false" customHeight="false" outlineLevel="0" collapsed="false">
      <c r="A18388" s="3" t="s">
        <v>525</v>
      </c>
      <c r="C18388" s="20" t="n">
        <f aca="false">IF(C18313=1,SUMPRODUCT($G$18265:$K$18265,$G$18158:$K$18158),0)</f>
        <v>0</v>
      </c>
    </row>
    <row r="18389" customFormat="false" ht="15" hidden="false" customHeight="false" outlineLevel="0" collapsed="false">
      <c r="A18389" s="3" t="s">
        <v>526</v>
      </c>
      <c r="C18389" s="21" t="n">
        <f aca="false">IFERROR(C18384/CHOOSE(C18383,SUMPRODUCT($G$18312:$K$18312,$G$18204:$K$18204),SUMPRODUCT($G$18312:$K$18312,$G$18217:$K$18217),SUMPRODUCT($G$18312:$K$18312,$G$18230:$K$18230)),0)</f>
        <v>0.0760399605200525</v>
      </c>
    </row>
    <row r="18390" customFormat="false" ht="15" hidden="false" customHeight="false" outlineLevel="0" collapsed="false">
      <c r="A18390" s="3" t="s">
        <v>527</v>
      </c>
      <c r="C18390" s="25" t="n">
        <f aca="false">CHOOSE(C18383,C18364,C18365,C18366)*C18389</f>
        <v>74.121371703488</v>
      </c>
    </row>
    <row r="18391" customFormat="false" ht="15" hidden="false" customHeight="false" outlineLevel="0" collapsed="false">
      <c r="A18391" s="3" t="s">
        <v>528</v>
      </c>
      <c r="C18391" s="21" t="n">
        <f aca="false">CHOOSE(C18383,C18368,C18369,C18370)</f>
        <v>0.722254535478567</v>
      </c>
    </row>
    <row r="18392" customFormat="false" ht="15" hidden="false" customHeight="false" outlineLevel="0" collapsed="false">
      <c r="A18392" s="3" t="s">
        <v>529</v>
      </c>
      <c r="C18392" s="20" t="n">
        <f aca="false">IF(C18313=1,C18388,C18387)</f>
        <v>3</v>
      </c>
    </row>
    <row r="18393" customFormat="false" ht="15" hidden="false" customHeight="false" outlineLevel="0" collapsed="false">
      <c r="A18393" s="3" t="s">
        <v>530</v>
      </c>
      <c r="C18393" s="34" t="n">
        <f aca="false">CHOOSE($C$18150,Assumptions!$C$83,Assumptions!$C$102,Assumptions!$C$121)</f>
        <v>95</v>
      </c>
    </row>
    <row r="18394" customFormat="false" ht="15" hidden="false" customHeight="false" outlineLevel="0" collapsed="false">
      <c r="A18394" s="3" t="s">
        <v>531</v>
      </c>
      <c r="C18394" s="25" t="n">
        <f aca="false">INDEX($G$18167:$K$18167,C18387)*CHOOSE($C$18150,Assumptions!$C$82,Assumptions!$C$101,Assumptions!$C$120)+MAX(0,INDEX($G$18262:$K$18262,C18387))</f>
        <v>1068.84800987949</v>
      </c>
    </row>
    <row r="18395" customFormat="false" ht="15" hidden="false" customHeight="false" outlineLevel="0" collapsed="false">
      <c r="A18395" s="23" t="s">
        <v>532</v>
      </c>
      <c r="B18395" s="24"/>
      <c r="C18395" s="24"/>
      <c r="D18395" s="24"/>
      <c r="E18395" s="24"/>
      <c r="F18395" s="24"/>
      <c r="G18395" s="24"/>
      <c r="H18395" s="24"/>
      <c r="I18395" s="24"/>
      <c r="J18395" s="24"/>
      <c r="K18395" s="24"/>
    </row>
    <row r="18396" customFormat="false" ht="15" hidden="false" customHeight="false" outlineLevel="0" collapsed="false">
      <c r="A18396" s="3" t="s">
        <v>499</v>
      </c>
      <c r="C18396" s="25" t="n">
        <f aca="false">INDEX($G$18204:$K$18204,C18387)</f>
        <v>1315.098</v>
      </c>
    </row>
    <row r="18397" customFormat="false" ht="15" hidden="false" customHeight="false" outlineLevel="0" collapsed="false">
      <c r="A18397" s="3" t="s">
        <v>500</v>
      </c>
      <c r="C18397" s="25" t="n">
        <f aca="false">INDEX($G$18217:$K$18217,C18387)</f>
        <v>0</v>
      </c>
    </row>
    <row r="18398" customFormat="false" ht="15" hidden="false" customHeight="false" outlineLevel="0" collapsed="false">
      <c r="A18398" s="3" t="s">
        <v>501</v>
      </c>
      <c r="C18398" s="25" t="n">
        <f aca="false">INDEX($G$18230:$K$18230,C18387)</f>
        <v>0</v>
      </c>
    </row>
    <row r="18399" customFormat="false" ht="15" hidden="false" customHeight="false" outlineLevel="0" collapsed="false">
      <c r="A18399" s="23" t="s">
        <v>502</v>
      </c>
      <c r="B18399" s="24"/>
      <c r="C18399" s="24"/>
      <c r="D18399" s="24"/>
      <c r="E18399" s="24"/>
      <c r="F18399" s="24"/>
      <c r="G18399" s="24"/>
      <c r="H18399" s="24"/>
      <c r="I18399" s="24"/>
      <c r="J18399" s="24"/>
      <c r="K18399" s="24"/>
    </row>
    <row r="18400" customFormat="false" ht="15" hidden="false" customHeight="false" outlineLevel="0" collapsed="false">
      <c r="A18400" s="3" t="s">
        <v>499</v>
      </c>
      <c r="C18400" s="27" t="n">
        <f aca="false">Assumptions!$M$56</f>
        <v>1</v>
      </c>
    </row>
    <row r="18401" customFormat="false" ht="15" hidden="false" customHeight="false" outlineLevel="0" collapsed="false">
      <c r="A18401" s="3" t="s">
        <v>500</v>
      </c>
      <c r="C18401" s="27" t="n">
        <f aca="false">Assumptions!$M$57</f>
        <v>2</v>
      </c>
    </row>
    <row r="18402" customFormat="false" ht="15" hidden="false" customHeight="false" outlineLevel="0" collapsed="false">
      <c r="A18402" s="3" t="s">
        <v>501</v>
      </c>
      <c r="C18402" s="27" t="n">
        <f aca="false">Assumptions!$M$58</f>
        <v>2</v>
      </c>
    </row>
    <row r="18403" customFormat="false" ht="15" hidden="false" customHeight="false" outlineLevel="0" collapsed="false">
      <c r="A18403" s="23" t="s">
        <v>503</v>
      </c>
      <c r="B18403" s="24"/>
      <c r="C18403" s="24"/>
      <c r="D18403" s="24"/>
      <c r="E18403" s="24"/>
      <c r="F18403" s="24"/>
      <c r="G18403" s="24"/>
      <c r="H18403" s="24"/>
      <c r="I18403" s="24"/>
      <c r="J18403" s="24"/>
      <c r="K18403" s="24"/>
    </row>
    <row r="18404" customFormat="false" ht="15" hidden="false" customHeight="false" outlineLevel="0" collapsed="false">
      <c r="A18404" s="3" t="s">
        <v>499</v>
      </c>
      <c r="C18404" s="35" t="n">
        <f aca="false">Assumptions!$Q$56</f>
        <v>0</v>
      </c>
    </row>
    <row r="18405" customFormat="false" ht="15" hidden="false" customHeight="false" outlineLevel="0" collapsed="false">
      <c r="A18405" s="3" t="s">
        <v>500</v>
      </c>
      <c r="C18405" s="35" t="n">
        <f aca="false">Assumptions!$Q$57</f>
        <v>0</v>
      </c>
    </row>
    <row r="18406" customFormat="false" ht="15" hidden="false" customHeight="false" outlineLevel="0" collapsed="false">
      <c r="A18406" s="3" t="s">
        <v>501</v>
      </c>
      <c r="C18406" s="35" t="n">
        <f aca="false">Assumptions!$Q$58</f>
        <v>0</v>
      </c>
    </row>
    <row r="18407" customFormat="false" ht="15" hidden="false" customHeight="false" outlineLevel="0" collapsed="false">
      <c r="A18407" s="23" t="s">
        <v>504</v>
      </c>
      <c r="B18407" s="24"/>
      <c r="C18407" s="24"/>
      <c r="D18407" s="24"/>
      <c r="E18407" s="24"/>
      <c r="F18407" s="24"/>
      <c r="G18407" s="24"/>
      <c r="H18407" s="24"/>
      <c r="I18407" s="24"/>
      <c r="J18407" s="24"/>
      <c r="K18407" s="24"/>
    </row>
    <row r="18408" customFormat="false" ht="15" hidden="false" customHeight="false" outlineLevel="0" collapsed="false">
      <c r="A18408" s="3" t="s">
        <v>499</v>
      </c>
      <c r="C18408" s="25" t="n">
        <f aca="false">IF(C18404&gt;0,MIN(C18396,C18404*$C$18394),0)</f>
        <v>0</v>
      </c>
    </row>
    <row r="18409" customFormat="false" ht="15" hidden="false" customHeight="false" outlineLevel="0" collapsed="false">
      <c r="A18409" s="3" t="s">
        <v>500</v>
      </c>
      <c r="C18409" s="25" t="n">
        <f aca="false">IF(C18405&gt;0,MIN(C18397,C18405*$C$18394),0)</f>
        <v>0</v>
      </c>
    </row>
    <row r="18410" customFormat="false" ht="15" hidden="false" customHeight="false" outlineLevel="0" collapsed="false">
      <c r="A18410" s="3" t="s">
        <v>501</v>
      </c>
      <c r="C18410" s="25" t="n">
        <f aca="false">IF(C18406&gt;0,MIN(C18398,C18406*$C$18394),0)</f>
        <v>0</v>
      </c>
    </row>
    <row r="18411" customFormat="false" ht="15" hidden="false" customHeight="false" outlineLevel="0" collapsed="false">
      <c r="A18411" s="23" t="s">
        <v>505</v>
      </c>
      <c r="B18411" s="24"/>
      <c r="C18411" s="24"/>
      <c r="D18411" s="24"/>
      <c r="E18411" s="24"/>
      <c r="F18411" s="24"/>
      <c r="G18411" s="24"/>
      <c r="H18411" s="24"/>
      <c r="I18411" s="24"/>
      <c r="J18411" s="24"/>
      <c r="K18411" s="24"/>
    </row>
    <row r="18412" customFormat="false" ht="15" hidden="false" customHeight="false" outlineLevel="0" collapsed="false">
      <c r="A18412" s="3" t="s">
        <v>499</v>
      </c>
      <c r="C18412" s="25" t="n">
        <f aca="false">IF(C18404&gt;0,C18396-C18408,0)</f>
        <v>0</v>
      </c>
    </row>
    <row r="18413" customFormat="false" ht="15" hidden="false" customHeight="false" outlineLevel="0" collapsed="false">
      <c r="A18413" s="3" t="s">
        <v>500</v>
      </c>
      <c r="C18413" s="25" t="n">
        <f aca="false">IF(C18405&gt;0,C18397-C18409,0)</f>
        <v>0</v>
      </c>
    </row>
    <row r="18414" customFormat="false" ht="15" hidden="false" customHeight="false" outlineLevel="0" collapsed="false">
      <c r="A18414" s="3" t="s">
        <v>501</v>
      </c>
      <c r="C18414" s="25" t="n">
        <f aca="false">IF(C18406&gt;0,C18398-C18410,0)</f>
        <v>0</v>
      </c>
    </row>
    <row r="18415" customFormat="false" ht="15" hidden="false" customHeight="false" outlineLevel="0" collapsed="false">
      <c r="A18415" s="23" t="s">
        <v>506</v>
      </c>
      <c r="B18415" s="24"/>
      <c r="C18415" s="24"/>
      <c r="D18415" s="24"/>
      <c r="E18415" s="24"/>
      <c r="F18415" s="24"/>
      <c r="G18415" s="24"/>
      <c r="H18415" s="24"/>
      <c r="I18415" s="24"/>
      <c r="J18415" s="24"/>
      <c r="K18415" s="24"/>
    </row>
    <row r="18416" customFormat="false" ht="15" hidden="false" customHeight="false" outlineLevel="0" collapsed="false">
      <c r="A18416" s="3" t="s">
        <v>499</v>
      </c>
      <c r="C18416" s="25" t="n">
        <f aca="false">IF(C18404&gt;0,C18412,C18396)</f>
        <v>1315.098</v>
      </c>
    </row>
    <row r="18417" customFormat="false" ht="15" hidden="false" customHeight="false" outlineLevel="0" collapsed="false">
      <c r="A18417" s="3" t="s">
        <v>500</v>
      </c>
      <c r="C18417" s="25" t="n">
        <f aca="false">IF(C18405&gt;0,C18413,C18397)</f>
        <v>0</v>
      </c>
    </row>
    <row r="18418" customFormat="false" ht="15" hidden="false" customHeight="false" outlineLevel="0" collapsed="false">
      <c r="A18418" s="3" t="s">
        <v>501</v>
      </c>
      <c r="C18418" s="25" t="n">
        <f aca="false">IF(C18406&gt;0,C18414,C18398)</f>
        <v>0</v>
      </c>
    </row>
    <row r="18419" customFormat="false" ht="15" hidden="false" customHeight="false" outlineLevel="0" collapsed="false">
      <c r="A18419" s="23" t="s">
        <v>507</v>
      </c>
      <c r="B18419" s="24"/>
      <c r="C18419" s="24"/>
      <c r="D18419" s="24"/>
      <c r="E18419" s="24"/>
      <c r="F18419" s="24"/>
      <c r="G18419" s="24"/>
      <c r="H18419" s="24"/>
      <c r="I18419" s="24"/>
      <c r="J18419" s="24"/>
      <c r="K18419" s="24"/>
    </row>
    <row r="18420" customFormat="false" ht="15" hidden="false" customHeight="false" outlineLevel="0" collapsed="false">
      <c r="A18420" s="3" t="s">
        <v>499</v>
      </c>
      <c r="C18420" s="20" t="n">
        <f aca="false">IF(C18404&gt;0,Assumptions!$C$17,C18400)</f>
        <v>1</v>
      </c>
    </row>
    <row r="18421" customFormat="false" ht="15" hidden="false" customHeight="false" outlineLevel="0" collapsed="false">
      <c r="A18421" s="3" t="s">
        <v>500</v>
      </c>
      <c r="C18421" s="20" t="n">
        <f aca="false">IF(C18405&gt;0,Assumptions!$C$17,C18401)</f>
        <v>2</v>
      </c>
    </row>
    <row r="18422" customFormat="false" ht="15" hidden="false" customHeight="false" outlineLevel="0" collapsed="false">
      <c r="A18422" s="3" t="s">
        <v>501</v>
      </c>
      <c r="C18422" s="20" t="n">
        <f aca="false">IF(C18406&gt;0,Assumptions!$C$17,C18402)</f>
        <v>2</v>
      </c>
    </row>
    <row r="18423" customFormat="false" ht="15" hidden="false" customHeight="false" outlineLevel="0" collapsed="false">
      <c r="A18423" s="23" t="s">
        <v>508</v>
      </c>
      <c r="B18423" s="24"/>
      <c r="C18423" s="24"/>
      <c r="D18423" s="24"/>
      <c r="E18423" s="24"/>
      <c r="F18423" s="24"/>
      <c r="G18423" s="24"/>
      <c r="H18423" s="24"/>
      <c r="I18423" s="24"/>
      <c r="J18423" s="24"/>
      <c r="K18423" s="24"/>
    </row>
    <row r="18424" customFormat="false" ht="15" hidden="false" customHeight="false" outlineLevel="0" collapsed="false">
      <c r="A18424" s="3" t="s">
        <v>499</v>
      </c>
      <c r="C18424" s="25" t="n">
        <f aca="false">SUMPRODUCT(($C$18420:$C$18422&lt;C18420)*$C$18416:$C$18418)</f>
        <v>0</v>
      </c>
    </row>
    <row r="18425" customFormat="false" ht="15" hidden="false" customHeight="false" outlineLevel="0" collapsed="false">
      <c r="A18425" s="3" t="s">
        <v>500</v>
      </c>
      <c r="C18425" s="25" t="n">
        <f aca="false">SUMPRODUCT(($C$18420:$C$18422&lt;C18421)*$C$18416:$C$18418)</f>
        <v>1315.098</v>
      </c>
    </row>
    <row r="18426" customFormat="false" ht="15" hidden="false" customHeight="false" outlineLevel="0" collapsed="false">
      <c r="A18426" s="3" t="s">
        <v>501</v>
      </c>
      <c r="C18426" s="25" t="n">
        <f aca="false">SUMPRODUCT(($C$18420:$C$18422&lt;C18422)*$C$18416:$C$18418)</f>
        <v>1315.098</v>
      </c>
    </row>
    <row r="18427" customFormat="false" ht="15" hidden="false" customHeight="false" outlineLevel="0" collapsed="false">
      <c r="A18427" s="23" t="s">
        <v>509</v>
      </c>
      <c r="B18427" s="24"/>
      <c r="C18427" s="24"/>
      <c r="D18427" s="24"/>
      <c r="E18427" s="24"/>
      <c r="F18427" s="24"/>
      <c r="G18427" s="24"/>
      <c r="H18427" s="24"/>
      <c r="I18427" s="24"/>
      <c r="J18427" s="24"/>
      <c r="K18427" s="24"/>
    </row>
    <row r="18428" customFormat="false" ht="15" hidden="false" customHeight="false" outlineLevel="0" collapsed="false">
      <c r="A18428" s="3" t="s">
        <v>499</v>
      </c>
      <c r="C18428" s="25" t="n">
        <f aca="false">SUMPRODUCT(($C$18420:$C$18422=C18420)*$C$18416:$C$18418)</f>
        <v>1315.098</v>
      </c>
    </row>
    <row r="18429" customFormat="false" ht="15" hidden="false" customHeight="false" outlineLevel="0" collapsed="false">
      <c r="A18429" s="3" t="s">
        <v>500</v>
      </c>
      <c r="C18429" s="25" t="n">
        <f aca="false">SUMPRODUCT(($C$18420:$C$18422=C18421)*$C$18416:$C$18418)</f>
        <v>0</v>
      </c>
    </row>
    <row r="18430" customFormat="false" ht="15" hidden="false" customHeight="false" outlineLevel="0" collapsed="false">
      <c r="A18430" s="3" t="s">
        <v>501</v>
      </c>
      <c r="C18430" s="25" t="n">
        <f aca="false">SUMPRODUCT(($C$18420:$C$18422=C18422)*$C$18416:$C$18418)</f>
        <v>0</v>
      </c>
    </row>
    <row r="18431" customFormat="false" ht="15" hidden="false" customHeight="false" outlineLevel="0" collapsed="false">
      <c r="A18431" s="23" t="s">
        <v>510</v>
      </c>
      <c r="B18431" s="24"/>
      <c r="C18431" s="24"/>
      <c r="D18431" s="24"/>
      <c r="E18431" s="24"/>
      <c r="F18431" s="24"/>
      <c r="G18431" s="24"/>
      <c r="H18431" s="24"/>
      <c r="I18431" s="24"/>
      <c r="J18431" s="24"/>
      <c r="K18431" s="24"/>
    </row>
    <row r="18432" customFormat="false" ht="15" hidden="false" customHeight="false" outlineLevel="0" collapsed="false">
      <c r="A18432" s="3" t="s">
        <v>499</v>
      </c>
      <c r="C18432" s="25" t="n">
        <f aca="false">IF(C18428=0,0,C18416/C18428*MAX(0,MIN(C18428,$C$18394-SUM($C$18408:$C$18410)-C18424)))</f>
        <v>1068.84800987949</v>
      </c>
    </row>
    <row r="18433" customFormat="false" ht="15" hidden="false" customHeight="false" outlineLevel="0" collapsed="false">
      <c r="A18433" s="3" t="s">
        <v>500</v>
      </c>
      <c r="C18433" s="25" t="n">
        <f aca="false">IF(C18429=0,0,C18417/C18429*MAX(0,MIN(C18429,$C$18394-SUM($C$18408:$C$18410)-C18425)))</f>
        <v>0</v>
      </c>
    </row>
    <row r="18434" customFormat="false" ht="15" hidden="false" customHeight="false" outlineLevel="0" collapsed="false">
      <c r="A18434" s="3" t="s">
        <v>501</v>
      </c>
      <c r="C18434" s="25" t="n">
        <f aca="false">IF(C18430=0,0,C18418/C18430*MAX(0,MIN(C18430,$C$18394-SUM($C$18408:$C$18410)-C18426)))</f>
        <v>0</v>
      </c>
    </row>
    <row r="18435" customFormat="false" ht="15" hidden="false" customHeight="false" outlineLevel="0" collapsed="false">
      <c r="A18435" s="23" t="s">
        <v>511</v>
      </c>
      <c r="B18435" s="24"/>
      <c r="C18435" s="24"/>
      <c r="D18435" s="24"/>
      <c r="E18435" s="24"/>
      <c r="F18435" s="24"/>
      <c r="G18435" s="24"/>
      <c r="H18435" s="24"/>
      <c r="I18435" s="24"/>
      <c r="J18435" s="24"/>
      <c r="K18435" s="24"/>
    </row>
    <row r="18436" customFormat="false" ht="15" hidden="false" customHeight="false" outlineLevel="0" collapsed="false">
      <c r="A18436" s="2" t="s">
        <v>499</v>
      </c>
      <c r="C18436" s="16" t="n">
        <f aca="false">C18408+C18432</f>
        <v>1068.84800987949</v>
      </c>
    </row>
    <row r="18437" customFormat="false" ht="15" hidden="false" customHeight="false" outlineLevel="0" collapsed="false">
      <c r="A18437" s="2" t="s">
        <v>500</v>
      </c>
      <c r="C18437" s="16" t="n">
        <f aca="false">C18409+C18433</f>
        <v>0</v>
      </c>
    </row>
    <row r="18438" customFormat="false" ht="15" hidden="false" customHeight="false" outlineLevel="0" collapsed="false">
      <c r="A18438" s="2" t="s">
        <v>501</v>
      </c>
      <c r="C18438" s="16" t="n">
        <f aca="false">C18410+C18434</f>
        <v>0</v>
      </c>
    </row>
    <row r="18439" customFormat="false" ht="15" hidden="false" customHeight="false" outlineLevel="0" collapsed="false">
      <c r="A18439" s="23" t="s">
        <v>512</v>
      </c>
      <c r="B18439" s="24"/>
      <c r="C18439" s="24"/>
      <c r="D18439" s="24"/>
      <c r="E18439" s="24"/>
      <c r="F18439" s="24"/>
      <c r="G18439" s="24"/>
      <c r="H18439" s="24"/>
      <c r="I18439" s="24"/>
      <c r="J18439" s="24"/>
      <c r="K18439" s="24"/>
    </row>
    <row r="18440" customFormat="false" ht="15" hidden="false" customHeight="false" outlineLevel="0" collapsed="false">
      <c r="A18440" s="3" t="s">
        <v>499</v>
      </c>
      <c r="C18440" s="21" t="n">
        <f aca="false">IF(C18396=0,1,C18436/C18396)</f>
        <v>0.812751604731729</v>
      </c>
    </row>
    <row r="18441" customFormat="false" ht="15" hidden="false" customHeight="false" outlineLevel="0" collapsed="false">
      <c r="A18441" s="3" t="s">
        <v>500</v>
      </c>
      <c r="C18441" s="21" t="n">
        <f aca="false">IF(C18397=0,1,C18437/C18397)</f>
        <v>1</v>
      </c>
    </row>
    <row r="18442" customFormat="false" ht="15" hidden="false" customHeight="false" outlineLevel="0" collapsed="false">
      <c r="A18442" s="3" t="s">
        <v>501</v>
      </c>
      <c r="C18442" s="21" t="n">
        <f aca="false">IF(C18398=0,1,C18438/C18398)</f>
        <v>1</v>
      </c>
    </row>
    <row r="18443" customFormat="false" ht="15" hidden="false" customHeight="false" outlineLevel="0" collapsed="false">
      <c r="A18443" s="23" t="s">
        <v>513</v>
      </c>
      <c r="B18443" s="24"/>
      <c r="C18443" s="24"/>
      <c r="D18443" s="24"/>
      <c r="E18443" s="24"/>
      <c r="F18443" s="24"/>
      <c r="G18443" s="24"/>
      <c r="H18443" s="24"/>
      <c r="I18443" s="24"/>
      <c r="J18443" s="24"/>
      <c r="K18443" s="24"/>
    </row>
    <row r="18444" customFormat="false" ht="15" hidden="false" customHeight="false" outlineLevel="0" collapsed="false">
      <c r="A18444" s="3" t="s">
        <v>499</v>
      </c>
      <c r="C18444" s="25" t="n">
        <f aca="false">C18396-C18436</f>
        <v>246.249990120512</v>
      </c>
    </row>
    <row r="18445" customFormat="false" ht="15" hidden="false" customHeight="false" outlineLevel="0" collapsed="false">
      <c r="A18445" s="3" t="s">
        <v>500</v>
      </c>
      <c r="C18445" s="25" t="n">
        <f aca="false">C18397-C18437</f>
        <v>0</v>
      </c>
    </row>
    <row r="18446" customFormat="false" ht="15" hidden="false" customHeight="false" outlineLevel="0" collapsed="false">
      <c r="A18446" s="3" t="s">
        <v>501</v>
      </c>
      <c r="C18446" s="25" t="n">
        <f aca="false">C18398-C18438</f>
        <v>0</v>
      </c>
    </row>
    <row r="18447" customFormat="false" ht="15" hidden="false" customHeight="false" outlineLevel="0" collapsed="false">
      <c r="A18447" s="23" t="s">
        <v>514</v>
      </c>
      <c r="B18447" s="24"/>
      <c r="C18447" s="24"/>
      <c r="D18447" s="24"/>
      <c r="E18447" s="24"/>
      <c r="F18447" s="24"/>
      <c r="G18447" s="24"/>
      <c r="H18447" s="24"/>
      <c r="I18447" s="24"/>
      <c r="J18447" s="24"/>
      <c r="K18447" s="24"/>
    </row>
    <row r="18448" customFormat="false" ht="15" hidden="false" customHeight="false" outlineLevel="0" collapsed="false">
      <c r="A18448" s="3" t="s">
        <v>499</v>
      </c>
      <c r="C18448" s="21" t="n">
        <f aca="false">IF(C18396=0,0,C18444/C18396)</f>
        <v>0.187248395268271</v>
      </c>
    </row>
    <row r="18449" customFormat="false" ht="15" hidden="false" customHeight="false" outlineLevel="0" collapsed="false">
      <c r="A18449" s="3" t="s">
        <v>500</v>
      </c>
      <c r="C18449" s="21" t="n">
        <f aca="false">IF(C18397=0,0,C18445/C18397)</f>
        <v>0</v>
      </c>
    </row>
    <row r="18450" customFormat="false" ht="15" hidden="false" customHeight="false" outlineLevel="0" collapsed="false">
      <c r="A18450" s="3" t="s">
        <v>501</v>
      </c>
      <c r="C18450" s="21" t="n">
        <f aca="false">IF(C18398=0,0,C18446/C18398)</f>
        <v>0</v>
      </c>
    </row>
    <row r="18451" customFormat="false" ht="15" hidden="false" customHeight="false" outlineLevel="0" collapsed="false">
      <c r="A18451" s="2" t="s">
        <v>515</v>
      </c>
      <c r="C18451" s="16" t="n">
        <f aca="false">MAX(0,$C$18394-SUM($C$18408:$C$18410)-SUM($C$18416:$C$18418))</f>
        <v>0</v>
      </c>
    </row>
    <row r="18452" customFormat="false" ht="15" hidden="false" customHeight="false" outlineLevel="0" collapsed="false">
      <c r="A18452" s="3" t="s">
        <v>533</v>
      </c>
      <c r="C18452" s="34" t="n">
        <f aca="false">MIN(C18393,100*CHOOSE(C18383,C18440,C18441,C18442))</f>
        <v>81.2751604731729</v>
      </c>
    </row>
    <row r="18453" customFormat="false" ht="15" hidden="false" customHeight="false" outlineLevel="0" collapsed="false">
      <c r="A18453" s="3" t="s">
        <v>534</v>
      </c>
      <c r="C18453" s="20" t="n">
        <f aca="false">IF(C18313=1,C18388+Assumptions!$C$39,C18387)</f>
        <v>3</v>
      </c>
    </row>
    <row r="18454" customFormat="false" ht="15" hidden="false" customHeight="false" outlineLevel="0" collapsed="false">
      <c r="A18454" s="23" t="s">
        <v>535</v>
      </c>
      <c r="B18454" s="24"/>
      <c r="C18454" s="24"/>
      <c r="D18454" s="24"/>
      <c r="E18454" s="24"/>
      <c r="F18454" s="24"/>
      <c r="G18454" s="24"/>
      <c r="H18454" s="24"/>
      <c r="I18454" s="24"/>
      <c r="J18454" s="24"/>
      <c r="K18454" s="24"/>
    </row>
    <row r="18455" customFormat="false" ht="15" hidden="false" customHeight="false" outlineLevel="0" collapsed="false">
      <c r="A18455" s="3" t="s">
        <v>536</v>
      </c>
      <c r="C18455" s="20" t="n">
        <f aca="false">COLUMN()-COLUMN($C$1)</f>
        <v>0</v>
      </c>
      <c r="D18455" s="20" t="n">
        <f aca="false">COLUMN()-COLUMN($C$1)</f>
        <v>1</v>
      </c>
      <c r="E18455" s="20" t="n">
        <f aca="false">COLUMN()-COLUMN($C$1)</f>
        <v>2</v>
      </c>
      <c r="F18455" s="20" t="n">
        <f aca="false">COLUMN()-COLUMN($C$1)</f>
        <v>3</v>
      </c>
      <c r="G18455" s="20" t="n">
        <f aca="false">COLUMN()-COLUMN($C$1)</f>
        <v>4</v>
      </c>
      <c r="H18455" s="20" t="n">
        <f aca="false">COLUMN()-COLUMN($C$1)</f>
        <v>5</v>
      </c>
      <c r="I18455" s="20" t="n">
        <f aca="false">COLUMN()-COLUMN($C$1)</f>
        <v>6</v>
      </c>
    </row>
    <row r="18456" customFormat="false" ht="15" hidden="false" customHeight="false" outlineLevel="0" collapsed="false">
      <c r="A18456" s="3" t="s">
        <v>537</v>
      </c>
      <c r="D18456" s="31" t="n">
        <f aca="false">CHOOSE($C$18383,G18196,G18209,G18222)</f>
        <v>0.105</v>
      </c>
      <c r="E18456" s="31" t="n">
        <f aca="false">CHOOSE($C$18383,H18196,H18209,H18222)</f>
        <v>0.105</v>
      </c>
      <c r="F18456" s="31" t="n">
        <f aca="false">CHOOSE($C$18383,I18196,I18209,I18222)</f>
        <v>0.105</v>
      </c>
      <c r="G18456" s="31" t="n">
        <f aca="false">CHOOSE($C$18383,J18196,J18209,J18222)</f>
        <v>0.105</v>
      </c>
      <c r="H18456" s="31" t="n">
        <f aca="false">CHOOSE($C$18383,K18196,K18209,K18222)</f>
        <v>0.105</v>
      </c>
    </row>
    <row r="18457" customFormat="false" ht="15" hidden="false" customHeight="false" outlineLevel="0" collapsed="false">
      <c r="A18457" s="3" t="s">
        <v>538</v>
      </c>
      <c r="D18457" s="25" t="n">
        <f aca="false">IF(D18455&lt;=$C$18392,$C$18384*D18456,0)</f>
        <v>10.5</v>
      </c>
      <c r="E18457" s="25" t="n">
        <f aca="false">IF(E18455&lt;=$C$18392,$C$18384*E18456,0)</f>
        <v>10.5</v>
      </c>
      <c r="F18457" s="25" t="n">
        <f aca="false">IF(F18455&lt;=$C$18392,$C$18384*F18456,0)</f>
        <v>10.5</v>
      </c>
      <c r="G18457" s="25" t="n">
        <f aca="false">IF(G18455&lt;=$C$18392,$C$18384*G18456,0)</f>
        <v>0</v>
      </c>
      <c r="H18457" s="25" t="n">
        <f aca="false">IF(H18455&lt;=$C$18392,$C$18384*H18456,0)</f>
        <v>0</v>
      </c>
    </row>
    <row r="18458" customFormat="false" ht="15" hidden="false" customHeight="false" outlineLevel="0" collapsed="false">
      <c r="A18458" s="3" t="s">
        <v>539</v>
      </c>
      <c r="D18458" s="25" t="n">
        <f aca="false">IF(AND($C$18313=0,D18455=$C$18387),$C$18384*$C$18452/100,0)+IF(AND($C$18313=1,D18455=$C$18453),$C$18390,0)</f>
        <v>0</v>
      </c>
      <c r="E18458" s="25" t="n">
        <f aca="false">IF(AND($C$18313=0,E18455=$C$18387),$C$18384*$C$18452/100,0)+IF(AND($C$18313=1,E18455=$C$18453),$C$18390,0)</f>
        <v>0</v>
      </c>
      <c r="F18458" s="25" t="n">
        <f aca="false">IF(AND($C$18313=0,F18455=$C$18387),$C$18384*$C$18452/100,0)+IF(AND($C$18313=1,F18455=$C$18453),$C$18390,0)</f>
        <v>81.2751604731729</v>
      </c>
      <c r="G18458" s="25" t="n">
        <f aca="false">IF(AND($C$18313=0,G18455=$C$18387),$C$18384*$C$18452/100,0)+IF(AND($C$18313=1,G18455=$C$18453),$C$18390,0)</f>
        <v>0</v>
      </c>
      <c r="H18458" s="25" t="n">
        <f aca="false">IF(AND($C$18313=0,H18455=$C$18387),$C$18384*$C$18452/100,0)+IF(AND($C$18313=1,H18455=$C$18453),$C$18390,0)</f>
        <v>0</v>
      </c>
      <c r="I18458" s="25" t="n">
        <f aca="false">IF(AND($C$18313=0,I18455=$C$18387),$C$18384*$C$18452/100,0)+IF(AND($C$18313=1,I18455=$C$18453),$C$18390,0)</f>
        <v>0</v>
      </c>
    </row>
    <row r="18459" customFormat="false" ht="15" hidden="false" customHeight="false" outlineLevel="0" collapsed="false">
      <c r="A18459" s="2" t="s">
        <v>540</v>
      </c>
      <c r="C18459" s="16" t="n">
        <f aca="false">-$C$18386</f>
        <v>-95</v>
      </c>
      <c r="D18459" s="16" t="n">
        <f aca="false">D18457+D18458</f>
        <v>10.5</v>
      </c>
      <c r="E18459" s="16" t="n">
        <f aca="false">E18457+E18458</f>
        <v>10.5</v>
      </c>
      <c r="F18459" s="16" t="n">
        <f aca="false">F18457+F18458</f>
        <v>91.7751604731729</v>
      </c>
      <c r="G18459" s="16" t="n">
        <f aca="false">G18457+G18458</f>
        <v>0</v>
      </c>
      <c r="H18459" s="16" t="n">
        <f aca="false">H18457+H18458</f>
        <v>0</v>
      </c>
      <c r="I18459" s="16" t="n">
        <f aca="false">I18457+I18458</f>
        <v>0</v>
      </c>
    </row>
    <row r="18460" customFormat="false" ht="15" hidden="false" customHeight="false" outlineLevel="0" collapsed="false">
      <c r="A18460" s="3" t="s">
        <v>541</v>
      </c>
      <c r="C18460" s="25" t="n">
        <f aca="false">SUM($C$18457:$I$18457)</f>
        <v>31.5</v>
      </c>
    </row>
    <row r="18461" customFormat="false" ht="15" hidden="false" customHeight="false" outlineLevel="0" collapsed="false">
      <c r="A18461" s="3" t="s">
        <v>542</v>
      </c>
      <c r="C18461" s="25" t="n">
        <f aca="false">SUM($C$18458:$I$18458)</f>
        <v>81.2751604731729</v>
      </c>
    </row>
    <row r="18462" customFormat="false" ht="15" hidden="false" customHeight="false" outlineLevel="0" collapsed="false">
      <c r="A18462" s="3" t="s">
        <v>543</v>
      </c>
      <c r="C18462" s="25" t="n">
        <f aca="false">C18460+C18461</f>
        <v>112.775160473173</v>
      </c>
    </row>
    <row r="18463" customFormat="false" ht="15" hidden="false" customHeight="false" outlineLevel="0" collapsed="false">
      <c r="A18463" s="3" t="s">
        <v>544</v>
      </c>
      <c r="C18463" s="25" t="n">
        <f aca="false">C18461-C18384*C18385/100</f>
        <v>-13.7248395268271</v>
      </c>
    </row>
    <row r="18464" customFormat="false" ht="15" hidden="false" customHeight="false" outlineLevel="0" collapsed="false">
      <c r="A18464" s="3" t="s">
        <v>545</v>
      </c>
      <c r="C18464" s="25" t="n">
        <f aca="false">C18462-C18386</f>
        <v>17.7751604731729</v>
      </c>
    </row>
    <row r="18465" customFormat="false" ht="15" hidden="false" customHeight="false" outlineLevel="0" collapsed="false">
      <c r="A18465" s="2" t="s">
        <v>427</v>
      </c>
      <c r="C18465" s="44" t="n">
        <f aca="false">C18462/C18386</f>
        <v>1.18710695234919</v>
      </c>
    </row>
    <row r="18466" customFormat="false" ht="15" hidden="false" customHeight="false" outlineLevel="0" collapsed="false">
      <c r="A18466" s="2" t="s">
        <v>426</v>
      </c>
      <c r="C18466" s="42" t="n">
        <f aca="false">IF(C18462&lt;=0,-1,IFERROR(IRR($C$18459:$I$18459,MAX(-0.9,C18465^(1/C18453)-1)),IRR($C$18459:$I$18459,0.1)))</f>
        <v>0.0653848807562152</v>
      </c>
    </row>
    <row r="18467" customFormat="false" ht="15" hidden="false" customHeight="false" outlineLevel="0" collapsed="false">
      <c r="A18467" s="3" t="s">
        <v>546</v>
      </c>
      <c r="C18467" s="32" t="n">
        <f aca="false">MAX($G$18273:$K$18273)</f>
        <v>7.33831226622703</v>
      </c>
    </row>
    <row r="18468" customFormat="false" ht="15" hidden="false" customHeight="false" outlineLevel="0" collapsed="false">
      <c r="A18468" s="3" t="s">
        <v>547</v>
      </c>
      <c r="C18468" s="32" t="n">
        <f aca="false">MIN($G$18274:$K$18274)</f>
        <v>1.18070192905498</v>
      </c>
    </row>
    <row r="18469" customFormat="false" ht="15" hidden="false" customHeight="false" outlineLevel="0" collapsed="false">
      <c r="A18469" s="3" t="s">
        <v>548</v>
      </c>
      <c r="C18469" s="25" t="n">
        <f aca="false">SUM($G$18180:$K$18180)</f>
        <v>75.1374128562126</v>
      </c>
    </row>
    <row r="18473" customFormat="false" ht="15" hidden="false" customHeight="false" outlineLevel="0" collapsed="false">
      <c r="A18473" s="9" t="s">
        <v>1071</v>
      </c>
      <c r="B18473" s="10"/>
      <c r="C18473" s="10"/>
      <c r="D18473" s="10"/>
      <c r="E18473" s="10"/>
      <c r="F18473" s="10"/>
      <c r="G18473" s="10"/>
      <c r="H18473" s="10"/>
      <c r="I18473" s="10"/>
      <c r="J18473" s="10"/>
      <c r="K18473" s="10"/>
    </row>
    <row r="18474" customFormat="false" ht="15" hidden="false" customHeight="false" outlineLevel="0" collapsed="false">
      <c r="A18474" s="3" t="s">
        <v>1010</v>
      </c>
      <c r="C18474" s="11" t="n">
        <v>2</v>
      </c>
    </row>
    <row r="18475" customFormat="false" ht="15" hidden="false" customHeight="false" outlineLevel="0" collapsed="false">
      <c r="A18475" s="3" t="s">
        <v>1011</v>
      </c>
      <c r="C18475" s="18" t="n">
        <v>0</v>
      </c>
    </row>
    <row r="18476" customFormat="false" ht="15" hidden="false" customHeight="false" outlineLevel="0" collapsed="false">
      <c r="A18476" s="3" t="s">
        <v>1012</v>
      </c>
      <c r="C18476" s="18" t="n">
        <v>0</v>
      </c>
    </row>
    <row r="18477" customFormat="false" ht="15" hidden="false" customHeight="false" outlineLevel="0" collapsed="false">
      <c r="A18477" s="3" t="s">
        <v>1013</v>
      </c>
      <c r="C18477" s="18" t="n">
        <v>0</v>
      </c>
    </row>
    <row r="18478" customFormat="false" ht="15" hidden="false" customHeight="false" outlineLevel="0" collapsed="false">
      <c r="A18478" s="3" t="s">
        <v>1014</v>
      </c>
      <c r="C18478" s="33" t="n">
        <f aca="false">Sensitivities!$A$64</f>
        <v>2</v>
      </c>
    </row>
    <row r="18480" customFormat="false" ht="15" hidden="false" customHeight="false" outlineLevel="0" collapsed="false">
      <c r="A18480" s="23" t="s">
        <v>281</v>
      </c>
      <c r="B18480" s="24"/>
      <c r="C18480" s="24"/>
      <c r="D18480" s="24"/>
      <c r="E18480" s="24"/>
      <c r="F18480" s="24"/>
      <c r="G18480" s="24"/>
      <c r="H18480" s="24"/>
      <c r="I18480" s="24"/>
      <c r="J18480" s="24"/>
      <c r="K18480" s="24"/>
    </row>
    <row r="18481" customFormat="false" ht="15" hidden="false" customHeight="false" outlineLevel="0" collapsed="false">
      <c r="A18481" s="3" t="s">
        <v>282</v>
      </c>
      <c r="F18481" s="27" t="n">
        <f aca="false">Assumptions!$C$6</f>
        <v>2026</v>
      </c>
      <c r="G18481" s="20" t="n">
        <f aca="false">F18481+1</f>
        <v>2027</v>
      </c>
      <c r="H18481" s="20" t="n">
        <f aca="false">G18481+1</f>
        <v>2028</v>
      </c>
      <c r="I18481" s="20" t="n">
        <f aca="false">H18481+1</f>
        <v>2029</v>
      </c>
      <c r="J18481" s="20" t="n">
        <f aca="false">I18481+1</f>
        <v>2030</v>
      </c>
      <c r="K18481" s="20" t="n">
        <f aca="false">J18481+1</f>
        <v>2031</v>
      </c>
    </row>
    <row r="18482" customFormat="false" ht="15" hidden="false" customHeight="false" outlineLevel="0" collapsed="false">
      <c r="A18482" s="3" t="s">
        <v>283</v>
      </c>
      <c r="G18482" s="20" t="n">
        <f aca="false">G18481-Assumptions!$C$6</f>
        <v>1</v>
      </c>
      <c r="H18482" s="20" t="n">
        <f aca="false">H18481-Assumptions!$C$6</f>
        <v>2</v>
      </c>
      <c r="I18482" s="20" t="n">
        <f aca="false">I18481-Assumptions!$C$6</f>
        <v>3</v>
      </c>
      <c r="J18482" s="20" t="n">
        <f aca="false">J18481-Assumptions!$C$6</f>
        <v>4</v>
      </c>
      <c r="K18482" s="20" t="n">
        <f aca="false">K18481-Assumptions!$C$6</f>
        <v>5</v>
      </c>
    </row>
    <row r="18483" customFormat="false" ht="15" hidden="false" customHeight="false" outlineLevel="0" collapsed="false">
      <c r="A18483" s="3" t="s">
        <v>165</v>
      </c>
      <c r="G18483" s="21" t="n">
        <f aca="false">CHOOSE($C$18474,Assumptions!$G$71,Assumptions!$G$90,Assumptions!$G$109)+$C$18475</f>
        <v>-0.08</v>
      </c>
      <c r="H18483" s="21" t="n">
        <f aca="false">CHOOSE($C$18474,Assumptions!$H$71,Assumptions!$H$90,Assumptions!$H$109)+$C$18475</f>
        <v>-0.07</v>
      </c>
      <c r="I18483" s="21" t="n">
        <f aca="false">CHOOSE($C$18474,Assumptions!$I$71,Assumptions!$I$90,Assumptions!$I$109)+$C$18475</f>
        <v>-0.06</v>
      </c>
      <c r="J18483" s="21" t="n">
        <f aca="false">CHOOSE($C$18474,Assumptions!$J$71,Assumptions!$J$90,Assumptions!$J$109)+$C$18475</f>
        <v>-0.05</v>
      </c>
      <c r="K18483" s="21" t="n">
        <f aca="false">CHOOSE($C$18474,Assumptions!$K$71,Assumptions!$K$90,Assumptions!$K$109)+$C$18475</f>
        <v>-0.05</v>
      </c>
    </row>
    <row r="18484" customFormat="false" ht="15" hidden="false" customHeight="false" outlineLevel="0" collapsed="false">
      <c r="A18484" s="3" t="s">
        <v>166</v>
      </c>
      <c r="G18484" s="21" t="n">
        <f aca="false">CHOOSE($C$18474,Assumptions!$G$72,Assumptions!$G$91,Assumptions!$G$110)</f>
        <v>0.463246670103635</v>
      </c>
      <c r="H18484" s="21" t="n">
        <f aca="false">CHOOSE($C$18474,Assumptions!$H$72,Assumptions!$H$91,Assumptions!$H$110)</f>
        <v>0.453246670103635</v>
      </c>
      <c r="I18484" s="21" t="n">
        <f aca="false">CHOOSE($C$18474,Assumptions!$I$72,Assumptions!$I$91,Assumptions!$I$110)</f>
        <v>0.448246670103634</v>
      </c>
      <c r="J18484" s="21" t="n">
        <f aca="false">CHOOSE($C$18474,Assumptions!$J$72,Assumptions!$J$91,Assumptions!$J$110)</f>
        <v>0.443246670103635</v>
      </c>
      <c r="K18484" s="21" t="n">
        <f aca="false">CHOOSE($C$18474,Assumptions!$K$72,Assumptions!$K$91,Assumptions!$K$110)</f>
        <v>0.443246670103635</v>
      </c>
    </row>
    <row r="18485" customFormat="false" ht="15" hidden="false" customHeight="false" outlineLevel="0" collapsed="false">
      <c r="A18485" s="3" t="s">
        <v>167</v>
      </c>
      <c r="G18485" s="21" t="n">
        <f aca="false">CHOOSE($C$18474,Assumptions!$G$73,Assumptions!$G$92,Assumptions!$G$111)+$C$18476</f>
        <v>0.12</v>
      </c>
      <c r="H18485" s="21" t="n">
        <f aca="false">CHOOSE($C$18474,Assumptions!$H$73,Assumptions!$H$92,Assumptions!$H$111)+$C$18476</f>
        <v>0.11</v>
      </c>
      <c r="I18485" s="21" t="n">
        <f aca="false">CHOOSE($C$18474,Assumptions!$I$73,Assumptions!$I$92,Assumptions!$I$111)+$C$18476</f>
        <v>0.105</v>
      </c>
      <c r="J18485" s="21" t="n">
        <f aca="false">CHOOSE($C$18474,Assumptions!$J$73,Assumptions!$J$92,Assumptions!$J$111)+$C$18476</f>
        <v>0.1</v>
      </c>
      <c r="K18485" s="21" t="n">
        <f aca="false">CHOOSE($C$18474,Assumptions!$K$73,Assumptions!$K$92,Assumptions!$K$111)+$C$18476</f>
        <v>0.1</v>
      </c>
    </row>
    <row r="18486" customFormat="false" ht="15" hidden="false" customHeight="false" outlineLevel="0" collapsed="false">
      <c r="A18486" s="23" t="s">
        <v>284</v>
      </c>
      <c r="B18486" s="24"/>
      <c r="C18486" s="24"/>
      <c r="D18486" s="24"/>
      <c r="E18486" s="24"/>
      <c r="F18486" s="24"/>
      <c r="G18486" s="24"/>
      <c r="H18486" s="24"/>
      <c r="I18486" s="24"/>
      <c r="J18486" s="24"/>
      <c r="K18486" s="24"/>
    </row>
    <row r="18487" customFormat="false" ht="15" hidden="false" customHeight="false" outlineLevel="0" collapsed="false">
      <c r="A18487" s="2" t="s">
        <v>256</v>
      </c>
      <c r="F18487" s="28" t="n">
        <f aca="false">'Historical Financials'!G23</f>
        <v>2246.166</v>
      </c>
      <c r="G18487" s="16" t="n">
        <f aca="false">F18487*(1+G18483)</f>
        <v>2066.47272</v>
      </c>
      <c r="H18487" s="16" t="n">
        <f aca="false">G18487*(1+H18483)</f>
        <v>1921.8196296</v>
      </c>
      <c r="I18487" s="16" t="n">
        <f aca="false">H18487*(1+I18483)</f>
        <v>1806.510451824</v>
      </c>
      <c r="J18487" s="16" t="n">
        <f aca="false">I18487*(1+J18483)</f>
        <v>1716.1849292328</v>
      </c>
      <c r="K18487" s="16" t="n">
        <f aca="false">J18487*(1+K18483)</f>
        <v>1630.37568277116</v>
      </c>
    </row>
    <row r="18488" customFormat="false" ht="15" hidden="false" customHeight="false" outlineLevel="0" collapsed="false">
      <c r="A18488" s="3" t="s">
        <v>257</v>
      </c>
      <c r="G18488" s="25" t="n">
        <f aca="false">G18487*(1-G18484)</f>
        <v>1109.1861136</v>
      </c>
      <c r="H18488" s="25" t="n">
        <f aca="false">H18487*(1-H18484)</f>
        <v>1050.761281944</v>
      </c>
      <c r="I18488" s="25" t="n">
        <f aca="false">I18487*(1-I18484)</f>
        <v>996.74815728648</v>
      </c>
      <c r="J18488" s="25" t="n">
        <f aca="false">J18487*(1-J18484)</f>
        <v>955.49167406832</v>
      </c>
      <c r="K18488" s="25" t="n">
        <f aca="false">K18487*(1-K18484)</f>
        <v>907.717090364904</v>
      </c>
    </row>
    <row r="18489" customFormat="false" ht="15" hidden="false" customHeight="false" outlineLevel="0" collapsed="false">
      <c r="A18489" s="2" t="s">
        <v>258</v>
      </c>
      <c r="G18489" s="16" t="n">
        <f aca="false">G18487-G18488</f>
        <v>957.2866064</v>
      </c>
      <c r="H18489" s="16" t="n">
        <f aca="false">H18487-H18488</f>
        <v>871.058347656</v>
      </c>
      <c r="I18489" s="16" t="n">
        <f aca="false">I18487-I18488</f>
        <v>809.76229453752</v>
      </c>
      <c r="J18489" s="16" t="n">
        <f aca="false">J18487-J18488</f>
        <v>760.69325516448</v>
      </c>
      <c r="K18489" s="16" t="n">
        <f aca="false">K18487-K18488</f>
        <v>722.658592406256</v>
      </c>
    </row>
    <row r="18490" customFormat="false" ht="15" hidden="false" customHeight="false" outlineLevel="0" collapsed="false">
      <c r="A18490" s="3" t="s">
        <v>285</v>
      </c>
      <c r="G18490" s="25" t="n">
        <f aca="false">G18489-G18491</f>
        <v>709.30988</v>
      </c>
      <c r="H18490" s="25" t="n">
        <f aca="false">H18489-H18491</f>
        <v>659.6581884</v>
      </c>
      <c r="I18490" s="25" t="n">
        <f aca="false">I18489-I18491</f>
        <v>620.078697096</v>
      </c>
      <c r="J18490" s="25" t="n">
        <f aca="false">J18489-J18491</f>
        <v>589.0747622412</v>
      </c>
      <c r="K18490" s="25" t="n">
        <f aca="false">K18489-K18491</f>
        <v>559.62102412914</v>
      </c>
    </row>
    <row r="18491" customFormat="false" ht="15" hidden="false" customHeight="false" outlineLevel="0" collapsed="false">
      <c r="A18491" s="2" t="s">
        <v>286</v>
      </c>
      <c r="G18491" s="16" t="n">
        <f aca="false">G18487*G18485</f>
        <v>247.9767264</v>
      </c>
      <c r="H18491" s="16" t="n">
        <f aca="false">H18487*H18485</f>
        <v>211.400159256</v>
      </c>
      <c r="I18491" s="16" t="n">
        <f aca="false">I18487*I18485</f>
        <v>189.68359744152</v>
      </c>
      <c r="J18491" s="16" t="n">
        <f aca="false">J18487*J18485</f>
        <v>171.61849292328</v>
      </c>
      <c r="K18491" s="16" t="n">
        <f aca="false">K18487*K18485</f>
        <v>163.037568277116</v>
      </c>
    </row>
    <row r="18492" customFormat="false" ht="15" hidden="false" customHeight="false" outlineLevel="0" collapsed="false">
      <c r="A18492" s="3" t="s">
        <v>287</v>
      </c>
      <c r="G18492" s="25" t="n">
        <f aca="false">G18487*'Historical Financials'!G28/'Historical Financials'!G23</f>
        <v>78.47232</v>
      </c>
      <c r="H18492" s="25" t="n">
        <f aca="false">H18487*'Historical Financials'!G28/'Historical Financials'!G23</f>
        <v>72.9792576</v>
      </c>
      <c r="I18492" s="25" t="n">
        <f aca="false">I18487*'Historical Financials'!G28/'Historical Financials'!G23</f>
        <v>68.600502144</v>
      </c>
      <c r="J18492" s="25" t="n">
        <f aca="false">J18487*'Historical Financials'!G28/'Historical Financials'!G23</f>
        <v>65.1704770368</v>
      </c>
      <c r="K18492" s="25" t="n">
        <f aca="false">K18487*'Historical Financials'!G28/'Historical Financials'!G23</f>
        <v>61.91195318496</v>
      </c>
    </row>
    <row r="18493" customFormat="false" ht="15" hidden="false" customHeight="false" outlineLevel="0" collapsed="false">
      <c r="A18493" s="3" t="s">
        <v>288</v>
      </c>
      <c r="G18493" s="25" t="n">
        <f aca="false">G18487*'Historical Financials'!G29/'Historical Financials'!G23</f>
        <v>22.40752</v>
      </c>
      <c r="H18493" s="25" t="n">
        <f aca="false">H18487*'Historical Financials'!G29/'Historical Financials'!G23</f>
        <v>20.8389936</v>
      </c>
      <c r="I18493" s="25" t="n">
        <f aca="false">I18487*'Historical Financials'!G29/'Historical Financials'!G23</f>
        <v>19.588653984</v>
      </c>
      <c r="J18493" s="25" t="n">
        <f aca="false">J18487*'Historical Financials'!G29/'Historical Financials'!G23</f>
        <v>18.6092212848</v>
      </c>
      <c r="K18493" s="25" t="n">
        <f aca="false">K18487*'Historical Financials'!G29/'Historical Financials'!G23</f>
        <v>17.67876022056</v>
      </c>
    </row>
    <row r="18494" customFormat="false" ht="15" hidden="false" customHeight="false" outlineLevel="0" collapsed="false">
      <c r="A18494" s="2" t="s">
        <v>289</v>
      </c>
      <c r="G18494" s="16" t="n">
        <f aca="false">G18491-G18492-G18493</f>
        <v>147.0968864</v>
      </c>
      <c r="H18494" s="16" t="n">
        <f aca="false">H18491-H18492-H18493</f>
        <v>117.581908056</v>
      </c>
      <c r="I18494" s="16" t="n">
        <f aca="false">I18491-I18492-I18493</f>
        <v>101.49444131352</v>
      </c>
      <c r="J18494" s="16" t="n">
        <f aca="false">J18491-J18492-J18493</f>
        <v>87.83879460168</v>
      </c>
      <c r="K18494" s="16" t="n">
        <f aca="false">K18491-K18492-K18493</f>
        <v>83.446854871596</v>
      </c>
    </row>
    <row r="18495" customFormat="false" ht="15" hidden="false" customHeight="false" outlineLevel="0" collapsed="false">
      <c r="A18495" s="3" t="s">
        <v>290</v>
      </c>
      <c r="G18495" s="25" t="n">
        <f aca="false">G18521+G18534+G18547</f>
        <v>155.95467</v>
      </c>
      <c r="H18495" s="25" t="n">
        <f aca="false">H18521+H18534+H18547</f>
        <v>155.95467</v>
      </c>
      <c r="I18495" s="25" t="n">
        <f aca="false">I18521+I18534+I18547</f>
        <v>155.95467</v>
      </c>
      <c r="J18495" s="25" t="n">
        <f aca="false">J18521+J18534+J18547</f>
        <v>138.08529</v>
      </c>
      <c r="K18495" s="25" t="n">
        <f aca="false">K18521+K18534+K18547</f>
        <v>138.08529</v>
      </c>
    </row>
    <row r="18496" customFormat="false" ht="15" hidden="false" customHeight="false" outlineLevel="0" collapsed="false">
      <c r="A18496" s="3" t="s">
        <v>291</v>
      </c>
      <c r="G18496" s="25" t="n">
        <f aca="false">G18522+G18535+G18548</f>
        <v>0</v>
      </c>
      <c r="H18496" s="25" t="n">
        <f aca="false">H18522+H18535+H18548</f>
        <v>0</v>
      </c>
      <c r="I18496" s="25" t="n">
        <f aca="false">I18522+I18535+I18548</f>
        <v>0</v>
      </c>
      <c r="J18496" s="25" t="n">
        <f aca="false">J18522+J18535+J18548</f>
        <v>0</v>
      </c>
      <c r="K18496" s="25" t="n">
        <f aca="false">K18522+K18535+K18548</f>
        <v>0</v>
      </c>
    </row>
    <row r="18497" customFormat="false" ht="15" hidden="false" customHeight="false" outlineLevel="0" collapsed="false">
      <c r="A18497" s="3" t="s">
        <v>239</v>
      </c>
      <c r="G18497" s="25" t="n">
        <f aca="false">G18495+G18496</f>
        <v>155.95467</v>
      </c>
      <c r="H18497" s="25" t="n">
        <f aca="false">H18495+H18496</f>
        <v>155.95467</v>
      </c>
      <c r="I18497" s="25" t="n">
        <f aca="false">I18495+I18496</f>
        <v>155.95467</v>
      </c>
      <c r="J18497" s="25" t="n">
        <f aca="false">J18495+J18496</f>
        <v>138.08529</v>
      </c>
      <c r="K18497" s="25" t="n">
        <f aca="false">K18495+K18496</f>
        <v>138.08529</v>
      </c>
    </row>
    <row r="18498" customFormat="false" ht="15" hidden="false" customHeight="false" outlineLevel="0" collapsed="false">
      <c r="A18498" s="2" t="s">
        <v>264</v>
      </c>
      <c r="G18498" s="16" t="n">
        <f aca="false">G18494-G18497</f>
        <v>-8.85778360000006</v>
      </c>
      <c r="H18498" s="16" t="n">
        <f aca="false">H18494-H18497</f>
        <v>-38.372761944</v>
      </c>
      <c r="I18498" s="16" t="n">
        <f aca="false">I18494-I18497</f>
        <v>-54.46022868648</v>
      </c>
      <c r="J18498" s="16" t="n">
        <f aca="false">J18494-J18497</f>
        <v>-50.24649539832</v>
      </c>
      <c r="K18498" s="16" t="n">
        <f aca="false">K18494-K18497</f>
        <v>-54.638435128404</v>
      </c>
    </row>
    <row r="18499" customFormat="false" ht="15" hidden="false" customHeight="false" outlineLevel="0" collapsed="false">
      <c r="A18499" s="3" t="s">
        <v>292</v>
      </c>
      <c r="G18499" s="25" t="n">
        <f aca="false">MAX(0,G18498)*Assumptions!$C$9</f>
        <v>0</v>
      </c>
      <c r="H18499" s="25" t="n">
        <f aca="false">MAX(0,H18498)*Assumptions!$C$9</f>
        <v>0</v>
      </c>
      <c r="I18499" s="25" t="n">
        <f aca="false">MAX(0,I18498)*Assumptions!$C$9</f>
        <v>0</v>
      </c>
      <c r="J18499" s="25" t="n">
        <f aca="false">MAX(0,J18498)*Assumptions!$C$9</f>
        <v>0</v>
      </c>
      <c r="K18499" s="25" t="n">
        <f aca="false">MAX(0,K18498)*Assumptions!$C$9</f>
        <v>0</v>
      </c>
    </row>
    <row r="18500" customFormat="false" ht="15" hidden="false" customHeight="false" outlineLevel="0" collapsed="false">
      <c r="A18500" s="2" t="s">
        <v>293</v>
      </c>
      <c r="G18500" s="16" t="n">
        <f aca="false">G18498-G18499</f>
        <v>-8.85778360000006</v>
      </c>
      <c r="H18500" s="16" t="n">
        <f aca="false">H18498-H18499</f>
        <v>-38.372761944</v>
      </c>
      <c r="I18500" s="16" t="n">
        <f aca="false">I18498-I18499</f>
        <v>-54.46022868648</v>
      </c>
      <c r="J18500" s="16" t="n">
        <f aca="false">J18498-J18499</f>
        <v>-50.24649539832</v>
      </c>
      <c r="K18500" s="16" t="n">
        <f aca="false">K18498-K18499</f>
        <v>-54.638435128404</v>
      </c>
    </row>
    <row r="18501" customFormat="false" ht="15" hidden="false" customHeight="false" outlineLevel="0" collapsed="false">
      <c r="A18501" s="23" t="s">
        <v>294</v>
      </c>
      <c r="B18501" s="24"/>
      <c r="C18501" s="24"/>
      <c r="D18501" s="24"/>
      <c r="E18501" s="24"/>
      <c r="F18501" s="24"/>
      <c r="G18501" s="24"/>
      <c r="H18501" s="24"/>
      <c r="I18501" s="24"/>
      <c r="J18501" s="24"/>
      <c r="K18501" s="24"/>
    </row>
    <row r="18502" customFormat="false" ht="15" hidden="false" customHeight="false" outlineLevel="0" collapsed="false">
      <c r="A18502" s="3" t="s">
        <v>169</v>
      </c>
      <c r="G18502" s="25" t="n">
        <f aca="false">G18487*CHOOSE($C$18474,Assumptions!$C$75,Assumptions!$C$94,Assumptions!$C$113)</f>
        <v>26.86414536</v>
      </c>
      <c r="H18502" s="25" t="n">
        <f aca="false">H18487*CHOOSE($C$18474,Assumptions!$C$75,Assumptions!$C$94,Assumptions!$C$113)</f>
        <v>24.9836551848</v>
      </c>
      <c r="I18502" s="25" t="n">
        <f aca="false">I18487*CHOOSE($C$18474,Assumptions!$C$75,Assumptions!$C$94,Assumptions!$C$113)</f>
        <v>23.484635873712</v>
      </c>
      <c r="J18502" s="25" t="n">
        <f aca="false">J18487*CHOOSE($C$18474,Assumptions!$C$75,Assumptions!$C$94,Assumptions!$C$113)</f>
        <v>22.3104040800264</v>
      </c>
      <c r="K18502" s="25" t="n">
        <f aca="false">K18487*CHOOSE($C$18474,Assumptions!$C$75,Assumptions!$C$94,Assumptions!$C$113)</f>
        <v>21.1948838760251</v>
      </c>
    </row>
    <row r="18503" customFormat="false" ht="15" hidden="false" customHeight="false" outlineLevel="0" collapsed="false">
      <c r="A18503" s="3" t="s">
        <v>295</v>
      </c>
      <c r="G18503" s="25" t="n">
        <f aca="false">CHOOSE($C$18474,Assumptions!$C$76,Assumptions!$C$95,Assumptions!$C$114)*(G18487-F18487)+CHOOSE($C$18474,Assumptions!$C$77,Assumptions!$C$96,Assumptions!$C$115)*G18487</f>
        <v>10.3323636</v>
      </c>
      <c r="H18503" s="25" t="n">
        <f aca="false">CHOOSE($C$18474,Assumptions!$C$76,Assumptions!$C$95,Assumptions!$C$114)*(H18487-G18487)+CHOOSE($C$18474,Assumptions!$C$77,Assumptions!$C$96,Assumptions!$C$115)*H18487</f>
        <v>9.609098148</v>
      </c>
      <c r="I18503" s="25" t="n">
        <f aca="false">CHOOSE($C$18474,Assumptions!$C$76,Assumptions!$C$95,Assumptions!$C$114)*(I18487-H18487)+CHOOSE($C$18474,Assumptions!$C$77,Assumptions!$C$96,Assumptions!$C$115)*I18487</f>
        <v>9.03255225912</v>
      </c>
      <c r="J18503" s="25" t="n">
        <f aca="false">CHOOSE($C$18474,Assumptions!$C$76,Assumptions!$C$95,Assumptions!$C$114)*(J18487-I18487)+CHOOSE($C$18474,Assumptions!$C$77,Assumptions!$C$96,Assumptions!$C$115)*J18487</f>
        <v>8.580924646164</v>
      </c>
      <c r="K18503" s="25" t="n">
        <f aca="false">CHOOSE($C$18474,Assumptions!$C$76,Assumptions!$C$95,Assumptions!$C$114)*(K18487-J18487)+CHOOSE($C$18474,Assumptions!$C$77,Assumptions!$C$96,Assumptions!$C$115)*K18487</f>
        <v>8.1518784138558</v>
      </c>
    </row>
    <row r="18504" customFormat="false" ht="15" hidden="false" customHeight="false" outlineLevel="0" collapsed="false">
      <c r="A18504" s="2" t="s">
        <v>296</v>
      </c>
      <c r="G18504" s="16" t="n">
        <f aca="false">G18500+G18492+G18493+G18496-G18502-G18503</f>
        <v>54.8255474399999</v>
      </c>
      <c r="H18504" s="16" t="n">
        <f aca="false">H18500+H18492+H18493+H18496-H18502-H18503</f>
        <v>20.8527359232</v>
      </c>
      <c r="I18504" s="16" t="n">
        <f aca="false">I18500+I18492+I18493+I18496-I18502-I18503</f>
        <v>1.21173930868796</v>
      </c>
      <c r="J18504" s="16" t="n">
        <f aca="false">J18500+J18492+J18493+J18496-J18502-J18503</f>
        <v>2.6418741970896</v>
      </c>
      <c r="K18504" s="16" t="n">
        <f aca="false">K18500+K18492+K18493+K18496-K18502-K18503</f>
        <v>-4.39448401276491</v>
      </c>
    </row>
    <row r="18506" customFormat="false" ht="15" hidden="false" customHeight="false" outlineLevel="0" collapsed="false">
      <c r="A18506" s="23" t="s">
        <v>298</v>
      </c>
      <c r="B18506" s="24"/>
      <c r="C18506" s="24"/>
      <c r="D18506" s="24"/>
      <c r="E18506" s="24"/>
      <c r="F18506" s="24"/>
      <c r="G18506" s="24"/>
      <c r="H18506" s="24"/>
      <c r="I18506" s="24"/>
      <c r="J18506" s="24"/>
      <c r="K18506" s="24"/>
    </row>
    <row r="18507" customFormat="false" ht="15" hidden="false" customHeight="false" outlineLevel="0" collapsed="false">
      <c r="A18507" s="3" t="s">
        <v>299</v>
      </c>
      <c r="G18507" s="30" t="n">
        <f aca="false">Assumptions!$G$52</f>
        <v>0.039</v>
      </c>
      <c r="H18507" s="30" t="n">
        <f aca="false">Assumptions!$H$52</f>
        <v>0.0375</v>
      </c>
      <c r="I18507" s="30" t="n">
        <f aca="false">Assumptions!$I$52</f>
        <v>0.035</v>
      </c>
      <c r="J18507" s="30" t="n">
        <f aca="false">Assumptions!$J$52</f>
        <v>0.035</v>
      </c>
      <c r="K18507" s="30" t="n">
        <f aca="false">Assumptions!$K$52</f>
        <v>0.035</v>
      </c>
    </row>
    <row r="18508" customFormat="false" ht="15" hidden="false" customHeight="false" outlineLevel="0" collapsed="false">
      <c r="A18508" s="3" t="s">
        <v>300</v>
      </c>
      <c r="C18508" s="31" t="n">
        <f aca="false">CHOOSE($C$18474,Assumptions!$C$78,Assumptions!$C$97,Assumptions!$C$116)+$C$18477</f>
        <v>0.015</v>
      </c>
    </row>
    <row r="18509" customFormat="false" ht="15" hidden="false" customHeight="false" outlineLevel="0" collapsed="false">
      <c r="A18509" s="3" t="s">
        <v>301</v>
      </c>
      <c r="C18509" s="31" t="n">
        <f aca="false">CHOOSE($C$18474,Assumptions!$C$79,Assumptions!$C$98,Assumptions!$C$117)</f>
        <v>0.13</v>
      </c>
    </row>
    <row r="18510" customFormat="false" ht="15" hidden="false" customHeight="false" outlineLevel="0" collapsed="false">
      <c r="A18510" s="3" t="s">
        <v>302</v>
      </c>
      <c r="C18510" s="32" t="n">
        <f aca="false">CHOOSE($C$18474,Assumptions!$C$80,Assumptions!$C$99,Assumptions!$C$118)</f>
        <v>5.5</v>
      </c>
    </row>
    <row r="18511" customFormat="false" ht="15" hidden="false" customHeight="false" outlineLevel="0" collapsed="false">
      <c r="A18511" s="3" t="s">
        <v>303</v>
      </c>
      <c r="C18511" s="32" t="n">
        <f aca="false">CHOOSE($C$18474,Assumptions!$C$81,Assumptions!$C$100,Assumptions!$C$119)</f>
        <v>1.5</v>
      </c>
    </row>
    <row r="18512" customFormat="false" ht="15" hidden="false" customHeight="false" outlineLevel="0" collapsed="false">
      <c r="A18512" s="3" t="s">
        <v>304</v>
      </c>
      <c r="G18512" s="25" t="n">
        <f aca="false">G18517+G18530+G18543</f>
        <v>1735.554</v>
      </c>
      <c r="H18512" s="25" t="n">
        <f aca="false">H18517+H18530+H18543</f>
        <v>1735.554</v>
      </c>
      <c r="I18512" s="25" t="n">
        <f aca="false">I18517+I18530+I18543</f>
        <v>1735.554</v>
      </c>
      <c r="J18512" s="25" t="n">
        <f aca="false">J18517+J18530+J18543</f>
        <v>1315.098</v>
      </c>
      <c r="K18512" s="25" t="n">
        <f aca="false">K18517+K18530+K18543</f>
        <v>1315.098</v>
      </c>
    </row>
    <row r="18513" customFormat="false" ht="15" hidden="false" customHeight="false" outlineLevel="0" collapsed="false">
      <c r="A18513" s="3" t="s">
        <v>305</v>
      </c>
      <c r="G18513" s="25" t="n">
        <f aca="false">F18586</f>
        <v>463.996</v>
      </c>
      <c r="H18513" s="25" t="n">
        <f aca="false">G18586</f>
        <v>518.82154744</v>
      </c>
      <c r="I18513" s="25" t="n">
        <f aca="false">H18586</f>
        <v>539.6742833632</v>
      </c>
      <c r="J18513" s="25" t="n">
        <f aca="false">I18586</f>
        <v>120.430022671888</v>
      </c>
      <c r="K18513" s="25" t="n">
        <f aca="false">J18586</f>
        <v>123.071896868977</v>
      </c>
    </row>
    <row r="18514" customFormat="false" ht="15" hidden="false" customHeight="false" outlineLevel="0" collapsed="false">
      <c r="A18514" s="3" t="s">
        <v>306</v>
      </c>
      <c r="G18514" s="25" t="n">
        <f aca="false">G18517*IF(G18518=1,$C$18509,IF(Assumptions!$I$56=1,MAX(G18507,Assumptions!$G$56)+Assumptions!$F$56+$C$18508,Assumptions!$E$56))+G18530*IF(G18531=1,$C$18509,IF(Assumptions!$I$57=1,MAX(G18507,Assumptions!$G$57)+Assumptions!$F$57+$C$18508,Assumptions!$E$57))+G18543*IF(G18544=1,$C$18509,IF(Assumptions!$I$58=1,MAX(G18507,Assumptions!$G$58)+Assumptions!$F$58+$C$18508,Assumptions!$E$58))</f>
        <v>155.95467</v>
      </c>
      <c r="H18514" s="25" t="n">
        <f aca="false">H18517*IF(OR(H18518=1,G18664=1),$C$18509,IF(Assumptions!$I$56=1,MAX(H18507,Assumptions!$G$56)+Assumptions!$F$56+$C$18508,Assumptions!$E$56))+H18530*IF(OR(H18531=1,G18665=1),$C$18509,IF(Assumptions!$I$57=1,MAX(H18507,Assumptions!$G$57)+Assumptions!$F$57+$C$18508,Assumptions!$E$57))+H18543*IF(OR(H18544=1,G18666=1),$C$18509,IF(Assumptions!$I$58=1,MAX(H18507,Assumptions!$G$58)+Assumptions!$F$58+$C$18508,Assumptions!$E$58))</f>
        <v>155.95467</v>
      </c>
      <c r="I18514" s="25" t="n">
        <f aca="false">I18517*IF(OR(I18518=1,H18664=1),$C$18509,IF(Assumptions!$I$56=1,MAX(I18507,Assumptions!$G$56)+Assumptions!$F$56+$C$18508,Assumptions!$E$56))+I18530*IF(OR(I18531=1,H18665=1),$C$18509,IF(Assumptions!$I$57=1,MAX(I18507,Assumptions!$G$57)+Assumptions!$F$57+$C$18508,Assumptions!$E$57))+I18543*IF(OR(I18544=1,H18666=1),$C$18509,IF(Assumptions!$I$58=1,MAX(I18507,Assumptions!$G$58)+Assumptions!$F$58+$C$18508,Assumptions!$E$58))</f>
        <v>192.74457</v>
      </c>
      <c r="J18514" s="25" t="n">
        <f aca="false">J18517*IF(OR(J18518=1,I18664=1),$C$18509,IF(Assumptions!$I$56=1,MAX(J18507,Assumptions!$G$56)+Assumptions!$F$56+$C$18508,Assumptions!$E$56))+J18530*IF(OR(J18531=1,I18665=1),$C$18509,IF(Assumptions!$I$57=1,MAX(J18507,Assumptions!$G$57)+Assumptions!$F$57+$C$18508,Assumptions!$E$57))+J18543*IF(OR(J18544=1,I18666=1),$C$18509,IF(Assumptions!$I$58=1,MAX(J18507,Assumptions!$G$58)+Assumptions!$F$58+$C$18508,Assumptions!$E$58))</f>
        <v>138.08529</v>
      </c>
      <c r="K18514" s="25" t="n">
        <f aca="false">K18517*IF(OR(K18518=1,J18664=1),$C$18509,IF(Assumptions!$I$56=1,MAX(K18507,Assumptions!$G$56)+Assumptions!$F$56+$C$18508,Assumptions!$E$56))+K18530*IF(OR(K18531=1,J18665=1),$C$18509,IF(Assumptions!$I$57=1,MAX(K18507,Assumptions!$G$57)+Assumptions!$F$57+$C$18508,Assumptions!$E$57))+K18543*IF(OR(K18544=1,J18666=1),$C$18509,IF(Assumptions!$I$58=1,MAX(K18507,Assumptions!$G$58)+Assumptions!$F$58+$C$18508,Assumptions!$E$58))</f>
        <v>138.08529</v>
      </c>
    </row>
    <row r="18515" customFormat="false" ht="15" hidden="false" customHeight="false" outlineLevel="0" collapsed="false">
      <c r="A18515" s="3" t="s">
        <v>307</v>
      </c>
      <c r="G18515" s="20" t="n">
        <f aca="false">IF(G18491&lt;=0,0,IF(AND((G18512-G18513)/G18491&lt;=$C$18510,G18491/G18514&gt;=$C$18511),1,0))</f>
        <v>1</v>
      </c>
      <c r="H18515" s="20" t="n">
        <f aca="false">IF(H18491&lt;=0,0,IF(AND((H18512-H18513)/H18491&lt;=$C$18510,H18491/H18514&gt;=$C$18511),1,0))</f>
        <v>0</v>
      </c>
      <c r="I18515" s="20" t="n">
        <f aca="false">IF(I18491&lt;=0,0,IF(AND((I18512-I18513)/I18491&lt;=$C$18510,I18491/I18514&gt;=$C$18511),1,0))</f>
        <v>0</v>
      </c>
      <c r="J18515" s="20" t="n">
        <f aca="false">IF(J18491&lt;=0,0,IF(AND((J18512-J18513)/J18491&lt;=$C$18510,J18491/J18514&gt;=$C$18511),1,0))</f>
        <v>0</v>
      </c>
      <c r="K18515" s="20" t="n">
        <f aca="false">IF(K18491&lt;=0,0,IF(AND((K18512-K18513)/K18491&lt;=$C$18510,K18491/K18514&gt;=$C$18511),1,0))</f>
        <v>0</v>
      </c>
    </row>
    <row r="18516" customFormat="false" ht="15" hidden="false" customHeight="false" outlineLevel="0" collapsed="false">
      <c r="A18516" s="23" t="s">
        <v>308</v>
      </c>
      <c r="B18516" s="24"/>
      <c r="C18516" s="24"/>
      <c r="D18516" s="24"/>
      <c r="E18516" s="24"/>
      <c r="F18516" s="24"/>
      <c r="G18516" s="24"/>
      <c r="H18516" s="24"/>
      <c r="I18516" s="24"/>
      <c r="J18516" s="24"/>
      <c r="K18516" s="24"/>
    </row>
    <row r="18517" customFormat="false" ht="15" hidden="false" customHeight="false" outlineLevel="0" collapsed="false">
      <c r="A18517" s="3" t="s">
        <v>309</v>
      </c>
      <c r="G18517" s="25" t="n">
        <f aca="false">F18528</f>
        <v>1315.098</v>
      </c>
      <c r="H18517" s="25" t="n">
        <f aca="false">G18528</f>
        <v>1315.098</v>
      </c>
      <c r="I18517" s="25" t="n">
        <f aca="false">H18528</f>
        <v>1315.098</v>
      </c>
      <c r="J18517" s="25" t="n">
        <f aca="false">I18528</f>
        <v>1315.098</v>
      </c>
      <c r="K18517" s="25" t="n">
        <f aca="false">J18528</f>
        <v>1315.098</v>
      </c>
    </row>
    <row r="18518" customFormat="false" ht="15" hidden="false" customHeight="false" outlineLevel="0" collapsed="false">
      <c r="A18518" s="3" t="s">
        <v>310</v>
      </c>
      <c r="G18518" s="20" t="n">
        <f aca="false">IF(G18481=Assumptions!$K$56,1,0)</f>
        <v>0</v>
      </c>
      <c r="H18518" s="20" t="n">
        <f aca="false">IF(H18481=Assumptions!$K$56,1,0)</f>
        <v>0</v>
      </c>
      <c r="I18518" s="20" t="n">
        <f aca="false">IF(I18481=Assumptions!$K$56,1,0)</f>
        <v>0</v>
      </c>
      <c r="J18518" s="20" t="n">
        <f aca="false">IF(J18481=Assumptions!$K$56,1,0)</f>
        <v>0</v>
      </c>
      <c r="K18518" s="20" t="n">
        <f aca="false">IF(K18481=Assumptions!$K$56,1,0)</f>
        <v>0</v>
      </c>
    </row>
    <row r="18520" customFormat="false" ht="15" hidden="false" customHeight="false" outlineLevel="0" collapsed="false">
      <c r="A18520" s="3" t="s">
        <v>311</v>
      </c>
      <c r="G18520" s="31" t="n">
        <f aca="false">IF(Assumptions!$I$56=1,MAX(G18507,Assumptions!$G$56)+Assumptions!$F$56+$C$18508,Assumptions!$E$56)</f>
        <v>0.105</v>
      </c>
      <c r="H18520" s="31" t="n">
        <f aca="false">IF(G18664=1,$C$18509,IF(Assumptions!$I$56=1,MAX(H18507,Assumptions!$G$56)+Assumptions!$F$56+$C$18508,Assumptions!$E$56))</f>
        <v>0.105</v>
      </c>
      <c r="I18520" s="31" t="n">
        <f aca="false">IF(H18664=1,$C$18509,IF(Assumptions!$I$56=1,MAX(I18507,Assumptions!$G$56)+Assumptions!$F$56+$C$18508,Assumptions!$E$56))</f>
        <v>0.105</v>
      </c>
      <c r="J18520" s="31" t="n">
        <f aca="false">IF(I18664=1,$C$18509,IF(Assumptions!$I$56=1,MAX(J18507,Assumptions!$G$56)+Assumptions!$F$56+$C$18508,Assumptions!$E$56))</f>
        <v>0.105</v>
      </c>
      <c r="K18520" s="31" t="n">
        <f aca="false">IF(J18664=1,$C$18509,IF(Assumptions!$I$56=1,MAX(K18507,Assumptions!$G$56)+Assumptions!$F$56+$C$18508,Assumptions!$E$56))</f>
        <v>0.105</v>
      </c>
    </row>
    <row r="18521" customFormat="false" ht="15" hidden="false" customHeight="false" outlineLevel="0" collapsed="false">
      <c r="A18521" s="3" t="s">
        <v>312</v>
      </c>
      <c r="G18521" s="25" t="n">
        <f aca="false">G18517*G18520</f>
        <v>138.08529</v>
      </c>
      <c r="H18521" s="25" t="n">
        <f aca="false">H18517*H18520</f>
        <v>138.08529</v>
      </c>
      <c r="I18521" s="25" t="n">
        <f aca="false">I18517*I18520</f>
        <v>138.08529</v>
      </c>
      <c r="J18521" s="25" t="n">
        <f aca="false">J18517*J18520</f>
        <v>138.08529</v>
      </c>
      <c r="K18521" s="25" t="n">
        <f aca="false">K18517*K18520</f>
        <v>138.08529</v>
      </c>
    </row>
    <row r="18522" customFormat="false" ht="15" hidden="false" customHeight="false" outlineLevel="0" collapsed="false">
      <c r="A18522" s="3" t="s">
        <v>313</v>
      </c>
      <c r="G18522" s="25" t="n">
        <f aca="false">G18517*Assumptions!$H$56</f>
        <v>0</v>
      </c>
      <c r="H18522" s="25" t="n">
        <f aca="false">H18517*Assumptions!$H$56</f>
        <v>0</v>
      </c>
      <c r="I18522" s="25" t="n">
        <f aca="false">I18517*Assumptions!$H$56</f>
        <v>0</v>
      </c>
      <c r="J18522" s="25" t="n">
        <f aca="false">J18517*Assumptions!$H$56</f>
        <v>0</v>
      </c>
      <c r="K18522" s="25" t="n">
        <f aca="false">K18517*Assumptions!$H$56</f>
        <v>0</v>
      </c>
    </row>
    <row r="18523" customFormat="false" ht="15" hidden="false" customHeight="false" outlineLevel="0" collapsed="false">
      <c r="A18523" s="3" t="s">
        <v>314</v>
      </c>
      <c r="G18523" s="25" t="n">
        <f aca="false">MIN(G18517,Assumptions!$L$56*Assumptions!$C$56)</f>
        <v>0</v>
      </c>
      <c r="H18523" s="25" t="n">
        <f aca="false">MIN(H18517,Assumptions!$L$56*Assumptions!$C$56)</f>
        <v>0</v>
      </c>
      <c r="I18523" s="25" t="n">
        <f aca="false">MIN(I18517,Assumptions!$L$56*Assumptions!$C$56)</f>
        <v>0</v>
      </c>
      <c r="J18523" s="25" t="n">
        <f aca="false">MIN(J18517,Assumptions!$L$56*Assumptions!$C$56)</f>
        <v>0</v>
      </c>
      <c r="K18523" s="25" t="n">
        <f aca="false">MIN(K18517,Assumptions!$L$56*Assumptions!$C$56)</f>
        <v>0</v>
      </c>
    </row>
    <row r="18524" customFormat="false" ht="15" hidden="false" customHeight="false" outlineLevel="0" collapsed="false">
      <c r="A18524" s="3" t="s">
        <v>315</v>
      </c>
      <c r="G18524" s="25" t="n">
        <f aca="false">IF(AND(Assumptions!$P$56=1,G18481&lt;Assumptions!$K$56),MIN(MAX(0,-G18578),MAX(0,Assumptions!$D$56-G18517)),0)</f>
        <v>0</v>
      </c>
      <c r="H18524" s="25" t="n">
        <f aca="false">IF(AND(Assumptions!$P$56=1,OR(H18481&lt;Assumptions!$K$56,G18664=1)),MIN(MAX(0,-H18578),MAX(0,Assumptions!$D$56-H18517)),0)</f>
        <v>0</v>
      </c>
      <c r="I18524" s="25" t="n">
        <f aca="false">IF(AND(Assumptions!$P$56=1,OR(I18481&lt;Assumptions!$K$56,H18664=1)),MIN(MAX(0,-I18578),MAX(0,Assumptions!$D$56-I18517)),0)</f>
        <v>0</v>
      </c>
      <c r="J18524" s="25" t="n">
        <f aca="false">IF(AND(Assumptions!$P$56=1,OR(J18481&lt;Assumptions!$K$56,I18664=1)),MIN(MAX(0,-J18578),MAX(0,Assumptions!$D$56-J18517)),0)</f>
        <v>0</v>
      </c>
      <c r="K18524" s="25" t="n">
        <f aca="false">IF(AND(Assumptions!$P$56=1,OR(K18481&lt;Assumptions!$K$56,J18664=1)),MIN(MAX(0,-K18578),MAX(0,Assumptions!$D$56-K18517)),0)</f>
        <v>0</v>
      </c>
    </row>
    <row r="18525" customFormat="false" ht="15" hidden="false" customHeight="false" outlineLevel="0" collapsed="false">
      <c r="A18525" s="3" t="s">
        <v>316</v>
      </c>
      <c r="G18525" s="25" t="n">
        <f aca="false">G18518*MIN(G18517-G18523+G18522,MAX(0,G18580-Assumptions!$C$12*G18515))</f>
        <v>0</v>
      </c>
      <c r="H18525" s="25" t="n">
        <f aca="false">H18518*MIN(H18517-H18523+H18522,MAX(0,H18580-Assumptions!$C$12*H18515))</f>
        <v>0</v>
      </c>
      <c r="I18525" s="25" t="n">
        <f aca="false">I18518*MIN(I18517-I18523+I18522,MAX(0,I18580-Assumptions!$C$12*I18515))</f>
        <v>0</v>
      </c>
      <c r="J18525" s="25" t="n">
        <f aca="false">J18518*MIN(J18517-J18523+J18522,MAX(0,J18580-Assumptions!$C$12*J18515))</f>
        <v>0</v>
      </c>
      <c r="K18525" s="25" t="n">
        <f aca="false">K18518*MIN(K18517-K18523+K18522,MAX(0,K18580-Assumptions!$C$12*K18515))</f>
        <v>0</v>
      </c>
    </row>
    <row r="18526" customFormat="false" ht="15" hidden="false" customHeight="false" outlineLevel="0" collapsed="false">
      <c r="A18526" s="3" t="s">
        <v>317</v>
      </c>
      <c r="G18526" s="25" t="n">
        <f aca="false">Assumptions!$N$56*MIN(G18517+G18524+G18522-G18523-G18525,MAX(0,G18584))</f>
        <v>0</v>
      </c>
      <c r="H18526" s="25" t="n">
        <f aca="false">Assumptions!$N$56*MIN(H18517+H18524+H18522-H18523-H18525,MAX(0,H18584))</f>
        <v>0</v>
      </c>
      <c r="I18526" s="25" t="n">
        <f aca="false">Assumptions!$N$56*MIN(I18517+I18524+I18522-I18523-I18525,MAX(0,I18584))</f>
        <v>0</v>
      </c>
      <c r="J18526" s="25" t="n">
        <f aca="false">Assumptions!$N$56*MIN(J18517+J18524+J18522-J18523-J18525,MAX(0,J18584))</f>
        <v>0</v>
      </c>
      <c r="K18526" s="25" t="n">
        <f aca="false">Assumptions!$N$56*MIN(K18517+K18524+K18522-K18523-K18525,MAX(0,K18584))</f>
        <v>0</v>
      </c>
    </row>
    <row r="18527" customFormat="false" ht="15" hidden="false" customHeight="false" outlineLevel="0" collapsed="false">
      <c r="A18527" s="3" t="s">
        <v>318</v>
      </c>
      <c r="G18527" s="25" t="n">
        <f aca="false">G18518*(1-G18515)*(G18517-G18523+G18522-G18525)</f>
        <v>0</v>
      </c>
      <c r="H18527" s="25" t="n">
        <f aca="false">H18518*(1-H18515)*(H18517-H18523+H18522-H18525)</f>
        <v>0</v>
      </c>
      <c r="I18527" s="25" t="n">
        <f aca="false">I18518*(1-I18515)*(I18517-I18523+I18522-I18525)</f>
        <v>0</v>
      </c>
      <c r="J18527" s="25" t="n">
        <f aca="false">J18518*(1-J18515)*(J18517-J18523+J18522-J18525)</f>
        <v>0</v>
      </c>
      <c r="K18527" s="25" t="n">
        <f aca="false">K18518*(1-K18515)*(K18517-K18523+K18522-K18525)</f>
        <v>0</v>
      </c>
    </row>
    <row r="18528" customFormat="false" ht="15" hidden="false" customHeight="false" outlineLevel="0" collapsed="false">
      <c r="A18528" s="2" t="s">
        <v>319</v>
      </c>
      <c r="F18528" s="28" t="n">
        <f aca="false">Assumptions!$C$56</f>
        <v>1315.098</v>
      </c>
      <c r="G18528" s="16" t="n">
        <f aca="false">G18517+G18524+G18522-G18523-G18525-G18526</f>
        <v>1315.098</v>
      </c>
      <c r="H18528" s="16" t="n">
        <f aca="false">H18517+H18524+H18522-H18523-H18525-H18526</f>
        <v>1315.098</v>
      </c>
      <c r="I18528" s="16" t="n">
        <f aca="false">I18517+I18524+I18522-I18523-I18525-I18526</f>
        <v>1315.098</v>
      </c>
      <c r="J18528" s="16" t="n">
        <f aca="false">J18517+J18524+J18522-J18523-J18525-J18526</f>
        <v>1315.098</v>
      </c>
      <c r="K18528" s="16" t="n">
        <f aca="false">K18517+K18524+K18522-K18523-K18525-K18526</f>
        <v>1315.098</v>
      </c>
    </row>
    <row r="18529" customFormat="false" ht="15" hidden="false" customHeight="false" outlineLevel="0" collapsed="false">
      <c r="A18529" s="23" t="s">
        <v>320</v>
      </c>
      <c r="B18529" s="24"/>
      <c r="C18529" s="24"/>
      <c r="D18529" s="24"/>
      <c r="E18529" s="24"/>
      <c r="F18529" s="24"/>
      <c r="G18529" s="24"/>
      <c r="H18529" s="24"/>
      <c r="I18529" s="24"/>
      <c r="J18529" s="24"/>
      <c r="K18529" s="24"/>
    </row>
    <row r="18530" customFormat="false" ht="15" hidden="false" customHeight="false" outlineLevel="0" collapsed="false">
      <c r="A18530" s="3" t="s">
        <v>309</v>
      </c>
      <c r="G18530" s="25" t="n">
        <f aca="false">F18541</f>
        <v>276.706</v>
      </c>
      <c r="H18530" s="25" t="n">
        <f aca="false">G18541</f>
        <v>276.706</v>
      </c>
      <c r="I18530" s="25" t="n">
        <f aca="false">H18541</f>
        <v>276.706</v>
      </c>
      <c r="J18530" s="25" t="n">
        <f aca="false">I18541</f>
        <v>0</v>
      </c>
      <c r="K18530" s="25" t="n">
        <f aca="false">J18541</f>
        <v>0</v>
      </c>
    </row>
    <row r="18531" customFormat="false" ht="15" hidden="false" customHeight="false" outlineLevel="0" collapsed="false">
      <c r="A18531" s="3" t="s">
        <v>310</v>
      </c>
      <c r="G18531" s="20" t="n">
        <f aca="false">IF(G18481=Assumptions!$K$57,1,0)</f>
        <v>0</v>
      </c>
      <c r="H18531" s="20" t="n">
        <f aca="false">IF(H18481=Assumptions!$K$57,1,0)</f>
        <v>0</v>
      </c>
      <c r="I18531" s="20" t="n">
        <f aca="false">IF(I18481=Assumptions!$K$57,1,0)</f>
        <v>1</v>
      </c>
      <c r="J18531" s="20" t="n">
        <f aca="false">IF(J18481=Assumptions!$K$57,1,0)</f>
        <v>0</v>
      </c>
      <c r="K18531" s="20" t="n">
        <f aca="false">IF(K18481=Assumptions!$K$57,1,0)</f>
        <v>0</v>
      </c>
    </row>
    <row r="18533" customFormat="false" ht="15" hidden="false" customHeight="false" outlineLevel="0" collapsed="false">
      <c r="A18533" s="3" t="s">
        <v>311</v>
      </c>
      <c r="G18533" s="31" t="n">
        <f aca="false">IF(Assumptions!$I$57=1,MAX(G18507,Assumptions!$G$57)+Assumptions!$F$57+$C$18508,Assumptions!$E$57)</f>
        <v>0.0425</v>
      </c>
      <c r="H18533" s="31" t="n">
        <f aca="false">IF(G18665=1,$C$18509,IF(Assumptions!$I$57=1,MAX(H18507,Assumptions!$G$57)+Assumptions!$F$57+$C$18508,Assumptions!$E$57))</f>
        <v>0.0425</v>
      </c>
      <c r="I18533" s="31" t="n">
        <f aca="false">IF(H18665=1,$C$18509,IF(Assumptions!$I$57=1,MAX(I18507,Assumptions!$G$57)+Assumptions!$F$57+$C$18508,Assumptions!$E$57))</f>
        <v>0.0425</v>
      </c>
      <c r="J18533" s="31" t="n">
        <f aca="false">IF(I18665=1,$C$18509,IF(Assumptions!$I$57=1,MAX(J18507,Assumptions!$G$57)+Assumptions!$F$57+$C$18508,Assumptions!$E$57))</f>
        <v>0.0425</v>
      </c>
      <c r="K18533" s="31" t="n">
        <f aca="false">IF(J18665=1,$C$18509,IF(Assumptions!$I$57=1,MAX(K18507,Assumptions!$G$57)+Assumptions!$F$57+$C$18508,Assumptions!$E$57))</f>
        <v>0.0425</v>
      </c>
    </row>
    <row r="18534" customFormat="false" ht="15" hidden="false" customHeight="false" outlineLevel="0" collapsed="false">
      <c r="A18534" s="3" t="s">
        <v>312</v>
      </c>
      <c r="G18534" s="25" t="n">
        <f aca="false">G18530*G18533</f>
        <v>11.760005</v>
      </c>
      <c r="H18534" s="25" t="n">
        <f aca="false">H18530*H18533</f>
        <v>11.760005</v>
      </c>
      <c r="I18534" s="25" t="n">
        <f aca="false">I18530*I18533</f>
        <v>11.760005</v>
      </c>
      <c r="J18534" s="25" t="n">
        <f aca="false">J18530*J18533</f>
        <v>0</v>
      </c>
      <c r="K18534" s="25" t="n">
        <f aca="false">K18530*K18533</f>
        <v>0</v>
      </c>
    </row>
    <row r="18535" customFormat="false" ht="15" hidden="false" customHeight="false" outlineLevel="0" collapsed="false">
      <c r="A18535" s="3" t="s">
        <v>313</v>
      </c>
      <c r="G18535" s="25" t="n">
        <f aca="false">G18530*Assumptions!$H$57</f>
        <v>0</v>
      </c>
      <c r="H18535" s="25" t="n">
        <f aca="false">H18530*Assumptions!$H$57</f>
        <v>0</v>
      </c>
      <c r="I18535" s="25" t="n">
        <f aca="false">I18530*Assumptions!$H$57</f>
        <v>0</v>
      </c>
      <c r="J18535" s="25" t="n">
        <f aca="false">J18530*Assumptions!$H$57</f>
        <v>0</v>
      </c>
      <c r="K18535" s="25" t="n">
        <f aca="false">K18530*Assumptions!$H$57</f>
        <v>0</v>
      </c>
    </row>
    <row r="18536" customFormat="false" ht="15" hidden="false" customHeight="false" outlineLevel="0" collapsed="false">
      <c r="A18536" s="3" t="s">
        <v>314</v>
      </c>
      <c r="G18536" s="25" t="n">
        <f aca="false">MIN(G18530,Assumptions!$L$57*Assumptions!$C$57)</f>
        <v>0</v>
      </c>
      <c r="H18536" s="25" t="n">
        <f aca="false">MIN(H18530,Assumptions!$L$57*Assumptions!$C$57)</f>
        <v>0</v>
      </c>
      <c r="I18536" s="25" t="n">
        <f aca="false">MIN(I18530,Assumptions!$L$57*Assumptions!$C$57)</f>
        <v>0</v>
      </c>
      <c r="J18536" s="25" t="n">
        <f aca="false">MIN(J18530,Assumptions!$L$57*Assumptions!$C$57)</f>
        <v>0</v>
      </c>
      <c r="K18536" s="25" t="n">
        <f aca="false">MIN(K18530,Assumptions!$L$57*Assumptions!$C$57)</f>
        <v>0</v>
      </c>
    </row>
    <row r="18537" customFormat="false" ht="15" hidden="false" customHeight="false" outlineLevel="0" collapsed="false">
      <c r="A18537" s="3" t="s">
        <v>315</v>
      </c>
      <c r="G18537" s="25" t="n">
        <f aca="false">IF(AND(Assumptions!$P$57=1,G18481&lt;Assumptions!$K$57),MIN(MAX(0,-G18578),MAX(0,Assumptions!$D$57-G18530)),0)</f>
        <v>0</v>
      </c>
      <c r="H18537" s="25" t="n">
        <f aca="false">IF(AND(Assumptions!$P$57=1,OR(H18481&lt;Assumptions!$K$57,G18665=1)),MIN(MAX(0,-H18578),MAX(0,Assumptions!$D$57-H18530)),0)</f>
        <v>0</v>
      </c>
      <c r="I18537" s="25" t="n">
        <f aca="false">IF(AND(Assumptions!$P$57=1,OR(I18481&lt;Assumptions!$K$57,H18665=1)),MIN(MAX(0,-I18578),MAX(0,Assumptions!$D$57-I18530)),0)</f>
        <v>0</v>
      </c>
      <c r="J18537" s="25" t="n">
        <f aca="false">IF(AND(Assumptions!$P$57=1,OR(J18481&lt;Assumptions!$K$57,I18665=1)),MIN(MAX(0,-J18578),MAX(0,Assumptions!$D$57-J18530)),0)</f>
        <v>0</v>
      </c>
      <c r="K18537" s="25" t="n">
        <f aca="false">IF(AND(Assumptions!$P$57=1,OR(K18481&lt;Assumptions!$K$57,J18665=1)),MIN(MAX(0,-K18578),MAX(0,Assumptions!$D$57-K18530)),0)</f>
        <v>0</v>
      </c>
    </row>
    <row r="18538" customFormat="false" ht="15" hidden="false" customHeight="false" outlineLevel="0" collapsed="false">
      <c r="A18538" s="3" t="s">
        <v>316</v>
      </c>
      <c r="G18538" s="25" t="n">
        <f aca="false">G18531*MIN(G18530-G18536+G18535,MAX(0,G18580-Assumptions!$C$12*G18515-G18525))</f>
        <v>0</v>
      </c>
      <c r="H18538" s="25" t="n">
        <f aca="false">H18531*MIN(H18530-H18536+H18535,MAX(0,H18580-Assumptions!$C$12*H18515-H18525))</f>
        <v>0</v>
      </c>
      <c r="I18538" s="25" t="n">
        <f aca="false">I18531*MIN(I18530-I18536+I18535,MAX(0,I18580-Assumptions!$C$12*I18515-I18525))</f>
        <v>276.706</v>
      </c>
      <c r="J18538" s="25" t="n">
        <f aca="false">J18531*MIN(J18530-J18536+J18535,MAX(0,J18580-Assumptions!$C$12*J18515-J18525))</f>
        <v>0</v>
      </c>
      <c r="K18538" s="25" t="n">
        <f aca="false">K18531*MIN(K18530-K18536+K18535,MAX(0,K18580-Assumptions!$C$12*K18515-K18525))</f>
        <v>0</v>
      </c>
    </row>
    <row r="18539" customFormat="false" ht="15" hidden="false" customHeight="false" outlineLevel="0" collapsed="false">
      <c r="A18539" s="3" t="s">
        <v>317</v>
      </c>
      <c r="G18539" s="25" t="n">
        <f aca="false">Assumptions!$N$57*MIN(G18530+G18537+G18535-G18536-G18538,MAX(0,G18584-G18526))</f>
        <v>0</v>
      </c>
      <c r="H18539" s="25" t="n">
        <f aca="false">Assumptions!$N$57*MIN(H18530+H18537+H18535-H18536-H18538,MAX(0,H18584-H18526))</f>
        <v>0</v>
      </c>
      <c r="I18539" s="25" t="n">
        <f aca="false">Assumptions!$N$57*MIN(I18530+I18537+I18535-I18536-I18538,MAX(0,I18584-I18526))</f>
        <v>0</v>
      </c>
      <c r="J18539" s="25" t="n">
        <f aca="false">Assumptions!$N$57*MIN(J18530+J18537+J18535-J18536-J18538,MAX(0,J18584-J18526))</f>
        <v>0</v>
      </c>
      <c r="K18539" s="25" t="n">
        <f aca="false">Assumptions!$N$57*MIN(K18530+K18537+K18535-K18536-K18538,MAX(0,K18584-K18526))</f>
        <v>0</v>
      </c>
    </row>
    <row r="18540" customFormat="false" ht="15" hidden="false" customHeight="false" outlineLevel="0" collapsed="false">
      <c r="A18540" s="3" t="s">
        <v>318</v>
      </c>
      <c r="G18540" s="25" t="n">
        <f aca="false">G18531*(1-G18515)*(G18530-G18536+G18535-G18538)</f>
        <v>0</v>
      </c>
      <c r="H18540" s="25" t="n">
        <f aca="false">H18531*(1-H18515)*(H18530-H18536+H18535-H18538)</f>
        <v>0</v>
      </c>
      <c r="I18540" s="25" t="n">
        <f aca="false">I18531*(1-I18515)*(I18530-I18536+I18535-I18538)</f>
        <v>0</v>
      </c>
      <c r="J18540" s="25" t="n">
        <f aca="false">J18531*(1-J18515)*(J18530-J18536+J18535-J18538)</f>
        <v>0</v>
      </c>
      <c r="K18540" s="25" t="n">
        <f aca="false">K18531*(1-K18515)*(K18530-K18536+K18535-K18538)</f>
        <v>0</v>
      </c>
    </row>
    <row r="18541" customFormat="false" ht="15" hidden="false" customHeight="false" outlineLevel="0" collapsed="false">
      <c r="A18541" s="2" t="s">
        <v>319</v>
      </c>
      <c r="F18541" s="28" t="n">
        <f aca="false">Assumptions!$C$57</f>
        <v>276.706</v>
      </c>
      <c r="G18541" s="16" t="n">
        <f aca="false">G18530+G18537+G18535-G18536-G18538-G18539</f>
        <v>276.706</v>
      </c>
      <c r="H18541" s="16" t="n">
        <f aca="false">H18530+H18537+H18535-H18536-H18538-H18539</f>
        <v>276.706</v>
      </c>
      <c r="I18541" s="16" t="n">
        <f aca="false">I18530+I18537+I18535-I18536-I18538-I18539</f>
        <v>0</v>
      </c>
      <c r="J18541" s="16" t="n">
        <f aca="false">J18530+J18537+J18535-J18536-J18538-J18539</f>
        <v>0</v>
      </c>
      <c r="K18541" s="16" t="n">
        <f aca="false">K18530+K18537+K18535-K18536-K18538-K18539</f>
        <v>0</v>
      </c>
    </row>
    <row r="18542" customFormat="false" ht="15" hidden="false" customHeight="false" outlineLevel="0" collapsed="false">
      <c r="A18542" s="23" t="s">
        <v>321</v>
      </c>
      <c r="B18542" s="24"/>
      <c r="C18542" s="24"/>
      <c r="D18542" s="24"/>
      <c r="E18542" s="24"/>
      <c r="F18542" s="24"/>
      <c r="G18542" s="24"/>
      <c r="H18542" s="24"/>
      <c r="I18542" s="24"/>
      <c r="J18542" s="24"/>
      <c r="K18542" s="24"/>
    </row>
    <row r="18543" customFormat="false" ht="15" hidden="false" customHeight="false" outlineLevel="0" collapsed="false">
      <c r="A18543" s="3" t="s">
        <v>309</v>
      </c>
      <c r="G18543" s="25" t="n">
        <f aca="false">F18554</f>
        <v>143.75</v>
      </c>
      <c r="H18543" s="25" t="n">
        <f aca="false">G18554</f>
        <v>143.75</v>
      </c>
      <c r="I18543" s="25" t="n">
        <f aca="false">H18554</f>
        <v>143.75</v>
      </c>
      <c r="J18543" s="25" t="n">
        <f aca="false">I18554</f>
        <v>0</v>
      </c>
      <c r="K18543" s="25" t="n">
        <f aca="false">J18554</f>
        <v>0</v>
      </c>
    </row>
    <row r="18544" customFormat="false" ht="15" hidden="false" customHeight="false" outlineLevel="0" collapsed="false">
      <c r="A18544" s="3" t="s">
        <v>310</v>
      </c>
      <c r="G18544" s="20" t="n">
        <f aca="false">IF(G18481=Assumptions!$K$58,1,0)</f>
        <v>0</v>
      </c>
      <c r="H18544" s="20" t="n">
        <f aca="false">IF(H18481=Assumptions!$K$58,1,0)</f>
        <v>0</v>
      </c>
      <c r="I18544" s="20" t="n">
        <f aca="false">IF(I18481=Assumptions!$K$58,1,0)</f>
        <v>1</v>
      </c>
      <c r="J18544" s="20" t="n">
        <f aca="false">IF(J18481=Assumptions!$K$58,1,0)</f>
        <v>0</v>
      </c>
      <c r="K18544" s="20" t="n">
        <f aca="false">IF(K18481=Assumptions!$K$58,1,0)</f>
        <v>0</v>
      </c>
    </row>
    <row r="18546" customFormat="false" ht="15" hidden="false" customHeight="false" outlineLevel="0" collapsed="false">
      <c r="A18546" s="3" t="s">
        <v>311</v>
      </c>
      <c r="G18546" s="31" t="n">
        <f aca="false">IF(Assumptions!$I$58=1,MAX(G18507,Assumptions!$G$58)+Assumptions!$F$58+$C$18508,Assumptions!$E$58)</f>
        <v>0.0425</v>
      </c>
      <c r="H18546" s="31" t="n">
        <f aca="false">IF(G18666=1,$C$18509,IF(Assumptions!$I$58=1,MAX(H18507,Assumptions!$G$58)+Assumptions!$F$58+$C$18508,Assumptions!$E$58))</f>
        <v>0.0425</v>
      </c>
      <c r="I18546" s="31" t="n">
        <f aca="false">IF(H18666=1,$C$18509,IF(Assumptions!$I$58=1,MAX(I18507,Assumptions!$G$58)+Assumptions!$F$58+$C$18508,Assumptions!$E$58))</f>
        <v>0.0425</v>
      </c>
      <c r="J18546" s="31" t="n">
        <f aca="false">IF(I18666=1,$C$18509,IF(Assumptions!$I$58=1,MAX(J18507,Assumptions!$G$58)+Assumptions!$F$58+$C$18508,Assumptions!$E$58))</f>
        <v>0.0425</v>
      </c>
      <c r="K18546" s="31" t="n">
        <f aca="false">IF(J18666=1,$C$18509,IF(Assumptions!$I$58=1,MAX(K18507,Assumptions!$G$58)+Assumptions!$F$58+$C$18508,Assumptions!$E$58))</f>
        <v>0.0425</v>
      </c>
    </row>
    <row r="18547" customFormat="false" ht="15" hidden="false" customHeight="false" outlineLevel="0" collapsed="false">
      <c r="A18547" s="3" t="s">
        <v>312</v>
      </c>
      <c r="G18547" s="25" t="n">
        <f aca="false">G18543*G18546</f>
        <v>6.109375</v>
      </c>
      <c r="H18547" s="25" t="n">
        <f aca="false">H18543*H18546</f>
        <v>6.109375</v>
      </c>
      <c r="I18547" s="25" t="n">
        <f aca="false">I18543*I18546</f>
        <v>6.109375</v>
      </c>
      <c r="J18547" s="25" t="n">
        <f aca="false">J18543*J18546</f>
        <v>0</v>
      </c>
      <c r="K18547" s="25" t="n">
        <f aca="false">K18543*K18546</f>
        <v>0</v>
      </c>
    </row>
    <row r="18548" customFormat="false" ht="15" hidden="false" customHeight="false" outlineLevel="0" collapsed="false">
      <c r="A18548" s="3" t="s">
        <v>313</v>
      </c>
      <c r="G18548" s="25" t="n">
        <f aca="false">G18543*Assumptions!$H$58</f>
        <v>0</v>
      </c>
      <c r="H18548" s="25" t="n">
        <f aca="false">H18543*Assumptions!$H$58</f>
        <v>0</v>
      </c>
      <c r="I18548" s="25" t="n">
        <f aca="false">I18543*Assumptions!$H$58</f>
        <v>0</v>
      </c>
      <c r="J18548" s="25" t="n">
        <f aca="false">J18543*Assumptions!$H$58</f>
        <v>0</v>
      </c>
      <c r="K18548" s="25" t="n">
        <f aca="false">K18543*Assumptions!$H$58</f>
        <v>0</v>
      </c>
    </row>
    <row r="18549" customFormat="false" ht="15" hidden="false" customHeight="false" outlineLevel="0" collapsed="false">
      <c r="A18549" s="3" t="s">
        <v>314</v>
      </c>
      <c r="G18549" s="25" t="n">
        <f aca="false">MIN(G18543,Assumptions!$L$58*Assumptions!$C$58)</f>
        <v>0</v>
      </c>
      <c r="H18549" s="25" t="n">
        <f aca="false">MIN(H18543,Assumptions!$L$58*Assumptions!$C$58)</f>
        <v>0</v>
      </c>
      <c r="I18549" s="25" t="n">
        <f aca="false">MIN(I18543,Assumptions!$L$58*Assumptions!$C$58)</f>
        <v>0</v>
      </c>
      <c r="J18549" s="25" t="n">
        <f aca="false">MIN(J18543,Assumptions!$L$58*Assumptions!$C$58)</f>
        <v>0</v>
      </c>
      <c r="K18549" s="25" t="n">
        <f aca="false">MIN(K18543,Assumptions!$L$58*Assumptions!$C$58)</f>
        <v>0</v>
      </c>
    </row>
    <row r="18550" customFormat="false" ht="15" hidden="false" customHeight="false" outlineLevel="0" collapsed="false">
      <c r="A18550" s="3" t="s">
        <v>315</v>
      </c>
      <c r="G18550" s="25" t="n">
        <f aca="false">IF(AND(Assumptions!$P$58=1,G18481&lt;Assumptions!$K$58),MIN(MAX(0,-G18578),MAX(0,Assumptions!$D$58-G18543)),0)</f>
        <v>0</v>
      </c>
      <c r="H18550" s="25" t="n">
        <f aca="false">IF(AND(Assumptions!$P$58=1,OR(H18481&lt;Assumptions!$K$58,G18666=1)),MIN(MAX(0,-H18578),MAX(0,Assumptions!$D$58-H18543)),0)</f>
        <v>0</v>
      </c>
      <c r="I18550" s="25" t="n">
        <f aca="false">IF(AND(Assumptions!$P$58=1,OR(I18481&lt;Assumptions!$K$58,H18666=1)),MIN(MAX(0,-I18578),MAX(0,Assumptions!$D$58-I18543)),0)</f>
        <v>0</v>
      </c>
      <c r="J18550" s="25" t="n">
        <f aca="false">IF(AND(Assumptions!$P$58=1,OR(J18481&lt;Assumptions!$K$58,I18666=1)),MIN(MAX(0,-J18578),MAX(0,Assumptions!$D$58-J18543)),0)</f>
        <v>0</v>
      </c>
      <c r="K18550" s="25" t="n">
        <f aca="false">IF(AND(Assumptions!$P$58=1,OR(K18481&lt;Assumptions!$K$58,J18666=1)),MIN(MAX(0,-K18578),MAX(0,Assumptions!$D$58-K18543)),0)</f>
        <v>0</v>
      </c>
    </row>
    <row r="18551" customFormat="false" ht="15" hidden="false" customHeight="false" outlineLevel="0" collapsed="false">
      <c r="A18551" s="3" t="s">
        <v>316</v>
      </c>
      <c r="G18551" s="25" t="n">
        <f aca="false">G18544*MIN(G18543-G18549+G18548,MAX(0,G18580-Assumptions!$C$12*G18515-G18525-G18538))</f>
        <v>0</v>
      </c>
      <c r="H18551" s="25" t="n">
        <f aca="false">H18544*MIN(H18543-H18549+H18548,MAX(0,H18580-Assumptions!$C$12*H18515-H18525-H18538))</f>
        <v>0</v>
      </c>
      <c r="I18551" s="25" t="n">
        <f aca="false">I18544*MIN(I18543-I18549+I18548,MAX(0,I18580-Assumptions!$C$12*I18515-I18525-I18538))</f>
        <v>143.75</v>
      </c>
      <c r="J18551" s="25" t="n">
        <f aca="false">J18544*MIN(J18543-J18549+J18548,MAX(0,J18580-Assumptions!$C$12*J18515-J18525-J18538))</f>
        <v>0</v>
      </c>
      <c r="K18551" s="25" t="n">
        <f aca="false">K18544*MIN(K18543-K18549+K18548,MAX(0,K18580-Assumptions!$C$12*K18515-K18525-K18538))</f>
        <v>0</v>
      </c>
    </row>
    <row r="18552" customFormat="false" ht="15" hidden="false" customHeight="false" outlineLevel="0" collapsed="false">
      <c r="A18552" s="3" t="s">
        <v>317</v>
      </c>
      <c r="G18552" s="25" t="n">
        <f aca="false">Assumptions!$N$58*MIN(G18543+G18550+G18548-G18549-G18551,MAX(0,G18584-G18526-G18539))</f>
        <v>0</v>
      </c>
      <c r="H18552" s="25" t="n">
        <f aca="false">Assumptions!$N$58*MIN(H18543+H18550+H18548-H18549-H18551,MAX(0,H18584-H18526-H18539))</f>
        <v>0</v>
      </c>
      <c r="I18552" s="25" t="n">
        <f aca="false">Assumptions!$N$58*MIN(I18543+I18550+I18548-I18549-I18551,MAX(0,I18584-I18526-I18539))</f>
        <v>0</v>
      </c>
      <c r="J18552" s="25" t="n">
        <f aca="false">Assumptions!$N$58*MIN(J18543+J18550+J18548-J18549-J18551,MAX(0,J18584-J18526-J18539))</f>
        <v>0</v>
      </c>
      <c r="K18552" s="25" t="n">
        <f aca="false">Assumptions!$N$58*MIN(K18543+K18550+K18548-K18549-K18551,MAX(0,K18584-K18526-K18539))</f>
        <v>0</v>
      </c>
    </row>
    <row r="18553" customFormat="false" ht="15" hidden="false" customHeight="false" outlineLevel="0" collapsed="false">
      <c r="A18553" s="3" t="s">
        <v>318</v>
      </c>
      <c r="G18553" s="25" t="n">
        <f aca="false">G18544*(1-G18515)*(G18543-G18549+G18548-G18551)</f>
        <v>0</v>
      </c>
      <c r="H18553" s="25" t="n">
        <f aca="false">H18544*(1-H18515)*(H18543-H18549+H18548-H18551)</f>
        <v>0</v>
      </c>
      <c r="I18553" s="25" t="n">
        <f aca="false">I18544*(1-I18515)*(I18543-I18549+I18548-I18551)</f>
        <v>0</v>
      </c>
      <c r="J18553" s="25" t="n">
        <f aca="false">J18544*(1-J18515)*(J18543-J18549+J18548-J18551)</f>
        <v>0</v>
      </c>
      <c r="K18553" s="25" t="n">
        <f aca="false">K18544*(1-K18515)*(K18543-K18549+K18548-K18551)</f>
        <v>0</v>
      </c>
    </row>
    <row r="18554" customFormat="false" ht="15" hidden="false" customHeight="false" outlineLevel="0" collapsed="false">
      <c r="A18554" s="2" t="s">
        <v>319</v>
      </c>
      <c r="F18554" s="28" t="n">
        <f aca="false">Assumptions!$C$58</f>
        <v>143.75</v>
      </c>
      <c r="G18554" s="16" t="n">
        <f aca="false">G18543+G18550+G18548-G18549-G18551-G18552</f>
        <v>143.75</v>
      </c>
      <c r="H18554" s="16" t="n">
        <f aca="false">H18543+H18550+H18548-H18549-H18551-H18552</f>
        <v>143.75</v>
      </c>
      <c r="I18554" s="16" t="n">
        <f aca="false">I18543+I18550+I18548-I18549-I18551-I18552</f>
        <v>0</v>
      </c>
      <c r="J18554" s="16" t="n">
        <f aca="false">J18543+J18550+J18548-J18549-J18551-J18552</f>
        <v>0</v>
      </c>
      <c r="K18554" s="16" t="n">
        <f aca="false">K18543+K18550+K18548-K18549-K18551-K18552</f>
        <v>0</v>
      </c>
    </row>
    <row r="18555" customFormat="false" ht="15" hidden="false" customHeight="false" outlineLevel="0" collapsed="false">
      <c r="A18555" s="23" t="s">
        <v>322</v>
      </c>
      <c r="B18555" s="24"/>
      <c r="C18555" s="24"/>
      <c r="D18555" s="24"/>
      <c r="E18555" s="24"/>
      <c r="F18555" s="24"/>
      <c r="G18555" s="24"/>
      <c r="H18555" s="24"/>
      <c r="I18555" s="24"/>
      <c r="J18555" s="24"/>
      <c r="K18555" s="24"/>
    </row>
    <row r="18556" customFormat="false" ht="15" hidden="false" customHeight="false" outlineLevel="0" collapsed="false">
      <c r="A18556" s="2" t="s">
        <v>323</v>
      </c>
      <c r="F18556" s="16" t="n">
        <f aca="false">F18528+F18541+F18554</f>
        <v>1735.554</v>
      </c>
      <c r="G18556" s="16" t="n">
        <f aca="false">G18528+G18541+G18554</f>
        <v>1735.554</v>
      </c>
      <c r="H18556" s="16" t="n">
        <f aca="false">H18528+H18541+H18554</f>
        <v>1735.554</v>
      </c>
      <c r="I18556" s="16" t="n">
        <f aca="false">I18528+I18541+I18554</f>
        <v>1315.098</v>
      </c>
      <c r="J18556" s="16" t="n">
        <f aca="false">J18528+J18541+J18554</f>
        <v>1315.098</v>
      </c>
      <c r="K18556" s="16" t="n">
        <f aca="false">K18528+K18541+K18554</f>
        <v>1315.098</v>
      </c>
    </row>
    <row r="18557" customFormat="false" ht="15" hidden="false" customHeight="false" outlineLevel="0" collapsed="false">
      <c r="A18557" s="3" t="s">
        <v>324</v>
      </c>
      <c r="G18557" s="25" t="n">
        <f aca="false">G18518*Assumptions!$C$56+G18531*Assumptions!$C$57+G18544*Assumptions!$C$58</f>
        <v>0</v>
      </c>
      <c r="H18557" s="25" t="n">
        <f aca="false">H18518*Assumptions!$C$56+H18531*Assumptions!$C$57+H18544*Assumptions!$C$58</f>
        <v>0</v>
      </c>
      <c r="I18557" s="25" t="n">
        <f aca="false">I18518*Assumptions!$C$56+I18531*Assumptions!$C$57+I18544*Assumptions!$C$58</f>
        <v>420.456</v>
      </c>
      <c r="J18557" s="25" t="n">
        <f aca="false">J18518*Assumptions!$C$56+J18531*Assumptions!$C$57+J18544*Assumptions!$C$58</f>
        <v>0</v>
      </c>
      <c r="K18557" s="25" t="n">
        <f aca="false">K18518*Assumptions!$C$56+K18531*Assumptions!$C$57+K18544*Assumptions!$C$58</f>
        <v>0</v>
      </c>
    </row>
    <row r="18558" customFormat="false" ht="15" hidden="false" customHeight="false" outlineLevel="0" collapsed="false">
      <c r="A18558" s="23" t="s">
        <v>325</v>
      </c>
      <c r="B18558" s="24"/>
      <c r="C18558" s="24"/>
      <c r="D18558" s="24"/>
      <c r="E18558" s="24"/>
      <c r="F18558" s="24"/>
      <c r="G18558" s="24"/>
      <c r="H18558" s="24"/>
      <c r="I18558" s="24"/>
      <c r="J18558" s="24"/>
      <c r="K18558" s="24"/>
    </row>
    <row r="18559" customFormat="false" ht="15" hidden="false" customHeight="false" outlineLevel="0" collapsed="false">
      <c r="A18559" s="3" t="s">
        <v>326</v>
      </c>
      <c r="C18559" s="25" t="n">
        <f aca="false">SUMPRODUCT($G$18518:$K$18518,$G$18517:$K$18517-$G$18523:$K$18523+$G$18522:$K$18522)</f>
        <v>0</v>
      </c>
    </row>
    <row r="18560" customFormat="false" ht="15" hidden="false" customHeight="false" outlineLevel="0" collapsed="false">
      <c r="A18560" s="3" t="s">
        <v>327</v>
      </c>
      <c r="C18560" s="25" t="n">
        <f aca="false">SUMPRODUCT($G$18518:$K$18518,$G$18525:$K$18525)</f>
        <v>0</v>
      </c>
    </row>
    <row r="18561" customFormat="false" ht="15" hidden="false" customHeight="false" outlineLevel="0" collapsed="false">
      <c r="A18561" s="3" t="s">
        <v>328</v>
      </c>
      <c r="C18561" s="3" t="str">
        <f aca="false">IF(SUM($G$18518:$K$18518)=0,"n/a (beyond horizon)",IF(SUMPRODUCT($G$18518:$K$18518,$G$18515:$K$18515)&gt;0,"REFINANCING PASS","REFINANCING FAILURE"))</f>
        <v>n/a (beyond horizon)</v>
      </c>
    </row>
    <row r="18562" customFormat="false" ht="15" hidden="false" customHeight="false" outlineLevel="0" collapsed="false">
      <c r="A18562" s="3" t="s">
        <v>329</v>
      </c>
      <c r="C18562" s="3" t="str">
        <f aca="false">IF(SUM($G$18518:$K$18518)=0,"n/a",IF(C18560&gt;=C18559-0.001,"Repaid from cash",IF(SUMPRODUCT($G$18518:$K$18518,$G$18515:$K$18515)&gt;0,IF(C18560&gt;0,"Partly repaid; remainder refinanced","Refinanced"),IF(SUM($G$18527:$K$18527)&gt;0.001,IF(C18560&gt;0,"Partial repayment; PAYMENT DEFAULT","PAYMENT DEFAULT"),"Repaid from cash"))))</f>
        <v>n/a</v>
      </c>
    </row>
    <row r="18563" customFormat="false" ht="15" hidden="false" customHeight="false" outlineLevel="0" collapsed="false">
      <c r="A18563" s="3" t="s">
        <v>330</v>
      </c>
      <c r="C18563" s="25" t="n">
        <f aca="false">SUMPRODUCT($G$18531:$K$18531,$G$18530:$K$18530-$G$18536:$K$18536+$G$18535:$K$18535)</f>
        <v>276.706</v>
      </c>
    </row>
    <row r="18564" customFormat="false" ht="15" hidden="false" customHeight="false" outlineLevel="0" collapsed="false">
      <c r="A18564" s="3" t="s">
        <v>331</v>
      </c>
      <c r="C18564" s="25" t="n">
        <f aca="false">SUMPRODUCT($G$18531:$K$18531,$G$18538:$K$18538)</f>
        <v>276.706</v>
      </c>
    </row>
    <row r="18565" customFormat="false" ht="15" hidden="false" customHeight="false" outlineLevel="0" collapsed="false">
      <c r="A18565" s="3" t="s">
        <v>332</v>
      </c>
      <c r="C18565" s="3" t="str">
        <f aca="false">IF(SUM($G$18531:$K$18531)=0,"n/a (beyond horizon)",IF(SUMPRODUCT($G$18531:$K$18531,$G$18515:$K$18515)&gt;0,"REFINANCING PASS","REFINANCING FAILURE"))</f>
        <v>REFINANCING FAILURE</v>
      </c>
    </row>
    <row r="18566" customFormat="false" ht="15" hidden="false" customHeight="false" outlineLevel="0" collapsed="false">
      <c r="A18566" s="3" t="s">
        <v>333</v>
      </c>
      <c r="C18566" s="3" t="str">
        <f aca="false">IF(SUM($G$18531:$K$18531)=0,"n/a",IF(C18564&gt;=C18563-0.001,"Repaid from cash",IF(SUMPRODUCT($G$18531:$K$18531,$G$18515:$K$18515)&gt;0,IF(C18564&gt;0,"Partly repaid; remainder refinanced","Refinanced"),IF(SUM($G$18540:$K$18540)&gt;0.001,IF(C18564&gt;0,"Partial repayment; PAYMENT DEFAULT","PAYMENT DEFAULT"),"Repaid from cash"))))</f>
        <v>Repaid from cash</v>
      </c>
    </row>
    <row r="18567" customFormat="false" ht="15" hidden="false" customHeight="false" outlineLevel="0" collapsed="false">
      <c r="A18567" s="3" t="s">
        <v>334</v>
      </c>
      <c r="C18567" s="25" t="n">
        <f aca="false">SUMPRODUCT($G$18544:$K$18544,$G$18543:$K$18543-$G$18549:$K$18549+$G$18548:$K$18548)</f>
        <v>143.75</v>
      </c>
    </row>
    <row r="18568" customFormat="false" ht="15" hidden="false" customHeight="false" outlineLevel="0" collapsed="false">
      <c r="A18568" s="3" t="s">
        <v>335</v>
      </c>
      <c r="C18568" s="25" t="n">
        <f aca="false">SUMPRODUCT($G$18544:$K$18544,$G$18551:$K$18551)</f>
        <v>143.75</v>
      </c>
    </row>
    <row r="18569" customFormat="false" ht="15" hidden="false" customHeight="false" outlineLevel="0" collapsed="false">
      <c r="A18569" s="3" t="s">
        <v>336</v>
      </c>
      <c r="C18569" s="3" t="str">
        <f aca="false">IF(SUM($G$18544:$K$18544)=0,"n/a (beyond horizon)",IF(SUMPRODUCT($G$18544:$K$18544,$G$18515:$K$18515)&gt;0,"REFINANCING PASS","REFINANCING FAILURE"))</f>
        <v>REFINANCING FAILURE</v>
      </c>
    </row>
    <row r="18570" customFormat="false" ht="15" hidden="false" customHeight="false" outlineLevel="0" collapsed="false">
      <c r="A18570" s="3" t="s">
        <v>337</v>
      </c>
      <c r="C18570" s="3" t="str">
        <f aca="false">IF(SUM($G$18544:$K$18544)=0,"n/a",IF(C18568&gt;=C18567-0.001,"Repaid from cash",IF(SUMPRODUCT($G$18544:$K$18544,$G$18515:$K$18515)&gt;0,IF(C18568&gt;0,"Partly repaid; remainder refinanced","Refinanced"),IF(SUM($G$18553:$K$18553)&gt;0.001,IF(C18568&gt;0,"Partial repayment; PAYMENT DEFAULT","PAYMENT DEFAULT"),"Repaid from cash"))))</f>
        <v>Repaid from cash</v>
      </c>
    </row>
    <row r="18571" customFormat="false" ht="15" hidden="false" customHeight="false" outlineLevel="0" collapsed="false">
      <c r="A18571" s="3" t="s">
        <v>338</v>
      </c>
      <c r="C18571" s="20" t="n">
        <f aca="false">IF(C18561="REFINANCING FAILURE",1,0)+IF(C18565="REFINANCING FAILURE",1,0)+IF(C18569="REFINANCING FAILURE",1,0)</f>
        <v>2</v>
      </c>
    </row>
    <row r="18573" customFormat="false" ht="15" hidden="false" customHeight="false" outlineLevel="0" collapsed="false">
      <c r="A18573" s="23" t="s">
        <v>340</v>
      </c>
      <c r="B18573" s="24"/>
      <c r="C18573" s="24"/>
      <c r="D18573" s="24"/>
      <c r="E18573" s="24"/>
      <c r="F18573" s="24"/>
      <c r="G18573" s="24"/>
      <c r="H18573" s="24"/>
      <c r="I18573" s="24"/>
      <c r="J18573" s="24"/>
      <c r="K18573" s="24"/>
    </row>
    <row r="18574" customFormat="false" ht="15" hidden="false" customHeight="false" outlineLevel="0" collapsed="false">
      <c r="A18574" s="3" t="s">
        <v>305</v>
      </c>
      <c r="G18574" s="25" t="n">
        <f aca="false">F18586</f>
        <v>463.996</v>
      </c>
      <c r="H18574" s="25" t="n">
        <f aca="false">G18586</f>
        <v>518.82154744</v>
      </c>
      <c r="I18574" s="25" t="n">
        <f aca="false">H18586</f>
        <v>539.6742833632</v>
      </c>
      <c r="J18574" s="25" t="n">
        <f aca="false">I18586</f>
        <v>120.430022671888</v>
      </c>
      <c r="K18574" s="25" t="n">
        <f aca="false">J18586</f>
        <v>123.071896868977</v>
      </c>
    </row>
    <row r="18575" customFormat="false" ht="15" hidden="false" customHeight="false" outlineLevel="0" collapsed="false">
      <c r="A18575" s="3" t="s">
        <v>341</v>
      </c>
      <c r="G18575" s="25" t="n">
        <f aca="false">G18504</f>
        <v>54.8255474399999</v>
      </c>
      <c r="H18575" s="25" t="n">
        <f aca="false">H18504</f>
        <v>20.8527359232</v>
      </c>
      <c r="I18575" s="25" t="n">
        <f aca="false">I18504</f>
        <v>1.21173930868796</v>
      </c>
      <c r="J18575" s="25" t="n">
        <f aca="false">J18504</f>
        <v>2.6418741970896</v>
      </c>
      <c r="K18575" s="25" t="n">
        <f aca="false">K18504</f>
        <v>-4.39448401276491</v>
      </c>
    </row>
    <row r="18576" customFormat="false" ht="15" hidden="false" customHeight="false" outlineLevel="0" collapsed="false">
      <c r="A18576" s="3" t="s">
        <v>342</v>
      </c>
      <c r="G18576" s="25" t="n">
        <f aca="false">CHOOSE($C$18474,Assumptions!$G$74,Assumptions!$G$93,Assumptions!$G$112)</f>
        <v>0</v>
      </c>
      <c r="H18576" s="25" t="n">
        <f aca="false">CHOOSE($C$18474,Assumptions!$H$74,Assumptions!$H$93,Assumptions!$H$112)</f>
        <v>0</v>
      </c>
      <c r="I18576" s="25" t="n">
        <f aca="false">CHOOSE($C$18474,Assumptions!$I$74,Assumptions!$I$93,Assumptions!$I$112)</f>
        <v>0</v>
      </c>
      <c r="J18576" s="25" t="n">
        <f aca="false">CHOOSE($C$18474,Assumptions!$J$74,Assumptions!$J$93,Assumptions!$J$112)</f>
        <v>0</v>
      </c>
      <c r="K18576" s="25" t="n">
        <f aca="false">CHOOSE($C$18474,Assumptions!$K$74,Assumptions!$K$93,Assumptions!$K$112)</f>
        <v>0</v>
      </c>
    </row>
    <row r="18577" customFormat="false" ht="15" hidden="false" customHeight="false" outlineLevel="0" collapsed="false">
      <c r="A18577" s="3" t="s">
        <v>343</v>
      </c>
      <c r="G18577" s="25" t="n">
        <f aca="false">G18523+G18536+G18549</f>
        <v>0</v>
      </c>
      <c r="H18577" s="25" t="n">
        <f aca="false">H18523+H18536+H18549</f>
        <v>0</v>
      </c>
      <c r="I18577" s="25" t="n">
        <f aca="false">I18523+I18536+I18549</f>
        <v>0</v>
      </c>
      <c r="J18577" s="25" t="n">
        <f aca="false">J18523+J18536+J18549</f>
        <v>0</v>
      </c>
      <c r="K18577" s="25" t="n">
        <f aca="false">K18523+K18536+K18549</f>
        <v>0</v>
      </c>
    </row>
    <row r="18578" customFormat="false" ht="15" hidden="false" customHeight="false" outlineLevel="0" collapsed="false">
      <c r="A18578" s="2" t="s">
        <v>344</v>
      </c>
      <c r="G18578" s="16" t="n">
        <f aca="false">G18574+G18575+G18576-G18577</f>
        <v>518.82154744</v>
      </c>
      <c r="H18578" s="16" t="n">
        <f aca="false">H18574+H18575+H18576-H18577</f>
        <v>539.6742833632</v>
      </c>
      <c r="I18578" s="16" t="n">
        <f aca="false">I18574+I18575+I18576-I18577</f>
        <v>540.886022671888</v>
      </c>
      <c r="J18578" s="16" t="n">
        <f aca="false">J18574+J18575+J18576-J18577</f>
        <v>123.071896868977</v>
      </c>
      <c r="K18578" s="16" t="n">
        <f aca="false">K18574+K18575+K18576-K18577</f>
        <v>118.677412856212</v>
      </c>
    </row>
    <row r="18579" customFormat="false" ht="15" hidden="false" customHeight="false" outlineLevel="0" collapsed="false">
      <c r="A18579" s="3" t="s">
        <v>345</v>
      </c>
      <c r="G18579" s="25" t="n">
        <f aca="false">G18524+G18537+G18550</f>
        <v>0</v>
      </c>
      <c r="H18579" s="25" t="n">
        <f aca="false">H18524+H18537+H18550</f>
        <v>0</v>
      </c>
      <c r="I18579" s="25" t="n">
        <f aca="false">I18524+I18537+I18550</f>
        <v>0</v>
      </c>
      <c r="J18579" s="25" t="n">
        <f aca="false">J18524+J18537+J18550</f>
        <v>0</v>
      </c>
      <c r="K18579" s="25" t="n">
        <f aca="false">K18524+K18537+K18550</f>
        <v>0</v>
      </c>
    </row>
    <row r="18580" customFormat="false" ht="15" hidden="false" customHeight="false" outlineLevel="0" collapsed="false">
      <c r="A18580" s="2" t="s">
        <v>346</v>
      </c>
      <c r="G18580" s="16" t="n">
        <f aca="false">G18578+G18579</f>
        <v>518.82154744</v>
      </c>
      <c r="H18580" s="16" t="n">
        <f aca="false">H18578+H18579</f>
        <v>539.6742833632</v>
      </c>
      <c r="I18580" s="16" t="n">
        <f aca="false">I18578+I18579</f>
        <v>540.886022671888</v>
      </c>
      <c r="J18580" s="16" t="n">
        <f aca="false">J18578+J18579</f>
        <v>123.071896868977</v>
      </c>
      <c r="K18580" s="16" t="n">
        <f aca="false">K18578+K18579</f>
        <v>118.677412856212</v>
      </c>
    </row>
    <row r="18581" customFormat="false" ht="15" hidden="false" customHeight="false" outlineLevel="0" collapsed="false">
      <c r="A18581" s="3" t="s">
        <v>347</v>
      </c>
      <c r="G18581" s="25" t="n">
        <f aca="false">G18525+G18538+G18551</f>
        <v>0</v>
      </c>
      <c r="H18581" s="25" t="n">
        <f aca="false">H18525+H18538+H18551</f>
        <v>0</v>
      </c>
      <c r="I18581" s="25" t="n">
        <f aca="false">I18525+I18538+I18551</f>
        <v>420.456</v>
      </c>
      <c r="J18581" s="25" t="n">
        <f aca="false">J18525+J18538+J18551</f>
        <v>0</v>
      </c>
      <c r="K18581" s="25" t="n">
        <f aca="false">K18525+K18538+K18551</f>
        <v>0</v>
      </c>
    </row>
    <row r="18582" customFormat="false" ht="15" hidden="false" customHeight="false" outlineLevel="0" collapsed="false">
      <c r="A18582" s="2" t="s">
        <v>348</v>
      </c>
      <c r="G18582" s="16" t="n">
        <f aca="false">G18580-G18581</f>
        <v>518.82154744</v>
      </c>
      <c r="H18582" s="16" t="n">
        <f aca="false">H18580-H18581</f>
        <v>539.6742833632</v>
      </c>
      <c r="I18582" s="16" t="n">
        <f aca="false">I18580-I18581</f>
        <v>120.430022671888</v>
      </c>
      <c r="J18582" s="16" t="n">
        <f aca="false">J18580-J18581</f>
        <v>123.071896868977</v>
      </c>
      <c r="K18582" s="16" t="n">
        <f aca="false">K18580-K18581</f>
        <v>118.677412856212</v>
      </c>
    </row>
    <row r="18583" customFormat="false" ht="15" hidden="false" customHeight="false" outlineLevel="0" collapsed="false">
      <c r="A18583" s="3" t="s">
        <v>349</v>
      </c>
      <c r="G18583" s="25" t="n">
        <f aca="false">MAX(0,-G18582)</f>
        <v>0</v>
      </c>
      <c r="H18583" s="25" t="n">
        <f aca="false">MAX(0,-H18582)</f>
        <v>0</v>
      </c>
      <c r="I18583" s="25" t="n">
        <f aca="false">MAX(0,-I18582)</f>
        <v>0</v>
      </c>
      <c r="J18583" s="25" t="n">
        <f aca="false">MAX(0,-J18582)</f>
        <v>0</v>
      </c>
      <c r="K18583" s="25" t="n">
        <f aca="false">MAX(0,-K18582)</f>
        <v>0</v>
      </c>
    </row>
    <row r="18584" customFormat="false" ht="15" hidden="false" customHeight="false" outlineLevel="0" collapsed="false">
      <c r="A18584" s="3" t="s">
        <v>350</v>
      </c>
      <c r="G18584" s="25" t="n">
        <f aca="false">MAX(0,G18582-Assumptions!$C$12)*Assumptions!$C$13</f>
        <v>0</v>
      </c>
      <c r="H18584" s="25" t="n">
        <f aca="false">MAX(0,H18582-Assumptions!$C$12)*Assumptions!$C$13</f>
        <v>0</v>
      </c>
      <c r="I18584" s="25" t="n">
        <f aca="false">MAX(0,I18582-Assumptions!$C$12)*Assumptions!$C$13</f>
        <v>0</v>
      </c>
      <c r="J18584" s="25" t="n">
        <f aca="false">MAX(0,J18582-Assumptions!$C$12)*Assumptions!$C$13</f>
        <v>0</v>
      </c>
      <c r="K18584" s="25" t="n">
        <f aca="false">MAX(0,K18582-Assumptions!$C$12)*Assumptions!$C$13</f>
        <v>0</v>
      </c>
    </row>
    <row r="18585" customFormat="false" ht="15" hidden="false" customHeight="false" outlineLevel="0" collapsed="false">
      <c r="A18585" s="3" t="s">
        <v>351</v>
      </c>
      <c r="G18585" s="25" t="n">
        <f aca="false">G18526+G18539+G18552</f>
        <v>0</v>
      </c>
      <c r="H18585" s="25" t="n">
        <f aca="false">H18526+H18539+H18552</f>
        <v>0</v>
      </c>
      <c r="I18585" s="25" t="n">
        <f aca="false">I18526+I18539+I18552</f>
        <v>0</v>
      </c>
      <c r="J18585" s="25" t="n">
        <f aca="false">J18526+J18539+J18552</f>
        <v>0</v>
      </c>
      <c r="K18585" s="25" t="n">
        <f aca="false">K18526+K18539+K18552</f>
        <v>0</v>
      </c>
    </row>
    <row r="18586" customFormat="false" ht="15" hidden="false" customHeight="false" outlineLevel="0" collapsed="false">
      <c r="A18586" s="2" t="s">
        <v>352</v>
      </c>
      <c r="F18586" s="28" t="n">
        <f aca="false">Assumptions!$C$11</f>
        <v>463.996</v>
      </c>
      <c r="G18586" s="16" t="n">
        <f aca="false">G18582-G18585</f>
        <v>518.82154744</v>
      </c>
      <c r="H18586" s="16" t="n">
        <f aca="false">H18582-H18585</f>
        <v>539.6742833632</v>
      </c>
      <c r="I18586" s="16" t="n">
        <f aca="false">I18582-I18585</f>
        <v>120.430022671888</v>
      </c>
      <c r="J18586" s="16" t="n">
        <f aca="false">J18582-J18585</f>
        <v>123.071896868977</v>
      </c>
      <c r="K18586" s="16" t="n">
        <f aca="false">K18582-K18585</f>
        <v>118.677412856212</v>
      </c>
    </row>
    <row r="18587" customFormat="false" ht="15" hidden="false" customHeight="false" outlineLevel="0" collapsed="false">
      <c r="A18587" s="3" t="s">
        <v>353</v>
      </c>
      <c r="G18587" s="25" t="n">
        <f aca="false">G18527+G18540+G18553</f>
        <v>0</v>
      </c>
      <c r="H18587" s="25" t="n">
        <f aca="false">H18527+H18540+H18553</f>
        <v>0</v>
      </c>
      <c r="I18587" s="25" t="n">
        <f aca="false">I18527+I18540+I18553</f>
        <v>0</v>
      </c>
      <c r="J18587" s="25" t="n">
        <f aca="false">J18527+J18540+J18553</f>
        <v>0</v>
      </c>
      <c r="K18587" s="25" t="n">
        <f aca="false">K18527+K18540+K18553</f>
        <v>0</v>
      </c>
    </row>
    <row r="18588" customFormat="false" ht="15" hidden="false" customHeight="false" outlineLevel="0" collapsed="false">
      <c r="A18588" s="3" t="s">
        <v>354</v>
      </c>
      <c r="G18588" s="20" t="n">
        <f aca="false">IF(OR(G18583&gt;0.001,G18587&gt;0.001),1,0)</f>
        <v>0</v>
      </c>
      <c r="H18588" s="20" t="n">
        <f aca="false">IF(OR(H18583&gt;0.001,H18587&gt;0.001),1,0)</f>
        <v>0</v>
      </c>
      <c r="I18588" s="20" t="n">
        <f aca="false">IF(OR(I18583&gt;0.001,I18587&gt;0.001),1,0)</f>
        <v>0</v>
      </c>
      <c r="J18588" s="20" t="n">
        <f aca="false">IF(OR(J18583&gt;0.001,J18587&gt;0.001),1,0)</f>
        <v>0</v>
      </c>
      <c r="K18588" s="20" t="n">
        <f aca="false">IF(OR(K18583&gt;0.001,K18587&gt;0.001),1,0)</f>
        <v>0</v>
      </c>
    </row>
    <row r="18589" customFormat="false" ht="15" hidden="false" customHeight="false" outlineLevel="0" collapsed="false">
      <c r="A18589" s="3" t="s">
        <v>355</v>
      </c>
      <c r="G18589" s="20" t="n">
        <f aca="false">IF(G18588=1,1,0)</f>
        <v>0</v>
      </c>
      <c r="H18589" s="20" t="n">
        <f aca="false">IF(AND(H18588=1,SUM($G$18588:G18588)=0),1,0)</f>
        <v>0</v>
      </c>
      <c r="I18589" s="20" t="n">
        <f aca="false">IF(AND(I18588=1,SUM($G$18588:H18588)=0),1,0)</f>
        <v>0</v>
      </c>
      <c r="J18589" s="20" t="n">
        <f aca="false">IF(AND(J18588=1,SUM($G$18588:I18588)=0),1,0)</f>
        <v>0</v>
      </c>
      <c r="K18589" s="20" t="n">
        <f aca="false">IF(AND(K18588=1,SUM($G$18588:J18588)=0),1,0)</f>
        <v>0</v>
      </c>
    </row>
    <row r="18590" customFormat="false" ht="15" hidden="false" customHeight="false" outlineLevel="0" collapsed="false">
      <c r="A18590" s="3" t="s">
        <v>356</v>
      </c>
      <c r="G18590" s="25" t="n">
        <f aca="false">(G18556-F18556)-(G18579+G18496-G18577-G18581-G18585)</f>
        <v>0</v>
      </c>
      <c r="H18590" s="25" t="n">
        <f aca="false">(H18556-G18556)-(H18579+H18496-H18577-H18581-H18585)</f>
        <v>0</v>
      </c>
      <c r="I18590" s="25" t="n">
        <f aca="false">(I18556-H18556)-(I18579+I18496-I18577-I18581-I18585)</f>
        <v>0</v>
      </c>
      <c r="J18590" s="25" t="n">
        <f aca="false">(J18556-I18556)-(J18579+J18496-J18577-J18581-J18585)</f>
        <v>0</v>
      </c>
      <c r="K18590" s="25" t="n">
        <f aca="false">(K18556-J18556)-(K18579+K18496-K18577-K18581-K18585)</f>
        <v>0</v>
      </c>
    </row>
    <row r="18592" customFormat="false" ht="15" hidden="false" customHeight="false" outlineLevel="0" collapsed="false">
      <c r="A18592" s="23" t="s">
        <v>358</v>
      </c>
      <c r="B18592" s="24"/>
      <c r="C18592" s="24"/>
      <c r="D18592" s="24"/>
      <c r="E18592" s="24"/>
      <c r="F18592" s="24"/>
      <c r="G18592" s="24"/>
      <c r="H18592" s="24"/>
      <c r="I18592" s="24"/>
      <c r="J18592" s="24"/>
      <c r="K18592" s="24"/>
    </row>
    <row r="18593" customFormat="false" ht="15" hidden="false" customHeight="false" outlineLevel="0" collapsed="false">
      <c r="A18593" s="3" t="s">
        <v>359</v>
      </c>
      <c r="G18593" s="25" t="n">
        <f aca="false">G18556</f>
        <v>1735.554</v>
      </c>
      <c r="H18593" s="25" t="n">
        <f aca="false">H18556</f>
        <v>1735.554</v>
      </c>
      <c r="I18593" s="25" t="n">
        <f aca="false">I18556</f>
        <v>1315.098</v>
      </c>
      <c r="J18593" s="25" t="n">
        <f aca="false">J18556</f>
        <v>1315.098</v>
      </c>
      <c r="K18593" s="25" t="n">
        <f aca="false">K18556</f>
        <v>1315.098</v>
      </c>
    </row>
    <row r="18594" customFormat="false" ht="15" hidden="false" customHeight="false" outlineLevel="0" collapsed="false">
      <c r="A18594" s="3" t="s">
        <v>360</v>
      </c>
      <c r="G18594" s="25" t="n">
        <f aca="false">Assumptions!$O$56*G18528+Assumptions!$O$57*G18541+Assumptions!$O$58*G18554</f>
        <v>1315.098</v>
      </c>
      <c r="H18594" s="25" t="n">
        <f aca="false">Assumptions!$O$56*H18528+Assumptions!$O$57*H18541+Assumptions!$O$58*H18554</f>
        <v>1315.098</v>
      </c>
      <c r="I18594" s="25" t="n">
        <f aca="false">Assumptions!$O$56*I18528+Assumptions!$O$57*I18541+Assumptions!$O$58*I18554</f>
        <v>1315.098</v>
      </c>
      <c r="J18594" s="25" t="n">
        <f aca="false">Assumptions!$O$56*J18528+Assumptions!$O$57*J18541+Assumptions!$O$58*J18554</f>
        <v>1315.098</v>
      </c>
      <c r="K18594" s="25" t="n">
        <f aca="false">Assumptions!$O$56*K18528+Assumptions!$O$57*K18541+Assumptions!$O$58*K18554</f>
        <v>1315.098</v>
      </c>
    </row>
    <row r="18595" customFormat="false" ht="15" hidden="false" customHeight="false" outlineLevel="0" collapsed="false">
      <c r="A18595" s="3" t="s">
        <v>361</v>
      </c>
      <c r="G18595" s="25" t="n">
        <f aca="false">G18593-G18586</f>
        <v>1216.73245256</v>
      </c>
      <c r="H18595" s="25" t="n">
        <f aca="false">H18593-H18586</f>
        <v>1195.8797166368</v>
      </c>
      <c r="I18595" s="25" t="n">
        <f aca="false">I18593-I18586</f>
        <v>1194.66797732811</v>
      </c>
      <c r="J18595" s="25" t="n">
        <f aca="false">J18593-J18586</f>
        <v>1192.02610313102</v>
      </c>
      <c r="K18595" s="25" t="n">
        <f aca="false">K18593-K18586</f>
        <v>1196.42058714379</v>
      </c>
    </row>
    <row r="18596" customFormat="false" ht="15" hidden="false" customHeight="false" outlineLevel="0" collapsed="false">
      <c r="A18596" s="3" t="s">
        <v>362</v>
      </c>
      <c r="G18596" s="32" t="n">
        <f aca="false">IF(G18491&gt;0,G18593/G18491,0)</f>
        <v>6.99885842190068</v>
      </c>
      <c r="H18596" s="32" t="n">
        <f aca="false">IF(H18491&gt;0,H18593/H18491,0)</f>
        <v>8.20980460047</v>
      </c>
      <c r="I18596" s="32" t="n">
        <f aca="false">IF(I18491&gt;0,I18593/I18491,0)</f>
        <v>6.93311397368161</v>
      </c>
      <c r="J18596" s="32" t="n">
        <f aca="false">IF(J18491&gt;0,J18593/J18491,0)</f>
        <v>7.66291544459547</v>
      </c>
      <c r="K18596" s="32" t="n">
        <f aca="false">IF(K18491&gt;0,K18593/K18491,0)</f>
        <v>8.0662267837847</v>
      </c>
    </row>
    <row r="18597" customFormat="false" ht="15" hidden="false" customHeight="false" outlineLevel="0" collapsed="false">
      <c r="A18597" s="3" t="s">
        <v>363</v>
      </c>
      <c r="G18597" s="32" t="n">
        <f aca="false">IF(G18491&gt;0,G18595/G18491,0)</f>
        <v>4.9066397085884</v>
      </c>
      <c r="H18597" s="32" t="n">
        <f aca="false">IF(H18491&gt;0,H18595/H18491,0)</f>
        <v>5.65694804036842</v>
      </c>
      <c r="I18597" s="32" t="n">
        <f aca="false">IF(I18491&gt;0,I18595/I18491,0)</f>
        <v>6.29821446578391</v>
      </c>
      <c r="J18597" s="32" t="n">
        <f aca="false">IF(J18491&gt;0,J18595/J18491,0)</f>
        <v>6.94579053123316</v>
      </c>
      <c r="K18597" s="32" t="n">
        <f aca="false">IF(K18491&gt;0,K18595/K18491,0)</f>
        <v>7.33831226622703</v>
      </c>
    </row>
    <row r="18598" customFormat="false" ht="15" hidden="false" customHeight="false" outlineLevel="0" collapsed="false">
      <c r="A18598" s="3" t="s">
        <v>364</v>
      </c>
      <c r="G18598" s="32" t="n">
        <f aca="false">IF(G18495&gt;0,G18491/G18495,0)</f>
        <v>1.59005643370602</v>
      </c>
      <c r="H18598" s="32" t="n">
        <f aca="false">IF(H18495&gt;0,H18491/H18495,0)</f>
        <v>1.35552310973439</v>
      </c>
      <c r="I18598" s="32" t="n">
        <f aca="false">IF(I18495&gt;0,I18491/I18495,0)</f>
        <v>1.21627391755258</v>
      </c>
      <c r="J18598" s="32" t="n">
        <f aca="false">IF(J18495&gt;0,J18491/J18495,0)</f>
        <v>1.24284413584734</v>
      </c>
      <c r="K18598" s="32" t="n">
        <f aca="false">IF(K18495&gt;0,K18491/K18495,0)</f>
        <v>1.18070192905498</v>
      </c>
    </row>
    <row r="18599" customFormat="false" ht="15" hidden="false" customHeight="false" outlineLevel="0" collapsed="false">
      <c r="A18599" s="3" t="s">
        <v>365</v>
      </c>
      <c r="G18599" s="32" t="n">
        <f aca="false">IF(G18495&gt;0,G18494/G18495,0)</f>
        <v>0.943202831951104</v>
      </c>
      <c r="H18599" s="32" t="n">
        <f aca="false">IF(H18495&gt;0,H18494/H18495,0)</f>
        <v>0.75394926010231</v>
      </c>
      <c r="I18599" s="32" t="n">
        <f aca="false">IF(I18495&gt;0,I18494/I18495,0)</f>
        <v>0.65079449889843</v>
      </c>
      <c r="J18599" s="32" t="n">
        <f aca="false">IF(J18495&gt;0,J18494/J18495,0)</f>
        <v>0.636119854632452</v>
      </c>
      <c r="K18599" s="32" t="n">
        <f aca="false">IF(K18495&gt;0,K18494/K18495,0)</f>
        <v>0.604313861900829</v>
      </c>
    </row>
    <row r="18600" customFormat="false" ht="15" hidden="false" customHeight="false" outlineLevel="0" collapsed="false">
      <c r="A18600" s="3" t="s">
        <v>198</v>
      </c>
      <c r="G18600" s="21" t="n">
        <f aca="false">IF(G18593&gt;0,G18504/G18593,0)</f>
        <v>0.0315896523185104</v>
      </c>
      <c r="H18600" s="21" t="n">
        <f aca="false">IF(H18593&gt;0,H18504/H18593,0)</f>
        <v>0.0120150314673009</v>
      </c>
      <c r="I18600" s="21" t="n">
        <f aca="false">IF(I18593&gt;0,I18504/I18593,0)</f>
        <v>0.000921406091932281</v>
      </c>
      <c r="J18600" s="21" t="n">
        <f aca="false">IF(J18593&gt;0,J18504/J18593,0)</f>
        <v>0.00200888009645638</v>
      </c>
      <c r="K18600" s="21" t="n">
        <f aca="false">IF(K18593&gt;0,K18504/K18593,0)</f>
        <v>-0.00334156390836645</v>
      </c>
    </row>
    <row r="18601" customFormat="false" ht="15" hidden="false" customHeight="false" outlineLevel="0" collapsed="false">
      <c r="A18601" s="3" t="s">
        <v>366</v>
      </c>
      <c r="G18601" s="32" t="n">
        <f aca="false">IF(G18495+G18577&gt;0,(G18491-G18502-G18499)/(G18495+G18577),0)</f>
        <v>1.41780032005454</v>
      </c>
      <c r="H18601" s="32" t="n">
        <f aca="false">IF(H18495+H18577&gt;0,(H18491-H18502-H18499)/(H18495+H18577),0)</f>
        <v>1.1953249240385</v>
      </c>
      <c r="I18601" s="32" t="n">
        <f aca="false">IF(I18495+I18577&gt;0,(I18491-I18502-I18499)/(I18495+I18577),0)</f>
        <v>1.06568762299845</v>
      </c>
      <c r="J18601" s="32" t="n">
        <f aca="false">IF(J18495+J18577&gt;0,(J18491-J18502-J18499)/(J18495+J18577),0)</f>
        <v>1.08127439818719</v>
      </c>
      <c r="K18601" s="32" t="n">
        <f aca="false">IF(K18495+K18577&gt;0,(K18491-K18502-K18499)/(K18495+K18577),0)</f>
        <v>1.02721067827783</v>
      </c>
    </row>
    <row r="18602" customFormat="false" ht="15" hidden="false" customHeight="false" outlineLevel="0" collapsed="false">
      <c r="A18602" s="3" t="s">
        <v>367</v>
      </c>
      <c r="G18602" s="25" t="n">
        <f aca="false">MAX(0,G18586)+Assumptions!$P$56*MAX(0,Assumptions!$D$56-G18528)+Assumptions!$P$57*MAX(0,Assumptions!$D$57-G18541)+Assumptions!$P$58*MAX(0,Assumptions!$D$58-G18554)</f>
        <v>518.82154744</v>
      </c>
      <c r="H18602" s="25" t="n">
        <f aca="false">MAX(0,H18586)+Assumptions!$P$56*MAX(0,Assumptions!$D$56-H18528)+Assumptions!$P$57*MAX(0,Assumptions!$D$57-H18541)+Assumptions!$P$58*MAX(0,Assumptions!$D$58-H18554)</f>
        <v>539.6742833632</v>
      </c>
      <c r="I18602" s="25" t="n">
        <f aca="false">MAX(0,I18586)+Assumptions!$P$56*MAX(0,Assumptions!$D$56-I18528)+Assumptions!$P$57*MAX(0,Assumptions!$D$57-I18541)+Assumptions!$P$58*MAX(0,Assumptions!$D$58-I18554)</f>
        <v>120.430022671888</v>
      </c>
      <c r="J18602" s="25" t="n">
        <f aca="false">MAX(0,J18586)+Assumptions!$P$56*MAX(0,Assumptions!$D$56-J18528)+Assumptions!$P$57*MAX(0,Assumptions!$D$57-J18541)+Assumptions!$P$58*MAX(0,Assumptions!$D$58-J18554)</f>
        <v>123.071896868977</v>
      </c>
      <c r="K18602" s="25" t="n">
        <f aca="false">MAX(0,K18586)+Assumptions!$P$56*MAX(0,Assumptions!$D$56-K18528)+Assumptions!$P$57*MAX(0,Assumptions!$D$57-K18541)+Assumptions!$P$58*MAX(0,Assumptions!$D$58-K18554)</f>
        <v>118.677412856212</v>
      </c>
    </row>
    <row r="18603" customFormat="false" ht="15" hidden="false" customHeight="false" outlineLevel="0" collapsed="false">
      <c r="A18603" s="3" t="s">
        <v>368</v>
      </c>
      <c r="G18603" s="21" t="n">
        <f aca="false">IF(G18593&gt;0,G18593/(G18593+MAX(0,G18491*CHOOSE($C$18474,Assumptions!$C$82,Assumptions!$C$101,Assumptions!$C$120)-G18595)),0)</f>
        <v>0.986836236277321</v>
      </c>
      <c r="H18603" s="21" t="n">
        <f aca="false">IF(H18593&gt;0,H18593/(H18593+MAX(0,H18491*CHOOSE($C$18474,Assumptions!$C$82,Assumptions!$C$101,Assumptions!$C$120)-H18595)),0)</f>
        <v>1</v>
      </c>
      <c r="I18603" s="21" t="n">
        <f aca="false">IF(I18593&gt;0,I18593/(I18593+MAX(0,I18491*CHOOSE($C$18474,Assumptions!$C$82,Assumptions!$C$101,Assumptions!$C$120)-I18595)),0)</f>
        <v>1</v>
      </c>
      <c r="J18603" s="21" t="n">
        <f aca="false">IF(J18593&gt;0,J18593/(J18593+MAX(0,J18491*CHOOSE($C$18474,Assumptions!$C$82,Assumptions!$C$101,Assumptions!$C$120)-J18595)),0)</f>
        <v>1</v>
      </c>
      <c r="K18603" s="21" t="n">
        <f aca="false">IF(K18593&gt;0,K18593/(K18593+MAX(0,K18491*CHOOSE($C$18474,Assumptions!$C$82,Assumptions!$C$101,Assumptions!$C$120)-K18595)),0)</f>
        <v>1</v>
      </c>
    </row>
    <row r="18604" customFormat="false" ht="15" hidden="false" customHeight="false" outlineLevel="0" collapsed="false">
      <c r="A18604" s="3" t="s">
        <v>369</v>
      </c>
      <c r="G18604" s="21" t="n">
        <f aca="false">IF(G18593&gt;0,MAX(0,G18586)/G18593,0)</f>
        <v>0.298937139057615</v>
      </c>
      <c r="H18604" s="21" t="n">
        <f aca="false">IF(H18593&gt;0,MAX(0,H18586)/H18593,0)</f>
        <v>0.310952170524916</v>
      </c>
      <c r="I18604" s="21" t="n">
        <f aca="false">IF(I18593&gt;0,MAX(0,I18586)/I18593,0)</f>
        <v>0.0915749416939937</v>
      </c>
      <c r="J18604" s="21" t="n">
        <f aca="false">IF(J18593&gt;0,MAX(0,J18586)/J18593,0)</f>
        <v>0.0935838217904501</v>
      </c>
      <c r="K18604" s="21" t="n">
        <f aca="false">IF(K18593&gt;0,MAX(0,K18586)/K18593,0)</f>
        <v>0.0902422578820836</v>
      </c>
    </row>
    <row r="18605" customFormat="false" ht="15" hidden="false" customHeight="false" outlineLevel="0" collapsed="false">
      <c r="A18605" s="3" t="s">
        <v>370</v>
      </c>
      <c r="G18605" s="25" t="n">
        <f aca="false">Assumptions!$C$30*(1-CHOOSE($C$18474,Assumptions!$C$85,Assumptions!$C$104,Assumptions!$C$123))</f>
        <v>2086.72535</v>
      </c>
      <c r="H18605" s="25" t="n">
        <f aca="false">Assumptions!$C$30*(1-CHOOSE($C$18474,Assumptions!$C$85,Assumptions!$C$104,Assumptions!$C$123))</f>
        <v>2086.72535</v>
      </c>
      <c r="I18605" s="25" t="n">
        <f aca="false">Assumptions!$C$30*(1-CHOOSE($C$18474,Assumptions!$C$85,Assumptions!$C$104,Assumptions!$C$123))</f>
        <v>2086.72535</v>
      </c>
      <c r="J18605" s="25" t="n">
        <f aca="false">Assumptions!$C$30*(1-CHOOSE($C$18474,Assumptions!$C$85,Assumptions!$C$104,Assumptions!$C$123))</f>
        <v>2086.72535</v>
      </c>
      <c r="K18605" s="25" t="n">
        <f aca="false">Assumptions!$C$30*(1-CHOOSE($C$18474,Assumptions!$C$85,Assumptions!$C$104,Assumptions!$C$123))</f>
        <v>2086.72535</v>
      </c>
    </row>
    <row r="18606" customFormat="false" ht="15" hidden="false" customHeight="false" outlineLevel="0" collapsed="false">
      <c r="A18606" s="23" t="s">
        <v>371</v>
      </c>
      <c r="B18606" s="24"/>
      <c r="C18606" s="24"/>
      <c r="D18606" s="24"/>
      <c r="E18606" s="24"/>
      <c r="F18606" s="24"/>
      <c r="G18606" s="24"/>
      <c r="H18606" s="24"/>
      <c r="I18606" s="24"/>
      <c r="J18606" s="24"/>
      <c r="K18606" s="24"/>
    </row>
    <row r="18607" customFormat="false" ht="15" hidden="false" customHeight="false" outlineLevel="0" collapsed="false">
      <c r="A18607" s="23" t="s">
        <v>372</v>
      </c>
      <c r="B18607" s="24"/>
      <c r="C18607" s="24"/>
      <c r="D18607" s="24"/>
      <c r="E18607" s="24"/>
      <c r="F18607" s="24"/>
      <c r="G18607" s="24"/>
      <c r="H18607" s="24"/>
      <c r="I18607" s="24"/>
      <c r="J18607" s="24"/>
      <c r="K18607" s="24"/>
    </row>
    <row r="18608" customFormat="false" ht="15" hidden="false" customHeight="false" outlineLevel="0" collapsed="false">
      <c r="A18608" s="3" t="s">
        <v>373</v>
      </c>
      <c r="G18608" s="32" t="n">
        <f aca="false">IF(G18491&gt;0,G18595/G18491,99)</f>
        <v>4.9066397085884</v>
      </c>
      <c r="H18608" s="32" t="n">
        <f aca="false">IF(H18491&gt;0,H18595/H18491,99)</f>
        <v>5.65694804036842</v>
      </c>
      <c r="I18608" s="32" t="n">
        <f aca="false">IF(I18491&gt;0,I18595/I18491,99)</f>
        <v>6.29821446578391</v>
      </c>
      <c r="J18608" s="32" t="n">
        <f aca="false">IF(J18491&gt;0,J18595/J18491,99)</f>
        <v>6.94579053123316</v>
      </c>
      <c r="K18608" s="32" t="n">
        <f aca="false">IF(K18491&gt;0,K18595/K18491,99)</f>
        <v>7.33831226622703</v>
      </c>
    </row>
    <row r="18609" customFormat="false" ht="15" hidden="false" customHeight="false" outlineLevel="0" collapsed="false">
      <c r="A18609" s="3" t="s">
        <v>374</v>
      </c>
      <c r="G18609" s="33" t="n">
        <f aca="false">Assumptions!$G$65</f>
        <v>5.25</v>
      </c>
      <c r="H18609" s="33" t="n">
        <f aca="false">Assumptions!$H$65</f>
        <v>5.25</v>
      </c>
      <c r="I18609" s="33" t="n">
        <f aca="false">Assumptions!$I$65</f>
        <v>5</v>
      </c>
      <c r="J18609" s="33" t="n">
        <f aca="false">Assumptions!$J$65</f>
        <v>5</v>
      </c>
      <c r="K18609" s="33" t="n">
        <f aca="false">Assumptions!$K$65</f>
        <v>5</v>
      </c>
    </row>
    <row r="18610" customFormat="false" ht="15" hidden="false" customHeight="false" outlineLevel="0" collapsed="false">
      <c r="A18610" s="3" t="s">
        <v>375</v>
      </c>
      <c r="G18610" s="32" t="n">
        <f aca="false">G18609-G18608</f>
        <v>0.343360291411604</v>
      </c>
      <c r="H18610" s="32" t="n">
        <f aca="false">H18609-H18608</f>
        <v>-0.406948040368418</v>
      </c>
      <c r="I18610" s="32" t="n">
        <f aca="false">I18609-I18608</f>
        <v>-1.29821446578391</v>
      </c>
      <c r="J18610" s="32" t="n">
        <f aca="false">J18609-J18608</f>
        <v>-1.94579053123316</v>
      </c>
      <c r="K18610" s="32" t="n">
        <f aca="false">K18609-K18608</f>
        <v>-2.33831226622703</v>
      </c>
    </row>
    <row r="18611" customFormat="false" ht="15" hidden="false" customHeight="false" outlineLevel="0" collapsed="false">
      <c r="A18611" s="3" t="s">
        <v>376</v>
      </c>
      <c r="G18611" s="21" t="n">
        <f aca="false">IF(G18609=0,0,G18610/ABS(G18609))</f>
        <v>0.0654019602688769</v>
      </c>
      <c r="H18611" s="21" t="n">
        <f aca="false">IF(H18609=0,0,H18610/ABS(H18609))</f>
        <v>-0.0775139124511272</v>
      </c>
      <c r="I18611" s="21" t="n">
        <f aca="false">IF(I18609=0,0,I18610/ABS(I18609))</f>
        <v>-0.259642893156781</v>
      </c>
      <c r="J18611" s="21" t="n">
        <f aca="false">IF(J18609=0,0,J18610/ABS(J18609))</f>
        <v>-0.389158106246632</v>
      </c>
      <c r="K18611" s="21" t="n">
        <f aca="false">IF(K18609=0,0,K18610/ABS(K18609))</f>
        <v>-0.467662453245407</v>
      </c>
    </row>
    <row r="18612" customFormat="false" ht="15" hidden="false" customHeight="false" outlineLevel="0" collapsed="false">
      <c r="A18612" s="3" t="s">
        <v>377</v>
      </c>
      <c r="G18612" s="20" t="n">
        <f aca="false">IF(G18610&lt;0,1,0)</f>
        <v>0</v>
      </c>
      <c r="H18612" s="20" t="n">
        <f aca="false">IF(H18610&lt;0,1,0)</f>
        <v>1</v>
      </c>
      <c r="I18612" s="20" t="n">
        <f aca="false">IF(I18610&lt;0,1,0)</f>
        <v>1</v>
      </c>
      <c r="J18612" s="20" t="n">
        <f aca="false">IF(J18610&lt;0,1,0)</f>
        <v>1</v>
      </c>
      <c r="K18612" s="20" t="n">
        <f aca="false">IF(K18610&lt;0,1,0)</f>
        <v>1</v>
      </c>
    </row>
    <row r="18613" customFormat="false" ht="15" hidden="false" customHeight="false" outlineLevel="0" collapsed="false">
      <c r="A18613" s="3" t="s">
        <v>378</v>
      </c>
      <c r="C18613" s="20" t="n">
        <f aca="false">IFERROR(INDEX($G$18481:$K$18481,MATCH(1,$G$18612:$K$18612,0)),0)</f>
        <v>2028</v>
      </c>
    </row>
    <row r="18614" customFormat="false" ht="15" hidden="false" customHeight="false" outlineLevel="0" collapsed="false">
      <c r="A18614" s="3" t="s">
        <v>379</v>
      </c>
      <c r="C18614" s="21" t="n">
        <f aca="false">MIN($G$18611:$K$18611)</f>
        <v>-0.467662453245407</v>
      </c>
    </row>
    <row r="18615" customFormat="false" ht="15" hidden="false" customHeight="false" outlineLevel="0" collapsed="false">
      <c r="A18615" s="23" t="s">
        <v>380</v>
      </c>
      <c r="B18615" s="24"/>
      <c r="C18615" s="24"/>
      <c r="D18615" s="24"/>
      <c r="E18615" s="24"/>
      <c r="F18615" s="24"/>
      <c r="G18615" s="24"/>
      <c r="H18615" s="24"/>
      <c r="I18615" s="24"/>
      <c r="J18615" s="24"/>
      <c r="K18615" s="24"/>
    </row>
    <row r="18616" customFormat="false" ht="15" hidden="false" customHeight="false" outlineLevel="0" collapsed="false">
      <c r="A18616" s="3" t="s">
        <v>373</v>
      </c>
      <c r="G18616" s="32" t="n">
        <f aca="false">IF(G18495&gt;0,G18491/G18495,99)</f>
        <v>1.59005643370602</v>
      </c>
      <c r="H18616" s="32" t="n">
        <f aca="false">IF(H18495&gt;0,H18491/H18495,99)</f>
        <v>1.35552310973439</v>
      </c>
      <c r="I18616" s="32" t="n">
        <f aca="false">IF(I18495&gt;0,I18491/I18495,99)</f>
        <v>1.21627391755258</v>
      </c>
      <c r="J18616" s="32" t="n">
        <f aca="false">IF(J18495&gt;0,J18491/J18495,99)</f>
        <v>1.24284413584734</v>
      </c>
      <c r="K18616" s="32" t="n">
        <f aca="false">IF(K18495&gt;0,K18491/K18495,99)</f>
        <v>1.18070192905498</v>
      </c>
    </row>
    <row r="18617" customFormat="false" ht="15" hidden="false" customHeight="false" outlineLevel="0" collapsed="false">
      <c r="A18617" s="3" t="s">
        <v>374</v>
      </c>
      <c r="G18617" s="33" t="n">
        <f aca="false">Assumptions!$G$66</f>
        <v>1.4</v>
      </c>
      <c r="H18617" s="33" t="n">
        <f aca="false">Assumptions!$H$66</f>
        <v>1.4</v>
      </c>
      <c r="I18617" s="33" t="n">
        <f aca="false">Assumptions!$I$66</f>
        <v>1.4</v>
      </c>
      <c r="J18617" s="33" t="n">
        <f aca="false">Assumptions!$J$66</f>
        <v>1.5</v>
      </c>
      <c r="K18617" s="33" t="n">
        <f aca="false">Assumptions!$K$66</f>
        <v>1.5</v>
      </c>
    </row>
    <row r="18618" customFormat="false" ht="15" hidden="false" customHeight="false" outlineLevel="0" collapsed="false">
      <c r="A18618" s="3" t="s">
        <v>375</v>
      </c>
      <c r="G18618" s="32" t="n">
        <f aca="false">G18616-G18617</f>
        <v>0.190056433706025</v>
      </c>
      <c r="H18618" s="32" t="n">
        <f aca="false">H18616-H18617</f>
        <v>-0.0444768902656139</v>
      </c>
      <c r="I18618" s="32" t="n">
        <f aca="false">I18616-I18617</f>
        <v>-0.183726082447419</v>
      </c>
      <c r="J18618" s="32" t="n">
        <f aca="false">J18616-J18617</f>
        <v>-0.257155864152655</v>
      </c>
      <c r="K18618" s="32" t="n">
        <f aca="false">K18616-K18617</f>
        <v>-0.319298070945023</v>
      </c>
    </row>
    <row r="18619" customFormat="false" ht="15" hidden="false" customHeight="false" outlineLevel="0" collapsed="false">
      <c r="A18619" s="3" t="s">
        <v>376</v>
      </c>
      <c r="G18619" s="21" t="n">
        <f aca="false">IF(G18617=0,0,G18618/ABS(G18617))</f>
        <v>0.135754595504304</v>
      </c>
      <c r="H18619" s="21" t="n">
        <f aca="false">IF(H18617=0,0,H18618/ABS(H18617))</f>
        <v>-0.0317692073325813</v>
      </c>
      <c r="I18619" s="21" t="n">
        <f aca="false">IF(I18617=0,0,I18618/ABS(I18617))</f>
        <v>-0.131232916033871</v>
      </c>
      <c r="J18619" s="21" t="n">
        <f aca="false">IF(J18617=0,0,J18618/ABS(J18617))</f>
        <v>-0.171437242768437</v>
      </c>
      <c r="K18619" s="21" t="n">
        <f aca="false">IF(K18617=0,0,K18618/ABS(K18617))</f>
        <v>-0.212865380630015</v>
      </c>
    </row>
    <row r="18620" customFormat="false" ht="15" hidden="false" customHeight="false" outlineLevel="0" collapsed="false">
      <c r="A18620" s="3" t="s">
        <v>377</v>
      </c>
      <c r="G18620" s="20" t="n">
        <f aca="false">IF(G18618&lt;0,1,0)</f>
        <v>0</v>
      </c>
      <c r="H18620" s="20" t="n">
        <f aca="false">IF(H18618&lt;0,1,0)</f>
        <v>1</v>
      </c>
      <c r="I18620" s="20" t="n">
        <f aca="false">IF(I18618&lt;0,1,0)</f>
        <v>1</v>
      </c>
      <c r="J18620" s="20" t="n">
        <f aca="false">IF(J18618&lt;0,1,0)</f>
        <v>1</v>
      </c>
      <c r="K18620" s="20" t="n">
        <f aca="false">IF(K18618&lt;0,1,0)</f>
        <v>1</v>
      </c>
    </row>
    <row r="18621" customFormat="false" ht="15" hidden="false" customHeight="false" outlineLevel="0" collapsed="false">
      <c r="A18621" s="3" t="s">
        <v>378</v>
      </c>
      <c r="C18621" s="20" t="n">
        <f aca="false">IFERROR(INDEX($G$18481:$K$18481,MATCH(1,$G$18620:$K$18620,0)),0)</f>
        <v>2028</v>
      </c>
    </row>
    <row r="18622" customFormat="false" ht="15" hidden="false" customHeight="false" outlineLevel="0" collapsed="false">
      <c r="A18622" s="3" t="s">
        <v>379</v>
      </c>
      <c r="C18622" s="21" t="n">
        <f aca="false">MIN($G$18619:$K$18619)</f>
        <v>-0.212865380630015</v>
      </c>
    </row>
    <row r="18623" customFormat="false" ht="15" hidden="false" customHeight="false" outlineLevel="0" collapsed="false">
      <c r="A18623" s="23" t="s">
        <v>381</v>
      </c>
      <c r="B18623" s="24"/>
      <c r="C18623" s="24"/>
      <c r="D18623" s="24"/>
      <c r="E18623" s="24"/>
      <c r="F18623" s="24"/>
      <c r="G18623" s="24"/>
      <c r="H18623" s="24"/>
      <c r="I18623" s="24"/>
      <c r="J18623" s="24"/>
      <c r="K18623" s="24"/>
    </row>
    <row r="18624" customFormat="false" ht="15" hidden="false" customHeight="false" outlineLevel="0" collapsed="false">
      <c r="A18624" s="3" t="s">
        <v>373</v>
      </c>
      <c r="G18624" s="25" t="n">
        <f aca="false">G18602</f>
        <v>518.82154744</v>
      </c>
      <c r="H18624" s="25" t="n">
        <f aca="false">H18602</f>
        <v>539.6742833632</v>
      </c>
      <c r="I18624" s="25" t="n">
        <f aca="false">I18602</f>
        <v>120.430022671888</v>
      </c>
      <c r="J18624" s="25" t="n">
        <f aca="false">J18602</f>
        <v>123.071896868977</v>
      </c>
      <c r="K18624" s="25" t="n">
        <f aca="false">K18602</f>
        <v>118.677412856212</v>
      </c>
    </row>
    <row r="18625" customFormat="false" ht="15" hidden="false" customHeight="false" outlineLevel="0" collapsed="false">
      <c r="A18625" s="3" t="s">
        <v>374</v>
      </c>
      <c r="G18625" s="29" t="n">
        <f aca="false">Assumptions!$G$67</f>
        <v>200</v>
      </c>
      <c r="H18625" s="29" t="n">
        <f aca="false">Assumptions!$H$67</f>
        <v>200</v>
      </c>
      <c r="I18625" s="29" t="n">
        <f aca="false">Assumptions!$I$67</f>
        <v>200</v>
      </c>
      <c r="J18625" s="29" t="n">
        <f aca="false">Assumptions!$J$67</f>
        <v>200</v>
      </c>
      <c r="K18625" s="29" t="n">
        <f aca="false">Assumptions!$K$67</f>
        <v>200</v>
      </c>
    </row>
    <row r="18626" customFormat="false" ht="15" hidden="false" customHeight="false" outlineLevel="0" collapsed="false">
      <c r="A18626" s="3" t="s">
        <v>375</v>
      </c>
      <c r="G18626" s="25" t="n">
        <f aca="false">G18624-G18625</f>
        <v>318.82154744</v>
      </c>
      <c r="H18626" s="25" t="n">
        <f aca="false">H18624-H18625</f>
        <v>339.6742833632</v>
      </c>
      <c r="I18626" s="25" t="n">
        <f aca="false">I18624-I18625</f>
        <v>-79.5699773281123</v>
      </c>
      <c r="J18626" s="25" t="n">
        <f aca="false">J18624-J18625</f>
        <v>-76.9281031310227</v>
      </c>
      <c r="K18626" s="25" t="n">
        <f aca="false">K18624-K18625</f>
        <v>-81.3225871437876</v>
      </c>
    </row>
    <row r="18627" customFormat="false" ht="15" hidden="false" customHeight="false" outlineLevel="0" collapsed="false">
      <c r="A18627" s="3" t="s">
        <v>376</v>
      </c>
      <c r="G18627" s="21" t="n">
        <f aca="false">IF(G18625=0,0,G18626/ABS(G18625))</f>
        <v>1.5941077372</v>
      </c>
      <c r="H18627" s="21" t="n">
        <f aca="false">IF(H18625=0,0,H18626/ABS(H18625))</f>
        <v>1.698371416816</v>
      </c>
      <c r="I18627" s="21" t="n">
        <f aca="false">IF(I18625=0,0,I18626/ABS(I18625))</f>
        <v>-0.397849886640561</v>
      </c>
      <c r="J18627" s="21" t="n">
        <f aca="false">IF(J18625=0,0,J18626/ABS(J18625))</f>
        <v>-0.384640515655113</v>
      </c>
      <c r="K18627" s="21" t="n">
        <f aca="false">IF(K18625=0,0,K18626/ABS(K18625))</f>
        <v>-0.406612935718938</v>
      </c>
    </row>
    <row r="18628" customFormat="false" ht="15" hidden="false" customHeight="false" outlineLevel="0" collapsed="false">
      <c r="A18628" s="3" t="s">
        <v>377</v>
      </c>
      <c r="G18628" s="20" t="n">
        <f aca="false">IF(G18626&lt;0,1,0)</f>
        <v>0</v>
      </c>
      <c r="H18628" s="20" t="n">
        <f aca="false">IF(H18626&lt;0,1,0)</f>
        <v>0</v>
      </c>
      <c r="I18628" s="20" t="n">
        <f aca="false">IF(I18626&lt;0,1,0)</f>
        <v>1</v>
      </c>
      <c r="J18628" s="20" t="n">
        <f aca="false">IF(J18626&lt;0,1,0)</f>
        <v>1</v>
      </c>
      <c r="K18628" s="20" t="n">
        <f aca="false">IF(K18626&lt;0,1,0)</f>
        <v>1</v>
      </c>
    </row>
    <row r="18629" customFormat="false" ht="15" hidden="false" customHeight="false" outlineLevel="0" collapsed="false">
      <c r="A18629" s="3" t="s">
        <v>378</v>
      </c>
      <c r="C18629" s="20" t="n">
        <f aca="false">IFERROR(INDEX($G$18481:$K$18481,MATCH(1,$G$18628:$K$18628,0)),0)</f>
        <v>2029</v>
      </c>
    </row>
    <row r="18630" customFormat="false" ht="15" hidden="false" customHeight="false" outlineLevel="0" collapsed="false">
      <c r="A18630" s="3" t="s">
        <v>379</v>
      </c>
      <c r="C18630" s="21" t="n">
        <f aca="false">MIN($G$18627:$K$18627)</f>
        <v>-0.406612935718938</v>
      </c>
    </row>
    <row r="18631" customFormat="false" ht="15" hidden="false" customHeight="false" outlineLevel="0" collapsed="false">
      <c r="A18631" s="3" t="s">
        <v>382</v>
      </c>
      <c r="G18631" s="20" t="n">
        <f aca="false">G18612+G18620+G18628</f>
        <v>0</v>
      </c>
      <c r="H18631" s="20" t="n">
        <f aca="false">H18612+H18620+H18628</f>
        <v>2</v>
      </c>
      <c r="I18631" s="20" t="n">
        <f aca="false">I18612+I18620+I18628</f>
        <v>3</v>
      </c>
      <c r="J18631" s="20" t="n">
        <f aca="false">J18612+J18620+J18628</f>
        <v>3</v>
      </c>
      <c r="K18631" s="20" t="n">
        <f aca="false">K18612+K18620+K18628</f>
        <v>3</v>
      </c>
    </row>
    <row r="18632" customFormat="false" ht="15" hidden="false" customHeight="false" outlineLevel="0" collapsed="false">
      <c r="A18632" s="3" t="s">
        <v>383</v>
      </c>
      <c r="C18632" s="20" t="n">
        <f aca="false">SUM($G$18631:$K$18631)</f>
        <v>11</v>
      </c>
    </row>
    <row r="18633" customFormat="false" ht="15" hidden="false" customHeight="false" outlineLevel="0" collapsed="false">
      <c r="A18633" s="3" t="s">
        <v>384</v>
      </c>
      <c r="C18633" s="21" t="n">
        <f aca="false">MIN(C18614,C18622,C18630)</f>
        <v>-0.467662453245407</v>
      </c>
    </row>
    <row r="18635" customFormat="false" ht="15" hidden="false" customHeight="false" outlineLevel="0" collapsed="false">
      <c r="A18635" s="23" t="s">
        <v>486</v>
      </c>
      <c r="B18635" s="24"/>
      <c r="C18635" s="24"/>
      <c r="D18635" s="24"/>
      <c r="E18635" s="24"/>
      <c r="F18635" s="24"/>
      <c r="G18635" s="24"/>
      <c r="H18635" s="24"/>
      <c r="I18635" s="24"/>
      <c r="J18635" s="24"/>
      <c r="K18635" s="24"/>
    </row>
    <row r="18636" customFormat="false" ht="15" hidden="false" customHeight="false" outlineLevel="0" collapsed="false">
      <c r="A18636" s="3" t="s">
        <v>487</v>
      </c>
      <c r="G18636" s="20" t="n">
        <f aca="false">IF($C$18637=1,G18589,IF(G18491=MIN($G$18491:$K$18491),1,0))</f>
        <v>0</v>
      </c>
      <c r="H18636" s="20" t="n">
        <f aca="false">IF($C$18637=1,H18589,IF(AND(H18491=MIN($G$18491:$K$18491),SUM($G$18636:G18636)=0),1,0))</f>
        <v>0</v>
      </c>
      <c r="I18636" s="20" t="n">
        <f aca="false">IF($C$18637=1,I18589,IF(AND(I18491=MIN($G$18491:$K$18491),SUM($G$18636:H18636)=0),1,0))</f>
        <v>0</v>
      </c>
      <c r="J18636" s="20" t="n">
        <f aca="false">IF($C$18637=1,J18589,IF(AND(J18491=MIN($G$18491:$K$18491),SUM($G$18636:I18636)=0),1,0))</f>
        <v>0</v>
      </c>
      <c r="K18636" s="20" t="n">
        <f aca="false">IF($C$18637=1,K18589,IF(AND(K18491=MIN($G$18491:$K$18491),SUM($G$18636:J18636)=0),1,0))</f>
        <v>1</v>
      </c>
    </row>
    <row r="18637" customFormat="false" ht="15" hidden="false" customHeight="false" outlineLevel="0" collapsed="false">
      <c r="A18637" s="3" t="s">
        <v>488</v>
      </c>
      <c r="C18637" s="20" t="n">
        <f aca="false">IF(SUM($G$18589:$K$18589)&gt;0,1,0)</f>
        <v>0</v>
      </c>
    </row>
    <row r="18638" customFormat="false" ht="15" hidden="false" customHeight="false" outlineLevel="0" collapsed="false">
      <c r="A18638" s="3" t="s">
        <v>489</v>
      </c>
      <c r="C18638" s="20" t="n">
        <f aca="false">SUMPRODUCT($G$18636:$K$18636,$G$18481:$K$18481)</f>
        <v>2031</v>
      </c>
    </row>
    <row r="18639" customFormat="false" ht="15" hidden="false" customHeight="false" outlineLevel="0" collapsed="false">
      <c r="A18639" s="3" t="s">
        <v>490</v>
      </c>
      <c r="C18639" s="25" t="n">
        <f aca="false">SUMPRODUCT($G$18636:$K$18636,$G$18491:$K$18491)</f>
        <v>163.037568277116</v>
      </c>
    </row>
    <row r="18640" customFormat="false" ht="15" hidden="false" customHeight="false" outlineLevel="0" collapsed="false">
      <c r="A18640" s="3" t="s">
        <v>491</v>
      </c>
      <c r="C18640" s="25" t="n">
        <f aca="false">MAX(0,SUMPRODUCT($G$18636:$K$18636,$G$18586:$K$18586))</f>
        <v>118.677412856212</v>
      </c>
    </row>
    <row r="18641" customFormat="false" ht="15" hidden="false" customHeight="false" outlineLevel="0" collapsed="false">
      <c r="A18641" s="3" t="s">
        <v>492</v>
      </c>
      <c r="C18641" s="25" t="n">
        <f aca="false">(CHOOSE($C$18474,Assumptions!$C$84,Assumptions!$C$103,Assumptions!$C$122)+$C$18478)*C18639</f>
        <v>1059.74419380125</v>
      </c>
    </row>
    <row r="18642" customFormat="false" ht="15" hidden="false" customHeight="false" outlineLevel="0" collapsed="false">
      <c r="A18642" s="3" t="s">
        <v>493</v>
      </c>
      <c r="C18642" s="25" t="n">
        <f aca="false">Assumptions!$C$30*(1-CHOOSE($C$18474,Assumptions!$C$85,Assumptions!$C$104,Assumptions!$C$123))*CHOOSE($C$18474,Assumptions!$C$86,Assumptions!$C$105,Assumptions!$C$124)</f>
        <v>626.017605</v>
      </c>
    </row>
    <row r="18643" customFormat="false" ht="15" hidden="false" customHeight="false" outlineLevel="0" collapsed="false">
      <c r="A18643" s="3" t="s">
        <v>494</v>
      </c>
      <c r="C18643" s="25" t="n">
        <f aca="false">MAX(C18641,C18642)+C18640</f>
        <v>1178.42160665747</v>
      </c>
    </row>
    <row r="18644" customFormat="false" ht="15" hidden="false" customHeight="false" outlineLevel="0" collapsed="false">
      <c r="A18644" s="2" t="s">
        <v>495</v>
      </c>
      <c r="C18644" s="16" t="n">
        <f aca="false">IF(ISNUMBER(Assumptions!$C$14),Assumptions!$C$14,C18643)</f>
        <v>1178.42160665747</v>
      </c>
    </row>
    <row r="18645" customFormat="false" ht="15" hidden="false" customHeight="false" outlineLevel="0" collapsed="false">
      <c r="A18645" s="3" t="s">
        <v>496</v>
      </c>
      <c r="C18645" s="25" t="n">
        <f aca="false">C18644*Assumptions!$C$15</f>
        <v>47.1368642662986</v>
      </c>
    </row>
    <row r="18646" customFormat="false" ht="15" hidden="false" customHeight="false" outlineLevel="0" collapsed="false">
      <c r="A18646" s="2" t="s">
        <v>497</v>
      </c>
      <c r="C18646" s="16" t="n">
        <f aca="false">C18644-C18645</f>
        <v>1131.28474239117</v>
      </c>
    </row>
    <row r="18647" customFormat="false" ht="15" hidden="false" customHeight="false" outlineLevel="0" collapsed="false">
      <c r="A18647" s="23" t="s">
        <v>498</v>
      </c>
      <c r="B18647" s="24"/>
      <c r="C18647" s="24"/>
      <c r="D18647" s="24"/>
      <c r="E18647" s="24"/>
      <c r="F18647" s="24"/>
      <c r="G18647" s="24"/>
      <c r="H18647" s="24"/>
      <c r="I18647" s="24"/>
      <c r="J18647" s="24"/>
      <c r="K18647" s="24"/>
    </row>
    <row r="18648" customFormat="false" ht="15" hidden="false" customHeight="false" outlineLevel="0" collapsed="false">
      <c r="A18648" s="3" t="s">
        <v>499</v>
      </c>
      <c r="C18648" s="25" t="n">
        <f aca="false">SUMPRODUCT($G$18636:$K$18636,$G$18528:$K$18528)*(1+SUMPRODUCT($G$18636:$K$18636,$G$18520:$K$18520)*Assumptions!$C$16/12)</f>
        <v>1349.6193225</v>
      </c>
    </row>
    <row r="18649" customFormat="false" ht="15" hidden="false" customHeight="false" outlineLevel="0" collapsed="false">
      <c r="A18649" s="3" t="s">
        <v>500</v>
      </c>
      <c r="C18649" s="25" t="n">
        <f aca="false">SUMPRODUCT($G$18636:$K$18636,$G$18541:$K$18541)*(1+SUMPRODUCT($G$18636:$K$18636,$G$18533:$K$18533)*Assumptions!$C$16/12)</f>
        <v>0</v>
      </c>
    </row>
    <row r="18650" customFormat="false" ht="15" hidden="false" customHeight="false" outlineLevel="0" collapsed="false">
      <c r="A18650" s="3" t="s">
        <v>501</v>
      </c>
      <c r="C18650" s="25" t="n">
        <f aca="false">SUMPRODUCT($G$18636:$K$18636,$G$18554:$K$18554)*(1+SUMPRODUCT($G$18636:$K$18636,$G$18546:$K$18546)*Assumptions!$C$16/12)</f>
        <v>0</v>
      </c>
    </row>
    <row r="18651" customFormat="false" ht="15" hidden="false" customHeight="false" outlineLevel="0" collapsed="false">
      <c r="A18651" s="23" t="s">
        <v>502</v>
      </c>
      <c r="B18651" s="24"/>
      <c r="C18651" s="24"/>
      <c r="D18651" s="24"/>
      <c r="E18651" s="24"/>
      <c r="F18651" s="24"/>
      <c r="G18651" s="24"/>
      <c r="H18651" s="24"/>
      <c r="I18651" s="24"/>
      <c r="J18651" s="24"/>
      <c r="K18651" s="24"/>
    </row>
    <row r="18652" customFormat="false" ht="15" hidden="false" customHeight="false" outlineLevel="0" collapsed="false">
      <c r="A18652" s="3" t="s">
        <v>499</v>
      </c>
      <c r="C18652" s="27" t="n">
        <f aca="false">Assumptions!$M$56</f>
        <v>1</v>
      </c>
    </row>
    <row r="18653" customFormat="false" ht="15" hidden="false" customHeight="false" outlineLevel="0" collapsed="false">
      <c r="A18653" s="3" t="s">
        <v>500</v>
      </c>
      <c r="C18653" s="27" t="n">
        <f aca="false">Assumptions!$M$57</f>
        <v>2</v>
      </c>
    </row>
    <row r="18654" customFormat="false" ht="15" hidden="false" customHeight="false" outlineLevel="0" collapsed="false">
      <c r="A18654" s="3" t="s">
        <v>501</v>
      </c>
      <c r="C18654" s="27" t="n">
        <f aca="false">Assumptions!$M$58</f>
        <v>2</v>
      </c>
    </row>
    <row r="18655" customFormat="false" ht="15" hidden="false" customHeight="false" outlineLevel="0" collapsed="false">
      <c r="A18655" s="23" t="s">
        <v>503</v>
      </c>
      <c r="B18655" s="24"/>
      <c r="C18655" s="24"/>
      <c r="D18655" s="24"/>
      <c r="E18655" s="24"/>
      <c r="F18655" s="24"/>
      <c r="G18655" s="24"/>
      <c r="H18655" s="24"/>
      <c r="I18655" s="24"/>
      <c r="J18655" s="24"/>
      <c r="K18655" s="24"/>
    </row>
    <row r="18656" customFormat="false" ht="15" hidden="false" customHeight="false" outlineLevel="0" collapsed="false">
      <c r="A18656" s="3" t="s">
        <v>499</v>
      </c>
      <c r="C18656" s="35" t="n">
        <f aca="false">Assumptions!$Q$56</f>
        <v>0</v>
      </c>
    </row>
    <row r="18657" customFormat="false" ht="15" hidden="false" customHeight="false" outlineLevel="0" collapsed="false">
      <c r="A18657" s="3" t="s">
        <v>500</v>
      </c>
      <c r="C18657" s="35" t="n">
        <f aca="false">Assumptions!$Q$57</f>
        <v>0</v>
      </c>
    </row>
    <row r="18658" customFormat="false" ht="15" hidden="false" customHeight="false" outlineLevel="0" collapsed="false">
      <c r="A18658" s="3" t="s">
        <v>501</v>
      </c>
      <c r="C18658" s="35" t="n">
        <f aca="false">Assumptions!$Q$58</f>
        <v>0</v>
      </c>
    </row>
    <row r="18659" customFormat="false" ht="15" hidden="false" customHeight="false" outlineLevel="0" collapsed="false">
      <c r="A18659" s="23" t="s">
        <v>504</v>
      </c>
      <c r="B18659" s="24"/>
      <c r="C18659" s="24"/>
      <c r="D18659" s="24"/>
      <c r="E18659" s="24"/>
      <c r="F18659" s="24"/>
      <c r="G18659" s="24"/>
      <c r="H18659" s="24"/>
      <c r="I18659" s="24"/>
      <c r="J18659" s="24"/>
      <c r="K18659" s="24"/>
    </row>
    <row r="18660" customFormat="false" ht="15" hidden="false" customHeight="false" outlineLevel="0" collapsed="false">
      <c r="A18660" s="3" t="s">
        <v>499</v>
      </c>
      <c r="C18660" s="25" t="n">
        <f aca="false">IF(C18656&gt;0,MIN(C18648,C18656*$C$18646),0)</f>
        <v>0</v>
      </c>
    </row>
    <row r="18661" customFormat="false" ht="15" hidden="false" customHeight="false" outlineLevel="0" collapsed="false">
      <c r="A18661" s="3" t="s">
        <v>500</v>
      </c>
      <c r="C18661" s="25" t="n">
        <f aca="false">IF(C18657&gt;0,MIN(C18649,C18657*$C$18646),0)</f>
        <v>0</v>
      </c>
    </row>
    <row r="18662" customFormat="false" ht="15" hidden="false" customHeight="false" outlineLevel="0" collapsed="false">
      <c r="A18662" s="3" t="s">
        <v>501</v>
      </c>
      <c r="C18662" s="25" t="n">
        <f aca="false">IF(C18658&gt;0,MIN(C18650,C18658*$C$18646),0)</f>
        <v>0</v>
      </c>
    </row>
    <row r="18663" customFormat="false" ht="15" hidden="false" customHeight="false" outlineLevel="0" collapsed="false">
      <c r="A18663" s="23" t="s">
        <v>505</v>
      </c>
      <c r="B18663" s="24"/>
      <c r="C18663" s="24"/>
      <c r="D18663" s="24"/>
      <c r="E18663" s="24"/>
      <c r="F18663" s="24"/>
      <c r="G18663" s="24"/>
      <c r="H18663" s="24"/>
      <c r="I18663" s="24"/>
      <c r="J18663" s="24"/>
      <c r="K18663" s="24"/>
    </row>
    <row r="18664" customFormat="false" ht="15" hidden="false" customHeight="false" outlineLevel="0" collapsed="false">
      <c r="A18664" s="3" t="s">
        <v>499</v>
      </c>
      <c r="C18664" s="25" t="n">
        <f aca="false">IF(C18656&gt;0,C18648-C18660,0)</f>
        <v>0</v>
      </c>
      <c r="G18664" s="20" t="n">
        <f aca="false">IF(AND(G18518=1,G18515=1),1,0)</f>
        <v>0</v>
      </c>
      <c r="H18664" s="20" t="n">
        <f aca="false">IF(G18664=1,1,IF(AND(H18518=1,H18515=1),1,0))</f>
        <v>0</v>
      </c>
      <c r="I18664" s="20" t="n">
        <f aca="false">IF(H18664=1,1,IF(AND(I18518=1,I18515=1),1,0))</f>
        <v>0</v>
      </c>
      <c r="J18664" s="20" t="n">
        <f aca="false">IF(I18664=1,1,IF(AND(J18518=1,J18515=1),1,0))</f>
        <v>0</v>
      </c>
      <c r="K18664" s="20" t="n">
        <f aca="false">IF(J18664=1,1,IF(AND(K18518=1,K18515=1),1,0))</f>
        <v>0</v>
      </c>
    </row>
    <row r="18665" customFormat="false" ht="15" hidden="false" customHeight="false" outlineLevel="0" collapsed="false">
      <c r="A18665" s="3" t="s">
        <v>500</v>
      </c>
      <c r="C18665" s="25" t="n">
        <f aca="false">IF(C18657&gt;0,C18649-C18661,0)</f>
        <v>0</v>
      </c>
      <c r="G18665" s="20" t="n">
        <f aca="false">IF(AND(G18531=1,G18515=1),1,0)</f>
        <v>0</v>
      </c>
      <c r="H18665" s="20" t="n">
        <f aca="false">IF(G18665=1,1,IF(AND(H18531=1,H18515=1),1,0))</f>
        <v>0</v>
      </c>
      <c r="I18665" s="20" t="n">
        <f aca="false">IF(H18665=1,1,IF(AND(I18531=1,I18515=1),1,0))</f>
        <v>0</v>
      </c>
      <c r="J18665" s="20" t="n">
        <f aca="false">IF(I18665=1,1,IF(AND(J18531=1,J18515=1),1,0))</f>
        <v>0</v>
      </c>
      <c r="K18665" s="20" t="n">
        <f aca="false">IF(J18665=1,1,IF(AND(K18531=1,K18515=1),1,0))</f>
        <v>0</v>
      </c>
    </row>
    <row r="18666" customFormat="false" ht="15" hidden="false" customHeight="false" outlineLevel="0" collapsed="false">
      <c r="A18666" s="3" t="s">
        <v>501</v>
      </c>
      <c r="C18666" s="25" t="n">
        <f aca="false">IF(C18658&gt;0,C18650-C18662,0)</f>
        <v>0</v>
      </c>
      <c r="G18666" s="20" t="n">
        <f aca="false">IF(AND(G18544=1,G18515=1),1,0)</f>
        <v>0</v>
      </c>
      <c r="H18666" s="20" t="n">
        <f aca="false">IF(G18666=1,1,IF(AND(H18544=1,H18515=1),1,0))</f>
        <v>0</v>
      </c>
      <c r="I18666" s="20" t="n">
        <f aca="false">IF(H18666=1,1,IF(AND(I18544=1,I18515=1),1,0))</f>
        <v>0</v>
      </c>
      <c r="J18666" s="20" t="n">
        <f aca="false">IF(I18666=1,1,IF(AND(J18544=1,J18515=1),1,0))</f>
        <v>0</v>
      </c>
      <c r="K18666" s="20" t="n">
        <f aca="false">IF(J18666=1,1,IF(AND(K18544=1,K18515=1),1,0))</f>
        <v>0</v>
      </c>
    </row>
    <row r="18667" customFormat="false" ht="15" hidden="false" customHeight="false" outlineLevel="0" collapsed="false">
      <c r="A18667" s="23" t="s">
        <v>506</v>
      </c>
      <c r="B18667" s="24"/>
      <c r="C18667" s="24"/>
      <c r="D18667" s="24"/>
      <c r="E18667" s="24"/>
      <c r="F18667" s="24"/>
      <c r="G18667" s="24"/>
      <c r="H18667" s="24"/>
      <c r="I18667" s="24"/>
      <c r="J18667" s="24"/>
      <c r="K18667" s="24"/>
    </row>
    <row r="18668" customFormat="false" ht="15" hidden="false" customHeight="false" outlineLevel="0" collapsed="false">
      <c r="A18668" s="3" t="s">
        <v>499</v>
      </c>
      <c r="C18668" s="25" t="n">
        <f aca="false">IF(C18656&gt;0,C18664,C18648)</f>
        <v>1349.6193225</v>
      </c>
    </row>
    <row r="18669" customFormat="false" ht="15" hidden="false" customHeight="false" outlineLevel="0" collapsed="false">
      <c r="A18669" s="3" t="s">
        <v>500</v>
      </c>
      <c r="C18669" s="25" t="n">
        <f aca="false">IF(C18657&gt;0,C18665,C18649)</f>
        <v>0</v>
      </c>
    </row>
    <row r="18670" customFormat="false" ht="15" hidden="false" customHeight="false" outlineLevel="0" collapsed="false">
      <c r="A18670" s="3" t="s">
        <v>501</v>
      </c>
      <c r="C18670" s="25" t="n">
        <f aca="false">IF(C18658&gt;0,C18666,C18650)</f>
        <v>0</v>
      </c>
    </row>
    <row r="18671" customFormat="false" ht="15" hidden="false" customHeight="false" outlineLevel="0" collapsed="false">
      <c r="A18671" s="23" t="s">
        <v>507</v>
      </c>
      <c r="B18671" s="24"/>
      <c r="C18671" s="24"/>
      <c r="D18671" s="24"/>
      <c r="E18671" s="24"/>
      <c r="F18671" s="24"/>
      <c r="G18671" s="24"/>
      <c r="H18671" s="24"/>
      <c r="I18671" s="24"/>
      <c r="J18671" s="24"/>
      <c r="K18671" s="24"/>
    </row>
    <row r="18672" customFormat="false" ht="15" hidden="false" customHeight="false" outlineLevel="0" collapsed="false">
      <c r="A18672" s="3" t="s">
        <v>499</v>
      </c>
      <c r="C18672" s="20" t="n">
        <f aca="false">IF(C18656&gt;0,Assumptions!$C$17,C18652)</f>
        <v>1</v>
      </c>
    </row>
    <row r="18673" customFormat="false" ht="15" hidden="false" customHeight="false" outlineLevel="0" collapsed="false">
      <c r="A18673" s="3" t="s">
        <v>500</v>
      </c>
      <c r="C18673" s="20" t="n">
        <f aca="false">IF(C18657&gt;0,Assumptions!$C$17,C18653)</f>
        <v>2</v>
      </c>
    </row>
    <row r="18674" customFormat="false" ht="15" hidden="false" customHeight="false" outlineLevel="0" collapsed="false">
      <c r="A18674" s="3" t="s">
        <v>501</v>
      </c>
      <c r="C18674" s="20" t="n">
        <f aca="false">IF(C18658&gt;0,Assumptions!$C$17,C18654)</f>
        <v>2</v>
      </c>
    </row>
    <row r="18675" customFormat="false" ht="15" hidden="false" customHeight="false" outlineLevel="0" collapsed="false">
      <c r="A18675" s="23" t="s">
        <v>508</v>
      </c>
      <c r="B18675" s="24"/>
      <c r="C18675" s="24"/>
      <c r="D18675" s="24"/>
      <c r="E18675" s="24"/>
      <c r="F18675" s="24"/>
      <c r="G18675" s="24"/>
      <c r="H18675" s="24"/>
      <c r="I18675" s="24"/>
      <c r="J18675" s="24"/>
      <c r="K18675" s="24"/>
    </row>
    <row r="18676" customFormat="false" ht="15" hidden="false" customHeight="false" outlineLevel="0" collapsed="false">
      <c r="A18676" s="3" t="s">
        <v>499</v>
      </c>
      <c r="C18676" s="25" t="n">
        <f aca="false">SUMPRODUCT(($C$18672:$C$18674&lt;C18672)*$C$18668:$C$18670)</f>
        <v>0</v>
      </c>
    </row>
    <row r="18677" customFormat="false" ht="15" hidden="false" customHeight="false" outlineLevel="0" collapsed="false">
      <c r="A18677" s="3" t="s">
        <v>500</v>
      </c>
      <c r="C18677" s="25" t="n">
        <f aca="false">SUMPRODUCT(($C$18672:$C$18674&lt;C18673)*$C$18668:$C$18670)</f>
        <v>1349.6193225</v>
      </c>
    </row>
    <row r="18678" customFormat="false" ht="15" hidden="false" customHeight="false" outlineLevel="0" collapsed="false">
      <c r="A18678" s="3" t="s">
        <v>501</v>
      </c>
      <c r="C18678" s="25" t="n">
        <f aca="false">SUMPRODUCT(($C$18672:$C$18674&lt;C18674)*$C$18668:$C$18670)</f>
        <v>1349.6193225</v>
      </c>
    </row>
    <row r="18679" customFormat="false" ht="15" hidden="false" customHeight="false" outlineLevel="0" collapsed="false">
      <c r="A18679" s="23" t="s">
        <v>509</v>
      </c>
      <c r="B18679" s="24"/>
      <c r="C18679" s="24"/>
      <c r="D18679" s="24"/>
      <c r="E18679" s="24"/>
      <c r="F18679" s="24"/>
      <c r="G18679" s="24"/>
      <c r="H18679" s="24"/>
      <c r="I18679" s="24"/>
      <c r="J18679" s="24"/>
      <c r="K18679" s="24"/>
    </row>
    <row r="18680" customFormat="false" ht="15" hidden="false" customHeight="false" outlineLevel="0" collapsed="false">
      <c r="A18680" s="3" t="s">
        <v>499</v>
      </c>
      <c r="C18680" s="25" t="n">
        <f aca="false">SUMPRODUCT(($C$18672:$C$18674=C18672)*$C$18668:$C$18670)</f>
        <v>1349.6193225</v>
      </c>
    </row>
    <row r="18681" customFormat="false" ht="15" hidden="false" customHeight="false" outlineLevel="0" collapsed="false">
      <c r="A18681" s="3" t="s">
        <v>500</v>
      </c>
      <c r="C18681" s="25" t="n">
        <f aca="false">SUMPRODUCT(($C$18672:$C$18674=C18673)*$C$18668:$C$18670)</f>
        <v>0</v>
      </c>
    </row>
    <row r="18682" customFormat="false" ht="15" hidden="false" customHeight="false" outlineLevel="0" collapsed="false">
      <c r="A18682" s="3" t="s">
        <v>501</v>
      </c>
      <c r="C18682" s="25" t="n">
        <f aca="false">SUMPRODUCT(($C$18672:$C$18674=C18674)*$C$18668:$C$18670)</f>
        <v>0</v>
      </c>
    </row>
    <row r="18683" customFormat="false" ht="15" hidden="false" customHeight="false" outlineLevel="0" collapsed="false">
      <c r="A18683" s="23" t="s">
        <v>510</v>
      </c>
      <c r="B18683" s="24"/>
      <c r="C18683" s="24"/>
      <c r="D18683" s="24"/>
      <c r="E18683" s="24"/>
      <c r="F18683" s="24"/>
      <c r="G18683" s="24"/>
      <c r="H18683" s="24"/>
      <c r="I18683" s="24"/>
      <c r="J18683" s="24"/>
      <c r="K18683" s="24"/>
    </row>
    <row r="18684" customFormat="false" ht="15" hidden="false" customHeight="false" outlineLevel="0" collapsed="false">
      <c r="A18684" s="3" t="s">
        <v>499</v>
      </c>
      <c r="C18684" s="25" t="n">
        <f aca="false">IF(C18680=0,0,C18668/C18680*MAX(0,MIN(C18680,$C$18646-SUM($C$18660:$C$18662)-C18676)))</f>
        <v>1131.28474239117</v>
      </c>
    </row>
    <row r="18685" customFormat="false" ht="15" hidden="false" customHeight="false" outlineLevel="0" collapsed="false">
      <c r="A18685" s="3" t="s">
        <v>500</v>
      </c>
      <c r="C18685" s="25" t="n">
        <f aca="false">IF(C18681=0,0,C18669/C18681*MAX(0,MIN(C18681,$C$18646-SUM($C$18660:$C$18662)-C18677)))</f>
        <v>0</v>
      </c>
    </row>
    <row r="18686" customFormat="false" ht="15" hidden="false" customHeight="false" outlineLevel="0" collapsed="false">
      <c r="A18686" s="3" t="s">
        <v>501</v>
      </c>
      <c r="C18686" s="25" t="n">
        <f aca="false">IF(C18682=0,0,C18670/C18682*MAX(0,MIN(C18682,$C$18646-SUM($C$18660:$C$18662)-C18678)))</f>
        <v>0</v>
      </c>
    </row>
    <row r="18687" customFormat="false" ht="15" hidden="false" customHeight="false" outlineLevel="0" collapsed="false">
      <c r="A18687" s="23" t="s">
        <v>511</v>
      </c>
      <c r="B18687" s="24"/>
      <c r="C18687" s="24"/>
      <c r="D18687" s="24"/>
      <c r="E18687" s="24"/>
      <c r="F18687" s="24"/>
      <c r="G18687" s="24"/>
      <c r="H18687" s="24"/>
      <c r="I18687" s="24"/>
      <c r="J18687" s="24"/>
      <c r="K18687" s="24"/>
    </row>
    <row r="18688" customFormat="false" ht="15" hidden="false" customHeight="false" outlineLevel="0" collapsed="false">
      <c r="A18688" s="2" t="s">
        <v>499</v>
      </c>
      <c r="C18688" s="16" t="n">
        <f aca="false">C18660+C18684</f>
        <v>1131.28474239117</v>
      </c>
    </row>
    <row r="18689" customFormat="false" ht="15" hidden="false" customHeight="false" outlineLevel="0" collapsed="false">
      <c r="A18689" s="2" t="s">
        <v>500</v>
      </c>
      <c r="C18689" s="16" t="n">
        <f aca="false">C18661+C18685</f>
        <v>0</v>
      </c>
    </row>
    <row r="18690" customFormat="false" ht="15" hidden="false" customHeight="false" outlineLevel="0" collapsed="false">
      <c r="A18690" s="2" t="s">
        <v>501</v>
      </c>
      <c r="C18690" s="16" t="n">
        <f aca="false">C18662+C18686</f>
        <v>0</v>
      </c>
    </row>
    <row r="18691" customFormat="false" ht="15" hidden="false" customHeight="false" outlineLevel="0" collapsed="false">
      <c r="A18691" s="23" t="s">
        <v>512</v>
      </c>
      <c r="B18691" s="24"/>
      <c r="C18691" s="24"/>
      <c r="D18691" s="24"/>
      <c r="E18691" s="24"/>
      <c r="F18691" s="24"/>
      <c r="G18691" s="24"/>
      <c r="H18691" s="24"/>
      <c r="I18691" s="24"/>
      <c r="J18691" s="24"/>
      <c r="K18691" s="24"/>
    </row>
    <row r="18692" customFormat="false" ht="15" hidden="false" customHeight="false" outlineLevel="0" collapsed="false">
      <c r="A18692" s="3" t="s">
        <v>499</v>
      </c>
      <c r="C18692" s="21" t="n">
        <f aca="false">IF(C18648=0,1,C18688/C18648)</f>
        <v>0.838225063565039</v>
      </c>
    </row>
    <row r="18693" customFormat="false" ht="15" hidden="false" customHeight="false" outlineLevel="0" collapsed="false">
      <c r="A18693" s="3" t="s">
        <v>500</v>
      </c>
      <c r="C18693" s="21" t="n">
        <f aca="false">IF(C18649=0,1,C18689/C18649)</f>
        <v>1</v>
      </c>
    </row>
    <row r="18694" customFormat="false" ht="15" hidden="false" customHeight="false" outlineLevel="0" collapsed="false">
      <c r="A18694" s="3" t="s">
        <v>501</v>
      </c>
      <c r="C18694" s="21" t="n">
        <f aca="false">IF(C18650=0,1,C18690/C18650)</f>
        <v>1</v>
      </c>
    </row>
    <row r="18695" customFormat="false" ht="15" hidden="false" customHeight="false" outlineLevel="0" collapsed="false">
      <c r="A18695" s="23" t="s">
        <v>513</v>
      </c>
      <c r="B18695" s="24"/>
      <c r="C18695" s="24"/>
      <c r="D18695" s="24"/>
      <c r="E18695" s="24"/>
      <c r="F18695" s="24"/>
      <c r="G18695" s="24"/>
      <c r="H18695" s="24"/>
      <c r="I18695" s="24"/>
      <c r="J18695" s="24"/>
      <c r="K18695" s="24"/>
    </row>
    <row r="18696" customFormat="false" ht="15" hidden="false" customHeight="false" outlineLevel="0" collapsed="false">
      <c r="A18696" s="3" t="s">
        <v>499</v>
      </c>
      <c r="C18696" s="25" t="n">
        <f aca="false">C18648-C18688</f>
        <v>218.334580108833</v>
      </c>
    </row>
    <row r="18697" customFormat="false" ht="15" hidden="false" customHeight="false" outlineLevel="0" collapsed="false">
      <c r="A18697" s="3" t="s">
        <v>500</v>
      </c>
      <c r="C18697" s="25" t="n">
        <f aca="false">C18649-C18689</f>
        <v>0</v>
      </c>
    </row>
    <row r="18698" customFormat="false" ht="15" hidden="false" customHeight="false" outlineLevel="0" collapsed="false">
      <c r="A18698" s="3" t="s">
        <v>501</v>
      </c>
      <c r="C18698" s="25" t="n">
        <f aca="false">C18650-C18690</f>
        <v>0</v>
      </c>
    </row>
    <row r="18699" customFormat="false" ht="15" hidden="false" customHeight="false" outlineLevel="0" collapsed="false">
      <c r="A18699" s="23" t="s">
        <v>514</v>
      </c>
      <c r="B18699" s="24"/>
      <c r="C18699" s="24"/>
      <c r="D18699" s="24"/>
      <c r="E18699" s="24"/>
      <c r="F18699" s="24"/>
      <c r="G18699" s="24"/>
      <c r="H18699" s="24"/>
      <c r="I18699" s="24"/>
      <c r="J18699" s="24"/>
      <c r="K18699" s="24"/>
    </row>
    <row r="18700" customFormat="false" ht="15" hidden="false" customHeight="false" outlineLevel="0" collapsed="false">
      <c r="A18700" s="3" t="s">
        <v>499</v>
      </c>
      <c r="C18700" s="21" t="n">
        <f aca="false">IF(C18648=0,0,C18696/C18648)</f>
        <v>0.161774936434961</v>
      </c>
    </row>
    <row r="18701" customFormat="false" ht="15" hidden="false" customHeight="false" outlineLevel="0" collapsed="false">
      <c r="A18701" s="3" t="s">
        <v>500</v>
      </c>
      <c r="C18701" s="21" t="n">
        <f aca="false">IF(C18649=0,0,C18697/C18649)</f>
        <v>0</v>
      </c>
    </row>
    <row r="18702" customFormat="false" ht="15" hidden="false" customHeight="false" outlineLevel="0" collapsed="false">
      <c r="A18702" s="3" t="s">
        <v>501</v>
      </c>
      <c r="C18702" s="21" t="n">
        <f aca="false">IF(C18650=0,0,C18698/C18650)</f>
        <v>0</v>
      </c>
    </row>
    <row r="18703" customFormat="false" ht="15" hidden="false" customHeight="false" outlineLevel="0" collapsed="false">
      <c r="A18703" s="2" t="s">
        <v>515</v>
      </c>
      <c r="C18703" s="16" t="n">
        <f aca="false">MAX(0,$C$18646-SUM($C$18660:$C$18662)-SUM($C$18668:$C$18670))</f>
        <v>0</v>
      </c>
    </row>
    <row r="18704" customFormat="false" ht="15" hidden="false" customHeight="false" outlineLevel="0" collapsed="false">
      <c r="A18704" s="3" t="s">
        <v>516</v>
      </c>
      <c r="C18704" s="25" t="n">
        <f aca="false">SUM($C$18688:$C$18690)+C18703+C18645-C18644</f>
        <v>0</v>
      </c>
    </row>
    <row r="18706" customFormat="false" ht="15" hidden="false" customHeight="false" outlineLevel="0" collapsed="false">
      <c r="A18706" s="23" t="s">
        <v>519</v>
      </c>
      <c r="B18706" s="24"/>
      <c r="C18706" s="24"/>
      <c r="D18706" s="24"/>
      <c r="E18706" s="24"/>
      <c r="F18706" s="24"/>
      <c r="G18706" s="24"/>
      <c r="H18706" s="24"/>
      <c r="I18706" s="24"/>
      <c r="J18706" s="24"/>
      <c r="K18706" s="24"/>
    </row>
    <row r="18707" customFormat="false" ht="15" hidden="false" customHeight="false" outlineLevel="0" collapsed="false">
      <c r="A18707" s="3" t="s">
        <v>520</v>
      </c>
      <c r="C18707" s="27" t="n">
        <f aca="false">Assumptions!$C$33</f>
        <v>1</v>
      </c>
    </row>
    <row r="18708" customFormat="false" ht="15" hidden="false" customHeight="false" outlineLevel="0" collapsed="false">
      <c r="A18708" s="3" t="s">
        <v>521</v>
      </c>
      <c r="C18708" s="29" t="n">
        <f aca="false">Assumptions!$C$34</f>
        <v>100</v>
      </c>
    </row>
    <row r="18709" customFormat="false" ht="15" hidden="false" customHeight="false" outlineLevel="0" collapsed="false">
      <c r="A18709" s="3" t="s">
        <v>522</v>
      </c>
      <c r="C18709" s="40" t="n">
        <f aca="false">Assumptions!$C$35</f>
        <v>95</v>
      </c>
    </row>
    <row r="18710" customFormat="false" ht="15" hidden="false" customHeight="false" outlineLevel="0" collapsed="false">
      <c r="A18710" s="3" t="s">
        <v>523</v>
      </c>
      <c r="C18710" s="25" t="n">
        <f aca="false">C18708*C18709/100*(1+Assumptions!$C$36)</f>
        <v>95</v>
      </c>
    </row>
    <row r="18711" customFormat="false" ht="15" hidden="false" customHeight="false" outlineLevel="0" collapsed="false">
      <c r="A18711" s="3" t="s">
        <v>524</v>
      </c>
      <c r="C18711" s="27" t="n">
        <f aca="false">Assumptions!$C$37</f>
        <v>3</v>
      </c>
    </row>
    <row r="18712" customFormat="false" ht="15" hidden="false" customHeight="false" outlineLevel="0" collapsed="false">
      <c r="A18712" s="3" t="s">
        <v>525</v>
      </c>
      <c r="C18712" s="20" t="n">
        <f aca="false">IF(C18637=1,SUMPRODUCT($G$18589:$K$18589,$G$18482:$K$18482),0)</f>
        <v>0</v>
      </c>
    </row>
    <row r="18713" customFormat="false" ht="15" hidden="false" customHeight="false" outlineLevel="0" collapsed="false">
      <c r="A18713" s="3" t="s">
        <v>526</v>
      </c>
      <c r="C18713" s="21" t="n">
        <f aca="false">IFERROR(C18708/CHOOSE(C18707,SUMPRODUCT($G$18636:$K$18636,$G$18528:$K$18528),SUMPRODUCT($G$18636:$K$18636,$G$18541:$K$18541),SUMPRODUCT($G$18636:$K$18636,$G$18554:$K$18554)),0)</f>
        <v>0.0760399605200525</v>
      </c>
    </row>
    <row r="18714" customFormat="false" ht="15" hidden="false" customHeight="false" outlineLevel="0" collapsed="false">
      <c r="A18714" s="3" t="s">
        <v>527</v>
      </c>
      <c r="C18714" s="25" t="n">
        <f aca="false">CHOOSE(C18707,C18688,C18689,C18690)*C18713</f>
        <v>86.0228471483621</v>
      </c>
    </row>
    <row r="18715" customFormat="false" ht="15" hidden="false" customHeight="false" outlineLevel="0" collapsed="false">
      <c r="A18715" s="3" t="s">
        <v>528</v>
      </c>
      <c r="C18715" s="21" t="n">
        <f aca="false">CHOOSE(C18707,C18692,C18693,C18694)</f>
        <v>0.838225063565039</v>
      </c>
    </row>
    <row r="18716" customFormat="false" ht="15" hidden="false" customHeight="false" outlineLevel="0" collapsed="false">
      <c r="A18716" s="3" t="s">
        <v>529</v>
      </c>
      <c r="C18716" s="20" t="n">
        <f aca="false">IF(C18637=1,C18712,C18711)</f>
        <v>3</v>
      </c>
    </row>
    <row r="18717" customFormat="false" ht="15" hidden="false" customHeight="false" outlineLevel="0" collapsed="false">
      <c r="A18717" s="3" t="s">
        <v>530</v>
      </c>
      <c r="C18717" s="34" t="n">
        <f aca="false">CHOOSE($C$18474,Assumptions!$C$83,Assumptions!$C$102,Assumptions!$C$121)</f>
        <v>95</v>
      </c>
    </row>
    <row r="18718" customFormat="false" ht="15" hidden="false" customHeight="false" outlineLevel="0" collapsed="false">
      <c r="A18718" s="3" t="s">
        <v>531</v>
      </c>
      <c r="C18718" s="25" t="n">
        <f aca="false">INDEX($G$18491:$K$18491,C18711)*CHOOSE($C$18474,Assumptions!$C$82,Assumptions!$C$101,Assumptions!$C$120)+MAX(0,INDEX($G$18586:$K$18586,C18711))</f>
        <v>1068.84800987949</v>
      </c>
    </row>
    <row r="18719" customFormat="false" ht="15" hidden="false" customHeight="false" outlineLevel="0" collapsed="false">
      <c r="A18719" s="23" t="s">
        <v>532</v>
      </c>
      <c r="B18719" s="24"/>
      <c r="C18719" s="24"/>
      <c r="D18719" s="24"/>
      <c r="E18719" s="24"/>
      <c r="F18719" s="24"/>
      <c r="G18719" s="24"/>
      <c r="H18719" s="24"/>
      <c r="I18719" s="24"/>
      <c r="J18719" s="24"/>
      <c r="K18719" s="24"/>
    </row>
    <row r="18720" customFormat="false" ht="15" hidden="false" customHeight="false" outlineLevel="0" collapsed="false">
      <c r="A18720" s="3" t="s">
        <v>499</v>
      </c>
      <c r="C18720" s="25" t="n">
        <f aca="false">INDEX($G$18528:$K$18528,C18711)</f>
        <v>1315.098</v>
      </c>
    </row>
    <row r="18721" customFormat="false" ht="15" hidden="false" customHeight="false" outlineLevel="0" collapsed="false">
      <c r="A18721" s="3" t="s">
        <v>500</v>
      </c>
      <c r="C18721" s="25" t="n">
        <f aca="false">INDEX($G$18541:$K$18541,C18711)</f>
        <v>0</v>
      </c>
    </row>
    <row r="18722" customFormat="false" ht="15" hidden="false" customHeight="false" outlineLevel="0" collapsed="false">
      <c r="A18722" s="3" t="s">
        <v>501</v>
      </c>
      <c r="C18722" s="25" t="n">
        <f aca="false">INDEX($G$18554:$K$18554,C18711)</f>
        <v>0</v>
      </c>
    </row>
    <row r="18723" customFormat="false" ht="15" hidden="false" customHeight="false" outlineLevel="0" collapsed="false">
      <c r="A18723" s="23" t="s">
        <v>502</v>
      </c>
      <c r="B18723" s="24"/>
      <c r="C18723" s="24"/>
      <c r="D18723" s="24"/>
      <c r="E18723" s="24"/>
      <c r="F18723" s="24"/>
      <c r="G18723" s="24"/>
      <c r="H18723" s="24"/>
      <c r="I18723" s="24"/>
      <c r="J18723" s="24"/>
      <c r="K18723" s="24"/>
    </row>
    <row r="18724" customFormat="false" ht="15" hidden="false" customHeight="false" outlineLevel="0" collapsed="false">
      <c r="A18724" s="3" t="s">
        <v>499</v>
      </c>
      <c r="C18724" s="27" t="n">
        <f aca="false">Assumptions!$M$56</f>
        <v>1</v>
      </c>
    </row>
    <row r="18725" customFormat="false" ht="15" hidden="false" customHeight="false" outlineLevel="0" collapsed="false">
      <c r="A18725" s="3" t="s">
        <v>500</v>
      </c>
      <c r="C18725" s="27" t="n">
        <f aca="false">Assumptions!$M$57</f>
        <v>2</v>
      </c>
    </row>
    <row r="18726" customFormat="false" ht="15" hidden="false" customHeight="false" outlineLevel="0" collapsed="false">
      <c r="A18726" s="3" t="s">
        <v>501</v>
      </c>
      <c r="C18726" s="27" t="n">
        <f aca="false">Assumptions!$M$58</f>
        <v>2</v>
      </c>
    </row>
    <row r="18727" customFormat="false" ht="15" hidden="false" customHeight="false" outlineLevel="0" collapsed="false">
      <c r="A18727" s="23" t="s">
        <v>503</v>
      </c>
      <c r="B18727" s="24"/>
      <c r="C18727" s="24"/>
      <c r="D18727" s="24"/>
      <c r="E18727" s="24"/>
      <c r="F18727" s="24"/>
      <c r="G18727" s="24"/>
      <c r="H18727" s="24"/>
      <c r="I18727" s="24"/>
      <c r="J18727" s="24"/>
      <c r="K18727" s="24"/>
    </row>
    <row r="18728" customFormat="false" ht="15" hidden="false" customHeight="false" outlineLevel="0" collapsed="false">
      <c r="A18728" s="3" t="s">
        <v>499</v>
      </c>
      <c r="C18728" s="35" t="n">
        <f aca="false">Assumptions!$Q$56</f>
        <v>0</v>
      </c>
    </row>
    <row r="18729" customFormat="false" ht="15" hidden="false" customHeight="false" outlineLevel="0" collapsed="false">
      <c r="A18729" s="3" t="s">
        <v>500</v>
      </c>
      <c r="C18729" s="35" t="n">
        <f aca="false">Assumptions!$Q$57</f>
        <v>0</v>
      </c>
    </row>
    <row r="18730" customFormat="false" ht="15" hidden="false" customHeight="false" outlineLevel="0" collapsed="false">
      <c r="A18730" s="3" t="s">
        <v>501</v>
      </c>
      <c r="C18730" s="35" t="n">
        <f aca="false">Assumptions!$Q$58</f>
        <v>0</v>
      </c>
    </row>
    <row r="18731" customFormat="false" ht="15" hidden="false" customHeight="false" outlineLevel="0" collapsed="false">
      <c r="A18731" s="23" t="s">
        <v>504</v>
      </c>
      <c r="B18731" s="24"/>
      <c r="C18731" s="24"/>
      <c r="D18731" s="24"/>
      <c r="E18731" s="24"/>
      <c r="F18731" s="24"/>
      <c r="G18731" s="24"/>
      <c r="H18731" s="24"/>
      <c r="I18731" s="24"/>
      <c r="J18731" s="24"/>
      <c r="K18731" s="24"/>
    </row>
    <row r="18732" customFormat="false" ht="15" hidden="false" customHeight="false" outlineLevel="0" collapsed="false">
      <c r="A18732" s="3" t="s">
        <v>499</v>
      </c>
      <c r="C18732" s="25" t="n">
        <f aca="false">IF(C18728&gt;0,MIN(C18720,C18728*$C$18718),0)</f>
        <v>0</v>
      </c>
    </row>
    <row r="18733" customFormat="false" ht="15" hidden="false" customHeight="false" outlineLevel="0" collapsed="false">
      <c r="A18733" s="3" t="s">
        <v>500</v>
      </c>
      <c r="C18733" s="25" t="n">
        <f aca="false">IF(C18729&gt;0,MIN(C18721,C18729*$C$18718),0)</f>
        <v>0</v>
      </c>
    </row>
    <row r="18734" customFormat="false" ht="15" hidden="false" customHeight="false" outlineLevel="0" collapsed="false">
      <c r="A18734" s="3" t="s">
        <v>501</v>
      </c>
      <c r="C18734" s="25" t="n">
        <f aca="false">IF(C18730&gt;0,MIN(C18722,C18730*$C$18718),0)</f>
        <v>0</v>
      </c>
    </row>
    <row r="18735" customFormat="false" ht="15" hidden="false" customHeight="false" outlineLevel="0" collapsed="false">
      <c r="A18735" s="23" t="s">
        <v>505</v>
      </c>
      <c r="B18735" s="24"/>
      <c r="C18735" s="24"/>
      <c r="D18735" s="24"/>
      <c r="E18735" s="24"/>
      <c r="F18735" s="24"/>
      <c r="G18735" s="24"/>
      <c r="H18735" s="24"/>
      <c r="I18735" s="24"/>
      <c r="J18735" s="24"/>
      <c r="K18735" s="24"/>
    </row>
    <row r="18736" customFormat="false" ht="15" hidden="false" customHeight="false" outlineLevel="0" collapsed="false">
      <c r="A18736" s="3" t="s">
        <v>499</v>
      </c>
      <c r="C18736" s="25" t="n">
        <f aca="false">IF(C18728&gt;0,C18720-C18732,0)</f>
        <v>0</v>
      </c>
    </row>
    <row r="18737" customFormat="false" ht="15" hidden="false" customHeight="false" outlineLevel="0" collapsed="false">
      <c r="A18737" s="3" t="s">
        <v>500</v>
      </c>
      <c r="C18737" s="25" t="n">
        <f aca="false">IF(C18729&gt;0,C18721-C18733,0)</f>
        <v>0</v>
      </c>
    </row>
    <row r="18738" customFormat="false" ht="15" hidden="false" customHeight="false" outlineLevel="0" collapsed="false">
      <c r="A18738" s="3" t="s">
        <v>501</v>
      </c>
      <c r="C18738" s="25" t="n">
        <f aca="false">IF(C18730&gt;0,C18722-C18734,0)</f>
        <v>0</v>
      </c>
    </row>
    <row r="18739" customFormat="false" ht="15" hidden="false" customHeight="false" outlineLevel="0" collapsed="false">
      <c r="A18739" s="23" t="s">
        <v>506</v>
      </c>
      <c r="B18739" s="24"/>
      <c r="C18739" s="24"/>
      <c r="D18739" s="24"/>
      <c r="E18739" s="24"/>
      <c r="F18739" s="24"/>
      <c r="G18739" s="24"/>
      <c r="H18739" s="24"/>
      <c r="I18739" s="24"/>
      <c r="J18739" s="24"/>
      <c r="K18739" s="24"/>
    </row>
    <row r="18740" customFormat="false" ht="15" hidden="false" customHeight="false" outlineLevel="0" collapsed="false">
      <c r="A18740" s="3" t="s">
        <v>499</v>
      </c>
      <c r="C18740" s="25" t="n">
        <f aca="false">IF(C18728&gt;0,C18736,C18720)</f>
        <v>1315.098</v>
      </c>
    </row>
    <row r="18741" customFormat="false" ht="15" hidden="false" customHeight="false" outlineLevel="0" collapsed="false">
      <c r="A18741" s="3" t="s">
        <v>500</v>
      </c>
      <c r="C18741" s="25" t="n">
        <f aca="false">IF(C18729&gt;0,C18737,C18721)</f>
        <v>0</v>
      </c>
    </row>
    <row r="18742" customFormat="false" ht="15" hidden="false" customHeight="false" outlineLevel="0" collapsed="false">
      <c r="A18742" s="3" t="s">
        <v>501</v>
      </c>
      <c r="C18742" s="25" t="n">
        <f aca="false">IF(C18730&gt;0,C18738,C18722)</f>
        <v>0</v>
      </c>
    </row>
    <row r="18743" customFormat="false" ht="15" hidden="false" customHeight="false" outlineLevel="0" collapsed="false">
      <c r="A18743" s="23" t="s">
        <v>507</v>
      </c>
      <c r="B18743" s="24"/>
      <c r="C18743" s="24"/>
      <c r="D18743" s="24"/>
      <c r="E18743" s="24"/>
      <c r="F18743" s="24"/>
      <c r="G18743" s="24"/>
      <c r="H18743" s="24"/>
      <c r="I18743" s="24"/>
      <c r="J18743" s="24"/>
      <c r="K18743" s="24"/>
    </row>
    <row r="18744" customFormat="false" ht="15" hidden="false" customHeight="false" outlineLevel="0" collapsed="false">
      <c r="A18744" s="3" t="s">
        <v>499</v>
      </c>
      <c r="C18744" s="20" t="n">
        <f aca="false">IF(C18728&gt;0,Assumptions!$C$17,C18724)</f>
        <v>1</v>
      </c>
    </row>
    <row r="18745" customFormat="false" ht="15" hidden="false" customHeight="false" outlineLevel="0" collapsed="false">
      <c r="A18745" s="3" t="s">
        <v>500</v>
      </c>
      <c r="C18745" s="20" t="n">
        <f aca="false">IF(C18729&gt;0,Assumptions!$C$17,C18725)</f>
        <v>2</v>
      </c>
    </row>
    <row r="18746" customFormat="false" ht="15" hidden="false" customHeight="false" outlineLevel="0" collapsed="false">
      <c r="A18746" s="3" t="s">
        <v>501</v>
      </c>
      <c r="C18746" s="20" t="n">
        <f aca="false">IF(C18730&gt;0,Assumptions!$C$17,C18726)</f>
        <v>2</v>
      </c>
    </row>
    <row r="18747" customFormat="false" ht="15" hidden="false" customHeight="false" outlineLevel="0" collapsed="false">
      <c r="A18747" s="23" t="s">
        <v>508</v>
      </c>
      <c r="B18747" s="24"/>
      <c r="C18747" s="24"/>
      <c r="D18747" s="24"/>
      <c r="E18747" s="24"/>
      <c r="F18747" s="24"/>
      <c r="G18747" s="24"/>
      <c r="H18747" s="24"/>
      <c r="I18747" s="24"/>
      <c r="J18747" s="24"/>
      <c r="K18747" s="24"/>
    </row>
    <row r="18748" customFormat="false" ht="15" hidden="false" customHeight="false" outlineLevel="0" collapsed="false">
      <c r="A18748" s="3" t="s">
        <v>499</v>
      </c>
      <c r="C18748" s="25" t="n">
        <f aca="false">SUMPRODUCT(($C$18744:$C$18746&lt;C18744)*$C$18740:$C$18742)</f>
        <v>0</v>
      </c>
    </row>
    <row r="18749" customFormat="false" ht="15" hidden="false" customHeight="false" outlineLevel="0" collapsed="false">
      <c r="A18749" s="3" t="s">
        <v>500</v>
      </c>
      <c r="C18749" s="25" t="n">
        <f aca="false">SUMPRODUCT(($C$18744:$C$18746&lt;C18745)*$C$18740:$C$18742)</f>
        <v>1315.098</v>
      </c>
    </row>
    <row r="18750" customFormat="false" ht="15" hidden="false" customHeight="false" outlineLevel="0" collapsed="false">
      <c r="A18750" s="3" t="s">
        <v>501</v>
      </c>
      <c r="C18750" s="25" t="n">
        <f aca="false">SUMPRODUCT(($C$18744:$C$18746&lt;C18746)*$C$18740:$C$18742)</f>
        <v>1315.098</v>
      </c>
    </row>
    <row r="18751" customFormat="false" ht="15" hidden="false" customHeight="false" outlineLevel="0" collapsed="false">
      <c r="A18751" s="23" t="s">
        <v>509</v>
      </c>
      <c r="B18751" s="24"/>
      <c r="C18751" s="24"/>
      <c r="D18751" s="24"/>
      <c r="E18751" s="24"/>
      <c r="F18751" s="24"/>
      <c r="G18751" s="24"/>
      <c r="H18751" s="24"/>
      <c r="I18751" s="24"/>
      <c r="J18751" s="24"/>
      <c r="K18751" s="24"/>
    </row>
    <row r="18752" customFormat="false" ht="15" hidden="false" customHeight="false" outlineLevel="0" collapsed="false">
      <c r="A18752" s="3" t="s">
        <v>499</v>
      </c>
      <c r="C18752" s="25" t="n">
        <f aca="false">SUMPRODUCT(($C$18744:$C$18746=C18744)*$C$18740:$C$18742)</f>
        <v>1315.098</v>
      </c>
    </row>
    <row r="18753" customFormat="false" ht="15" hidden="false" customHeight="false" outlineLevel="0" collapsed="false">
      <c r="A18753" s="3" t="s">
        <v>500</v>
      </c>
      <c r="C18753" s="25" t="n">
        <f aca="false">SUMPRODUCT(($C$18744:$C$18746=C18745)*$C$18740:$C$18742)</f>
        <v>0</v>
      </c>
    </row>
    <row r="18754" customFormat="false" ht="15" hidden="false" customHeight="false" outlineLevel="0" collapsed="false">
      <c r="A18754" s="3" t="s">
        <v>501</v>
      </c>
      <c r="C18754" s="25" t="n">
        <f aca="false">SUMPRODUCT(($C$18744:$C$18746=C18746)*$C$18740:$C$18742)</f>
        <v>0</v>
      </c>
    </row>
    <row r="18755" customFormat="false" ht="15" hidden="false" customHeight="false" outlineLevel="0" collapsed="false">
      <c r="A18755" s="23" t="s">
        <v>510</v>
      </c>
      <c r="B18755" s="24"/>
      <c r="C18755" s="24"/>
      <c r="D18755" s="24"/>
      <c r="E18755" s="24"/>
      <c r="F18755" s="24"/>
      <c r="G18755" s="24"/>
      <c r="H18755" s="24"/>
      <c r="I18755" s="24"/>
      <c r="J18755" s="24"/>
      <c r="K18755" s="24"/>
    </row>
    <row r="18756" customFormat="false" ht="15" hidden="false" customHeight="false" outlineLevel="0" collapsed="false">
      <c r="A18756" s="3" t="s">
        <v>499</v>
      </c>
      <c r="C18756" s="25" t="n">
        <f aca="false">IF(C18752=0,0,C18740/C18752*MAX(0,MIN(C18752,$C$18718-SUM($C$18732:$C$18734)-C18748)))</f>
        <v>1068.84800987949</v>
      </c>
    </row>
    <row r="18757" customFormat="false" ht="15" hidden="false" customHeight="false" outlineLevel="0" collapsed="false">
      <c r="A18757" s="3" t="s">
        <v>500</v>
      </c>
      <c r="C18757" s="25" t="n">
        <f aca="false">IF(C18753=0,0,C18741/C18753*MAX(0,MIN(C18753,$C$18718-SUM($C$18732:$C$18734)-C18749)))</f>
        <v>0</v>
      </c>
    </row>
    <row r="18758" customFormat="false" ht="15" hidden="false" customHeight="false" outlineLevel="0" collapsed="false">
      <c r="A18758" s="3" t="s">
        <v>501</v>
      </c>
      <c r="C18758" s="25" t="n">
        <f aca="false">IF(C18754=0,0,C18742/C18754*MAX(0,MIN(C18754,$C$18718-SUM($C$18732:$C$18734)-C18750)))</f>
        <v>0</v>
      </c>
    </row>
    <row r="18759" customFormat="false" ht="15" hidden="false" customHeight="false" outlineLevel="0" collapsed="false">
      <c r="A18759" s="23" t="s">
        <v>511</v>
      </c>
      <c r="B18759" s="24"/>
      <c r="C18759" s="24"/>
      <c r="D18759" s="24"/>
      <c r="E18759" s="24"/>
      <c r="F18759" s="24"/>
      <c r="G18759" s="24"/>
      <c r="H18759" s="24"/>
      <c r="I18759" s="24"/>
      <c r="J18759" s="24"/>
      <c r="K18759" s="24"/>
    </row>
    <row r="18760" customFormat="false" ht="15" hidden="false" customHeight="false" outlineLevel="0" collapsed="false">
      <c r="A18760" s="2" t="s">
        <v>499</v>
      </c>
      <c r="C18760" s="16" t="n">
        <f aca="false">C18732+C18756</f>
        <v>1068.84800987949</v>
      </c>
    </row>
    <row r="18761" customFormat="false" ht="15" hidden="false" customHeight="false" outlineLevel="0" collapsed="false">
      <c r="A18761" s="2" t="s">
        <v>500</v>
      </c>
      <c r="C18761" s="16" t="n">
        <f aca="false">C18733+C18757</f>
        <v>0</v>
      </c>
    </row>
    <row r="18762" customFormat="false" ht="15" hidden="false" customHeight="false" outlineLevel="0" collapsed="false">
      <c r="A18762" s="2" t="s">
        <v>501</v>
      </c>
      <c r="C18762" s="16" t="n">
        <f aca="false">C18734+C18758</f>
        <v>0</v>
      </c>
    </row>
    <row r="18763" customFormat="false" ht="15" hidden="false" customHeight="false" outlineLevel="0" collapsed="false">
      <c r="A18763" s="23" t="s">
        <v>512</v>
      </c>
      <c r="B18763" s="24"/>
      <c r="C18763" s="24"/>
      <c r="D18763" s="24"/>
      <c r="E18763" s="24"/>
      <c r="F18763" s="24"/>
      <c r="G18763" s="24"/>
      <c r="H18763" s="24"/>
      <c r="I18763" s="24"/>
      <c r="J18763" s="24"/>
      <c r="K18763" s="24"/>
    </row>
    <row r="18764" customFormat="false" ht="15" hidden="false" customHeight="false" outlineLevel="0" collapsed="false">
      <c r="A18764" s="3" t="s">
        <v>499</v>
      </c>
      <c r="C18764" s="21" t="n">
        <f aca="false">IF(C18720=0,1,C18760/C18720)</f>
        <v>0.812751604731729</v>
      </c>
    </row>
    <row r="18765" customFormat="false" ht="15" hidden="false" customHeight="false" outlineLevel="0" collapsed="false">
      <c r="A18765" s="3" t="s">
        <v>500</v>
      </c>
      <c r="C18765" s="21" t="n">
        <f aca="false">IF(C18721=0,1,C18761/C18721)</f>
        <v>1</v>
      </c>
    </row>
    <row r="18766" customFormat="false" ht="15" hidden="false" customHeight="false" outlineLevel="0" collapsed="false">
      <c r="A18766" s="3" t="s">
        <v>501</v>
      </c>
      <c r="C18766" s="21" t="n">
        <f aca="false">IF(C18722=0,1,C18762/C18722)</f>
        <v>1</v>
      </c>
    </row>
    <row r="18767" customFormat="false" ht="15" hidden="false" customHeight="false" outlineLevel="0" collapsed="false">
      <c r="A18767" s="23" t="s">
        <v>513</v>
      </c>
      <c r="B18767" s="24"/>
      <c r="C18767" s="24"/>
      <c r="D18767" s="24"/>
      <c r="E18767" s="24"/>
      <c r="F18767" s="24"/>
      <c r="G18767" s="24"/>
      <c r="H18767" s="24"/>
      <c r="I18767" s="24"/>
      <c r="J18767" s="24"/>
      <c r="K18767" s="24"/>
    </row>
    <row r="18768" customFormat="false" ht="15" hidden="false" customHeight="false" outlineLevel="0" collapsed="false">
      <c r="A18768" s="3" t="s">
        <v>499</v>
      </c>
      <c r="C18768" s="25" t="n">
        <f aca="false">C18720-C18760</f>
        <v>246.249990120512</v>
      </c>
    </row>
    <row r="18769" customFormat="false" ht="15" hidden="false" customHeight="false" outlineLevel="0" collapsed="false">
      <c r="A18769" s="3" t="s">
        <v>500</v>
      </c>
      <c r="C18769" s="25" t="n">
        <f aca="false">C18721-C18761</f>
        <v>0</v>
      </c>
    </row>
    <row r="18770" customFormat="false" ht="15" hidden="false" customHeight="false" outlineLevel="0" collapsed="false">
      <c r="A18770" s="3" t="s">
        <v>501</v>
      </c>
      <c r="C18770" s="25" t="n">
        <f aca="false">C18722-C18762</f>
        <v>0</v>
      </c>
    </row>
    <row r="18771" customFormat="false" ht="15" hidden="false" customHeight="false" outlineLevel="0" collapsed="false">
      <c r="A18771" s="23" t="s">
        <v>514</v>
      </c>
      <c r="B18771" s="24"/>
      <c r="C18771" s="24"/>
      <c r="D18771" s="24"/>
      <c r="E18771" s="24"/>
      <c r="F18771" s="24"/>
      <c r="G18771" s="24"/>
      <c r="H18771" s="24"/>
      <c r="I18771" s="24"/>
      <c r="J18771" s="24"/>
      <c r="K18771" s="24"/>
    </row>
    <row r="18772" customFormat="false" ht="15" hidden="false" customHeight="false" outlineLevel="0" collapsed="false">
      <c r="A18772" s="3" t="s">
        <v>499</v>
      </c>
      <c r="C18772" s="21" t="n">
        <f aca="false">IF(C18720=0,0,C18768/C18720)</f>
        <v>0.187248395268271</v>
      </c>
    </row>
    <row r="18773" customFormat="false" ht="15" hidden="false" customHeight="false" outlineLevel="0" collapsed="false">
      <c r="A18773" s="3" t="s">
        <v>500</v>
      </c>
      <c r="C18773" s="21" t="n">
        <f aca="false">IF(C18721=0,0,C18769/C18721)</f>
        <v>0</v>
      </c>
    </row>
    <row r="18774" customFormat="false" ht="15" hidden="false" customHeight="false" outlineLevel="0" collapsed="false">
      <c r="A18774" s="3" t="s">
        <v>501</v>
      </c>
      <c r="C18774" s="21" t="n">
        <f aca="false">IF(C18722=0,0,C18770/C18722)</f>
        <v>0</v>
      </c>
    </row>
    <row r="18775" customFormat="false" ht="15" hidden="false" customHeight="false" outlineLevel="0" collapsed="false">
      <c r="A18775" s="2" t="s">
        <v>515</v>
      </c>
      <c r="C18775" s="16" t="n">
        <f aca="false">MAX(0,$C$18718-SUM($C$18732:$C$18734)-SUM($C$18740:$C$18742))</f>
        <v>0</v>
      </c>
    </row>
    <row r="18776" customFormat="false" ht="15" hidden="false" customHeight="false" outlineLevel="0" collapsed="false">
      <c r="A18776" s="3" t="s">
        <v>533</v>
      </c>
      <c r="C18776" s="34" t="n">
        <f aca="false">MIN(C18717,100*CHOOSE(C18707,C18764,C18765,C18766))</f>
        <v>81.2751604731729</v>
      </c>
    </row>
    <row r="18777" customFormat="false" ht="15" hidden="false" customHeight="false" outlineLevel="0" collapsed="false">
      <c r="A18777" s="3" t="s">
        <v>534</v>
      </c>
      <c r="C18777" s="20" t="n">
        <f aca="false">IF(C18637=1,C18712+Assumptions!$C$39,C18711)</f>
        <v>3</v>
      </c>
    </row>
    <row r="18778" customFormat="false" ht="15" hidden="false" customHeight="false" outlineLevel="0" collapsed="false">
      <c r="A18778" s="23" t="s">
        <v>535</v>
      </c>
      <c r="B18778" s="24"/>
      <c r="C18778" s="24"/>
      <c r="D18778" s="24"/>
      <c r="E18778" s="24"/>
      <c r="F18778" s="24"/>
      <c r="G18778" s="24"/>
      <c r="H18778" s="24"/>
      <c r="I18778" s="24"/>
      <c r="J18778" s="24"/>
      <c r="K18778" s="24"/>
    </row>
    <row r="18779" customFormat="false" ht="15" hidden="false" customHeight="false" outlineLevel="0" collapsed="false">
      <c r="A18779" s="3" t="s">
        <v>536</v>
      </c>
      <c r="C18779" s="20" t="n">
        <f aca="false">COLUMN()-COLUMN($C$1)</f>
        <v>0</v>
      </c>
      <c r="D18779" s="20" t="n">
        <f aca="false">COLUMN()-COLUMN($C$1)</f>
        <v>1</v>
      </c>
      <c r="E18779" s="20" t="n">
        <f aca="false">COLUMN()-COLUMN($C$1)</f>
        <v>2</v>
      </c>
      <c r="F18779" s="20" t="n">
        <f aca="false">COLUMN()-COLUMN($C$1)</f>
        <v>3</v>
      </c>
      <c r="G18779" s="20" t="n">
        <f aca="false">COLUMN()-COLUMN($C$1)</f>
        <v>4</v>
      </c>
      <c r="H18779" s="20" t="n">
        <f aca="false">COLUMN()-COLUMN($C$1)</f>
        <v>5</v>
      </c>
      <c r="I18779" s="20" t="n">
        <f aca="false">COLUMN()-COLUMN($C$1)</f>
        <v>6</v>
      </c>
    </row>
    <row r="18780" customFormat="false" ht="15" hidden="false" customHeight="false" outlineLevel="0" collapsed="false">
      <c r="A18780" s="3" t="s">
        <v>537</v>
      </c>
      <c r="D18780" s="31" t="n">
        <f aca="false">CHOOSE($C$18707,G18520,G18533,G18546)</f>
        <v>0.105</v>
      </c>
      <c r="E18780" s="31" t="n">
        <f aca="false">CHOOSE($C$18707,H18520,H18533,H18546)</f>
        <v>0.105</v>
      </c>
      <c r="F18780" s="31" t="n">
        <f aca="false">CHOOSE($C$18707,I18520,I18533,I18546)</f>
        <v>0.105</v>
      </c>
      <c r="G18780" s="31" t="n">
        <f aca="false">CHOOSE($C$18707,J18520,J18533,J18546)</f>
        <v>0.105</v>
      </c>
      <c r="H18780" s="31" t="n">
        <f aca="false">CHOOSE($C$18707,K18520,K18533,K18546)</f>
        <v>0.105</v>
      </c>
    </row>
    <row r="18781" customFormat="false" ht="15" hidden="false" customHeight="false" outlineLevel="0" collapsed="false">
      <c r="A18781" s="3" t="s">
        <v>538</v>
      </c>
      <c r="D18781" s="25" t="n">
        <f aca="false">IF(D18779&lt;=$C$18716,$C$18708*D18780,0)</f>
        <v>10.5</v>
      </c>
      <c r="E18781" s="25" t="n">
        <f aca="false">IF(E18779&lt;=$C$18716,$C$18708*E18780,0)</f>
        <v>10.5</v>
      </c>
      <c r="F18781" s="25" t="n">
        <f aca="false">IF(F18779&lt;=$C$18716,$C$18708*F18780,0)</f>
        <v>10.5</v>
      </c>
      <c r="G18781" s="25" t="n">
        <f aca="false">IF(G18779&lt;=$C$18716,$C$18708*G18780,0)</f>
        <v>0</v>
      </c>
      <c r="H18781" s="25" t="n">
        <f aca="false">IF(H18779&lt;=$C$18716,$C$18708*H18780,0)</f>
        <v>0</v>
      </c>
    </row>
    <row r="18782" customFormat="false" ht="15" hidden="false" customHeight="false" outlineLevel="0" collapsed="false">
      <c r="A18782" s="3" t="s">
        <v>539</v>
      </c>
      <c r="D18782" s="25" t="n">
        <f aca="false">IF(AND($C$18637=0,D18779=$C$18711),$C$18708*$C$18776/100,0)+IF(AND($C$18637=1,D18779=$C$18777),$C$18714,0)</f>
        <v>0</v>
      </c>
      <c r="E18782" s="25" t="n">
        <f aca="false">IF(AND($C$18637=0,E18779=$C$18711),$C$18708*$C$18776/100,0)+IF(AND($C$18637=1,E18779=$C$18777),$C$18714,0)</f>
        <v>0</v>
      </c>
      <c r="F18782" s="25" t="n">
        <f aca="false">IF(AND($C$18637=0,F18779=$C$18711),$C$18708*$C$18776/100,0)+IF(AND($C$18637=1,F18779=$C$18777),$C$18714,0)</f>
        <v>81.2751604731729</v>
      </c>
      <c r="G18782" s="25" t="n">
        <f aca="false">IF(AND($C$18637=0,G18779=$C$18711),$C$18708*$C$18776/100,0)+IF(AND($C$18637=1,G18779=$C$18777),$C$18714,0)</f>
        <v>0</v>
      </c>
      <c r="H18782" s="25" t="n">
        <f aca="false">IF(AND($C$18637=0,H18779=$C$18711),$C$18708*$C$18776/100,0)+IF(AND($C$18637=1,H18779=$C$18777),$C$18714,0)</f>
        <v>0</v>
      </c>
      <c r="I18782" s="25" t="n">
        <f aca="false">IF(AND($C$18637=0,I18779=$C$18711),$C$18708*$C$18776/100,0)+IF(AND($C$18637=1,I18779=$C$18777),$C$18714,0)</f>
        <v>0</v>
      </c>
    </row>
    <row r="18783" customFormat="false" ht="15" hidden="false" customHeight="false" outlineLevel="0" collapsed="false">
      <c r="A18783" s="2" t="s">
        <v>540</v>
      </c>
      <c r="C18783" s="16" t="n">
        <f aca="false">-$C$18710</f>
        <v>-95</v>
      </c>
      <c r="D18783" s="16" t="n">
        <f aca="false">D18781+D18782</f>
        <v>10.5</v>
      </c>
      <c r="E18783" s="16" t="n">
        <f aca="false">E18781+E18782</f>
        <v>10.5</v>
      </c>
      <c r="F18783" s="16" t="n">
        <f aca="false">F18781+F18782</f>
        <v>91.7751604731729</v>
      </c>
      <c r="G18783" s="16" t="n">
        <f aca="false">G18781+G18782</f>
        <v>0</v>
      </c>
      <c r="H18783" s="16" t="n">
        <f aca="false">H18781+H18782</f>
        <v>0</v>
      </c>
      <c r="I18783" s="16" t="n">
        <f aca="false">I18781+I18782</f>
        <v>0</v>
      </c>
    </row>
    <row r="18784" customFormat="false" ht="15" hidden="false" customHeight="false" outlineLevel="0" collapsed="false">
      <c r="A18784" s="3" t="s">
        <v>541</v>
      </c>
      <c r="C18784" s="25" t="n">
        <f aca="false">SUM($C$18781:$I$18781)</f>
        <v>31.5</v>
      </c>
    </row>
    <row r="18785" customFormat="false" ht="15" hidden="false" customHeight="false" outlineLevel="0" collapsed="false">
      <c r="A18785" s="3" t="s">
        <v>542</v>
      </c>
      <c r="C18785" s="25" t="n">
        <f aca="false">SUM($C$18782:$I$18782)</f>
        <v>81.2751604731729</v>
      </c>
    </row>
    <row r="18786" customFormat="false" ht="15" hidden="false" customHeight="false" outlineLevel="0" collapsed="false">
      <c r="A18786" s="3" t="s">
        <v>543</v>
      </c>
      <c r="C18786" s="25" t="n">
        <f aca="false">C18784+C18785</f>
        <v>112.775160473173</v>
      </c>
    </row>
    <row r="18787" customFormat="false" ht="15" hidden="false" customHeight="false" outlineLevel="0" collapsed="false">
      <c r="A18787" s="3" t="s">
        <v>544</v>
      </c>
      <c r="C18787" s="25" t="n">
        <f aca="false">C18785-C18708*C18709/100</f>
        <v>-13.7248395268271</v>
      </c>
    </row>
    <row r="18788" customFormat="false" ht="15" hidden="false" customHeight="false" outlineLevel="0" collapsed="false">
      <c r="A18788" s="3" t="s">
        <v>545</v>
      </c>
      <c r="C18788" s="25" t="n">
        <f aca="false">C18786-C18710</f>
        <v>17.7751604731729</v>
      </c>
    </row>
    <row r="18789" customFormat="false" ht="15" hidden="false" customHeight="false" outlineLevel="0" collapsed="false">
      <c r="A18789" s="2" t="s">
        <v>427</v>
      </c>
      <c r="C18789" s="44" t="n">
        <f aca="false">C18786/C18710</f>
        <v>1.18710695234919</v>
      </c>
    </row>
    <row r="18790" customFormat="false" ht="15" hidden="false" customHeight="false" outlineLevel="0" collapsed="false">
      <c r="A18790" s="2" t="s">
        <v>426</v>
      </c>
      <c r="C18790" s="42" t="n">
        <f aca="false">IF(C18786&lt;=0,-1,IFERROR(IRR($C$18783:$I$18783,MAX(-0.9,C18789^(1/C18777)-1)),IRR($C$18783:$I$18783,0.1)))</f>
        <v>0.0653848807562152</v>
      </c>
    </row>
    <row r="18791" customFormat="false" ht="15" hidden="false" customHeight="false" outlineLevel="0" collapsed="false">
      <c r="A18791" s="3" t="s">
        <v>546</v>
      </c>
      <c r="C18791" s="32" t="n">
        <f aca="false">MAX($G$18597:$K$18597)</f>
        <v>7.33831226622703</v>
      </c>
    </row>
    <row r="18792" customFormat="false" ht="15" hidden="false" customHeight="false" outlineLevel="0" collapsed="false">
      <c r="A18792" s="3" t="s">
        <v>547</v>
      </c>
      <c r="C18792" s="32" t="n">
        <f aca="false">MIN($G$18598:$K$18598)</f>
        <v>1.18070192905498</v>
      </c>
    </row>
    <row r="18793" customFormat="false" ht="15" hidden="false" customHeight="false" outlineLevel="0" collapsed="false">
      <c r="A18793" s="3" t="s">
        <v>548</v>
      </c>
      <c r="C18793" s="25" t="n">
        <f aca="false">SUM($G$18504:$K$18504)</f>
        <v>75.1374128562126</v>
      </c>
    </row>
    <row r="18797" customFormat="false" ht="15" hidden="false" customHeight="false" outlineLevel="0" collapsed="false">
      <c r="A18797" s="9" t="s">
        <v>1072</v>
      </c>
      <c r="B18797" s="10"/>
      <c r="C18797" s="10"/>
      <c r="D18797" s="10"/>
      <c r="E18797" s="10"/>
      <c r="F18797" s="10"/>
      <c r="G18797" s="10"/>
      <c r="H18797" s="10"/>
      <c r="I18797" s="10"/>
      <c r="J18797" s="10"/>
      <c r="K18797" s="10"/>
    </row>
    <row r="18798" customFormat="false" ht="15" hidden="false" customHeight="false" outlineLevel="0" collapsed="false">
      <c r="A18798" s="3" t="s">
        <v>1010</v>
      </c>
      <c r="C18798" s="11" t="n">
        <v>3</v>
      </c>
    </row>
    <row r="18799" customFormat="false" ht="15" hidden="false" customHeight="false" outlineLevel="0" collapsed="false">
      <c r="A18799" s="3" t="s">
        <v>1011</v>
      </c>
      <c r="C18799" s="18" t="n">
        <v>0</v>
      </c>
    </row>
    <row r="18800" customFormat="false" ht="15" hidden="false" customHeight="false" outlineLevel="0" collapsed="false">
      <c r="A18800" s="3" t="s">
        <v>1012</v>
      </c>
      <c r="C18800" s="18" t="n">
        <v>0</v>
      </c>
    </row>
    <row r="18801" customFormat="false" ht="15" hidden="false" customHeight="false" outlineLevel="0" collapsed="false">
      <c r="A18801" s="3" t="s">
        <v>1013</v>
      </c>
      <c r="C18801" s="18" t="n">
        <v>0</v>
      </c>
    </row>
    <row r="18802" customFormat="false" ht="15" hidden="false" customHeight="false" outlineLevel="0" collapsed="false">
      <c r="A18802" s="3" t="s">
        <v>1014</v>
      </c>
      <c r="C18802" s="33" t="n">
        <f aca="false">Sensitivities!$A$60</f>
        <v>-2</v>
      </c>
    </row>
    <row r="18804" customFormat="false" ht="15" hidden="false" customHeight="false" outlineLevel="0" collapsed="false">
      <c r="A18804" s="23" t="s">
        <v>281</v>
      </c>
      <c r="B18804" s="24"/>
      <c r="C18804" s="24"/>
      <c r="D18804" s="24"/>
      <c r="E18804" s="24"/>
      <c r="F18804" s="24"/>
      <c r="G18804" s="24"/>
      <c r="H18804" s="24"/>
      <c r="I18804" s="24"/>
      <c r="J18804" s="24"/>
      <c r="K18804" s="24"/>
    </row>
    <row r="18805" customFormat="false" ht="15" hidden="false" customHeight="false" outlineLevel="0" collapsed="false">
      <c r="A18805" s="3" t="s">
        <v>282</v>
      </c>
      <c r="F18805" s="27" t="n">
        <f aca="false">Assumptions!$C$6</f>
        <v>2026</v>
      </c>
      <c r="G18805" s="20" t="n">
        <f aca="false">F18805+1</f>
        <v>2027</v>
      </c>
      <c r="H18805" s="20" t="n">
        <f aca="false">G18805+1</f>
        <v>2028</v>
      </c>
      <c r="I18805" s="20" t="n">
        <f aca="false">H18805+1</f>
        <v>2029</v>
      </c>
      <c r="J18805" s="20" t="n">
        <f aca="false">I18805+1</f>
        <v>2030</v>
      </c>
      <c r="K18805" s="20" t="n">
        <f aca="false">J18805+1</f>
        <v>2031</v>
      </c>
    </row>
    <row r="18806" customFormat="false" ht="15" hidden="false" customHeight="false" outlineLevel="0" collapsed="false">
      <c r="A18806" s="3" t="s">
        <v>283</v>
      </c>
      <c r="G18806" s="20" t="n">
        <f aca="false">G18805-Assumptions!$C$6</f>
        <v>1</v>
      </c>
      <c r="H18806" s="20" t="n">
        <f aca="false">H18805-Assumptions!$C$6</f>
        <v>2</v>
      </c>
      <c r="I18806" s="20" t="n">
        <f aca="false">I18805-Assumptions!$C$6</f>
        <v>3</v>
      </c>
      <c r="J18806" s="20" t="n">
        <f aca="false">J18805-Assumptions!$C$6</f>
        <v>4</v>
      </c>
      <c r="K18806" s="20" t="n">
        <f aca="false">K18805-Assumptions!$C$6</f>
        <v>5</v>
      </c>
    </row>
    <row r="18807" customFormat="false" ht="15" hidden="false" customHeight="false" outlineLevel="0" collapsed="false">
      <c r="A18807" s="3" t="s">
        <v>165</v>
      </c>
      <c r="G18807" s="21" t="n">
        <f aca="false">CHOOSE($C$18798,Assumptions!$G$71,Assumptions!$G$90,Assumptions!$G$109)+$C$18799</f>
        <v>-0.14</v>
      </c>
      <c r="H18807" s="21" t="n">
        <f aca="false">CHOOSE($C$18798,Assumptions!$H$71,Assumptions!$H$90,Assumptions!$H$109)+$C$18799</f>
        <v>-0.12</v>
      </c>
      <c r="I18807" s="21" t="n">
        <f aca="false">CHOOSE($C$18798,Assumptions!$I$71,Assumptions!$I$90,Assumptions!$I$109)+$C$18799</f>
        <v>-0.1</v>
      </c>
      <c r="J18807" s="21" t="n">
        <f aca="false">CHOOSE($C$18798,Assumptions!$J$71,Assumptions!$J$90,Assumptions!$J$109)+$C$18799</f>
        <v>-0.08</v>
      </c>
      <c r="K18807" s="21" t="n">
        <f aca="false">CHOOSE($C$18798,Assumptions!$K$71,Assumptions!$K$90,Assumptions!$K$109)+$C$18799</f>
        <v>-0.06</v>
      </c>
    </row>
    <row r="18808" customFormat="false" ht="15" hidden="false" customHeight="false" outlineLevel="0" collapsed="false">
      <c r="A18808" s="3" t="s">
        <v>166</v>
      </c>
      <c r="G18808" s="21" t="n">
        <f aca="false">CHOOSE($C$18798,Assumptions!$G$72,Assumptions!$G$91,Assumptions!$G$110)</f>
        <v>0.433246670103635</v>
      </c>
      <c r="H18808" s="21" t="n">
        <f aca="false">CHOOSE($C$18798,Assumptions!$H$72,Assumptions!$H$91,Assumptions!$H$110)</f>
        <v>0.418246670103635</v>
      </c>
      <c r="I18808" s="21" t="n">
        <f aca="false">CHOOSE($C$18798,Assumptions!$I$72,Assumptions!$I$91,Assumptions!$I$110)</f>
        <v>0.413246670103635</v>
      </c>
      <c r="J18808" s="21" t="n">
        <f aca="false">CHOOSE($C$18798,Assumptions!$J$72,Assumptions!$J$91,Assumptions!$J$110)</f>
        <v>0.413246670103635</v>
      </c>
      <c r="K18808" s="21" t="n">
        <f aca="false">CHOOSE($C$18798,Assumptions!$K$72,Assumptions!$K$91,Assumptions!$K$110)</f>
        <v>0.413246670103635</v>
      </c>
    </row>
    <row r="18809" customFormat="false" ht="15" hidden="false" customHeight="false" outlineLevel="0" collapsed="false">
      <c r="A18809" s="3" t="s">
        <v>167</v>
      </c>
      <c r="G18809" s="21" t="n">
        <f aca="false">CHOOSE($C$18798,Assumptions!$G$73,Assumptions!$G$92,Assumptions!$G$111)+$C$18800</f>
        <v>0.09</v>
      </c>
      <c r="H18809" s="21" t="n">
        <f aca="false">CHOOSE($C$18798,Assumptions!$H$73,Assumptions!$H$92,Assumptions!$H$111)+$C$18800</f>
        <v>0.075</v>
      </c>
      <c r="I18809" s="21" t="n">
        <f aca="false">CHOOSE($C$18798,Assumptions!$I$73,Assumptions!$I$92,Assumptions!$I$111)+$C$18800</f>
        <v>0.07</v>
      </c>
      <c r="J18809" s="21" t="n">
        <f aca="false">CHOOSE($C$18798,Assumptions!$J$73,Assumptions!$J$92,Assumptions!$J$111)+$C$18800</f>
        <v>0.07</v>
      </c>
      <c r="K18809" s="21" t="n">
        <f aca="false">CHOOSE($C$18798,Assumptions!$K$73,Assumptions!$K$92,Assumptions!$K$111)+$C$18800</f>
        <v>0.07</v>
      </c>
    </row>
    <row r="18810" customFormat="false" ht="15" hidden="false" customHeight="false" outlineLevel="0" collapsed="false">
      <c r="A18810" s="23" t="s">
        <v>284</v>
      </c>
      <c r="B18810" s="24"/>
      <c r="C18810" s="24"/>
      <c r="D18810" s="24"/>
      <c r="E18810" s="24"/>
      <c r="F18810" s="24"/>
      <c r="G18810" s="24"/>
      <c r="H18810" s="24"/>
      <c r="I18810" s="24"/>
      <c r="J18810" s="24"/>
      <c r="K18810" s="24"/>
    </row>
    <row r="18811" customFormat="false" ht="15" hidden="false" customHeight="false" outlineLevel="0" collapsed="false">
      <c r="A18811" s="2" t="s">
        <v>256</v>
      </c>
      <c r="F18811" s="28" t="n">
        <f aca="false">'Historical Financials'!G23</f>
        <v>2246.166</v>
      </c>
      <c r="G18811" s="16" t="n">
        <f aca="false">F18811*(1+G18807)</f>
        <v>1931.70276</v>
      </c>
      <c r="H18811" s="16" t="n">
        <f aca="false">G18811*(1+H18807)</f>
        <v>1699.8984288</v>
      </c>
      <c r="I18811" s="16" t="n">
        <f aca="false">H18811*(1+I18807)</f>
        <v>1529.90858592</v>
      </c>
      <c r="J18811" s="16" t="n">
        <f aca="false">I18811*(1+J18807)</f>
        <v>1407.5158990464</v>
      </c>
      <c r="K18811" s="16" t="n">
        <f aca="false">J18811*(1+K18807)</f>
        <v>1323.06494510362</v>
      </c>
    </row>
    <row r="18812" customFormat="false" ht="15" hidden="false" customHeight="false" outlineLevel="0" collapsed="false">
      <c r="A18812" s="3" t="s">
        <v>257</v>
      </c>
      <c r="G18812" s="25" t="n">
        <f aca="false">G18811*(1-G18808)</f>
        <v>1094.7989716</v>
      </c>
      <c r="H18812" s="25" t="n">
        <f aca="false">H18811*(1-H18808)</f>
        <v>988.92157144</v>
      </c>
      <c r="I18812" s="25" t="n">
        <f aca="false">I18811*(1-I18808)</f>
        <v>897.6789572256</v>
      </c>
      <c r="J18812" s="25" t="n">
        <f aca="false">J18811*(1-J18808)</f>
        <v>825.864640647552</v>
      </c>
      <c r="K18812" s="25" t="n">
        <f aca="false">K18811*(1-K18808)</f>
        <v>776.312762208699</v>
      </c>
    </row>
    <row r="18813" customFormat="false" ht="15" hidden="false" customHeight="false" outlineLevel="0" collapsed="false">
      <c r="A18813" s="2" t="s">
        <v>258</v>
      </c>
      <c r="G18813" s="16" t="n">
        <f aca="false">G18811-G18812</f>
        <v>836.9037884</v>
      </c>
      <c r="H18813" s="16" t="n">
        <f aca="false">H18811-H18812</f>
        <v>710.97685736</v>
      </c>
      <c r="I18813" s="16" t="n">
        <f aca="false">I18811-I18812</f>
        <v>632.2296286944</v>
      </c>
      <c r="J18813" s="16" t="n">
        <f aca="false">J18811-J18812</f>
        <v>581.651258398848</v>
      </c>
      <c r="K18813" s="16" t="n">
        <f aca="false">K18811-K18812</f>
        <v>546.752182894917</v>
      </c>
    </row>
    <row r="18814" customFormat="false" ht="15" hidden="false" customHeight="false" outlineLevel="0" collapsed="false">
      <c r="A18814" s="3" t="s">
        <v>285</v>
      </c>
      <c r="G18814" s="25" t="n">
        <f aca="false">G18813-G18815</f>
        <v>663.05054</v>
      </c>
      <c r="H18814" s="25" t="n">
        <f aca="false">H18813-H18815</f>
        <v>583.4844752</v>
      </c>
      <c r="I18814" s="25" t="n">
        <f aca="false">I18813-I18815</f>
        <v>525.13602768</v>
      </c>
      <c r="J18814" s="25" t="n">
        <f aca="false">J18813-J18815</f>
        <v>483.1251454656</v>
      </c>
      <c r="K18814" s="25" t="n">
        <f aca="false">K18813-K18815</f>
        <v>454.137636737664</v>
      </c>
    </row>
    <row r="18815" customFormat="false" ht="15" hidden="false" customHeight="false" outlineLevel="0" collapsed="false">
      <c r="A18815" s="2" t="s">
        <v>286</v>
      </c>
      <c r="G18815" s="16" t="n">
        <f aca="false">G18811*G18809</f>
        <v>173.8532484</v>
      </c>
      <c r="H18815" s="16" t="n">
        <f aca="false">H18811*H18809</f>
        <v>127.49238216</v>
      </c>
      <c r="I18815" s="16" t="n">
        <f aca="false">I18811*I18809</f>
        <v>107.0936010144</v>
      </c>
      <c r="J18815" s="16" t="n">
        <f aca="false">J18811*J18809</f>
        <v>98.526112933248</v>
      </c>
      <c r="K18815" s="16" t="n">
        <f aca="false">K18811*K18809</f>
        <v>92.6145461572531</v>
      </c>
    </row>
    <row r="18816" customFormat="false" ht="15" hidden="false" customHeight="false" outlineLevel="0" collapsed="false">
      <c r="A18816" s="3" t="s">
        <v>287</v>
      </c>
      <c r="G18816" s="25" t="n">
        <f aca="false">G18811*'Historical Financials'!G28/'Historical Financials'!G23</f>
        <v>73.35456</v>
      </c>
      <c r="H18816" s="25" t="n">
        <f aca="false">H18811*'Historical Financials'!G28/'Historical Financials'!G23</f>
        <v>64.5520128</v>
      </c>
      <c r="I18816" s="25" t="n">
        <f aca="false">I18811*'Historical Financials'!G28/'Historical Financials'!G23</f>
        <v>58.09681152</v>
      </c>
      <c r="J18816" s="25" t="n">
        <f aca="false">J18811*'Historical Financials'!G28/'Historical Financials'!G23</f>
        <v>53.4490665984</v>
      </c>
      <c r="K18816" s="25" t="n">
        <f aca="false">K18811*'Historical Financials'!G28/'Historical Financials'!G23</f>
        <v>50.242122602496</v>
      </c>
    </row>
    <row r="18817" customFormat="false" ht="15" hidden="false" customHeight="false" outlineLevel="0" collapsed="false">
      <c r="A18817" s="3" t="s">
        <v>288</v>
      </c>
      <c r="G18817" s="25" t="n">
        <f aca="false">G18811*'Historical Financials'!G29/'Historical Financials'!G23</f>
        <v>20.94616</v>
      </c>
      <c r="H18817" s="25" t="n">
        <f aca="false">H18811*'Historical Financials'!G29/'Historical Financials'!G23</f>
        <v>18.4326208</v>
      </c>
      <c r="I18817" s="25" t="n">
        <f aca="false">I18811*'Historical Financials'!G29/'Historical Financials'!G23</f>
        <v>16.58935872</v>
      </c>
      <c r="J18817" s="25" t="n">
        <f aca="false">J18811*'Historical Financials'!G29/'Historical Financials'!G23</f>
        <v>15.2622100224</v>
      </c>
      <c r="K18817" s="25" t="n">
        <f aca="false">K18811*'Historical Financials'!G29/'Historical Financials'!G23</f>
        <v>14.346477421056</v>
      </c>
    </row>
    <row r="18818" customFormat="false" ht="15" hidden="false" customHeight="false" outlineLevel="0" collapsed="false">
      <c r="A18818" s="2" t="s">
        <v>289</v>
      </c>
      <c r="G18818" s="16" t="n">
        <f aca="false">G18815-G18816-G18817</f>
        <v>79.5525284</v>
      </c>
      <c r="H18818" s="16" t="n">
        <f aca="false">H18815-H18816-H18817</f>
        <v>44.50774856</v>
      </c>
      <c r="I18818" s="16" t="n">
        <f aca="false">I18815-I18816-I18817</f>
        <v>32.4074307744</v>
      </c>
      <c r="J18818" s="16" t="n">
        <f aca="false">J18815-J18816-J18817</f>
        <v>29.814836312448</v>
      </c>
      <c r="K18818" s="16" t="n">
        <f aca="false">K18815-K18816-K18817</f>
        <v>28.0259461337011</v>
      </c>
    </row>
    <row r="18819" customFormat="false" ht="15" hidden="false" customHeight="false" outlineLevel="0" collapsed="false">
      <c r="A18819" s="3" t="s">
        <v>290</v>
      </c>
      <c r="G18819" s="25" t="n">
        <f aca="false">G18845+G18858+G18871</f>
        <v>155.95467</v>
      </c>
      <c r="H18819" s="25" t="n">
        <f aca="false">H18845+H18858+H18871</f>
        <v>155.95467</v>
      </c>
      <c r="I18819" s="25" t="n">
        <f aca="false">I18845+I18858+I18871</f>
        <v>155.95467</v>
      </c>
      <c r="J18819" s="25" t="n">
        <f aca="false">J18845+J18858+J18871</f>
        <v>144.463861384154</v>
      </c>
      <c r="K18819" s="25" t="n">
        <f aca="false">K18845+K18858+K18871</f>
        <v>144.463861384154</v>
      </c>
    </row>
    <row r="18820" customFormat="false" ht="15" hidden="false" customHeight="false" outlineLevel="0" collapsed="false">
      <c r="A18820" s="3" t="s">
        <v>291</v>
      </c>
      <c r="G18820" s="25" t="n">
        <f aca="false">G18846+G18859+G18872</f>
        <v>0</v>
      </c>
      <c r="H18820" s="25" t="n">
        <f aca="false">H18846+H18859+H18872</f>
        <v>0</v>
      </c>
      <c r="I18820" s="25" t="n">
        <f aca="false">I18846+I18859+I18872</f>
        <v>0</v>
      </c>
      <c r="J18820" s="25" t="n">
        <f aca="false">J18846+J18859+J18872</f>
        <v>0</v>
      </c>
      <c r="K18820" s="25" t="n">
        <f aca="false">K18846+K18859+K18872</f>
        <v>0</v>
      </c>
    </row>
    <row r="18821" customFormat="false" ht="15" hidden="false" customHeight="false" outlineLevel="0" collapsed="false">
      <c r="A18821" s="3" t="s">
        <v>239</v>
      </c>
      <c r="G18821" s="25" t="n">
        <f aca="false">G18819+G18820</f>
        <v>155.95467</v>
      </c>
      <c r="H18821" s="25" t="n">
        <f aca="false">H18819+H18820</f>
        <v>155.95467</v>
      </c>
      <c r="I18821" s="25" t="n">
        <f aca="false">I18819+I18820</f>
        <v>155.95467</v>
      </c>
      <c r="J18821" s="25" t="n">
        <f aca="false">J18819+J18820</f>
        <v>144.463861384154</v>
      </c>
      <c r="K18821" s="25" t="n">
        <f aca="false">K18819+K18820</f>
        <v>144.463861384154</v>
      </c>
    </row>
    <row r="18822" customFormat="false" ht="15" hidden="false" customHeight="false" outlineLevel="0" collapsed="false">
      <c r="A18822" s="2" t="s">
        <v>264</v>
      </c>
      <c r="G18822" s="16" t="n">
        <f aca="false">G18818-G18821</f>
        <v>-76.4021416</v>
      </c>
      <c r="H18822" s="16" t="n">
        <f aca="false">H18818-H18821</f>
        <v>-111.44692144</v>
      </c>
      <c r="I18822" s="16" t="n">
        <f aca="false">I18818-I18821</f>
        <v>-123.5472392256</v>
      </c>
      <c r="J18822" s="16" t="n">
        <f aca="false">J18818-J18821</f>
        <v>-114.649025071706</v>
      </c>
      <c r="K18822" s="16" t="n">
        <f aca="false">K18818-K18821</f>
        <v>-116.437915250452</v>
      </c>
    </row>
    <row r="18823" customFormat="false" ht="15" hidden="false" customHeight="false" outlineLevel="0" collapsed="false">
      <c r="A18823" s="3" t="s">
        <v>292</v>
      </c>
      <c r="G18823" s="25" t="n">
        <f aca="false">MAX(0,G18822)*Assumptions!$C$9</f>
        <v>0</v>
      </c>
      <c r="H18823" s="25" t="n">
        <f aca="false">MAX(0,H18822)*Assumptions!$C$9</f>
        <v>0</v>
      </c>
      <c r="I18823" s="25" t="n">
        <f aca="false">MAX(0,I18822)*Assumptions!$C$9</f>
        <v>0</v>
      </c>
      <c r="J18823" s="25" t="n">
        <f aca="false">MAX(0,J18822)*Assumptions!$C$9</f>
        <v>0</v>
      </c>
      <c r="K18823" s="25" t="n">
        <f aca="false">MAX(0,K18822)*Assumptions!$C$9</f>
        <v>0</v>
      </c>
    </row>
    <row r="18824" customFormat="false" ht="15" hidden="false" customHeight="false" outlineLevel="0" collapsed="false">
      <c r="A18824" s="2" t="s">
        <v>293</v>
      </c>
      <c r="G18824" s="16" t="n">
        <f aca="false">G18822-G18823</f>
        <v>-76.4021416</v>
      </c>
      <c r="H18824" s="16" t="n">
        <f aca="false">H18822-H18823</f>
        <v>-111.44692144</v>
      </c>
      <c r="I18824" s="16" t="n">
        <f aca="false">I18822-I18823</f>
        <v>-123.5472392256</v>
      </c>
      <c r="J18824" s="16" t="n">
        <f aca="false">J18822-J18823</f>
        <v>-114.649025071706</v>
      </c>
      <c r="K18824" s="16" t="n">
        <f aca="false">K18822-K18823</f>
        <v>-116.437915250452</v>
      </c>
    </row>
    <row r="18825" customFormat="false" ht="15" hidden="false" customHeight="false" outlineLevel="0" collapsed="false">
      <c r="A18825" s="23" t="s">
        <v>294</v>
      </c>
      <c r="B18825" s="24"/>
      <c r="C18825" s="24"/>
      <c r="D18825" s="24"/>
      <c r="E18825" s="24"/>
      <c r="F18825" s="24"/>
      <c r="G18825" s="24"/>
      <c r="H18825" s="24"/>
      <c r="I18825" s="24"/>
      <c r="J18825" s="24"/>
      <c r="K18825" s="24"/>
    </row>
    <row r="18826" customFormat="false" ht="15" hidden="false" customHeight="false" outlineLevel="0" collapsed="false">
      <c r="A18826" s="3" t="s">
        <v>169</v>
      </c>
      <c r="G18826" s="25" t="n">
        <f aca="false">G18811*CHOOSE($C$18798,Assumptions!$C$75,Assumptions!$C$94,Assumptions!$C$113)</f>
        <v>21.24873036</v>
      </c>
      <c r="H18826" s="25" t="n">
        <f aca="false">H18811*CHOOSE($C$18798,Assumptions!$C$75,Assumptions!$C$94,Assumptions!$C$113)</f>
        <v>18.6988827168</v>
      </c>
      <c r="I18826" s="25" t="n">
        <f aca="false">I18811*CHOOSE($C$18798,Assumptions!$C$75,Assumptions!$C$94,Assumptions!$C$113)</f>
        <v>16.82899444512</v>
      </c>
      <c r="J18826" s="25" t="n">
        <f aca="false">J18811*CHOOSE($C$18798,Assumptions!$C$75,Assumptions!$C$94,Assumptions!$C$113)</f>
        <v>15.4826748895104</v>
      </c>
      <c r="K18826" s="25" t="n">
        <f aca="false">K18811*CHOOSE($C$18798,Assumptions!$C$75,Assumptions!$C$94,Assumptions!$C$113)</f>
        <v>14.5537143961398</v>
      </c>
    </row>
    <row r="18827" customFormat="false" ht="15" hidden="false" customHeight="false" outlineLevel="0" collapsed="false">
      <c r="A18827" s="3" t="s">
        <v>295</v>
      </c>
      <c r="G18827" s="25" t="n">
        <f aca="false">CHOOSE($C$18798,Assumptions!$C$76,Assumptions!$C$95,Assumptions!$C$114)*(G18811-F18811)+CHOOSE($C$18798,Assumptions!$C$77,Assumptions!$C$96,Assumptions!$C$115)*G18811</f>
        <v>28.9755414</v>
      </c>
      <c r="H18827" s="25" t="n">
        <f aca="false">CHOOSE($C$18798,Assumptions!$C$76,Assumptions!$C$95,Assumptions!$C$114)*(H18811-G18811)+CHOOSE($C$18798,Assumptions!$C$77,Assumptions!$C$96,Assumptions!$C$115)*H18811</f>
        <v>25.498476432</v>
      </c>
      <c r="I18827" s="25" t="n">
        <f aca="false">CHOOSE($C$18798,Assumptions!$C$76,Assumptions!$C$95,Assumptions!$C$114)*(I18811-H18811)+CHOOSE($C$18798,Assumptions!$C$77,Assumptions!$C$96,Assumptions!$C$115)*I18811</f>
        <v>22.9486287888</v>
      </c>
      <c r="J18827" s="25" t="n">
        <f aca="false">CHOOSE($C$18798,Assumptions!$C$76,Assumptions!$C$95,Assumptions!$C$114)*(J18811-I18811)+CHOOSE($C$18798,Assumptions!$C$77,Assumptions!$C$96,Assumptions!$C$115)*J18811</f>
        <v>21.112738485696</v>
      </c>
      <c r="K18827" s="25" t="n">
        <f aca="false">CHOOSE($C$18798,Assumptions!$C$76,Assumptions!$C$95,Assumptions!$C$114)*(K18811-J18811)+CHOOSE($C$18798,Assumptions!$C$77,Assumptions!$C$96,Assumptions!$C$115)*K18811</f>
        <v>19.8459741765542</v>
      </c>
    </row>
    <row r="18828" customFormat="false" ht="15" hidden="false" customHeight="false" outlineLevel="0" collapsed="false">
      <c r="A18828" s="2" t="s">
        <v>296</v>
      </c>
      <c r="G18828" s="16" t="n">
        <f aca="false">G18824+G18816+G18817+G18820-G18826-G18827</f>
        <v>-32.32569336</v>
      </c>
      <c r="H18828" s="16" t="n">
        <f aca="false">H18824+H18816+H18817+H18820-H18826-H18827</f>
        <v>-72.6596469888</v>
      </c>
      <c r="I18828" s="16" t="n">
        <f aca="false">I18824+I18816+I18817+I18820-I18826-I18827</f>
        <v>-88.63869221952</v>
      </c>
      <c r="J18828" s="16" t="n">
        <f aca="false">J18824+J18816+J18817+J18820-J18826-J18827</f>
        <v>-82.533161826112</v>
      </c>
      <c r="K18828" s="16" t="n">
        <f aca="false">K18824+K18816+K18817+K18820-K18826-K18827</f>
        <v>-86.2490037995945</v>
      </c>
    </row>
    <row r="18830" customFormat="false" ht="15" hidden="false" customHeight="false" outlineLevel="0" collapsed="false">
      <c r="A18830" s="23" t="s">
        <v>298</v>
      </c>
      <c r="B18830" s="24"/>
      <c r="C18830" s="24"/>
      <c r="D18830" s="24"/>
      <c r="E18830" s="24"/>
      <c r="F18830" s="24"/>
      <c r="G18830" s="24"/>
      <c r="H18830" s="24"/>
      <c r="I18830" s="24"/>
      <c r="J18830" s="24"/>
      <c r="K18830" s="24"/>
    </row>
    <row r="18831" customFormat="false" ht="15" hidden="false" customHeight="false" outlineLevel="0" collapsed="false">
      <c r="A18831" s="3" t="s">
        <v>299</v>
      </c>
      <c r="G18831" s="30" t="n">
        <f aca="false">Assumptions!$G$52</f>
        <v>0.039</v>
      </c>
      <c r="H18831" s="30" t="n">
        <f aca="false">Assumptions!$H$52</f>
        <v>0.0375</v>
      </c>
      <c r="I18831" s="30" t="n">
        <f aca="false">Assumptions!$I$52</f>
        <v>0.035</v>
      </c>
      <c r="J18831" s="30" t="n">
        <f aca="false">Assumptions!$J$52</f>
        <v>0.035</v>
      </c>
      <c r="K18831" s="30" t="n">
        <f aca="false">Assumptions!$K$52</f>
        <v>0.035</v>
      </c>
    </row>
    <row r="18832" customFormat="false" ht="15" hidden="false" customHeight="false" outlineLevel="0" collapsed="false">
      <c r="A18832" s="3" t="s">
        <v>300</v>
      </c>
      <c r="C18832" s="31" t="n">
        <f aca="false">CHOOSE($C$18798,Assumptions!$C$78,Assumptions!$C$97,Assumptions!$C$116)+$C$18801</f>
        <v>0.03</v>
      </c>
    </row>
    <row r="18833" customFormat="false" ht="15" hidden="false" customHeight="false" outlineLevel="0" collapsed="false">
      <c r="A18833" s="3" t="s">
        <v>301</v>
      </c>
      <c r="C18833" s="31" t="n">
        <f aca="false">CHOOSE($C$18798,Assumptions!$C$79,Assumptions!$C$98,Assumptions!$C$117)</f>
        <v>0.15</v>
      </c>
    </row>
    <row r="18834" customFormat="false" ht="15" hidden="false" customHeight="false" outlineLevel="0" collapsed="false">
      <c r="A18834" s="3" t="s">
        <v>302</v>
      </c>
      <c r="C18834" s="32" t="n">
        <f aca="false">CHOOSE($C$18798,Assumptions!$C$80,Assumptions!$C$99,Assumptions!$C$118)</f>
        <v>5</v>
      </c>
    </row>
    <row r="18835" customFormat="false" ht="15" hidden="false" customHeight="false" outlineLevel="0" collapsed="false">
      <c r="A18835" s="3" t="s">
        <v>303</v>
      </c>
      <c r="C18835" s="32" t="n">
        <f aca="false">CHOOSE($C$18798,Assumptions!$C$81,Assumptions!$C$100,Assumptions!$C$119)</f>
        <v>1.75</v>
      </c>
    </row>
    <row r="18836" customFormat="false" ht="15" hidden="false" customHeight="false" outlineLevel="0" collapsed="false">
      <c r="A18836" s="3" t="s">
        <v>304</v>
      </c>
      <c r="G18836" s="25" t="n">
        <f aca="false">G18841+G18854+G18867</f>
        <v>1735.554</v>
      </c>
      <c r="H18836" s="25" t="n">
        <f aca="false">H18841+H18854+H18867</f>
        <v>1735.554</v>
      </c>
      <c r="I18836" s="25" t="n">
        <f aca="false">I18841+I18854+I18867</f>
        <v>1735.554</v>
      </c>
      <c r="J18836" s="25" t="n">
        <f aca="false">J18841+J18854+J18867</f>
        <v>1465.18203256832</v>
      </c>
      <c r="K18836" s="25" t="n">
        <f aca="false">K18841+K18854+K18867</f>
        <v>1465.18203256832</v>
      </c>
    </row>
    <row r="18837" customFormat="false" ht="15" hidden="false" customHeight="false" outlineLevel="0" collapsed="false">
      <c r="A18837" s="3" t="s">
        <v>305</v>
      </c>
      <c r="G18837" s="25" t="n">
        <f aca="false">F18910</f>
        <v>463.996</v>
      </c>
      <c r="H18837" s="25" t="n">
        <f aca="false">G18910</f>
        <v>431.67030664</v>
      </c>
      <c r="I18837" s="25" t="n">
        <f aca="false">H18910</f>
        <v>359.0106596512</v>
      </c>
      <c r="J18837" s="25" t="n">
        <f aca="false">I18910</f>
        <v>0</v>
      </c>
      <c r="K18837" s="25" t="n">
        <f aca="false">J18910</f>
        <v>-82.533161826112</v>
      </c>
    </row>
    <row r="18838" customFormat="false" ht="15" hidden="false" customHeight="false" outlineLevel="0" collapsed="false">
      <c r="A18838" s="3" t="s">
        <v>306</v>
      </c>
      <c r="G18838" s="25" t="n">
        <f aca="false">G18841*IF(G18842=1,$C$18833,IF(Assumptions!$I$56=1,MAX(G18831,Assumptions!$G$56)+Assumptions!$F$56+$C$18832,Assumptions!$E$56))+G18854*IF(G18855=1,$C$18833,IF(Assumptions!$I$57=1,MAX(G18831,Assumptions!$G$57)+Assumptions!$F$57+$C$18832,Assumptions!$E$57))+G18867*IF(G18868=1,$C$18833,IF(Assumptions!$I$58=1,MAX(G18831,Assumptions!$G$58)+Assumptions!$F$58+$C$18832,Assumptions!$E$58))</f>
        <v>155.95467</v>
      </c>
      <c r="H18838" s="25" t="n">
        <f aca="false">H18841*IF(OR(H18842=1,G18988=1),$C$18833,IF(Assumptions!$I$56=1,MAX(H18831,Assumptions!$G$56)+Assumptions!$F$56+$C$18832,Assumptions!$E$56))+H18854*IF(OR(H18855=1,G18989=1),$C$18833,IF(Assumptions!$I$57=1,MAX(H18831,Assumptions!$G$57)+Assumptions!$F$57+$C$18832,Assumptions!$E$57))+H18867*IF(OR(H18868=1,G18990=1),$C$18833,IF(Assumptions!$I$58=1,MAX(H18831,Assumptions!$G$58)+Assumptions!$F$58+$C$18832,Assumptions!$E$58))</f>
        <v>155.95467</v>
      </c>
      <c r="I18838" s="25" t="n">
        <f aca="false">I18841*IF(OR(I18842=1,H18988=1),$C$18833,IF(Assumptions!$I$56=1,MAX(I18831,Assumptions!$G$56)+Assumptions!$F$56+$C$18832,Assumptions!$E$56))+I18854*IF(OR(I18855=1,H18989=1),$C$18833,IF(Assumptions!$I$57=1,MAX(I18831,Assumptions!$G$57)+Assumptions!$F$57+$C$18832,Assumptions!$E$57))+I18867*IF(OR(I18868=1,H18990=1),$C$18833,IF(Assumptions!$I$58=1,MAX(I18831,Assumptions!$G$58)+Assumptions!$F$58+$C$18832,Assumptions!$E$58))</f>
        <v>201.15369</v>
      </c>
      <c r="J18838" s="25" t="n">
        <f aca="false">J18841*IF(OR(J18842=1,I18988=1),$C$18833,IF(Assumptions!$I$56=1,MAX(J18831,Assumptions!$G$56)+Assumptions!$F$56+$C$18832,Assumptions!$E$56))+J18854*IF(OR(J18855=1,I18989=1),$C$18833,IF(Assumptions!$I$57=1,MAX(J18831,Assumptions!$G$57)+Assumptions!$F$57+$C$18832,Assumptions!$E$57))+J18867*IF(OR(J18868=1,I18990=1),$C$18833,IF(Assumptions!$I$58=1,MAX(J18831,Assumptions!$G$58)+Assumptions!$F$58+$C$18832,Assumptions!$E$58))</f>
        <v>144.463861384154</v>
      </c>
      <c r="K18838" s="25" t="n">
        <f aca="false">K18841*IF(OR(K18842=1,J18988=1),$C$18833,IF(Assumptions!$I$56=1,MAX(K18831,Assumptions!$G$56)+Assumptions!$F$56+$C$18832,Assumptions!$E$56))+K18854*IF(OR(K18855=1,J18989=1),$C$18833,IF(Assumptions!$I$57=1,MAX(K18831,Assumptions!$G$57)+Assumptions!$F$57+$C$18832,Assumptions!$E$57))+K18867*IF(OR(K18868=1,J18990=1),$C$18833,IF(Assumptions!$I$58=1,MAX(K18831,Assumptions!$G$58)+Assumptions!$F$58+$C$18832,Assumptions!$E$58))</f>
        <v>144.463861384154</v>
      </c>
    </row>
    <row r="18839" customFormat="false" ht="15" hidden="false" customHeight="false" outlineLevel="0" collapsed="false">
      <c r="A18839" s="3" t="s">
        <v>307</v>
      </c>
      <c r="G18839" s="20" t="n">
        <f aca="false">IF(G18815&lt;=0,0,IF(AND((G18836-G18837)/G18815&lt;=$C$18834,G18815/G18838&gt;=$C$18835),1,0))</f>
        <v>0</v>
      </c>
      <c r="H18839" s="20" t="n">
        <f aca="false">IF(H18815&lt;=0,0,IF(AND((H18836-H18837)/H18815&lt;=$C$18834,H18815/H18838&gt;=$C$18835),1,0))</f>
        <v>0</v>
      </c>
      <c r="I18839" s="20" t="n">
        <f aca="false">IF(I18815&lt;=0,0,IF(AND((I18836-I18837)/I18815&lt;=$C$18834,I18815/I18838&gt;=$C$18835),1,0))</f>
        <v>0</v>
      </c>
      <c r="J18839" s="20" t="n">
        <f aca="false">IF(J18815&lt;=0,0,IF(AND((J18836-J18837)/J18815&lt;=$C$18834,J18815/J18838&gt;=$C$18835),1,0))</f>
        <v>0</v>
      </c>
      <c r="K18839" s="20" t="n">
        <f aca="false">IF(K18815&lt;=0,0,IF(AND((K18836-K18837)/K18815&lt;=$C$18834,K18815/K18838&gt;=$C$18835),1,0))</f>
        <v>0</v>
      </c>
    </row>
    <row r="18840" customFormat="false" ht="15" hidden="false" customHeight="false" outlineLevel="0" collapsed="false">
      <c r="A18840" s="23" t="s">
        <v>308</v>
      </c>
      <c r="B18840" s="24"/>
      <c r="C18840" s="24"/>
      <c r="D18840" s="24"/>
      <c r="E18840" s="24"/>
      <c r="F18840" s="24"/>
      <c r="G18840" s="24"/>
      <c r="H18840" s="24"/>
      <c r="I18840" s="24"/>
      <c r="J18840" s="24"/>
      <c r="K18840" s="24"/>
    </row>
    <row r="18841" customFormat="false" ht="15" hidden="false" customHeight="false" outlineLevel="0" collapsed="false">
      <c r="A18841" s="3" t="s">
        <v>309</v>
      </c>
      <c r="G18841" s="25" t="n">
        <f aca="false">F18852</f>
        <v>1315.098</v>
      </c>
      <c r="H18841" s="25" t="n">
        <f aca="false">G18852</f>
        <v>1315.098</v>
      </c>
      <c r="I18841" s="25" t="n">
        <f aca="false">H18852</f>
        <v>1315.098</v>
      </c>
      <c r="J18841" s="25" t="n">
        <f aca="false">I18852</f>
        <v>1315.098</v>
      </c>
      <c r="K18841" s="25" t="n">
        <f aca="false">J18852</f>
        <v>1315.098</v>
      </c>
    </row>
    <row r="18842" customFormat="false" ht="15" hidden="false" customHeight="false" outlineLevel="0" collapsed="false">
      <c r="A18842" s="3" t="s">
        <v>310</v>
      </c>
      <c r="G18842" s="20" t="n">
        <f aca="false">IF(G18805=Assumptions!$K$56,1,0)</f>
        <v>0</v>
      </c>
      <c r="H18842" s="20" t="n">
        <f aca="false">IF(H18805=Assumptions!$K$56,1,0)</f>
        <v>0</v>
      </c>
      <c r="I18842" s="20" t="n">
        <f aca="false">IF(I18805=Assumptions!$K$56,1,0)</f>
        <v>0</v>
      </c>
      <c r="J18842" s="20" t="n">
        <f aca="false">IF(J18805=Assumptions!$K$56,1,0)</f>
        <v>0</v>
      </c>
      <c r="K18842" s="20" t="n">
        <f aca="false">IF(K18805=Assumptions!$K$56,1,0)</f>
        <v>0</v>
      </c>
    </row>
    <row r="18844" customFormat="false" ht="15" hidden="false" customHeight="false" outlineLevel="0" collapsed="false">
      <c r="A18844" s="3" t="s">
        <v>311</v>
      </c>
      <c r="G18844" s="31" t="n">
        <f aca="false">IF(Assumptions!$I$56=1,MAX(G18831,Assumptions!$G$56)+Assumptions!$F$56+$C$18832,Assumptions!$E$56)</f>
        <v>0.105</v>
      </c>
      <c r="H18844" s="31" t="n">
        <f aca="false">IF(G18988=1,$C$18833,IF(Assumptions!$I$56=1,MAX(H18831,Assumptions!$G$56)+Assumptions!$F$56+$C$18832,Assumptions!$E$56))</f>
        <v>0.105</v>
      </c>
      <c r="I18844" s="31" t="n">
        <f aca="false">IF(H18988=1,$C$18833,IF(Assumptions!$I$56=1,MAX(I18831,Assumptions!$G$56)+Assumptions!$F$56+$C$18832,Assumptions!$E$56))</f>
        <v>0.105</v>
      </c>
      <c r="J18844" s="31" t="n">
        <f aca="false">IF(I18988=1,$C$18833,IF(Assumptions!$I$56=1,MAX(J18831,Assumptions!$G$56)+Assumptions!$F$56+$C$18832,Assumptions!$E$56))</f>
        <v>0.105</v>
      </c>
      <c r="K18844" s="31" t="n">
        <f aca="false">IF(J18988=1,$C$18833,IF(Assumptions!$I$56=1,MAX(K18831,Assumptions!$G$56)+Assumptions!$F$56+$C$18832,Assumptions!$E$56))</f>
        <v>0.105</v>
      </c>
    </row>
    <row r="18845" customFormat="false" ht="15" hidden="false" customHeight="false" outlineLevel="0" collapsed="false">
      <c r="A18845" s="3" t="s">
        <v>312</v>
      </c>
      <c r="G18845" s="25" t="n">
        <f aca="false">G18841*G18844</f>
        <v>138.08529</v>
      </c>
      <c r="H18845" s="25" t="n">
        <f aca="false">H18841*H18844</f>
        <v>138.08529</v>
      </c>
      <c r="I18845" s="25" t="n">
        <f aca="false">I18841*I18844</f>
        <v>138.08529</v>
      </c>
      <c r="J18845" s="25" t="n">
        <f aca="false">J18841*J18844</f>
        <v>138.08529</v>
      </c>
      <c r="K18845" s="25" t="n">
        <f aca="false">K18841*K18844</f>
        <v>138.08529</v>
      </c>
    </row>
    <row r="18846" customFormat="false" ht="15" hidden="false" customHeight="false" outlineLevel="0" collapsed="false">
      <c r="A18846" s="3" t="s">
        <v>313</v>
      </c>
      <c r="G18846" s="25" t="n">
        <f aca="false">G18841*Assumptions!$H$56</f>
        <v>0</v>
      </c>
      <c r="H18846" s="25" t="n">
        <f aca="false">H18841*Assumptions!$H$56</f>
        <v>0</v>
      </c>
      <c r="I18846" s="25" t="n">
        <f aca="false">I18841*Assumptions!$H$56</f>
        <v>0</v>
      </c>
      <c r="J18846" s="25" t="n">
        <f aca="false">J18841*Assumptions!$H$56</f>
        <v>0</v>
      </c>
      <c r="K18846" s="25" t="n">
        <f aca="false">K18841*Assumptions!$H$56</f>
        <v>0</v>
      </c>
    </row>
    <row r="18847" customFormat="false" ht="15" hidden="false" customHeight="false" outlineLevel="0" collapsed="false">
      <c r="A18847" s="3" t="s">
        <v>314</v>
      </c>
      <c r="G18847" s="25" t="n">
        <f aca="false">MIN(G18841,Assumptions!$L$56*Assumptions!$C$56)</f>
        <v>0</v>
      </c>
      <c r="H18847" s="25" t="n">
        <f aca="false">MIN(H18841,Assumptions!$L$56*Assumptions!$C$56)</f>
        <v>0</v>
      </c>
      <c r="I18847" s="25" t="n">
        <f aca="false">MIN(I18841,Assumptions!$L$56*Assumptions!$C$56)</f>
        <v>0</v>
      </c>
      <c r="J18847" s="25" t="n">
        <f aca="false">MIN(J18841,Assumptions!$L$56*Assumptions!$C$56)</f>
        <v>0</v>
      </c>
      <c r="K18847" s="25" t="n">
        <f aca="false">MIN(K18841,Assumptions!$L$56*Assumptions!$C$56)</f>
        <v>0</v>
      </c>
    </row>
    <row r="18848" customFormat="false" ht="15" hidden="false" customHeight="false" outlineLevel="0" collapsed="false">
      <c r="A18848" s="3" t="s">
        <v>315</v>
      </c>
      <c r="G18848" s="25" t="n">
        <f aca="false">IF(AND(Assumptions!$P$56=1,G18805&lt;Assumptions!$K$56),MIN(MAX(0,-G18902),MAX(0,Assumptions!$D$56-G18841)),0)</f>
        <v>0</v>
      </c>
      <c r="H18848" s="25" t="n">
        <f aca="false">IF(AND(Assumptions!$P$56=1,OR(H18805&lt;Assumptions!$K$56,G18988=1)),MIN(MAX(0,-H18902),MAX(0,Assumptions!$D$56-H18841)),0)</f>
        <v>0</v>
      </c>
      <c r="I18848" s="25" t="n">
        <f aca="false">IF(AND(Assumptions!$P$56=1,OR(I18805&lt;Assumptions!$K$56,H18988=1)),MIN(MAX(0,-I18902),MAX(0,Assumptions!$D$56-I18841)),0)</f>
        <v>0</v>
      </c>
      <c r="J18848" s="25" t="n">
        <f aca="false">IF(AND(Assumptions!$P$56=1,OR(J18805&lt;Assumptions!$K$56,I18988=1)),MIN(MAX(0,-J18902),MAX(0,Assumptions!$D$56-J18841)),0)</f>
        <v>0</v>
      </c>
      <c r="K18848" s="25" t="n">
        <f aca="false">IF(AND(Assumptions!$P$56=1,OR(K18805&lt;Assumptions!$K$56,J18988=1)),MIN(MAX(0,-K18902),MAX(0,Assumptions!$D$56-K18841)),0)</f>
        <v>0</v>
      </c>
    </row>
    <row r="18849" customFormat="false" ht="15" hidden="false" customHeight="false" outlineLevel="0" collapsed="false">
      <c r="A18849" s="3" t="s">
        <v>316</v>
      </c>
      <c r="G18849" s="25" t="n">
        <f aca="false">G18842*MIN(G18841-G18847+G18846,MAX(0,G18904-Assumptions!$C$12*G18839))</f>
        <v>0</v>
      </c>
      <c r="H18849" s="25" t="n">
        <f aca="false">H18842*MIN(H18841-H18847+H18846,MAX(0,H18904-Assumptions!$C$12*H18839))</f>
        <v>0</v>
      </c>
      <c r="I18849" s="25" t="n">
        <f aca="false">I18842*MIN(I18841-I18847+I18846,MAX(0,I18904-Assumptions!$C$12*I18839))</f>
        <v>0</v>
      </c>
      <c r="J18849" s="25" t="n">
        <f aca="false">J18842*MIN(J18841-J18847+J18846,MAX(0,J18904-Assumptions!$C$12*J18839))</f>
        <v>0</v>
      </c>
      <c r="K18849" s="25" t="n">
        <f aca="false">K18842*MIN(K18841-K18847+K18846,MAX(0,K18904-Assumptions!$C$12*K18839))</f>
        <v>0</v>
      </c>
    </row>
    <row r="18850" customFormat="false" ht="15" hidden="false" customHeight="false" outlineLevel="0" collapsed="false">
      <c r="A18850" s="3" t="s">
        <v>317</v>
      </c>
      <c r="G18850" s="25" t="n">
        <f aca="false">Assumptions!$N$56*MIN(G18841+G18848+G18846-G18847-G18849,MAX(0,G18908))</f>
        <v>0</v>
      </c>
      <c r="H18850" s="25" t="n">
        <f aca="false">Assumptions!$N$56*MIN(H18841+H18848+H18846-H18847-H18849,MAX(0,H18908))</f>
        <v>0</v>
      </c>
      <c r="I18850" s="25" t="n">
        <f aca="false">Assumptions!$N$56*MIN(I18841+I18848+I18846-I18847-I18849,MAX(0,I18908))</f>
        <v>0</v>
      </c>
      <c r="J18850" s="25" t="n">
        <f aca="false">Assumptions!$N$56*MIN(J18841+J18848+J18846-J18847-J18849,MAX(0,J18908))</f>
        <v>0</v>
      </c>
      <c r="K18850" s="25" t="n">
        <f aca="false">Assumptions!$N$56*MIN(K18841+K18848+K18846-K18847-K18849,MAX(0,K18908))</f>
        <v>0</v>
      </c>
    </row>
    <row r="18851" customFormat="false" ht="15" hidden="false" customHeight="false" outlineLevel="0" collapsed="false">
      <c r="A18851" s="3" t="s">
        <v>318</v>
      </c>
      <c r="G18851" s="25" t="n">
        <f aca="false">G18842*(1-G18839)*(G18841-G18847+G18846-G18849)</f>
        <v>0</v>
      </c>
      <c r="H18851" s="25" t="n">
        <f aca="false">H18842*(1-H18839)*(H18841-H18847+H18846-H18849)</f>
        <v>0</v>
      </c>
      <c r="I18851" s="25" t="n">
        <f aca="false">I18842*(1-I18839)*(I18841-I18847+I18846-I18849)</f>
        <v>0</v>
      </c>
      <c r="J18851" s="25" t="n">
        <f aca="false">J18842*(1-J18839)*(J18841-J18847+J18846-J18849)</f>
        <v>0</v>
      </c>
      <c r="K18851" s="25" t="n">
        <f aca="false">K18842*(1-K18839)*(K18841-K18847+K18846-K18849)</f>
        <v>0</v>
      </c>
    </row>
    <row r="18852" customFormat="false" ht="15" hidden="false" customHeight="false" outlineLevel="0" collapsed="false">
      <c r="A18852" s="2" t="s">
        <v>319</v>
      </c>
      <c r="F18852" s="28" t="n">
        <f aca="false">Assumptions!$C$56</f>
        <v>1315.098</v>
      </c>
      <c r="G18852" s="16" t="n">
        <f aca="false">G18841+G18848+G18846-G18847-G18849-G18850</f>
        <v>1315.098</v>
      </c>
      <c r="H18852" s="16" t="n">
        <f aca="false">H18841+H18848+H18846-H18847-H18849-H18850</f>
        <v>1315.098</v>
      </c>
      <c r="I18852" s="16" t="n">
        <f aca="false">I18841+I18848+I18846-I18847-I18849-I18850</f>
        <v>1315.098</v>
      </c>
      <c r="J18852" s="16" t="n">
        <f aca="false">J18841+J18848+J18846-J18847-J18849-J18850</f>
        <v>1315.098</v>
      </c>
      <c r="K18852" s="16" t="n">
        <f aca="false">K18841+K18848+K18846-K18847-K18849-K18850</f>
        <v>1315.098</v>
      </c>
    </row>
    <row r="18853" customFormat="false" ht="15" hidden="false" customHeight="false" outlineLevel="0" collapsed="false">
      <c r="A18853" s="23" t="s">
        <v>320</v>
      </c>
      <c r="B18853" s="24"/>
      <c r="C18853" s="24"/>
      <c r="D18853" s="24"/>
      <c r="E18853" s="24"/>
      <c r="F18853" s="24"/>
      <c r="G18853" s="24"/>
      <c r="H18853" s="24"/>
      <c r="I18853" s="24"/>
      <c r="J18853" s="24"/>
      <c r="K18853" s="24"/>
    </row>
    <row r="18854" customFormat="false" ht="15" hidden="false" customHeight="false" outlineLevel="0" collapsed="false">
      <c r="A18854" s="3" t="s">
        <v>309</v>
      </c>
      <c r="G18854" s="25" t="n">
        <f aca="false">F18865</f>
        <v>276.706</v>
      </c>
      <c r="H18854" s="25" t="n">
        <f aca="false">G18865</f>
        <v>276.706</v>
      </c>
      <c r="I18854" s="25" t="n">
        <f aca="false">H18865</f>
        <v>276.706</v>
      </c>
      <c r="J18854" s="25" t="n">
        <f aca="false">I18865</f>
        <v>6.33403256832008</v>
      </c>
      <c r="K18854" s="25" t="n">
        <f aca="false">J18865</f>
        <v>6.33403256832008</v>
      </c>
    </row>
    <row r="18855" customFormat="false" ht="15" hidden="false" customHeight="false" outlineLevel="0" collapsed="false">
      <c r="A18855" s="3" t="s">
        <v>310</v>
      </c>
      <c r="G18855" s="20" t="n">
        <f aca="false">IF(G18805=Assumptions!$K$57,1,0)</f>
        <v>0</v>
      </c>
      <c r="H18855" s="20" t="n">
        <f aca="false">IF(H18805=Assumptions!$K$57,1,0)</f>
        <v>0</v>
      </c>
      <c r="I18855" s="20" t="n">
        <f aca="false">IF(I18805=Assumptions!$K$57,1,0)</f>
        <v>1</v>
      </c>
      <c r="J18855" s="20" t="n">
        <f aca="false">IF(J18805=Assumptions!$K$57,1,0)</f>
        <v>0</v>
      </c>
      <c r="K18855" s="20" t="n">
        <f aca="false">IF(K18805=Assumptions!$K$57,1,0)</f>
        <v>0</v>
      </c>
    </row>
    <row r="18857" customFormat="false" ht="15" hidden="false" customHeight="false" outlineLevel="0" collapsed="false">
      <c r="A18857" s="3" t="s">
        <v>311</v>
      </c>
      <c r="G18857" s="31" t="n">
        <f aca="false">IF(Assumptions!$I$57=1,MAX(G18831,Assumptions!$G$57)+Assumptions!$F$57+$C$18832,Assumptions!$E$57)</f>
        <v>0.0425</v>
      </c>
      <c r="H18857" s="31" t="n">
        <f aca="false">IF(G18989=1,$C$18833,IF(Assumptions!$I$57=1,MAX(H18831,Assumptions!$G$57)+Assumptions!$F$57+$C$18832,Assumptions!$E$57))</f>
        <v>0.0425</v>
      </c>
      <c r="I18857" s="31" t="n">
        <f aca="false">IF(H18989=1,$C$18833,IF(Assumptions!$I$57=1,MAX(I18831,Assumptions!$G$57)+Assumptions!$F$57+$C$18832,Assumptions!$E$57))</f>
        <v>0.0425</v>
      </c>
      <c r="J18857" s="31" t="n">
        <f aca="false">IF(I18989=1,$C$18833,IF(Assumptions!$I$57=1,MAX(J18831,Assumptions!$G$57)+Assumptions!$F$57+$C$18832,Assumptions!$E$57))</f>
        <v>0.0425</v>
      </c>
      <c r="K18857" s="31" t="n">
        <f aca="false">IF(J18989=1,$C$18833,IF(Assumptions!$I$57=1,MAX(K18831,Assumptions!$G$57)+Assumptions!$F$57+$C$18832,Assumptions!$E$57))</f>
        <v>0.0425</v>
      </c>
    </row>
    <row r="18858" customFormat="false" ht="15" hidden="false" customHeight="false" outlineLevel="0" collapsed="false">
      <c r="A18858" s="3" t="s">
        <v>312</v>
      </c>
      <c r="G18858" s="25" t="n">
        <f aca="false">G18854*G18857</f>
        <v>11.760005</v>
      </c>
      <c r="H18858" s="25" t="n">
        <f aca="false">H18854*H18857</f>
        <v>11.760005</v>
      </c>
      <c r="I18858" s="25" t="n">
        <f aca="false">I18854*I18857</f>
        <v>11.760005</v>
      </c>
      <c r="J18858" s="25" t="n">
        <f aca="false">J18854*J18857</f>
        <v>0.269196384153604</v>
      </c>
      <c r="K18858" s="25" t="n">
        <f aca="false">K18854*K18857</f>
        <v>0.269196384153604</v>
      </c>
    </row>
    <row r="18859" customFormat="false" ht="15" hidden="false" customHeight="false" outlineLevel="0" collapsed="false">
      <c r="A18859" s="3" t="s">
        <v>313</v>
      </c>
      <c r="G18859" s="25" t="n">
        <f aca="false">G18854*Assumptions!$H$57</f>
        <v>0</v>
      </c>
      <c r="H18859" s="25" t="n">
        <f aca="false">H18854*Assumptions!$H$57</f>
        <v>0</v>
      </c>
      <c r="I18859" s="25" t="n">
        <f aca="false">I18854*Assumptions!$H$57</f>
        <v>0</v>
      </c>
      <c r="J18859" s="25" t="n">
        <f aca="false">J18854*Assumptions!$H$57</f>
        <v>0</v>
      </c>
      <c r="K18859" s="25" t="n">
        <f aca="false">K18854*Assumptions!$H$57</f>
        <v>0</v>
      </c>
    </row>
    <row r="18860" customFormat="false" ht="15" hidden="false" customHeight="false" outlineLevel="0" collapsed="false">
      <c r="A18860" s="3" t="s">
        <v>314</v>
      </c>
      <c r="G18860" s="25" t="n">
        <f aca="false">MIN(G18854,Assumptions!$L$57*Assumptions!$C$57)</f>
        <v>0</v>
      </c>
      <c r="H18860" s="25" t="n">
        <f aca="false">MIN(H18854,Assumptions!$L$57*Assumptions!$C$57)</f>
        <v>0</v>
      </c>
      <c r="I18860" s="25" t="n">
        <f aca="false">MIN(I18854,Assumptions!$L$57*Assumptions!$C$57)</f>
        <v>0</v>
      </c>
      <c r="J18860" s="25" t="n">
        <f aca="false">MIN(J18854,Assumptions!$L$57*Assumptions!$C$57)</f>
        <v>0</v>
      </c>
      <c r="K18860" s="25" t="n">
        <f aca="false">MIN(K18854,Assumptions!$L$57*Assumptions!$C$57)</f>
        <v>0</v>
      </c>
    </row>
    <row r="18861" customFormat="false" ht="15" hidden="false" customHeight="false" outlineLevel="0" collapsed="false">
      <c r="A18861" s="3" t="s">
        <v>315</v>
      </c>
      <c r="G18861" s="25" t="n">
        <f aca="false">IF(AND(Assumptions!$P$57=1,G18805&lt;Assumptions!$K$57),MIN(MAX(0,-G18902),MAX(0,Assumptions!$D$57-G18854)),0)</f>
        <v>0</v>
      </c>
      <c r="H18861" s="25" t="n">
        <f aca="false">IF(AND(Assumptions!$P$57=1,OR(H18805&lt;Assumptions!$K$57,G18989=1)),MIN(MAX(0,-H18902),MAX(0,Assumptions!$D$57-H18854)),0)</f>
        <v>0</v>
      </c>
      <c r="I18861" s="25" t="n">
        <f aca="false">IF(AND(Assumptions!$P$57=1,OR(I18805&lt;Assumptions!$K$57,H18989=1)),MIN(MAX(0,-I18902),MAX(0,Assumptions!$D$57-I18854)),0)</f>
        <v>0</v>
      </c>
      <c r="J18861" s="25" t="n">
        <f aca="false">IF(AND(Assumptions!$P$57=1,OR(J18805&lt;Assumptions!$K$57,I18989=1)),MIN(MAX(0,-J18902),MAX(0,Assumptions!$D$57-J18854)),0)</f>
        <v>0</v>
      </c>
      <c r="K18861" s="25" t="n">
        <f aca="false">IF(AND(Assumptions!$P$57=1,OR(K18805&lt;Assumptions!$K$57,J18989=1)),MIN(MAX(0,-K18902),MAX(0,Assumptions!$D$57-K18854)),0)</f>
        <v>0</v>
      </c>
    </row>
    <row r="18862" customFormat="false" ht="15" hidden="false" customHeight="false" outlineLevel="0" collapsed="false">
      <c r="A18862" s="3" t="s">
        <v>316</v>
      </c>
      <c r="G18862" s="25" t="n">
        <f aca="false">G18855*MIN(G18854-G18860+G18859,MAX(0,G18904-Assumptions!$C$12*G18839-G18849))</f>
        <v>0</v>
      </c>
      <c r="H18862" s="25" t="n">
        <f aca="false">H18855*MIN(H18854-H18860+H18859,MAX(0,H18904-Assumptions!$C$12*H18839-H18849))</f>
        <v>0</v>
      </c>
      <c r="I18862" s="25" t="n">
        <f aca="false">I18855*MIN(I18854-I18860+I18859,MAX(0,I18904-Assumptions!$C$12*I18839-I18849))</f>
        <v>270.37196743168</v>
      </c>
      <c r="J18862" s="25" t="n">
        <f aca="false">J18855*MIN(J18854-J18860+J18859,MAX(0,J18904-Assumptions!$C$12*J18839-J18849))</f>
        <v>0</v>
      </c>
      <c r="K18862" s="25" t="n">
        <f aca="false">K18855*MIN(K18854-K18860+K18859,MAX(0,K18904-Assumptions!$C$12*K18839-K18849))</f>
        <v>0</v>
      </c>
    </row>
    <row r="18863" customFormat="false" ht="15" hidden="false" customHeight="false" outlineLevel="0" collapsed="false">
      <c r="A18863" s="3" t="s">
        <v>317</v>
      </c>
      <c r="G18863" s="25" t="n">
        <f aca="false">Assumptions!$N$57*MIN(G18854+G18861+G18859-G18860-G18862,MAX(0,G18908-G18850))</f>
        <v>0</v>
      </c>
      <c r="H18863" s="25" t="n">
        <f aca="false">Assumptions!$N$57*MIN(H18854+H18861+H18859-H18860-H18862,MAX(0,H18908-H18850))</f>
        <v>0</v>
      </c>
      <c r="I18863" s="25" t="n">
        <f aca="false">Assumptions!$N$57*MIN(I18854+I18861+I18859-I18860-I18862,MAX(0,I18908-I18850))</f>
        <v>0</v>
      </c>
      <c r="J18863" s="25" t="n">
        <f aca="false">Assumptions!$N$57*MIN(J18854+J18861+J18859-J18860-J18862,MAX(0,J18908-J18850))</f>
        <v>0</v>
      </c>
      <c r="K18863" s="25" t="n">
        <f aca="false">Assumptions!$N$57*MIN(K18854+K18861+K18859-K18860-K18862,MAX(0,K18908-K18850))</f>
        <v>0</v>
      </c>
    </row>
    <row r="18864" customFormat="false" ht="15" hidden="false" customHeight="false" outlineLevel="0" collapsed="false">
      <c r="A18864" s="3" t="s">
        <v>318</v>
      </c>
      <c r="G18864" s="25" t="n">
        <f aca="false">G18855*(1-G18839)*(G18854-G18860+G18859-G18862)</f>
        <v>0</v>
      </c>
      <c r="H18864" s="25" t="n">
        <f aca="false">H18855*(1-H18839)*(H18854-H18860+H18859-H18862)</f>
        <v>0</v>
      </c>
      <c r="I18864" s="25" t="n">
        <f aca="false">I18855*(1-I18839)*(I18854-I18860+I18859-I18862)</f>
        <v>6.33403256832008</v>
      </c>
      <c r="J18864" s="25" t="n">
        <f aca="false">J18855*(1-J18839)*(J18854-J18860+J18859-J18862)</f>
        <v>0</v>
      </c>
      <c r="K18864" s="25" t="n">
        <f aca="false">K18855*(1-K18839)*(K18854-K18860+K18859-K18862)</f>
        <v>0</v>
      </c>
    </row>
    <row r="18865" customFormat="false" ht="15" hidden="false" customHeight="false" outlineLevel="0" collapsed="false">
      <c r="A18865" s="2" t="s">
        <v>319</v>
      </c>
      <c r="F18865" s="28" t="n">
        <f aca="false">Assumptions!$C$57</f>
        <v>276.706</v>
      </c>
      <c r="G18865" s="16" t="n">
        <f aca="false">G18854+G18861+G18859-G18860-G18862-G18863</f>
        <v>276.706</v>
      </c>
      <c r="H18865" s="16" t="n">
        <f aca="false">H18854+H18861+H18859-H18860-H18862-H18863</f>
        <v>276.706</v>
      </c>
      <c r="I18865" s="16" t="n">
        <f aca="false">I18854+I18861+I18859-I18860-I18862-I18863</f>
        <v>6.33403256832008</v>
      </c>
      <c r="J18865" s="16" t="n">
        <f aca="false">J18854+J18861+J18859-J18860-J18862-J18863</f>
        <v>6.33403256832008</v>
      </c>
      <c r="K18865" s="16" t="n">
        <f aca="false">K18854+K18861+K18859-K18860-K18862-K18863</f>
        <v>6.33403256832008</v>
      </c>
    </row>
    <row r="18866" customFormat="false" ht="15" hidden="false" customHeight="false" outlineLevel="0" collapsed="false">
      <c r="A18866" s="23" t="s">
        <v>321</v>
      </c>
      <c r="B18866" s="24"/>
      <c r="C18866" s="24"/>
      <c r="D18866" s="24"/>
      <c r="E18866" s="24"/>
      <c r="F18866" s="24"/>
      <c r="G18866" s="24"/>
      <c r="H18866" s="24"/>
      <c r="I18866" s="24"/>
      <c r="J18866" s="24"/>
      <c r="K18866" s="24"/>
    </row>
    <row r="18867" customFormat="false" ht="15" hidden="false" customHeight="false" outlineLevel="0" collapsed="false">
      <c r="A18867" s="3" t="s">
        <v>309</v>
      </c>
      <c r="G18867" s="25" t="n">
        <f aca="false">F18878</f>
        <v>143.75</v>
      </c>
      <c r="H18867" s="25" t="n">
        <f aca="false">G18878</f>
        <v>143.75</v>
      </c>
      <c r="I18867" s="25" t="n">
        <f aca="false">H18878</f>
        <v>143.75</v>
      </c>
      <c r="J18867" s="25" t="n">
        <f aca="false">I18878</f>
        <v>143.75</v>
      </c>
      <c r="K18867" s="25" t="n">
        <f aca="false">J18878</f>
        <v>143.75</v>
      </c>
    </row>
    <row r="18868" customFormat="false" ht="15" hidden="false" customHeight="false" outlineLevel="0" collapsed="false">
      <c r="A18868" s="3" t="s">
        <v>310</v>
      </c>
      <c r="G18868" s="20" t="n">
        <f aca="false">IF(G18805=Assumptions!$K$58,1,0)</f>
        <v>0</v>
      </c>
      <c r="H18868" s="20" t="n">
        <f aca="false">IF(H18805=Assumptions!$K$58,1,0)</f>
        <v>0</v>
      </c>
      <c r="I18868" s="20" t="n">
        <f aca="false">IF(I18805=Assumptions!$K$58,1,0)</f>
        <v>1</v>
      </c>
      <c r="J18868" s="20" t="n">
        <f aca="false">IF(J18805=Assumptions!$K$58,1,0)</f>
        <v>0</v>
      </c>
      <c r="K18868" s="20" t="n">
        <f aca="false">IF(K18805=Assumptions!$K$58,1,0)</f>
        <v>0</v>
      </c>
    </row>
    <row r="18870" customFormat="false" ht="15" hidden="false" customHeight="false" outlineLevel="0" collapsed="false">
      <c r="A18870" s="3" t="s">
        <v>311</v>
      </c>
      <c r="G18870" s="31" t="n">
        <f aca="false">IF(Assumptions!$I$58=1,MAX(G18831,Assumptions!$G$58)+Assumptions!$F$58+$C$18832,Assumptions!$E$58)</f>
        <v>0.0425</v>
      </c>
      <c r="H18870" s="31" t="n">
        <f aca="false">IF(G18990=1,$C$18833,IF(Assumptions!$I$58=1,MAX(H18831,Assumptions!$G$58)+Assumptions!$F$58+$C$18832,Assumptions!$E$58))</f>
        <v>0.0425</v>
      </c>
      <c r="I18870" s="31" t="n">
        <f aca="false">IF(H18990=1,$C$18833,IF(Assumptions!$I$58=1,MAX(I18831,Assumptions!$G$58)+Assumptions!$F$58+$C$18832,Assumptions!$E$58))</f>
        <v>0.0425</v>
      </c>
      <c r="J18870" s="31" t="n">
        <f aca="false">IF(I18990=1,$C$18833,IF(Assumptions!$I$58=1,MAX(J18831,Assumptions!$G$58)+Assumptions!$F$58+$C$18832,Assumptions!$E$58))</f>
        <v>0.0425</v>
      </c>
      <c r="K18870" s="31" t="n">
        <f aca="false">IF(J18990=1,$C$18833,IF(Assumptions!$I$58=1,MAX(K18831,Assumptions!$G$58)+Assumptions!$F$58+$C$18832,Assumptions!$E$58))</f>
        <v>0.0425</v>
      </c>
    </row>
    <row r="18871" customFormat="false" ht="15" hidden="false" customHeight="false" outlineLevel="0" collapsed="false">
      <c r="A18871" s="3" t="s">
        <v>312</v>
      </c>
      <c r="G18871" s="25" t="n">
        <f aca="false">G18867*G18870</f>
        <v>6.109375</v>
      </c>
      <c r="H18871" s="25" t="n">
        <f aca="false">H18867*H18870</f>
        <v>6.109375</v>
      </c>
      <c r="I18871" s="25" t="n">
        <f aca="false">I18867*I18870</f>
        <v>6.109375</v>
      </c>
      <c r="J18871" s="25" t="n">
        <f aca="false">J18867*J18870</f>
        <v>6.109375</v>
      </c>
      <c r="K18871" s="25" t="n">
        <f aca="false">K18867*K18870</f>
        <v>6.109375</v>
      </c>
    </row>
    <row r="18872" customFormat="false" ht="15" hidden="false" customHeight="false" outlineLevel="0" collapsed="false">
      <c r="A18872" s="3" t="s">
        <v>313</v>
      </c>
      <c r="G18872" s="25" t="n">
        <f aca="false">G18867*Assumptions!$H$58</f>
        <v>0</v>
      </c>
      <c r="H18872" s="25" t="n">
        <f aca="false">H18867*Assumptions!$H$58</f>
        <v>0</v>
      </c>
      <c r="I18872" s="25" t="n">
        <f aca="false">I18867*Assumptions!$H$58</f>
        <v>0</v>
      </c>
      <c r="J18872" s="25" t="n">
        <f aca="false">J18867*Assumptions!$H$58</f>
        <v>0</v>
      </c>
      <c r="K18872" s="25" t="n">
        <f aca="false">K18867*Assumptions!$H$58</f>
        <v>0</v>
      </c>
    </row>
    <row r="18873" customFormat="false" ht="15" hidden="false" customHeight="false" outlineLevel="0" collapsed="false">
      <c r="A18873" s="3" t="s">
        <v>314</v>
      </c>
      <c r="G18873" s="25" t="n">
        <f aca="false">MIN(G18867,Assumptions!$L$58*Assumptions!$C$58)</f>
        <v>0</v>
      </c>
      <c r="H18873" s="25" t="n">
        <f aca="false">MIN(H18867,Assumptions!$L$58*Assumptions!$C$58)</f>
        <v>0</v>
      </c>
      <c r="I18873" s="25" t="n">
        <f aca="false">MIN(I18867,Assumptions!$L$58*Assumptions!$C$58)</f>
        <v>0</v>
      </c>
      <c r="J18873" s="25" t="n">
        <f aca="false">MIN(J18867,Assumptions!$L$58*Assumptions!$C$58)</f>
        <v>0</v>
      </c>
      <c r="K18873" s="25" t="n">
        <f aca="false">MIN(K18867,Assumptions!$L$58*Assumptions!$C$58)</f>
        <v>0</v>
      </c>
    </row>
    <row r="18874" customFormat="false" ht="15" hidden="false" customHeight="false" outlineLevel="0" collapsed="false">
      <c r="A18874" s="3" t="s">
        <v>315</v>
      </c>
      <c r="G18874" s="25" t="n">
        <f aca="false">IF(AND(Assumptions!$P$58=1,G18805&lt;Assumptions!$K$58),MIN(MAX(0,-G18902),MAX(0,Assumptions!$D$58-G18867)),0)</f>
        <v>0</v>
      </c>
      <c r="H18874" s="25" t="n">
        <f aca="false">IF(AND(Assumptions!$P$58=1,OR(H18805&lt;Assumptions!$K$58,G18990=1)),MIN(MAX(0,-H18902),MAX(0,Assumptions!$D$58-H18867)),0)</f>
        <v>0</v>
      </c>
      <c r="I18874" s="25" t="n">
        <f aca="false">IF(AND(Assumptions!$P$58=1,OR(I18805&lt;Assumptions!$K$58,H18990=1)),MIN(MAX(0,-I18902),MAX(0,Assumptions!$D$58-I18867)),0)</f>
        <v>0</v>
      </c>
      <c r="J18874" s="25" t="n">
        <f aca="false">IF(AND(Assumptions!$P$58=1,OR(J18805&lt;Assumptions!$K$58,I18990=1)),MIN(MAX(0,-J18902),MAX(0,Assumptions!$D$58-J18867)),0)</f>
        <v>0</v>
      </c>
      <c r="K18874" s="25" t="n">
        <f aca="false">IF(AND(Assumptions!$P$58=1,OR(K18805&lt;Assumptions!$K$58,J18990=1)),MIN(MAX(0,-K18902),MAX(0,Assumptions!$D$58-K18867)),0)</f>
        <v>0</v>
      </c>
    </row>
    <row r="18875" customFormat="false" ht="15" hidden="false" customHeight="false" outlineLevel="0" collapsed="false">
      <c r="A18875" s="3" t="s">
        <v>316</v>
      </c>
      <c r="G18875" s="25" t="n">
        <f aca="false">G18868*MIN(G18867-G18873+G18872,MAX(0,G18904-Assumptions!$C$12*G18839-G18849-G18862))</f>
        <v>0</v>
      </c>
      <c r="H18875" s="25" t="n">
        <f aca="false">H18868*MIN(H18867-H18873+H18872,MAX(0,H18904-Assumptions!$C$12*H18839-H18849-H18862))</f>
        <v>0</v>
      </c>
      <c r="I18875" s="25" t="n">
        <f aca="false">I18868*MIN(I18867-I18873+I18872,MAX(0,I18904-Assumptions!$C$12*I18839-I18849-I18862))</f>
        <v>0</v>
      </c>
      <c r="J18875" s="25" t="n">
        <f aca="false">J18868*MIN(J18867-J18873+J18872,MAX(0,J18904-Assumptions!$C$12*J18839-J18849-J18862))</f>
        <v>0</v>
      </c>
      <c r="K18875" s="25" t="n">
        <f aca="false">K18868*MIN(K18867-K18873+K18872,MAX(0,K18904-Assumptions!$C$12*K18839-K18849-K18862))</f>
        <v>0</v>
      </c>
    </row>
    <row r="18876" customFormat="false" ht="15" hidden="false" customHeight="false" outlineLevel="0" collapsed="false">
      <c r="A18876" s="3" t="s">
        <v>317</v>
      </c>
      <c r="G18876" s="25" t="n">
        <f aca="false">Assumptions!$N$58*MIN(G18867+G18874+G18872-G18873-G18875,MAX(0,G18908-G18850-G18863))</f>
        <v>0</v>
      </c>
      <c r="H18876" s="25" t="n">
        <f aca="false">Assumptions!$N$58*MIN(H18867+H18874+H18872-H18873-H18875,MAX(0,H18908-H18850-H18863))</f>
        <v>0</v>
      </c>
      <c r="I18876" s="25" t="n">
        <f aca="false">Assumptions!$N$58*MIN(I18867+I18874+I18872-I18873-I18875,MAX(0,I18908-I18850-I18863))</f>
        <v>0</v>
      </c>
      <c r="J18876" s="25" t="n">
        <f aca="false">Assumptions!$N$58*MIN(J18867+J18874+J18872-J18873-J18875,MAX(0,J18908-J18850-J18863))</f>
        <v>0</v>
      </c>
      <c r="K18876" s="25" t="n">
        <f aca="false">Assumptions!$N$58*MIN(K18867+K18874+K18872-K18873-K18875,MAX(0,K18908-K18850-K18863))</f>
        <v>0</v>
      </c>
    </row>
    <row r="18877" customFormat="false" ht="15" hidden="false" customHeight="false" outlineLevel="0" collapsed="false">
      <c r="A18877" s="3" t="s">
        <v>318</v>
      </c>
      <c r="G18877" s="25" t="n">
        <f aca="false">G18868*(1-G18839)*(G18867-G18873+G18872-G18875)</f>
        <v>0</v>
      </c>
      <c r="H18877" s="25" t="n">
        <f aca="false">H18868*(1-H18839)*(H18867-H18873+H18872-H18875)</f>
        <v>0</v>
      </c>
      <c r="I18877" s="25" t="n">
        <f aca="false">I18868*(1-I18839)*(I18867-I18873+I18872-I18875)</f>
        <v>143.75</v>
      </c>
      <c r="J18877" s="25" t="n">
        <f aca="false">J18868*(1-J18839)*(J18867-J18873+J18872-J18875)</f>
        <v>0</v>
      </c>
      <c r="K18877" s="25" t="n">
        <f aca="false">K18868*(1-K18839)*(K18867-K18873+K18872-K18875)</f>
        <v>0</v>
      </c>
    </row>
    <row r="18878" customFormat="false" ht="15" hidden="false" customHeight="false" outlineLevel="0" collapsed="false">
      <c r="A18878" s="2" t="s">
        <v>319</v>
      </c>
      <c r="F18878" s="28" t="n">
        <f aca="false">Assumptions!$C$58</f>
        <v>143.75</v>
      </c>
      <c r="G18878" s="16" t="n">
        <f aca="false">G18867+G18874+G18872-G18873-G18875-G18876</f>
        <v>143.75</v>
      </c>
      <c r="H18878" s="16" t="n">
        <f aca="false">H18867+H18874+H18872-H18873-H18875-H18876</f>
        <v>143.75</v>
      </c>
      <c r="I18878" s="16" t="n">
        <f aca="false">I18867+I18874+I18872-I18873-I18875-I18876</f>
        <v>143.75</v>
      </c>
      <c r="J18878" s="16" t="n">
        <f aca="false">J18867+J18874+J18872-J18873-J18875-J18876</f>
        <v>143.75</v>
      </c>
      <c r="K18878" s="16" t="n">
        <f aca="false">K18867+K18874+K18872-K18873-K18875-K18876</f>
        <v>143.75</v>
      </c>
    </row>
    <row r="18879" customFormat="false" ht="15" hidden="false" customHeight="false" outlineLevel="0" collapsed="false">
      <c r="A18879" s="23" t="s">
        <v>322</v>
      </c>
      <c r="B18879" s="24"/>
      <c r="C18879" s="24"/>
      <c r="D18879" s="24"/>
      <c r="E18879" s="24"/>
      <c r="F18879" s="24"/>
      <c r="G18879" s="24"/>
      <c r="H18879" s="24"/>
      <c r="I18879" s="24"/>
      <c r="J18879" s="24"/>
      <c r="K18879" s="24"/>
    </row>
    <row r="18880" customFormat="false" ht="15" hidden="false" customHeight="false" outlineLevel="0" collapsed="false">
      <c r="A18880" s="2" t="s">
        <v>323</v>
      </c>
      <c r="F18880" s="16" t="n">
        <f aca="false">F18852+F18865+F18878</f>
        <v>1735.554</v>
      </c>
      <c r="G18880" s="16" t="n">
        <f aca="false">G18852+G18865+G18878</f>
        <v>1735.554</v>
      </c>
      <c r="H18880" s="16" t="n">
        <f aca="false">H18852+H18865+H18878</f>
        <v>1735.554</v>
      </c>
      <c r="I18880" s="16" t="n">
        <f aca="false">I18852+I18865+I18878</f>
        <v>1465.18203256832</v>
      </c>
      <c r="J18880" s="16" t="n">
        <f aca="false">J18852+J18865+J18878</f>
        <v>1465.18203256832</v>
      </c>
      <c r="K18880" s="16" t="n">
        <f aca="false">K18852+K18865+K18878</f>
        <v>1465.18203256832</v>
      </c>
    </row>
    <row r="18881" customFormat="false" ht="15" hidden="false" customHeight="false" outlineLevel="0" collapsed="false">
      <c r="A18881" s="3" t="s">
        <v>324</v>
      </c>
      <c r="G18881" s="25" t="n">
        <f aca="false">G18842*Assumptions!$C$56+G18855*Assumptions!$C$57+G18868*Assumptions!$C$58</f>
        <v>0</v>
      </c>
      <c r="H18881" s="25" t="n">
        <f aca="false">H18842*Assumptions!$C$56+H18855*Assumptions!$C$57+H18868*Assumptions!$C$58</f>
        <v>0</v>
      </c>
      <c r="I18881" s="25" t="n">
        <f aca="false">I18842*Assumptions!$C$56+I18855*Assumptions!$C$57+I18868*Assumptions!$C$58</f>
        <v>420.456</v>
      </c>
      <c r="J18881" s="25" t="n">
        <f aca="false">J18842*Assumptions!$C$56+J18855*Assumptions!$C$57+J18868*Assumptions!$C$58</f>
        <v>0</v>
      </c>
      <c r="K18881" s="25" t="n">
        <f aca="false">K18842*Assumptions!$C$56+K18855*Assumptions!$C$57+K18868*Assumptions!$C$58</f>
        <v>0</v>
      </c>
    </row>
    <row r="18882" customFormat="false" ht="15" hidden="false" customHeight="false" outlineLevel="0" collapsed="false">
      <c r="A18882" s="23" t="s">
        <v>325</v>
      </c>
      <c r="B18882" s="24"/>
      <c r="C18882" s="24"/>
      <c r="D18882" s="24"/>
      <c r="E18882" s="24"/>
      <c r="F18882" s="24"/>
      <c r="G18882" s="24"/>
      <c r="H18882" s="24"/>
      <c r="I18882" s="24"/>
      <c r="J18882" s="24"/>
      <c r="K18882" s="24"/>
    </row>
    <row r="18883" customFormat="false" ht="15" hidden="false" customHeight="false" outlineLevel="0" collapsed="false">
      <c r="A18883" s="3" t="s">
        <v>326</v>
      </c>
      <c r="C18883" s="25" t="n">
        <f aca="false">SUMPRODUCT($G$18842:$K$18842,$G$18841:$K$18841-$G$18847:$K$18847+$G$18846:$K$18846)</f>
        <v>0</v>
      </c>
    </row>
    <row r="18884" customFormat="false" ht="15" hidden="false" customHeight="false" outlineLevel="0" collapsed="false">
      <c r="A18884" s="3" t="s">
        <v>327</v>
      </c>
      <c r="C18884" s="25" t="n">
        <f aca="false">SUMPRODUCT($G$18842:$K$18842,$G$18849:$K$18849)</f>
        <v>0</v>
      </c>
    </row>
    <row r="18885" customFormat="false" ht="15" hidden="false" customHeight="false" outlineLevel="0" collapsed="false">
      <c r="A18885" s="3" t="s">
        <v>328</v>
      </c>
      <c r="C18885" s="3" t="str">
        <f aca="false">IF(SUM($G$18842:$K$18842)=0,"n/a (beyond horizon)",IF(SUMPRODUCT($G$18842:$K$18842,$G$18839:$K$18839)&gt;0,"REFINANCING PASS","REFINANCING FAILURE"))</f>
        <v>n/a (beyond horizon)</v>
      </c>
    </row>
    <row r="18886" customFormat="false" ht="15" hidden="false" customHeight="false" outlineLevel="0" collapsed="false">
      <c r="A18886" s="3" t="s">
        <v>329</v>
      </c>
      <c r="C18886" s="3" t="str">
        <f aca="false">IF(SUM($G$18842:$K$18842)=0,"n/a",IF(C18884&gt;=C18883-0.001,"Repaid from cash",IF(SUMPRODUCT($G$18842:$K$18842,$G$18839:$K$18839)&gt;0,IF(C18884&gt;0,"Partly repaid; remainder refinanced","Refinanced"),IF(SUM($G$18851:$K$18851)&gt;0.001,IF(C18884&gt;0,"Partial repayment; PAYMENT DEFAULT","PAYMENT DEFAULT"),"Repaid from cash"))))</f>
        <v>n/a</v>
      </c>
    </row>
    <row r="18887" customFormat="false" ht="15" hidden="false" customHeight="false" outlineLevel="0" collapsed="false">
      <c r="A18887" s="3" t="s">
        <v>330</v>
      </c>
      <c r="C18887" s="25" t="n">
        <f aca="false">SUMPRODUCT($G$18855:$K$18855,$G$18854:$K$18854-$G$18860:$K$18860+$G$18859:$K$18859)</f>
        <v>276.706</v>
      </c>
    </row>
    <row r="18888" customFormat="false" ht="15" hidden="false" customHeight="false" outlineLevel="0" collapsed="false">
      <c r="A18888" s="3" t="s">
        <v>331</v>
      </c>
      <c r="C18888" s="25" t="n">
        <f aca="false">SUMPRODUCT($G$18855:$K$18855,$G$18862:$K$18862)</f>
        <v>270.37196743168</v>
      </c>
    </row>
    <row r="18889" customFormat="false" ht="15" hidden="false" customHeight="false" outlineLevel="0" collapsed="false">
      <c r="A18889" s="3" t="s">
        <v>332</v>
      </c>
      <c r="C18889" s="3" t="str">
        <f aca="false">IF(SUM($G$18855:$K$18855)=0,"n/a (beyond horizon)",IF(SUMPRODUCT($G$18855:$K$18855,$G$18839:$K$18839)&gt;0,"REFINANCING PASS","REFINANCING FAILURE"))</f>
        <v>REFINANCING FAILURE</v>
      </c>
    </row>
    <row r="18890" customFormat="false" ht="15" hidden="false" customHeight="false" outlineLevel="0" collapsed="false">
      <c r="A18890" s="3" t="s">
        <v>333</v>
      </c>
      <c r="C18890" s="3" t="str">
        <f aca="false">IF(SUM($G$18855:$K$18855)=0,"n/a",IF(C18888&gt;=C18887-0.001,"Repaid from cash",IF(SUMPRODUCT($G$18855:$K$18855,$G$18839:$K$18839)&gt;0,IF(C18888&gt;0,"Partly repaid; remainder refinanced","Refinanced"),IF(SUM($G$18864:$K$18864)&gt;0.001,IF(C18888&gt;0,"Partial repayment; PAYMENT DEFAULT","PAYMENT DEFAULT"),"Repaid from cash"))))</f>
        <v>Partial repayment; PAYMENT DEFAULT</v>
      </c>
    </row>
    <row r="18891" customFormat="false" ht="15" hidden="false" customHeight="false" outlineLevel="0" collapsed="false">
      <c r="A18891" s="3" t="s">
        <v>334</v>
      </c>
      <c r="C18891" s="25" t="n">
        <f aca="false">SUMPRODUCT($G$18868:$K$18868,$G$18867:$K$18867-$G$18873:$K$18873+$G$18872:$K$18872)</f>
        <v>143.75</v>
      </c>
    </row>
    <row r="18892" customFormat="false" ht="15" hidden="false" customHeight="false" outlineLevel="0" collapsed="false">
      <c r="A18892" s="3" t="s">
        <v>335</v>
      </c>
      <c r="C18892" s="25" t="n">
        <f aca="false">SUMPRODUCT($G$18868:$K$18868,$G$18875:$K$18875)</f>
        <v>0</v>
      </c>
    </row>
    <row r="18893" customFormat="false" ht="15" hidden="false" customHeight="false" outlineLevel="0" collapsed="false">
      <c r="A18893" s="3" t="s">
        <v>336</v>
      </c>
      <c r="C18893" s="3" t="str">
        <f aca="false">IF(SUM($G$18868:$K$18868)=0,"n/a (beyond horizon)",IF(SUMPRODUCT($G$18868:$K$18868,$G$18839:$K$18839)&gt;0,"REFINANCING PASS","REFINANCING FAILURE"))</f>
        <v>REFINANCING FAILURE</v>
      </c>
    </row>
    <row r="18894" customFormat="false" ht="15" hidden="false" customHeight="false" outlineLevel="0" collapsed="false">
      <c r="A18894" s="3" t="s">
        <v>337</v>
      </c>
      <c r="C18894" s="3" t="str">
        <f aca="false">IF(SUM($G$18868:$K$18868)=0,"n/a",IF(C18892&gt;=C18891-0.001,"Repaid from cash",IF(SUMPRODUCT($G$18868:$K$18868,$G$18839:$K$18839)&gt;0,IF(C18892&gt;0,"Partly repaid; remainder refinanced","Refinanced"),IF(SUM($G$18877:$K$18877)&gt;0.001,IF(C18892&gt;0,"Partial repayment; PAYMENT DEFAULT","PAYMENT DEFAULT"),"Repaid from cash"))))</f>
        <v>PAYMENT DEFAULT</v>
      </c>
    </row>
    <row r="18895" customFormat="false" ht="15" hidden="false" customHeight="false" outlineLevel="0" collapsed="false">
      <c r="A18895" s="3" t="s">
        <v>338</v>
      </c>
      <c r="C18895" s="20" t="n">
        <f aca="false">IF(C18885="REFINANCING FAILURE",1,0)+IF(C18889="REFINANCING FAILURE",1,0)+IF(C18893="REFINANCING FAILURE",1,0)</f>
        <v>2</v>
      </c>
    </row>
    <row r="18897" customFormat="false" ht="15" hidden="false" customHeight="false" outlineLevel="0" collapsed="false">
      <c r="A18897" s="23" t="s">
        <v>340</v>
      </c>
      <c r="B18897" s="24"/>
      <c r="C18897" s="24"/>
      <c r="D18897" s="24"/>
      <c r="E18897" s="24"/>
      <c r="F18897" s="24"/>
      <c r="G18897" s="24"/>
      <c r="H18897" s="24"/>
      <c r="I18897" s="24"/>
      <c r="J18897" s="24"/>
      <c r="K18897" s="24"/>
    </row>
    <row r="18898" customFormat="false" ht="15" hidden="false" customHeight="false" outlineLevel="0" collapsed="false">
      <c r="A18898" s="3" t="s">
        <v>305</v>
      </c>
      <c r="G18898" s="25" t="n">
        <f aca="false">F18910</f>
        <v>463.996</v>
      </c>
      <c r="H18898" s="25" t="n">
        <f aca="false">G18910</f>
        <v>431.67030664</v>
      </c>
      <c r="I18898" s="25" t="n">
        <f aca="false">H18910</f>
        <v>359.0106596512</v>
      </c>
      <c r="J18898" s="25" t="n">
        <f aca="false">I18910</f>
        <v>0</v>
      </c>
      <c r="K18898" s="25" t="n">
        <f aca="false">J18910</f>
        <v>-82.533161826112</v>
      </c>
    </row>
    <row r="18899" customFormat="false" ht="15" hidden="false" customHeight="false" outlineLevel="0" collapsed="false">
      <c r="A18899" s="3" t="s">
        <v>341</v>
      </c>
      <c r="G18899" s="25" t="n">
        <f aca="false">G18828</f>
        <v>-32.32569336</v>
      </c>
      <c r="H18899" s="25" t="n">
        <f aca="false">H18828</f>
        <v>-72.6596469888</v>
      </c>
      <c r="I18899" s="25" t="n">
        <f aca="false">I18828</f>
        <v>-88.63869221952</v>
      </c>
      <c r="J18899" s="25" t="n">
        <f aca="false">J18828</f>
        <v>-82.533161826112</v>
      </c>
      <c r="K18899" s="25" t="n">
        <f aca="false">K18828</f>
        <v>-86.2490037995945</v>
      </c>
    </row>
    <row r="18900" customFormat="false" ht="15" hidden="false" customHeight="false" outlineLevel="0" collapsed="false">
      <c r="A18900" s="3" t="s">
        <v>342</v>
      </c>
      <c r="G18900" s="25" t="n">
        <f aca="false">CHOOSE($C$18798,Assumptions!$G$74,Assumptions!$G$93,Assumptions!$G$112)</f>
        <v>0</v>
      </c>
      <c r="H18900" s="25" t="n">
        <f aca="false">CHOOSE($C$18798,Assumptions!$H$74,Assumptions!$H$93,Assumptions!$H$112)</f>
        <v>0</v>
      </c>
      <c r="I18900" s="25" t="n">
        <f aca="false">CHOOSE($C$18798,Assumptions!$I$74,Assumptions!$I$93,Assumptions!$I$112)</f>
        <v>0</v>
      </c>
      <c r="J18900" s="25" t="n">
        <f aca="false">CHOOSE($C$18798,Assumptions!$J$74,Assumptions!$J$93,Assumptions!$J$112)</f>
        <v>0</v>
      </c>
      <c r="K18900" s="25" t="n">
        <f aca="false">CHOOSE($C$18798,Assumptions!$K$74,Assumptions!$K$93,Assumptions!$K$112)</f>
        <v>0</v>
      </c>
    </row>
    <row r="18901" customFormat="false" ht="15" hidden="false" customHeight="false" outlineLevel="0" collapsed="false">
      <c r="A18901" s="3" t="s">
        <v>343</v>
      </c>
      <c r="G18901" s="25" t="n">
        <f aca="false">G18847+G18860+G18873</f>
        <v>0</v>
      </c>
      <c r="H18901" s="25" t="n">
        <f aca="false">H18847+H18860+H18873</f>
        <v>0</v>
      </c>
      <c r="I18901" s="25" t="n">
        <f aca="false">I18847+I18860+I18873</f>
        <v>0</v>
      </c>
      <c r="J18901" s="25" t="n">
        <f aca="false">J18847+J18860+J18873</f>
        <v>0</v>
      </c>
      <c r="K18901" s="25" t="n">
        <f aca="false">K18847+K18860+K18873</f>
        <v>0</v>
      </c>
    </row>
    <row r="18902" customFormat="false" ht="15" hidden="false" customHeight="false" outlineLevel="0" collapsed="false">
      <c r="A18902" s="2" t="s">
        <v>344</v>
      </c>
      <c r="G18902" s="16" t="n">
        <f aca="false">G18898+G18899+G18900-G18901</f>
        <v>431.67030664</v>
      </c>
      <c r="H18902" s="16" t="n">
        <f aca="false">H18898+H18899+H18900-H18901</f>
        <v>359.0106596512</v>
      </c>
      <c r="I18902" s="16" t="n">
        <f aca="false">I18898+I18899+I18900-I18901</f>
        <v>270.37196743168</v>
      </c>
      <c r="J18902" s="16" t="n">
        <f aca="false">J18898+J18899+J18900-J18901</f>
        <v>-82.533161826112</v>
      </c>
      <c r="K18902" s="16" t="n">
        <f aca="false">K18898+K18899+K18900-K18901</f>
        <v>-168.782165625707</v>
      </c>
    </row>
    <row r="18903" customFormat="false" ht="15" hidden="false" customHeight="false" outlineLevel="0" collapsed="false">
      <c r="A18903" s="3" t="s">
        <v>345</v>
      </c>
      <c r="G18903" s="25" t="n">
        <f aca="false">G18848+G18861+G18874</f>
        <v>0</v>
      </c>
      <c r="H18903" s="25" t="n">
        <f aca="false">H18848+H18861+H18874</f>
        <v>0</v>
      </c>
      <c r="I18903" s="25" t="n">
        <f aca="false">I18848+I18861+I18874</f>
        <v>0</v>
      </c>
      <c r="J18903" s="25" t="n">
        <f aca="false">J18848+J18861+J18874</f>
        <v>0</v>
      </c>
      <c r="K18903" s="25" t="n">
        <f aca="false">K18848+K18861+K18874</f>
        <v>0</v>
      </c>
    </row>
    <row r="18904" customFormat="false" ht="15" hidden="false" customHeight="false" outlineLevel="0" collapsed="false">
      <c r="A18904" s="2" t="s">
        <v>346</v>
      </c>
      <c r="G18904" s="16" t="n">
        <f aca="false">G18902+G18903</f>
        <v>431.67030664</v>
      </c>
      <c r="H18904" s="16" t="n">
        <f aca="false">H18902+H18903</f>
        <v>359.0106596512</v>
      </c>
      <c r="I18904" s="16" t="n">
        <f aca="false">I18902+I18903</f>
        <v>270.37196743168</v>
      </c>
      <c r="J18904" s="16" t="n">
        <f aca="false">J18902+J18903</f>
        <v>-82.533161826112</v>
      </c>
      <c r="K18904" s="16" t="n">
        <f aca="false">K18902+K18903</f>
        <v>-168.782165625707</v>
      </c>
    </row>
    <row r="18905" customFormat="false" ht="15" hidden="false" customHeight="false" outlineLevel="0" collapsed="false">
      <c r="A18905" s="3" t="s">
        <v>347</v>
      </c>
      <c r="G18905" s="25" t="n">
        <f aca="false">G18849+G18862+G18875</f>
        <v>0</v>
      </c>
      <c r="H18905" s="25" t="n">
        <f aca="false">H18849+H18862+H18875</f>
        <v>0</v>
      </c>
      <c r="I18905" s="25" t="n">
        <f aca="false">I18849+I18862+I18875</f>
        <v>270.37196743168</v>
      </c>
      <c r="J18905" s="25" t="n">
        <f aca="false">J18849+J18862+J18875</f>
        <v>0</v>
      </c>
      <c r="K18905" s="25" t="n">
        <f aca="false">K18849+K18862+K18875</f>
        <v>0</v>
      </c>
    </row>
    <row r="18906" customFormat="false" ht="15" hidden="false" customHeight="false" outlineLevel="0" collapsed="false">
      <c r="A18906" s="2" t="s">
        <v>348</v>
      </c>
      <c r="G18906" s="16" t="n">
        <f aca="false">G18904-G18905</f>
        <v>431.67030664</v>
      </c>
      <c r="H18906" s="16" t="n">
        <f aca="false">H18904-H18905</f>
        <v>359.0106596512</v>
      </c>
      <c r="I18906" s="16" t="n">
        <f aca="false">I18904-I18905</f>
        <v>0</v>
      </c>
      <c r="J18906" s="16" t="n">
        <f aca="false">J18904-J18905</f>
        <v>-82.533161826112</v>
      </c>
      <c r="K18906" s="16" t="n">
        <f aca="false">K18904-K18905</f>
        <v>-168.782165625707</v>
      </c>
    </row>
    <row r="18907" customFormat="false" ht="15" hidden="false" customHeight="false" outlineLevel="0" collapsed="false">
      <c r="A18907" s="3" t="s">
        <v>349</v>
      </c>
      <c r="G18907" s="25" t="n">
        <f aca="false">MAX(0,-G18906)</f>
        <v>0</v>
      </c>
      <c r="H18907" s="25" t="n">
        <f aca="false">MAX(0,-H18906)</f>
        <v>0</v>
      </c>
      <c r="I18907" s="25" t="n">
        <f aca="false">MAX(0,-I18906)</f>
        <v>-0</v>
      </c>
      <c r="J18907" s="25" t="n">
        <f aca="false">MAX(0,-J18906)</f>
        <v>82.533161826112</v>
      </c>
      <c r="K18907" s="25" t="n">
        <f aca="false">MAX(0,-K18906)</f>
        <v>168.782165625707</v>
      </c>
    </row>
    <row r="18908" customFormat="false" ht="15" hidden="false" customHeight="false" outlineLevel="0" collapsed="false">
      <c r="A18908" s="3" t="s">
        <v>350</v>
      </c>
      <c r="G18908" s="25" t="n">
        <f aca="false">MAX(0,G18906-Assumptions!$C$12)*Assumptions!$C$13</f>
        <v>0</v>
      </c>
      <c r="H18908" s="25" t="n">
        <f aca="false">MAX(0,H18906-Assumptions!$C$12)*Assumptions!$C$13</f>
        <v>0</v>
      </c>
      <c r="I18908" s="25" t="n">
        <f aca="false">MAX(0,I18906-Assumptions!$C$12)*Assumptions!$C$13</f>
        <v>0</v>
      </c>
      <c r="J18908" s="25" t="n">
        <f aca="false">MAX(0,J18906-Assumptions!$C$12)*Assumptions!$C$13</f>
        <v>0</v>
      </c>
      <c r="K18908" s="25" t="n">
        <f aca="false">MAX(0,K18906-Assumptions!$C$12)*Assumptions!$C$13</f>
        <v>0</v>
      </c>
    </row>
    <row r="18909" customFormat="false" ht="15" hidden="false" customHeight="false" outlineLevel="0" collapsed="false">
      <c r="A18909" s="3" t="s">
        <v>351</v>
      </c>
      <c r="G18909" s="25" t="n">
        <f aca="false">G18850+G18863+G18876</f>
        <v>0</v>
      </c>
      <c r="H18909" s="25" t="n">
        <f aca="false">H18850+H18863+H18876</f>
        <v>0</v>
      </c>
      <c r="I18909" s="25" t="n">
        <f aca="false">I18850+I18863+I18876</f>
        <v>0</v>
      </c>
      <c r="J18909" s="25" t="n">
        <f aca="false">J18850+J18863+J18876</f>
        <v>0</v>
      </c>
      <c r="K18909" s="25" t="n">
        <f aca="false">K18850+K18863+K18876</f>
        <v>0</v>
      </c>
    </row>
    <row r="18910" customFormat="false" ht="15" hidden="false" customHeight="false" outlineLevel="0" collapsed="false">
      <c r="A18910" s="2" t="s">
        <v>352</v>
      </c>
      <c r="F18910" s="28" t="n">
        <f aca="false">Assumptions!$C$11</f>
        <v>463.996</v>
      </c>
      <c r="G18910" s="16" t="n">
        <f aca="false">G18906-G18909</f>
        <v>431.67030664</v>
      </c>
      <c r="H18910" s="16" t="n">
        <f aca="false">H18906-H18909</f>
        <v>359.0106596512</v>
      </c>
      <c r="I18910" s="16" t="n">
        <f aca="false">I18906-I18909</f>
        <v>0</v>
      </c>
      <c r="J18910" s="16" t="n">
        <f aca="false">J18906-J18909</f>
        <v>-82.533161826112</v>
      </c>
      <c r="K18910" s="16" t="n">
        <f aca="false">K18906-K18909</f>
        <v>-168.782165625707</v>
      </c>
    </row>
    <row r="18911" customFormat="false" ht="15" hidden="false" customHeight="false" outlineLevel="0" collapsed="false">
      <c r="A18911" s="3" t="s">
        <v>353</v>
      </c>
      <c r="G18911" s="25" t="n">
        <f aca="false">G18851+G18864+G18877</f>
        <v>0</v>
      </c>
      <c r="H18911" s="25" t="n">
        <f aca="false">H18851+H18864+H18877</f>
        <v>0</v>
      </c>
      <c r="I18911" s="25" t="n">
        <f aca="false">I18851+I18864+I18877</f>
        <v>150.08403256832</v>
      </c>
      <c r="J18911" s="25" t="n">
        <f aca="false">J18851+J18864+J18877</f>
        <v>0</v>
      </c>
      <c r="K18911" s="25" t="n">
        <f aca="false">K18851+K18864+K18877</f>
        <v>0</v>
      </c>
    </row>
    <row r="18912" customFormat="false" ht="15" hidden="false" customHeight="false" outlineLevel="0" collapsed="false">
      <c r="A18912" s="3" t="s">
        <v>354</v>
      </c>
      <c r="G18912" s="20" t="n">
        <f aca="false">IF(OR(G18907&gt;0.001,G18911&gt;0.001),1,0)</f>
        <v>0</v>
      </c>
      <c r="H18912" s="20" t="n">
        <f aca="false">IF(OR(H18907&gt;0.001,H18911&gt;0.001),1,0)</f>
        <v>0</v>
      </c>
      <c r="I18912" s="20" t="n">
        <f aca="false">IF(OR(I18907&gt;0.001,I18911&gt;0.001),1,0)</f>
        <v>1</v>
      </c>
      <c r="J18912" s="20" t="n">
        <f aca="false">IF(OR(J18907&gt;0.001,J18911&gt;0.001),1,0)</f>
        <v>1</v>
      </c>
      <c r="K18912" s="20" t="n">
        <f aca="false">IF(OR(K18907&gt;0.001,K18911&gt;0.001),1,0)</f>
        <v>1</v>
      </c>
    </row>
    <row r="18913" customFormat="false" ht="15" hidden="false" customHeight="false" outlineLevel="0" collapsed="false">
      <c r="A18913" s="3" t="s">
        <v>355</v>
      </c>
      <c r="G18913" s="20" t="n">
        <f aca="false">IF(G18912=1,1,0)</f>
        <v>0</v>
      </c>
      <c r="H18913" s="20" t="n">
        <f aca="false">IF(AND(H18912=1,SUM($G$18912:G18912)=0),1,0)</f>
        <v>0</v>
      </c>
      <c r="I18913" s="20" t="n">
        <f aca="false">IF(AND(I18912=1,SUM($G$18912:H18912)=0),1,0)</f>
        <v>1</v>
      </c>
      <c r="J18913" s="20" t="n">
        <f aca="false">IF(AND(J18912=1,SUM($G$18912:I18912)=0),1,0)</f>
        <v>0</v>
      </c>
      <c r="K18913" s="20" t="n">
        <f aca="false">IF(AND(K18912=1,SUM($G$18912:J18912)=0),1,0)</f>
        <v>0</v>
      </c>
    </row>
    <row r="18914" customFormat="false" ht="15" hidden="false" customHeight="false" outlineLevel="0" collapsed="false">
      <c r="A18914" s="3" t="s">
        <v>356</v>
      </c>
      <c r="G18914" s="25" t="n">
        <f aca="false">(G18880-F18880)-(G18903+G18820-G18901-G18905-G18909)</f>
        <v>0</v>
      </c>
      <c r="H18914" s="25" t="n">
        <f aca="false">(H18880-G18880)-(H18903+H18820-H18901-H18905-H18909)</f>
        <v>0</v>
      </c>
      <c r="I18914" s="25" t="n">
        <f aca="false">(I18880-H18880)-(I18903+I18820-I18901-I18905-I18909)</f>
        <v>0</v>
      </c>
      <c r="J18914" s="25" t="n">
        <f aca="false">(J18880-I18880)-(J18903+J18820-J18901-J18905-J18909)</f>
        <v>0</v>
      </c>
      <c r="K18914" s="25" t="n">
        <f aca="false">(K18880-J18880)-(K18903+K18820-K18901-K18905-K18909)</f>
        <v>0</v>
      </c>
    </row>
    <row r="18916" customFormat="false" ht="15" hidden="false" customHeight="false" outlineLevel="0" collapsed="false">
      <c r="A18916" s="23" t="s">
        <v>358</v>
      </c>
      <c r="B18916" s="24"/>
      <c r="C18916" s="24"/>
      <c r="D18916" s="24"/>
      <c r="E18916" s="24"/>
      <c r="F18916" s="24"/>
      <c r="G18916" s="24"/>
      <c r="H18916" s="24"/>
      <c r="I18916" s="24"/>
      <c r="J18916" s="24"/>
      <c r="K18916" s="24"/>
    </row>
    <row r="18917" customFormat="false" ht="15" hidden="false" customHeight="false" outlineLevel="0" collapsed="false">
      <c r="A18917" s="3" t="s">
        <v>359</v>
      </c>
      <c r="G18917" s="25" t="n">
        <f aca="false">G18880</f>
        <v>1735.554</v>
      </c>
      <c r="H18917" s="25" t="n">
        <f aca="false">H18880</f>
        <v>1735.554</v>
      </c>
      <c r="I18917" s="25" t="n">
        <f aca="false">I18880</f>
        <v>1465.18203256832</v>
      </c>
      <c r="J18917" s="25" t="n">
        <f aca="false">J18880</f>
        <v>1465.18203256832</v>
      </c>
      <c r="K18917" s="25" t="n">
        <f aca="false">K18880</f>
        <v>1465.18203256832</v>
      </c>
    </row>
    <row r="18918" customFormat="false" ht="15" hidden="false" customHeight="false" outlineLevel="0" collapsed="false">
      <c r="A18918" s="3" t="s">
        <v>360</v>
      </c>
      <c r="G18918" s="25" t="n">
        <f aca="false">Assumptions!$O$56*G18852+Assumptions!$O$57*G18865+Assumptions!$O$58*G18878</f>
        <v>1315.098</v>
      </c>
      <c r="H18918" s="25" t="n">
        <f aca="false">Assumptions!$O$56*H18852+Assumptions!$O$57*H18865+Assumptions!$O$58*H18878</f>
        <v>1315.098</v>
      </c>
      <c r="I18918" s="25" t="n">
        <f aca="false">Assumptions!$O$56*I18852+Assumptions!$O$57*I18865+Assumptions!$O$58*I18878</f>
        <v>1315.098</v>
      </c>
      <c r="J18918" s="25" t="n">
        <f aca="false">Assumptions!$O$56*J18852+Assumptions!$O$57*J18865+Assumptions!$O$58*J18878</f>
        <v>1315.098</v>
      </c>
      <c r="K18918" s="25" t="n">
        <f aca="false">Assumptions!$O$56*K18852+Assumptions!$O$57*K18865+Assumptions!$O$58*K18878</f>
        <v>1315.098</v>
      </c>
    </row>
    <row r="18919" customFormat="false" ht="15" hidden="false" customHeight="false" outlineLevel="0" collapsed="false">
      <c r="A18919" s="3" t="s">
        <v>361</v>
      </c>
      <c r="G18919" s="25" t="n">
        <f aca="false">G18917-G18910</f>
        <v>1303.88369336</v>
      </c>
      <c r="H18919" s="25" t="n">
        <f aca="false">H18917-H18910</f>
        <v>1376.5433403488</v>
      </c>
      <c r="I18919" s="25" t="n">
        <f aca="false">I18917-I18910</f>
        <v>1465.18203256832</v>
      </c>
      <c r="J18919" s="25" t="n">
        <f aca="false">J18917-J18910</f>
        <v>1547.71519439443</v>
      </c>
      <c r="K18919" s="25" t="n">
        <f aca="false">K18917-K18910</f>
        <v>1633.96419819403</v>
      </c>
    </row>
    <row r="18920" customFormat="false" ht="15" hidden="false" customHeight="false" outlineLevel="0" collapsed="false">
      <c r="A18920" s="3" t="s">
        <v>362</v>
      </c>
      <c r="G18920" s="32" t="n">
        <f aca="false">IF(G18815&gt;0,G18917/G18815,0)</f>
        <v>9.98286782658702</v>
      </c>
      <c r="H18920" s="32" t="n">
        <f aca="false">IF(H18815&gt;0,H18917/H18815,0)</f>
        <v>13.6130015817096</v>
      </c>
      <c r="I18920" s="32" t="n">
        <f aca="false">IF(I18815&gt;0,I18917/I18815,0)</f>
        <v>13.6813219341771</v>
      </c>
      <c r="J18920" s="32" t="n">
        <f aca="false">IF(J18815&gt;0,J18917/J18815,0)</f>
        <v>14.8710021023664</v>
      </c>
      <c r="K18920" s="32" t="n">
        <f aca="false">IF(K18815&gt;0,K18917/K18815,0)</f>
        <v>15.8202150025174</v>
      </c>
    </row>
    <row r="18921" customFormat="false" ht="15" hidden="false" customHeight="false" outlineLevel="0" collapsed="false">
      <c r="A18921" s="3" t="s">
        <v>363</v>
      </c>
      <c r="G18921" s="32" t="n">
        <f aca="false">IF(G18815&gt;0,G18919/G18815,0)</f>
        <v>7.49990986858087</v>
      </c>
      <c r="H18921" s="32" t="n">
        <f aca="false">IF(H18815&gt;0,H18919/H18815,0)</f>
        <v>10.7970634560838</v>
      </c>
      <c r="I18921" s="32" t="n">
        <f aca="false">IF(I18815&gt;0,I18919/I18815,0)</f>
        <v>13.6813219341771</v>
      </c>
      <c r="J18921" s="32" t="n">
        <f aca="false">IF(J18815&gt;0,J18919/J18815,0)</f>
        <v>15.7086801490181</v>
      </c>
      <c r="K18921" s="32" t="n">
        <f aca="false">IF(K18815&gt;0,K18919/K18815,0)</f>
        <v>17.6426302993449</v>
      </c>
    </row>
    <row r="18922" customFormat="false" ht="15" hidden="false" customHeight="false" outlineLevel="0" collapsed="false">
      <c r="A18922" s="3" t="s">
        <v>364</v>
      </c>
      <c r="G18922" s="32" t="n">
        <f aca="false">IF(G18819&gt;0,G18815/G18819,0)</f>
        <v>1.11476782580477</v>
      </c>
      <c r="H18922" s="32" t="n">
        <f aca="false">IF(H18819&gt;0,H18815/H18819,0)</f>
        <v>0.817496405590163</v>
      </c>
      <c r="I18922" s="32" t="n">
        <f aca="false">IF(I18819&gt;0,I18815/I18819,0)</f>
        <v>0.686696980695737</v>
      </c>
      <c r="J18922" s="32" t="n">
        <f aca="false">IF(J18819&gt;0,J18815/J18819,0)</f>
        <v>0.682012179303795</v>
      </c>
      <c r="K18922" s="32" t="n">
        <f aca="false">IF(K18819&gt;0,K18815/K18819,0)</f>
        <v>0.641091448545568</v>
      </c>
    </row>
    <row r="18923" customFormat="false" ht="15" hidden="false" customHeight="false" outlineLevel="0" collapsed="false">
      <c r="A18923" s="3" t="s">
        <v>365</v>
      </c>
      <c r="G18923" s="32" t="n">
        <f aca="false">IF(G18819&gt;0,G18818/G18819,0)</f>
        <v>0.510100328512125</v>
      </c>
      <c r="H18923" s="32" t="n">
        <f aca="false">IF(H18819&gt;0,H18818/H18819,0)</f>
        <v>0.285389007972637</v>
      </c>
      <c r="I18923" s="32" t="n">
        <f aca="false">IF(I18819&gt;0,I18818/I18819,0)</f>
        <v>0.207800322839964</v>
      </c>
      <c r="J18923" s="32" t="n">
        <f aca="false">IF(J18819&gt;0,J18818/J18819,0)</f>
        <v>0.206382662257416</v>
      </c>
      <c r="K18923" s="32" t="n">
        <f aca="false">IF(K18819&gt;0,K18818/K18819,0)</f>
        <v>0.193999702521971</v>
      </c>
    </row>
    <row r="18924" customFormat="false" ht="15" hidden="false" customHeight="false" outlineLevel="0" collapsed="false">
      <c r="A18924" s="3" t="s">
        <v>198</v>
      </c>
      <c r="G18924" s="21" t="n">
        <f aca="false">IF(G18917&gt;0,G18828/G18917,0)</f>
        <v>-0.0186255762482758</v>
      </c>
      <c r="H18924" s="21" t="n">
        <f aca="false">IF(H18917&gt;0,H18828/H18917,0)</f>
        <v>-0.0418653911020919</v>
      </c>
      <c r="I18924" s="21" t="n">
        <f aca="false">IF(I18917&gt;0,I18828/I18917,0)</f>
        <v>-0.0604967097938985</v>
      </c>
      <c r="J18924" s="21" t="n">
        <f aca="false">IF(J18917&gt;0,J18828/J18917,0)</f>
        <v>-0.0563296300333683</v>
      </c>
      <c r="K18924" s="21" t="n">
        <f aca="false">IF(K18917&gt;0,K18828/K18917,0)</f>
        <v>-0.0588657258159305</v>
      </c>
    </row>
    <row r="18925" customFormat="false" ht="15" hidden="false" customHeight="false" outlineLevel="0" collapsed="false">
      <c r="A18925" s="3" t="s">
        <v>366</v>
      </c>
      <c r="G18925" s="32" t="n">
        <f aca="false">IF(G18819+G18901&gt;0,(G18815-G18826-G18823)/(G18819+G18901),0)</f>
        <v>0.978518424873074</v>
      </c>
      <c r="H18925" s="32" t="n">
        <f aca="false">IF(H18819+H18901&gt;0,(H18815-H18826-H18823)/(H18819+H18901),0)</f>
        <v>0.697596932770272</v>
      </c>
      <c r="I18925" s="32" t="n">
        <f aca="false">IF(I18819+I18901&gt;0,(I18815-I18826-I18823)/(I18819+I18901),0)</f>
        <v>0.578787455157835</v>
      </c>
      <c r="J18925" s="32" t="n">
        <f aca="false">IF(J18819+J18901&gt;0,(J18815-J18826-J18823)/(J18819+J18901),0)</f>
        <v>0.57483883684177</v>
      </c>
      <c r="K18925" s="32" t="n">
        <f aca="false">IF(K18819+K18901&gt;0,(K18815-K18826-K18823)/(K18819+K18901),0)</f>
        <v>0.540348506631264</v>
      </c>
    </row>
    <row r="18926" customFormat="false" ht="15" hidden="false" customHeight="false" outlineLevel="0" collapsed="false">
      <c r="A18926" s="3" t="s">
        <v>367</v>
      </c>
      <c r="G18926" s="25" t="n">
        <f aca="false">MAX(0,G18910)+Assumptions!$P$56*MAX(0,Assumptions!$D$56-G18852)+Assumptions!$P$57*MAX(0,Assumptions!$D$57-G18865)+Assumptions!$P$58*MAX(0,Assumptions!$D$58-G18878)</f>
        <v>431.67030664</v>
      </c>
      <c r="H18926" s="25" t="n">
        <f aca="false">MAX(0,H18910)+Assumptions!$P$56*MAX(0,Assumptions!$D$56-H18852)+Assumptions!$P$57*MAX(0,Assumptions!$D$57-H18865)+Assumptions!$P$58*MAX(0,Assumptions!$D$58-H18878)</f>
        <v>359.0106596512</v>
      </c>
      <c r="I18926" s="25" t="n">
        <f aca="false">MAX(0,I18910)+Assumptions!$P$56*MAX(0,Assumptions!$D$56-I18852)+Assumptions!$P$57*MAX(0,Assumptions!$D$57-I18865)+Assumptions!$P$58*MAX(0,Assumptions!$D$58-I18878)</f>
        <v>0</v>
      </c>
      <c r="J18926" s="25" t="n">
        <f aca="false">MAX(0,J18910)+Assumptions!$P$56*MAX(0,Assumptions!$D$56-J18852)+Assumptions!$P$57*MAX(0,Assumptions!$D$57-J18865)+Assumptions!$P$58*MAX(0,Assumptions!$D$58-J18878)</f>
        <v>0</v>
      </c>
      <c r="K18926" s="25" t="n">
        <f aca="false">MAX(0,K18910)+Assumptions!$P$56*MAX(0,Assumptions!$D$56-K18852)+Assumptions!$P$57*MAX(0,Assumptions!$D$57-K18865)+Assumptions!$P$58*MAX(0,Assumptions!$D$58-K18878)</f>
        <v>0</v>
      </c>
    </row>
    <row r="18927" customFormat="false" ht="15" hidden="false" customHeight="false" outlineLevel="0" collapsed="false">
      <c r="A18927" s="3" t="s">
        <v>368</v>
      </c>
      <c r="G18927" s="21" t="n">
        <f aca="false">IF(G18917&gt;0,G18917/(G18917+MAX(0,G18815*CHOOSE($C$18798,Assumptions!$C$82,Assumptions!$C$101,Assumptions!$C$120)-G18919)),0)</f>
        <v>1</v>
      </c>
      <c r="H18927" s="21" t="n">
        <f aca="false">IF(H18917&gt;0,H18917/(H18917+MAX(0,H18815*CHOOSE($C$18798,Assumptions!$C$82,Assumptions!$C$101,Assumptions!$C$120)-H18919)),0)</f>
        <v>1</v>
      </c>
      <c r="I18927" s="21" t="n">
        <f aca="false">IF(I18917&gt;0,I18917/(I18917+MAX(0,I18815*CHOOSE($C$18798,Assumptions!$C$82,Assumptions!$C$101,Assumptions!$C$120)-I18919)),0)</f>
        <v>1</v>
      </c>
      <c r="J18927" s="21" t="n">
        <f aca="false">IF(J18917&gt;0,J18917/(J18917+MAX(0,J18815*CHOOSE($C$18798,Assumptions!$C$82,Assumptions!$C$101,Assumptions!$C$120)-J18919)),0)</f>
        <v>1</v>
      </c>
      <c r="K18927" s="21" t="n">
        <f aca="false">IF(K18917&gt;0,K18917/(K18917+MAX(0,K18815*CHOOSE($C$18798,Assumptions!$C$82,Assumptions!$C$101,Assumptions!$C$120)-K18919)),0)</f>
        <v>1</v>
      </c>
    </row>
    <row r="18928" customFormat="false" ht="15" hidden="false" customHeight="false" outlineLevel="0" collapsed="false">
      <c r="A18928" s="3" t="s">
        <v>369</v>
      </c>
      <c r="G18928" s="21" t="n">
        <f aca="false">IF(G18917&gt;0,MAX(0,G18910)/G18917,0)</f>
        <v>0.248721910490829</v>
      </c>
      <c r="H18928" s="21" t="n">
        <f aca="false">IF(H18917&gt;0,MAX(0,H18910)/H18917,0)</f>
        <v>0.206856519388737</v>
      </c>
      <c r="I18928" s="21" t="n">
        <f aca="false">IF(I18917&gt;0,MAX(0,I18910)/I18917,0)</f>
        <v>0</v>
      </c>
      <c r="J18928" s="21" t="n">
        <f aca="false">IF(J18917&gt;0,MAX(0,J18910)/J18917,0)</f>
        <v>0</v>
      </c>
      <c r="K18928" s="21" t="n">
        <f aca="false">IF(K18917&gt;0,MAX(0,K18910)/K18917,0)</f>
        <v>0</v>
      </c>
    </row>
    <row r="18929" customFormat="false" ht="15" hidden="false" customHeight="false" outlineLevel="0" collapsed="false">
      <c r="A18929" s="3" t="s">
        <v>370</v>
      </c>
      <c r="G18929" s="25" t="n">
        <f aca="false">Assumptions!$C$30*(1-CHOOSE($C$18798,Assumptions!$C$85,Assumptions!$C$104,Assumptions!$C$123))</f>
        <v>1595.73115</v>
      </c>
      <c r="H18929" s="25" t="n">
        <f aca="false">Assumptions!$C$30*(1-CHOOSE($C$18798,Assumptions!$C$85,Assumptions!$C$104,Assumptions!$C$123))</f>
        <v>1595.73115</v>
      </c>
      <c r="I18929" s="25" t="n">
        <f aca="false">Assumptions!$C$30*(1-CHOOSE($C$18798,Assumptions!$C$85,Assumptions!$C$104,Assumptions!$C$123))</f>
        <v>1595.73115</v>
      </c>
      <c r="J18929" s="25" t="n">
        <f aca="false">Assumptions!$C$30*(1-CHOOSE($C$18798,Assumptions!$C$85,Assumptions!$C$104,Assumptions!$C$123))</f>
        <v>1595.73115</v>
      </c>
      <c r="K18929" s="25" t="n">
        <f aca="false">Assumptions!$C$30*(1-CHOOSE($C$18798,Assumptions!$C$85,Assumptions!$C$104,Assumptions!$C$123))</f>
        <v>1595.73115</v>
      </c>
    </row>
    <row r="18930" customFormat="false" ht="15" hidden="false" customHeight="false" outlineLevel="0" collapsed="false">
      <c r="A18930" s="23" t="s">
        <v>371</v>
      </c>
      <c r="B18930" s="24"/>
      <c r="C18930" s="24"/>
      <c r="D18930" s="24"/>
      <c r="E18930" s="24"/>
      <c r="F18930" s="24"/>
      <c r="G18930" s="24"/>
      <c r="H18930" s="24"/>
      <c r="I18930" s="24"/>
      <c r="J18930" s="24"/>
      <c r="K18930" s="24"/>
    </row>
    <row r="18931" customFormat="false" ht="15" hidden="false" customHeight="false" outlineLevel="0" collapsed="false">
      <c r="A18931" s="23" t="s">
        <v>372</v>
      </c>
      <c r="B18931" s="24"/>
      <c r="C18931" s="24"/>
      <c r="D18931" s="24"/>
      <c r="E18931" s="24"/>
      <c r="F18931" s="24"/>
      <c r="G18931" s="24"/>
      <c r="H18931" s="24"/>
      <c r="I18931" s="24"/>
      <c r="J18931" s="24"/>
      <c r="K18931" s="24"/>
    </row>
    <row r="18932" customFormat="false" ht="15" hidden="false" customHeight="false" outlineLevel="0" collapsed="false">
      <c r="A18932" s="3" t="s">
        <v>373</v>
      </c>
      <c r="G18932" s="32" t="n">
        <f aca="false">IF(G18815&gt;0,G18919/G18815,99)</f>
        <v>7.49990986858087</v>
      </c>
      <c r="H18932" s="32" t="n">
        <f aca="false">IF(H18815&gt;0,H18919/H18815,99)</f>
        <v>10.7970634560838</v>
      </c>
      <c r="I18932" s="32" t="n">
        <f aca="false">IF(I18815&gt;0,I18919/I18815,99)</f>
        <v>13.6813219341771</v>
      </c>
      <c r="J18932" s="32" t="n">
        <f aca="false">IF(J18815&gt;0,J18919/J18815,99)</f>
        <v>15.7086801490181</v>
      </c>
      <c r="K18932" s="32" t="n">
        <f aca="false">IF(K18815&gt;0,K18919/K18815,99)</f>
        <v>17.6426302993449</v>
      </c>
    </row>
    <row r="18933" customFormat="false" ht="15" hidden="false" customHeight="false" outlineLevel="0" collapsed="false">
      <c r="A18933" s="3" t="s">
        <v>374</v>
      </c>
      <c r="G18933" s="33" t="n">
        <f aca="false">Assumptions!$G$65</f>
        <v>5.25</v>
      </c>
      <c r="H18933" s="33" t="n">
        <f aca="false">Assumptions!$H$65</f>
        <v>5.25</v>
      </c>
      <c r="I18933" s="33" t="n">
        <f aca="false">Assumptions!$I$65</f>
        <v>5</v>
      </c>
      <c r="J18933" s="33" t="n">
        <f aca="false">Assumptions!$J$65</f>
        <v>5</v>
      </c>
      <c r="K18933" s="33" t="n">
        <f aca="false">Assumptions!$K$65</f>
        <v>5</v>
      </c>
    </row>
    <row r="18934" customFormat="false" ht="15" hidden="false" customHeight="false" outlineLevel="0" collapsed="false">
      <c r="A18934" s="3" t="s">
        <v>375</v>
      </c>
      <c r="G18934" s="32" t="n">
        <f aca="false">G18933-G18932</f>
        <v>-2.24990986858086</v>
      </c>
      <c r="H18934" s="32" t="n">
        <f aca="false">H18933-H18932</f>
        <v>-5.54706345608375</v>
      </c>
      <c r="I18934" s="32" t="n">
        <f aca="false">I18933-I18932</f>
        <v>-8.68132193417709</v>
      </c>
      <c r="J18934" s="32" t="n">
        <f aca="false">J18933-J18932</f>
        <v>-10.7086801490181</v>
      </c>
      <c r="K18934" s="32" t="n">
        <f aca="false">K18933-K18932</f>
        <v>-12.6426302993449</v>
      </c>
    </row>
    <row r="18935" customFormat="false" ht="15" hidden="false" customHeight="false" outlineLevel="0" collapsed="false">
      <c r="A18935" s="3" t="s">
        <v>376</v>
      </c>
      <c r="G18935" s="21" t="n">
        <f aca="false">IF(G18933=0,0,G18934/ABS(G18933))</f>
        <v>-0.42855426068207</v>
      </c>
      <c r="H18935" s="21" t="n">
        <f aca="false">IF(H18933=0,0,H18934/ABS(H18933))</f>
        <v>-1.05658351544452</v>
      </c>
      <c r="I18935" s="21" t="n">
        <f aca="false">IF(I18933=0,0,I18934/ABS(I18933))</f>
        <v>-1.73626438683542</v>
      </c>
      <c r="J18935" s="21" t="n">
        <f aca="false">IF(J18933=0,0,J18934/ABS(J18933))</f>
        <v>-2.14173602980363</v>
      </c>
      <c r="K18935" s="21" t="n">
        <f aca="false">IF(K18933=0,0,K18934/ABS(K18933))</f>
        <v>-2.52852605986897</v>
      </c>
    </row>
    <row r="18936" customFormat="false" ht="15" hidden="false" customHeight="false" outlineLevel="0" collapsed="false">
      <c r="A18936" s="3" t="s">
        <v>377</v>
      </c>
      <c r="G18936" s="20" t="n">
        <f aca="false">IF(G18934&lt;0,1,0)</f>
        <v>1</v>
      </c>
      <c r="H18936" s="20" t="n">
        <f aca="false">IF(H18934&lt;0,1,0)</f>
        <v>1</v>
      </c>
      <c r="I18936" s="20" t="n">
        <f aca="false">IF(I18934&lt;0,1,0)</f>
        <v>1</v>
      </c>
      <c r="J18936" s="20" t="n">
        <f aca="false">IF(J18934&lt;0,1,0)</f>
        <v>1</v>
      </c>
      <c r="K18936" s="20" t="n">
        <f aca="false">IF(K18934&lt;0,1,0)</f>
        <v>1</v>
      </c>
    </row>
    <row r="18937" customFormat="false" ht="15" hidden="false" customHeight="false" outlineLevel="0" collapsed="false">
      <c r="A18937" s="3" t="s">
        <v>378</v>
      </c>
      <c r="C18937" s="20" t="n">
        <f aca="false">IFERROR(INDEX($G$18805:$K$18805,MATCH(1,$G$18936:$K$18936,0)),0)</f>
        <v>2027</v>
      </c>
    </row>
    <row r="18938" customFormat="false" ht="15" hidden="false" customHeight="false" outlineLevel="0" collapsed="false">
      <c r="A18938" s="3" t="s">
        <v>379</v>
      </c>
      <c r="C18938" s="21" t="n">
        <f aca="false">MIN($G$18935:$K$18935)</f>
        <v>-2.52852605986897</v>
      </c>
    </row>
    <row r="18939" customFormat="false" ht="15" hidden="false" customHeight="false" outlineLevel="0" collapsed="false">
      <c r="A18939" s="23" t="s">
        <v>380</v>
      </c>
      <c r="B18939" s="24"/>
      <c r="C18939" s="24"/>
      <c r="D18939" s="24"/>
      <c r="E18939" s="24"/>
      <c r="F18939" s="24"/>
      <c r="G18939" s="24"/>
      <c r="H18939" s="24"/>
      <c r="I18939" s="24"/>
      <c r="J18939" s="24"/>
      <c r="K18939" s="24"/>
    </row>
    <row r="18940" customFormat="false" ht="15" hidden="false" customHeight="false" outlineLevel="0" collapsed="false">
      <c r="A18940" s="3" t="s">
        <v>373</v>
      </c>
      <c r="G18940" s="32" t="n">
        <f aca="false">IF(G18819&gt;0,G18815/G18819,99)</f>
        <v>1.11476782580477</v>
      </c>
      <c r="H18940" s="32" t="n">
        <f aca="false">IF(H18819&gt;0,H18815/H18819,99)</f>
        <v>0.817496405590163</v>
      </c>
      <c r="I18940" s="32" t="n">
        <f aca="false">IF(I18819&gt;0,I18815/I18819,99)</f>
        <v>0.686696980695737</v>
      </c>
      <c r="J18940" s="32" t="n">
        <f aca="false">IF(J18819&gt;0,J18815/J18819,99)</f>
        <v>0.682012179303795</v>
      </c>
      <c r="K18940" s="32" t="n">
        <f aca="false">IF(K18819&gt;0,K18815/K18819,99)</f>
        <v>0.641091448545568</v>
      </c>
    </row>
    <row r="18941" customFormat="false" ht="15" hidden="false" customHeight="false" outlineLevel="0" collapsed="false">
      <c r="A18941" s="3" t="s">
        <v>374</v>
      </c>
      <c r="G18941" s="33" t="n">
        <f aca="false">Assumptions!$G$66</f>
        <v>1.4</v>
      </c>
      <c r="H18941" s="33" t="n">
        <f aca="false">Assumptions!$H$66</f>
        <v>1.4</v>
      </c>
      <c r="I18941" s="33" t="n">
        <f aca="false">Assumptions!$I$66</f>
        <v>1.4</v>
      </c>
      <c r="J18941" s="33" t="n">
        <f aca="false">Assumptions!$J$66</f>
        <v>1.5</v>
      </c>
      <c r="K18941" s="33" t="n">
        <f aca="false">Assumptions!$K$66</f>
        <v>1.5</v>
      </c>
    </row>
    <row r="18942" customFormat="false" ht="15" hidden="false" customHeight="false" outlineLevel="0" collapsed="false">
      <c r="A18942" s="3" t="s">
        <v>375</v>
      </c>
      <c r="G18942" s="32" t="n">
        <f aca="false">G18940-G18941</f>
        <v>-0.285232174195233</v>
      </c>
      <c r="H18942" s="32" t="n">
        <f aca="false">H18940-H18941</f>
        <v>-0.582503594409837</v>
      </c>
      <c r="I18942" s="32" t="n">
        <f aca="false">I18940-I18941</f>
        <v>-0.713303019304263</v>
      </c>
      <c r="J18942" s="32" t="n">
        <f aca="false">J18940-J18941</f>
        <v>-0.817987820696205</v>
      </c>
      <c r="K18942" s="32" t="n">
        <f aca="false">K18940-K18941</f>
        <v>-0.858908551454433</v>
      </c>
    </row>
    <row r="18943" customFormat="false" ht="15" hidden="false" customHeight="false" outlineLevel="0" collapsed="false">
      <c r="A18943" s="3" t="s">
        <v>376</v>
      </c>
      <c r="G18943" s="21" t="n">
        <f aca="false">IF(G18941=0,0,G18942/ABS(G18941))</f>
        <v>-0.203737267282309</v>
      </c>
      <c r="H18943" s="21" t="n">
        <f aca="false">IF(H18941=0,0,H18942/ABS(H18941))</f>
        <v>-0.416073996007027</v>
      </c>
      <c r="I18943" s="21" t="n">
        <f aca="false">IF(I18941=0,0,I18942/ABS(I18941))</f>
        <v>-0.509502156645902</v>
      </c>
      <c r="J18943" s="21" t="n">
        <f aca="false">IF(J18941=0,0,J18942/ABS(J18941))</f>
        <v>-0.54532521379747</v>
      </c>
      <c r="K18943" s="21" t="n">
        <f aca="false">IF(K18941=0,0,K18942/ABS(K18941))</f>
        <v>-0.572605700969622</v>
      </c>
    </row>
    <row r="18944" customFormat="false" ht="15" hidden="false" customHeight="false" outlineLevel="0" collapsed="false">
      <c r="A18944" s="3" t="s">
        <v>377</v>
      </c>
      <c r="G18944" s="20" t="n">
        <f aca="false">IF(G18942&lt;0,1,0)</f>
        <v>1</v>
      </c>
      <c r="H18944" s="20" t="n">
        <f aca="false">IF(H18942&lt;0,1,0)</f>
        <v>1</v>
      </c>
      <c r="I18944" s="20" t="n">
        <f aca="false">IF(I18942&lt;0,1,0)</f>
        <v>1</v>
      </c>
      <c r="J18944" s="20" t="n">
        <f aca="false">IF(J18942&lt;0,1,0)</f>
        <v>1</v>
      </c>
      <c r="K18944" s="20" t="n">
        <f aca="false">IF(K18942&lt;0,1,0)</f>
        <v>1</v>
      </c>
    </row>
    <row r="18945" customFormat="false" ht="15" hidden="false" customHeight="false" outlineLevel="0" collapsed="false">
      <c r="A18945" s="3" t="s">
        <v>378</v>
      </c>
      <c r="C18945" s="20" t="n">
        <f aca="false">IFERROR(INDEX($G$18805:$K$18805,MATCH(1,$G$18944:$K$18944,0)),0)</f>
        <v>2027</v>
      </c>
    </row>
    <row r="18946" customFormat="false" ht="15" hidden="false" customHeight="false" outlineLevel="0" collapsed="false">
      <c r="A18946" s="3" t="s">
        <v>379</v>
      </c>
      <c r="C18946" s="21" t="n">
        <f aca="false">MIN($G$18943:$K$18943)</f>
        <v>-0.572605700969622</v>
      </c>
    </row>
    <row r="18947" customFormat="false" ht="15" hidden="false" customHeight="false" outlineLevel="0" collapsed="false">
      <c r="A18947" s="23" t="s">
        <v>381</v>
      </c>
      <c r="B18947" s="24"/>
      <c r="C18947" s="24"/>
      <c r="D18947" s="24"/>
      <c r="E18947" s="24"/>
      <c r="F18947" s="24"/>
      <c r="G18947" s="24"/>
      <c r="H18947" s="24"/>
      <c r="I18947" s="24"/>
      <c r="J18947" s="24"/>
      <c r="K18947" s="24"/>
    </row>
    <row r="18948" customFormat="false" ht="15" hidden="false" customHeight="false" outlineLevel="0" collapsed="false">
      <c r="A18948" s="3" t="s">
        <v>373</v>
      </c>
      <c r="G18948" s="25" t="n">
        <f aca="false">G18926</f>
        <v>431.67030664</v>
      </c>
      <c r="H18948" s="25" t="n">
        <f aca="false">H18926</f>
        <v>359.0106596512</v>
      </c>
      <c r="I18948" s="25" t="n">
        <f aca="false">I18926</f>
        <v>0</v>
      </c>
      <c r="J18948" s="25" t="n">
        <f aca="false">J18926</f>
        <v>0</v>
      </c>
      <c r="K18948" s="25" t="n">
        <f aca="false">K18926</f>
        <v>0</v>
      </c>
    </row>
    <row r="18949" customFormat="false" ht="15" hidden="false" customHeight="false" outlineLevel="0" collapsed="false">
      <c r="A18949" s="3" t="s">
        <v>374</v>
      </c>
      <c r="G18949" s="29" t="n">
        <f aca="false">Assumptions!$G$67</f>
        <v>200</v>
      </c>
      <c r="H18949" s="29" t="n">
        <f aca="false">Assumptions!$H$67</f>
        <v>200</v>
      </c>
      <c r="I18949" s="29" t="n">
        <f aca="false">Assumptions!$I$67</f>
        <v>200</v>
      </c>
      <c r="J18949" s="29" t="n">
        <f aca="false">Assumptions!$J$67</f>
        <v>200</v>
      </c>
      <c r="K18949" s="29" t="n">
        <f aca="false">Assumptions!$K$67</f>
        <v>200</v>
      </c>
    </row>
    <row r="18950" customFormat="false" ht="15" hidden="false" customHeight="false" outlineLevel="0" collapsed="false">
      <c r="A18950" s="3" t="s">
        <v>375</v>
      </c>
      <c r="G18950" s="25" t="n">
        <f aca="false">G18948-G18949</f>
        <v>231.67030664</v>
      </c>
      <c r="H18950" s="25" t="n">
        <f aca="false">H18948-H18949</f>
        <v>159.0106596512</v>
      </c>
      <c r="I18950" s="25" t="n">
        <f aca="false">I18948-I18949</f>
        <v>-200</v>
      </c>
      <c r="J18950" s="25" t="n">
        <f aca="false">J18948-J18949</f>
        <v>-200</v>
      </c>
      <c r="K18950" s="25" t="n">
        <f aca="false">K18948-K18949</f>
        <v>-200</v>
      </c>
    </row>
    <row r="18951" customFormat="false" ht="15" hidden="false" customHeight="false" outlineLevel="0" collapsed="false">
      <c r="A18951" s="3" t="s">
        <v>376</v>
      </c>
      <c r="G18951" s="21" t="n">
        <f aca="false">IF(G18949=0,0,G18950/ABS(G18949))</f>
        <v>1.1583515332</v>
      </c>
      <c r="H18951" s="21" t="n">
        <f aca="false">IF(H18949=0,0,H18950/ABS(H18949))</f>
        <v>0.795053298256</v>
      </c>
      <c r="I18951" s="21" t="n">
        <f aca="false">IF(I18949=0,0,I18950/ABS(I18949))</f>
        <v>-1</v>
      </c>
      <c r="J18951" s="21" t="n">
        <f aca="false">IF(J18949=0,0,J18950/ABS(J18949))</f>
        <v>-1</v>
      </c>
      <c r="K18951" s="21" t="n">
        <f aca="false">IF(K18949=0,0,K18950/ABS(K18949))</f>
        <v>-1</v>
      </c>
    </row>
    <row r="18952" customFormat="false" ht="15" hidden="false" customHeight="false" outlineLevel="0" collapsed="false">
      <c r="A18952" s="3" t="s">
        <v>377</v>
      </c>
      <c r="G18952" s="20" t="n">
        <f aca="false">IF(G18950&lt;0,1,0)</f>
        <v>0</v>
      </c>
      <c r="H18952" s="20" t="n">
        <f aca="false">IF(H18950&lt;0,1,0)</f>
        <v>0</v>
      </c>
      <c r="I18952" s="20" t="n">
        <f aca="false">IF(I18950&lt;0,1,0)</f>
        <v>1</v>
      </c>
      <c r="J18952" s="20" t="n">
        <f aca="false">IF(J18950&lt;0,1,0)</f>
        <v>1</v>
      </c>
      <c r="K18952" s="20" t="n">
        <f aca="false">IF(K18950&lt;0,1,0)</f>
        <v>1</v>
      </c>
    </row>
    <row r="18953" customFormat="false" ht="15" hidden="false" customHeight="false" outlineLevel="0" collapsed="false">
      <c r="A18953" s="3" t="s">
        <v>378</v>
      </c>
      <c r="C18953" s="20" t="n">
        <f aca="false">IFERROR(INDEX($G$18805:$K$18805,MATCH(1,$G$18952:$K$18952,0)),0)</f>
        <v>2029</v>
      </c>
    </row>
    <row r="18954" customFormat="false" ht="15" hidden="false" customHeight="false" outlineLevel="0" collapsed="false">
      <c r="A18954" s="3" t="s">
        <v>379</v>
      </c>
      <c r="C18954" s="21" t="n">
        <f aca="false">MIN($G$18951:$K$18951)</f>
        <v>-1</v>
      </c>
    </row>
    <row r="18955" customFormat="false" ht="15" hidden="false" customHeight="false" outlineLevel="0" collapsed="false">
      <c r="A18955" s="3" t="s">
        <v>382</v>
      </c>
      <c r="G18955" s="20" t="n">
        <f aca="false">G18936+G18944+G18952</f>
        <v>2</v>
      </c>
      <c r="H18955" s="20" t="n">
        <f aca="false">H18936+H18944+H18952</f>
        <v>2</v>
      </c>
      <c r="I18955" s="20" t="n">
        <f aca="false">I18936+I18944+I18952</f>
        <v>3</v>
      </c>
      <c r="J18955" s="20" t="n">
        <f aca="false">J18936+J18944+J18952</f>
        <v>3</v>
      </c>
      <c r="K18955" s="20" t="n">
        <f aca="false">K18936+K18944+K18952</f>
        <v>3</v>
      </c>
    </row>
    <row r="18956" customFormat="false" ht="15" hidden="false" customHeight="false" outlineLevel="0" collapsed="false">
      <c r="A18956" s="3" t="s">
        <v>383</v>
      </c>
      <c r="C18956" s="20" t="n">
        <f aca="false">SUM($G$18955:$K$18955)</f>
        <v>13</v>
      </c>
    </row>
    <row r="18957" customFormat="false" ht="15" hidden="false" customHeight="false" outlineLevel="0" collapsed="false">
      <c r="A18957" s="3" t="s">
        <v>384</v>
      </c>
      <c r="C18957" s="21" t="n">
        <f aca="false">MIN(C18938,C18946,C18954)</f>
        <v>-2.52852605986897</v>
      </c>
    </row>
    <row r="18959" customFormat="false" ht="15" hidden="false" customHeight="false" outlineLevel="0" collapsed="false">
      <c r="A18959" s="23" t="s">
        <v>486</v>
      </c>
      <c r="B18959" s="24"/>
      <c r="C18959" s="24"/>
      <c r="D18959" s="24"/>
      <c r="E18959" s="24"/>
      <c r="F18959" s="24"/>
      <c r="G18959" s="24"/>
      <c r="H18959" s="24"/>
      <c r="I18959" s="24"/>
      <c r="J18959" s="24"/>
      <c r="K18959" s="24"/>
    </row>
    <row r="18960" customFormat="false" ht="15" hidden="false" customHeight="false" outlineLevel="0" collapsed="false">
      <c r="A18960" s="3" t="s">
        <v>487</v>
      </c>
      <c r="G18960" s="20" t="n">
        <f aca="false">IF($C$18961=1,G18913,IF(G18815=MIN($G$18815:$K$18815),1,0))</f>
        <v>0</v>
      </c>
      <c r="H18960" s="20" t="n">
        <f aca="false">IF($C$18961=1,H18913,IF(AND(H18815=MIN($G$18815:$K$18815),SUM($G$18960:G18960)=0),1,0))</f>
        <v>0</v>
      </c>
      <c r="I18960" s="20" t="n">
        <f aca="false">IF($C$18961=1,I18913,IF(AND(I18815=MIN($G$18815:$K$18815),SUM($G$18960:H18960)=0),1,0))</f>
        <v>1</v>
      </c>
      <c r="J18960" s="20" t="n">
        <f aca="false">IF($C$18961=1,J18913,IF(AND(J18815=MIN($G$18815:$K$18815),SUM($G$18960:I18960)=0),1,0))</f>
        <v>0</v>
      </c>
      <c r="K18960" s="20" t="n">
        <f aca="false">IF($C$18961=1,K18913,IF(AND(K18815=MIN($G$18815:$K$18815),SUM($G$18960:J18960)=0),1,0))</f>
        <v>0</v>
      </c>
    </row>
    <row r="18961" customFormat="false" ht="15" hidden="false" customHeight="false" outlineLevel="0" collapsed="false">
      <c r="A18961" s="3" t="s">
        <v>488</v>
      </c>
      <c r="C18961" s="20" t="n">
        <f aca="false">IF(SUM($G$18913:$K$18913)&gt;0,1,0)</f>
        <v>1</v>
      </c>
    </row>
    <row r="18962" customFormat="false" ht="15" hidden="false" customHeight="false" outlineLevel="0" collapsed="false">
      <c r="A18962" s="3" t="s">
        <v>489</v>
      </c>
      <c r="C18962" s="20" t="n">
        <f aca="false">SUMPRODUCT($G$18960:$K$18960,$G$18805:$K$18805)</f>
        <v>2029</v>
      </c>
    </row>
    <row r="18963" customFormat="false" ht="15" hidden="false" customHeight="false" outlineLevel="0" collapsed="false">
      <c r="A18963" s="3" t="s">
        <v>490</v>
      </c>
      <c r="C18963" s="25" t="n">
        <f aca="false">SUMPRODUCT($G$18960:$K$18960,$G$18815:$K$18815)</f>
        <v>107.0936010144</v>
      </c>
    </row>
    <row r="18964" customFormat="false" ht="15" hidden="false" customHeight="false" outlineLevel="0" collapsed="false">
      <c r="A18964" s="3" t="s">
        <v>491</v>
      </c>
      <c r="C18964" s="25" t="n">
        <f aca="false">MAX(0,SUMPRODUCT($G$18960:$K$18960,$G$18910:$K$18910))</f>
        <v>0</v>
      </c>
    </row>
    <row r="18965" customFormat="false" ht="15" hidden="false" customHeight="false" outlineLevel="0" collapsed="false">
      <c r="A18965" s="3" t="s">
        <v>492</v>
      </c>
      <c r="C18965" s="25" t="n">
        <f aca="false">(CHOOSE($C$18798,Assumptions!$C$84,Assumptions!$C$103,Assumptions!$C$122)+$C$18802)*C18963</f>
        <v>214.1872020288</v>
      </c>
    </row>
    <row r="18966" customFormat="false" ht="15" hidden="false" customHeight="false" outlineLevel="0" collapsed="false">
      <c r="A18966" s="3" t="s">
        <v>493</v>
      </c>
      <c r="C18966" s="25" t="n">
        <f aca="false">Assumptions!$C$30*(1-CHOOSE($C$18798,Assumptions!$C$85,Assumptions!$C$104,Assumptions!$C$123))*CHOOSE($C$18798,Assumptions!$C$86,Assumptions!$C$105,Assumptions!$C$124)</f>
        <v>478.719345</v>
      </c>
    </row>
    <row r="18967" customFormat="false" ht="15" hidden="false" customHeight="false" outlineLevel="0" collapsed="false">
      <c r="A18967" s="3" t="s">
        <v>494</v>
      </c>
      <c r="C18967" s="25" t="n">
        <f aca="false">MAX(C18965,C18966)+C18964</f>
        <v>478.719345</v>
      </c>
    </row>
    <row r="18968" customFormat="false" ht="15" hidden="false" customHeight="false" outlineLevel="0" collapsed="false">
      <c r="A18968" s="2" t="s">
        <v>495</v>
      </c>
      <c r="C18968" s="16" t="n">
        <f aca="false">IF(ISNUMBER(Assumptions!$C$14),Assumptions!$C$14,C18967)</f>
        <v>478.719345</v>
      </c>
    </row>
    <row r="18969" customFormat="false" ht="15" hidden="false" customHeight="false" outlineLevel="0" collapsed="false">
      <c r="A18969" s="3" t="s">
        <v>496</v>
      </c>
      <c r="C18969" s="25" t="n">
        <f aca="false">C18968*Assumptions!$C$15</f>
        <v>19.1487738</v>
      </c>
    </row>
    <row r="18970" customFormat="false" ht="15" hidden="false" customHeight="false" outlineLevel="0" collapsed="false">
      <c r="A18970" s="2" t="s">
        <v>497</v>
      </c>
      <c r="C18970" s="16" t="n">
        <f aca="false">C18968-C18969</f>
        <v>459.5705712</v>
      </c>
    </row>
    <row r="18971" customFormat="false" ht="15" hidden="false" customHeight="false" outlineLevel="0" collapsed="false">
      <c r="A18971" s="23" t="s">
        <v>498</v>
      </c>
      <c r="B18971" s="24"/>
      <c r="C18971" s="24"/>
      <c r="D18971" s="24"/>
      <c r="E18971" s="24"/>
      <c r="F18971" s="24"/>
      <c r="G18971" s="24"/>
      <c r="H18971" s="24"/>
      <c r="I18971" s="24"/>
      <c r="J18971" s="24"/>
      <c r="K18971" s="24"/>
    </row>
    <row r="18972" customFormat="false" ht="15" hidden="false" customHeight="false" outlineLevel="0" collapsed="false">
      <c r="A18972" s="3" t="s">
        <v>499</v>
      </c>
      <c r="C18972" s="25" t="n">
        <f aca="false">SUMPRODUCT($G$18960:$K$18960,$G$18852:$K$18852)*(1+SUMPRODUCT($G$18960:$K$18960,$G$18844:$K$18844)*Assumptions!$C$16/12)</f>
        <v>1349.6193225</v>
      </c>
    </row>
    <row r="18973" customFormat="false" ht="15" hidden="false" customHeight="false" outlineLevel="0" collapsed="false">
      <c r="A18973" s="3" t="s">
        <v>500</v>
      </c>
      <c r="C18973" s="25" t="n">
        <f aca="false">SUMPRODUCT($G$18960:$K$18960,$G$18865:$K$18865)*(1+SUMPRODUCT($G$18960:$K$18960,$G$18857:$K$18857)*Assumptions!$C$16/12)</f>
        <v>6.40133166435848</v>
      </c>
    </row>
    <row r="18974" customFormat="false" ht="15" hidden="false" customHeight="false" outlineLevel="0" collapsed="false">
      <c r="A18974" s="3" t="s">
        <v>501</v>
      </c>
      <c r="C18974" s="25" t="n">
        <f aca="false">SUMPRODUCT($G$18960:$K$18960,$G$18878:$K$18878)*(1+SUMPRODUCT($G$18960:$K$18960,$G$18870:$K$18870)*Assumptions!$C$16/12)</f>
        <v>145.27734375</v>
      </c>
    </row>
    <row r="18975" customFormat="false" ht="15" hidden="false" customHeight="false" outlineLevel="0" collapsed="false">
      <c r="A18975" s="23" t="s">
        <v>502</v>
      </c>
      <c r="B18975" s="24"/>
      <c r="C18975" s="24"/>
      <c r="D18975" s="24"/>
      <c r="E18975" s="24"/>
      <c r="F18975" s="24"/>
      <c r="G18975" s="24"/>
      <c r="H18975" s="24"/>
      <c r="I18975" s="24"/>
      <c r="J18975" s="24"/>
      <c r="K18975" s="24"/>
    </row>
    <row r="18976" customFormat="false" ht="15" hidden="false" customHeight="false" outlineLevel="0" collapsed="false">
      <c r="A18976" s="3" t="s">
        <v>499</v>
      </c>
      <c r="C18976" s="27" t="n">
        <f aca="false">Assumptions!$M$56</f>
        <v>1</v>
      </c>
    </row>
    <row r="18977" customFormat="false" ht="15" hidden="false" customHeight="false" outlineLevel="0" collapsed="false">
      <c r="A18977" s="3" t="s">
        <v>500</v>
      </c>
      <c r="C18977" s="27" t="n">
        <f aca="false">Assumptions!$M$57</f>
        <v>2</v>
      </c>
    </row>
    <row r="18978" customFormat="false" ht="15" hidden="false" customHeight="false" outlineLevel="0" collapsed="false">
      <c r="A18978" s="3" t="s">
        <v>501</v>
      </c>
      <c r="C18978" s="27" t="n">
        <f aca="false">Assumptions!$M$58</f>
        <v>2</v>
      </c>
    </row>
    <row r="18979" customFormat="false" ht="15" hidden="false" customHeight="false" outlineLevel="0" collapsed="false">
      <c r="A18979" s="23" t="s">
        <v>503</v>
      </c>
      <c r="B18979" s="24"/>
      <c r="C18979" s="24"/>
      <c r="D18979" s="24"/>
      <c r="E18979" s="24"/>
      <c r="F18979" s="24"/>
      <c r="G18979" s="24"/>
      <c r="H18979" s="24"/>
      <c r="I18979" s="24"/>
      <c r="J18979" s="24"/>
      <c r="K18979" s="24"/>
    </row>
    <row r="18980" customFormat="false" ht="15" hidden="false" customHeight="false" outlineLevel="0" collapsed="false">
      <c r="A18980" s="3" t="s">
        <v>499</v>
      </c>
      <c r="C18980" s="35" t="n">
        <f aca="false">Assumptions!$Q$56</f>
        <v>0</v>
      </c>
    </row>
    <row r="18981" customFormat="false" ht="15" hidden="false" customHeight="false" outlineLevel="0" collapsed="false">
      <c r="A18981" s="3" t="s">
        <v>500</v>
      </c>
      <c r="C18981" s="35" t="n">
        <f aca="false">Assumptions!$Q$57</f>
        <v>0</v>
      </c>
    </row>
    <row r="18982" customFormat="false" ht="15" hidden="false" customHeight="false" outlineLevel="0" collapsed="false">
      <c r="A18982" s="3" t="s">
        <v>501</v>
      </c>
      <c r="C18982" s="35" t="n">
        <f aca="false">Assumptions!$Q$58</f>
        <v>0</v>
      </c>
    </row>
    <row r="18983" customFormat="false" ht="15" hidden="false" customHeight="false" outlineLevel="0" collapsed="false">
      <c r="A18983" s="23" t="s">
        <v>504</v>
      </c>
      <c r="B18983" s="24"/>
      <c r="C18983" s="24"/>
      <c r="D18983" s="24"/>
      <c r="E18983" s="24"/>
      <c r="F18983" s="24"/>
      <c r="G18983" s="24"/>
      <c r="H18983" s="24"/>
      <c r="I18983" s="24"/>
      <c r="J18983" s="24"/>
      <c r="K18983" s="24"/>
    </row>
    <row r="18984" customFormat="false" ht="15" hidden="false" customHeight="false" outlineLevel="0" collapsed="false">
      <c r="A18984" s="3" t="s">
        <v>499</v>
      </c>
      <c r="C18984" s="25" t="n">
        <f aca="false">IF(C18980&gt;0,MIN(C18972,C18980*$C$18970),0)</f>
        <v>0</v>
      </c>
    </row>
    <row r="18985" customFormat="false" ht="15" hidden="false" customHeight="false" outlineLevel="0" collapsed="false">
      <c r="A18985" s="3" t="s">
        <v>500</v>
      </c>
      <c r="C18985" s="25" t="n">
        <f aca="false">IF(C18981&gt;0,MIN(C18973,C18981*$C$18970),0)</f>
        <v>0</v>
      </c>
    </row>
    <row r="18986" customFormat="false" ht="15" hidden="false" customHeight="false" outlineLevel="0" collapsed="false">
      <c r="A18986" s="3" t="s">
        <v>501</v>
      </c>
      <c r="C18986" s="25" t="n">
        <f aca="false">IF(C18982&gt;0,MIN(C18974,C18982*$C$18970),0)</f>
        <v>0</v>
      </c>
    </row>
    <row r="18987" customFormat="false" ht="15" hidden="false" customHeight="false" outlineLevel="0" collapsed="false">
      <c r="A18987" s="23" t="s">
        <v>505</v>
      </c>
      <c r="B18987" s="24"/>
      <c r="C18987" s="24"/>
      <c r="D18987" s="24"/>
      <c r="E18987" s="24"/>
      <c r="F18987" s="24"/>
      <c r="G18987" s="24"/>
      <c r="H18987" s="24"/>
      <c r="I18987" s="24"/>
      <c r="J18987" s="24"/>
      <c r="K18987" s="24"/>
    </row>
    <row r="18988" customFormat="false" ht="15" hidden="false" customHeight="false" outlineLevel="0" collapsed="false">
      <c r="A18988" s="3" t="s">
        <v>499</v>
      </c>
      <c r="C18988" s="25" t="n">
        <f aca="false">IF(C18980&gt;0,C18972-C18984,0)</f>
        <v>0</v>
      </c>
      <c r="G18988" s="20" t="n">
        <f aca="false">IF(AND(G18842=1,G18839=1),1,0)</f>
        <v>0</v>
      </c>
      <c r="H18988" s="20" t="n">
        <f aca="false">IF(G18988=1,1,IF(AND(H18842=1,H18839=1),1,0))</f>
        <v>0</v>
      </c>
      <c r="I18988" s="20" t="n">
        <f aca="false">IF(H18988=1,1,IF(AND(I18842=1,I18839=1),1,0))</f>
        <v>0</v>
      </c>
      <c r="J18988" s="20" t="n">
        <f aca="false">IF(I18988=1,1,IF(AND(J18842=1,J18839=1),1,0))</f>
        <v>0</v>
      </c>
      <c r="K18988" s="20" t="n">
        <f aca="false">IF(J18988=1,1,IF(AND(K18842=1,K18839=1),1,0))</f>
        <v>0</v>
      </c>
    </row>
    <row r="18989" customFormat="false" ht="15" hidden="false" customHeight="false" outlineLevel="0" collapsed="false">
      <c r="A18989" s="3" t="s">
        <v>500</v>
      </c>
      <c r="C18989" s="25" t="n">
        <f aca="false">IF(C18981&gt;0,C18973-C18985,0)</f>
        <v>0</v>
      </c>
      <c r="G18989" s="20" t="n">
        <f aca="false">IF(AND(G18855=1,G18839=1),1,0)</f>
        <v>0</v>
      </c>
      <c r="H18989" s="20" t="n">
        <f aca="false">IF(G18989=1,1,IF(AND(H18855=1,H18839=1),1,0))</f>
        <v>0</v>
      </c>
      <c r="I18989" s="20" t="n">
        <f aca="false">IF(H18989=1,1,IF(AND(I18855=1,I18839=1),1,0))</f>
        <v>0</v>
      </c>
      <c r="J18989" s="20" t="n">
        <f aca="false">IF(I18989=1,1,IF(AND(J18855=1,J18839=1),1,0))</f>
        <v>0</v>
      </c>
      <c r="K18989" s="20" t="n">
        <f aca="false">IF(J18989=1,1,IF(AND(K18855=1,K18839=1),1,0))</f>
        <v>0</v>
      </c>
    </row>
    <row r="18990" customFormat="false" ht="15" hidden="false" customHeight="false" outlineLevel="0" collapsed="false">
      <c r="A18990" s="3" t="s">
        <v>501</v>
      </c>
      <c r="C18990" s="25" t="n">
        <f aca="false">IF(C18982&gt;0,C18974-C18986,0)</f>
        <v>0</v>
      </c>
      <c r="G18990" s="20" t="n">
        <f aca="false">IF(AND(G18868=1,G18839=1),1,0)</f>
        <v>0</v>
      </c>
      <c r="H18990" s="20" t="n">
        <f aca="false">IF(G18990=1,1,IF(AND(H18868=1,H18839=1),1,0))</f>
        <v>0</v>
      </c>
      <c r="I18990" s="20" t="n">
        <f aca="false">IF(H18990=1,1,IF(AND(I18868=1,I18839=1),1,0))</f>
        <v>0</v>
      </c>
      <c r="J18990" s="20" t="n">
        <f aca="false">IF(I18990=1,1,IF(AND(J18868=1,J18839=1),1,0))</f>
        <v>0</v>
      </c>
      <c r="K18990" s="20" t="n">
        <f aca="false">IF(J18990=1,1,IF(AND(K18868=1,K18839=1),1,0))</f>
        <v>0</v>
      </c>
    </row>
    <row r="18991" customFormat="false" ht="15" hidden="false" customHeight="false" outlineLevel="0" collapsed="false">
      <c r="A18991" s="23" t="s">
        <v>506</v>
      </c>
      <c r="B18991" s="24"/>
      <c r="C18991" s="24"/>
      <c r="D18991" s="24"/>
      <c r="E18991" s="24"/>
      <c r="F18991" s="24"/>
      <c r="G18991" s="24"/>
      <c r="H18991" s="24"/>
      <c r="I18991" s="24"/>
      <c r="J18991" s="24"/>
      <c r="K18991" s="24"/>
    </row>
    <row r="18992" customFormat="false" ht="15" hidden="false" customHeight="false" outlineLevel="0" collapsed="false">
      <c r="A18992" s="3" t="s">
        <v>499</v>
      </c>
      <c r="C18992" s="25" t="n">
        <f aca="false">IF(C18980&gt;0,C18988,C18972)</f>
        <v>1349.6193225</v>
      </c>
    </row>
    <row r="18993" customFormat="false" ht="15" hidden="false" customHeight="false" outlineLevel="0" collapsed="false">
      <c r="A18993" s="3" t="s">
        <v>500</v>
      </c>
      <c r="C18993" s="25" t="n">
        <f aca="false">IF(C18981&gt;0,C18989,C18973)</f>
        <v>6.40133166435848</v>
      </c>
    </row>
    <row r="18994" customFormat="false" ht="15" hidden="false" customHeight="false" outlineLevel="0" collapsed="false">
      <c r="A18994" s="3" t="s">
        <v>501</v>
      </c>
      <c r="C18994" s="25" t="n">
        <f aca="false">IF(C18982&gt;0,C18990,C18974)</f>
        <v>145.27734375</v>
      </c>
    </row>
    <row r="18995" customFormat="false" ht="15" hidden="false" customHeight="false" outlineLevel="0" collapsed="false">
      <c r="A18995" s="23" t="s">
        <v>507</v>
      </c>
      <c r="B18995" s="24"/>
      <c r="C18995" s="24"/>
      <c r="D18995" s="24"/>
      <c r="E18995" s="24"/>
      <c r="F18995" s="24"/>
      <c r="G18995" s="24"/>
      <c r="H18995" s="24"/>
      <c r="I18995" s="24"/>
      <c r="J18995" s="24"/>
      <c r="K18995" s="24"/>
    </row>
    <row r="18996" customFormat="false" ht="15" hidden="false" customHeight="false" outlineLevel="0" collapsed="false">
      <c r="A18996" s="3" t="s">
        <v>499</v>
      </c>
      <c r="C18996" s="20" t="n">
        <f aca="false">IF(C18980&gt;0,Assumptions!$C$17,C18976)</f>
        <v>1</v>
      </c>
    </row>
    <row r="18997" customFormat="false" ht="15" hidden="false" customHeight="false" outlineLevel="0" collapsed="false">
      <c r="A18997" s="3" t="s">
        <v>500</v>
      </c>
      <c r="C18997" s="20" t="n">
        <f aca="false">IF(C18981&gt;0,Assumptions!$C$17,C18977)</f>
        <v>2</v>
      </c>
    </row>
    <row r="18998" customFormat="false" ht="15" hidden="false" customHeight="false" outlineLevel="0" collapsed="false">
      <c r="A18998" s="3" t="s">
        <v>501</v>
      </c>
      <c r="C18998" s="20" t="n">
        <f aca="false">IF(C18982&gt;0,Assumptions!$C$17,C18978)</f>
        <v>2</v>
      </c>
    </row>
    <row r="18999" customFormat="false" ht="15" hidden="false" customHeight="false" outlineLevel="0" collapsed="false">
      <c r="A18999" s="23" t="s">
        <v>508</v>
      </c>
      <c r="B18999" s="24"/>
      <c r="C18999" s="24"/>
      <c r="D18999" s="24"/>
      <c r="E18999" s="24"/>
      <c r="F18999" s="24"/>
      <c r="G18999" s="24"/>
      <c r="H18999" s="24"/>
      <c r="I18999" s="24"/>
      <c r="J18999" s="24"/>
      <c r="K18999" s="24"/>
    </row>
    <row r="19000" customFormat="false" ht="15" hidden="false" customHeight="false" outlineLevel="0" collapsed="false">
      <c r="A19000" s="3" t="s">
        <v>499</v>
      </c>
      <c r="C19000" s="25" t="n">
        <f aca="false">SUMPRODUCT(($C$18996:$C$18998&lt;C18996)*$C$18992:$C$18994)</f>
        <v>0</v>
      </c>
    </row>
    <row r="19001" customFormat="false" ht="15" hidden="false" customHeight="false" outlineLevel="0" collapsed="false">
      <c r="A19001" s="3" t="s">
        <v>500</v>
      </c>
      <c r="C19001" s="25" t="n">
        <f aca="false">SUMPRODUCT(($C$18996:$C$18998&lt;C18997)*$C$18992:$C$18994)</f>
        <v>1349.6193225</v>
      </c>
    </row>
    <row r="19002" customFormat="false" ht="15" hidden="false" customHeight="false" outlineLevel="0" collapsed="false">
      <c r="A19002" s="3" t="s">
        <v>501</v>
      </c>
      <c r="C19002" s="25" t="n">
        <f aca="false">SUMPRODUCT(($C$18996:$C$18998&lt;C18998)*$C$18992:$C$18994)</f>
        <v>1349.6193225</v>
      </c>
    </row>
    <row r="19003" customFormat="false" ht="15" hidden="false" customHeight="false" outlineLevel="0" collapsed="false">
      <c r="A19003" s="23" t="s">
        <v>509</v>
      </c>
      <c r="B19003" s="24"/>
      <c r="C19003" s="24"/>
      <c r="D19003" s="24"/>
      <c r="E19003" s="24"/>
      <c r="F19003" s="24"/>
      <c r="G19003" s="24"/>
      <c r="H19003" s="24"/>
      <c r="I19003" s="24"/>
      <c r="J19003" s="24"/>
      <c r="K19003" s="24"/>
    </row>
    <row r="19004" customFormat="false" ht="15" hidden="false" customHeight="false" outlineLevel="0" collapsed="false">
      <c r="A19004" s="3" t="s">
        <v>499</v>
      </c>
      <c r="C19004" s="25" t="n">
        <f aca="false">SUMPRODUCT(($C$18996:$C$18998=C18996)*$C$18992:$C$18994)</f>
        <v>1349.6193225</v>
      </c>
    </row>
    <row r="19005" customFormat="false" ht="15" hidden="false" customHeight="false" outlineLevel="0" collapsed="false">
      <c r="A19005" s="3" t="s">
        <v>500</v>
      </c>
      <c r="C19005" s="25" t="n">
        <f aca="false">SUMPRODUCT(($C$18996:$C$18998=C18997)*$C$18992:$C$18994)</f>
        <v>151.678675414359</v>
      </c>
    </row>
    <row r="19006" customFormat="false" ht="15" hidden="false" customHeight="false" outlineLevel="0" collapsed="false">
      <c r="A19006" s="3" t="s">
        <v>501</v>
      </c>
      <c r="C19006" s="25" t="n">
        <f aca="false">SUMPRODUCT(($C$18996:$C$18998=C18998)*$C$18992:$C$18994)</f>
        <v>151.678675414359</v>
      </c>
    </row>
    <row r="19007" customFormat="false" ht="15" hidden="false" customHeight="false" outlineLevel="0" collapsed="false">
      <c r="A19007" s="23" t="s">
        <v>510</v>
      </c>
      <c r="B19007" s="24"/>
      <c r="C19007" s="24"/>
      <c r="D19007" s="24"/>
      <c r="E19007" s="24"/>
      <c r="F19007" s="24"/>
      <c r="G19007" s="24"/>
      <c r="H19007" s="24"/>
      <c r="I19007" s="24"/>
      <c r="J19007" s="24"/>
      <c r="K19007" s="24"/>
    </row>
    <row r="19008" customFormat="false" ht="15" hidden="false" customHeight="false" outlineLevel="0" collapsed="false">
      <c r="A19008" s="3" t="s">
        <v>499</v>
      </c>
      <c r="C19008" s="25" t="n">
        <f aca="false">IF(C19004=0,0,C18992/C19004*MAX(0,MIN(C19004,$C$18970-SUM($C$18984:$C$18986)-C19000)))</f>
        <v>459.5705712</v>
      </c>
    </row>
    <row r="19009" customFormat="false" ht="15" hidden="false" customHeight="false" outlineLevel="0" collapsed="false">
      <c r="A19009" s="3" t="s">
        <v>500</v>
      </c>
      <c r="C19009" s="25" t="n">
        <f aca="false">IF(C19005=0,0,C18993/C19005*MAX(0,MIN(C19005,$C$18970-SUM($C$18984:$C$18986)-C19001)))</f>
        <v>0</v>
      </c>
    </row>
    <row r="19010" customFormat="false" ht="15" hidden="false" customHeight="false" outlineLevel="0" collapsed="false">
      <c r="A19010" s="3" t="s">
        <v>501</v>
      </c>
      <c r="C19010" s="25" t="n">
        <f aca="false">IF(C19006=0,0,C18994/C19006*MAX(0,MIN(C19006,$C$18970-SUM($C$18984:$C$18986)-C19002)))</f>
        <v>0</v>
      </c>
    </row>
    <row r="19011" customFormat="false" ht="15" hidden="false" customHeight="false" outlineLevel="0" collapsed="false">
      <c r="A19011" s="23" t="s">
        <v>511</v>
      </c>
      <c r="B19011" s="24"/>
      <c r="C19011" s="24"/>
      <c r="D19011" s="24"/>
      <c r="E19011" s="24"/>
      <c r="F19011" s="24"/>
      <c r="G19011" s="24"/>
      <c r="H19011" s="24"/>
      <c r="I19011" s="24"/>
      <c r="J19011" s="24"/>
      <c r="K19011" s="24"/>
    </row>
    <row r="19012" customFormat="false" ht="15" hidden="false" customHeight="false" outlineLevel="0" collapsed="false">
      <c r="A19012" s="2" t="s">
        <v>499</v>
      </c>
      <c r="C19012" s="16" t="n">
        <f aca="false">C18984+C19008</f>
        <v>459.5705712</v>
      </c>
    </row>
    <row r="19013" customFormat="false" ht="15" hidden="false" customHeight="false" outlineLevel="0" collapsed="false">
      <c r="A19013" s="2" t="s">
        <v>500</v>
      </c>
      <c r="C19013" s="16" t="n">
        <f aca="false">C18985+C19009</f>
        <v>0</v>
      </c>
    </row>
    <row r="19014" customFormat="false" ht="15" hidden="false" customHeight="false" outlineLevel="0" collapsed="false">
      <c r="A19014" s="2" t="s">
        <v>501</v>
      </c>
      <c r="C19014" s="16" t="n">
        <f aca="false">C18986+C19010</f>
        <v>0</v>
      </c>
    </row>
    <row r="19015" customFormat="false" ht="15" hidden="false" customHeight="false" outlineLevel="0" collapsed="false">
      <c r="A19015" s="23" t="s">
        <v>512</v>
      </c>
      <c r="B19015" s="24"/>
      <c r="C19015" s="24"/>
      <c r="D19015" s="24"/>
      <c r="E19015" s="24"/>
      <c r="F19015" s="24"/>
      <c r="G19015" s="24"/>
      <c r="H19015" s="24"/>
      <c r="I19015" s="24"/>
      <c r="J19015" s="24"/>
      <c r="K19015" s="24"/>
    </row>
    <row r="19016" customFormat="false" ht="15" hidden="false" customHeight="false" outlineLevel="0" collapsed="false">
      <c r="A19016" s="3" t="s">
        <v>499</v>
      </c>
      <c r="C19016" s="21" t="n">
        <f aca="false">IF(C18972=0,1,C19012/C18972)</f>
        <v>0.340518665921812</v>
      </c>
    </row>
    <row r="19017" customFormat="false" ht="15" hidden="false" customHeight="false" outlineLevel="0" collapsed="false">
      <c r="A19017" s="3" t="s">
        <v>500</v>
      </c>
      <c r="C19017" s="21" t="n">
        <f aca="false">IF(C18973=0,1,C19013/C18973)</f>
        <v>0</v>
      </c>
    </row>
    <row r="19018" customFormat="false" ht="15" hidden="false" customHeight="false" outlineLevel="0" collapsed="false">
      <c r="A19018" s="3" t="s">
        <v>501</v>
      </c>
      <c r="C19018" s="21" t="n">
        <f aca="false">IF(C18974=0,1,C19014/C18974)</f>
        <v>0</v>
      </c>
    </row>
    <row r="19019" customFormat="false" ht="15" hidden="false" customHeight="false" outlineLevel="0" collapsed="false">
      <c r="A19019" s="23" t="s">
        <v>513</v>
      </c>
      <c r="B19019" s="24"/>
      <c r="C19019" s="24"/>
      <c r="D19019" s="24"/>
      <c r="E19019" s="24"/>
      <c r="F19019" s="24"/>
      <c r="G19019" s="24"/>
      <c r="H19019" s="24"/>
      <c r="I19019" s="24"/>
      <c r="J19019" s="24"/>
      <c r="K19019" s="24"/>
    </row>
    <row r="19020" customFormat="false" ht="15" hidden="false" customHeight="false" outlineLevel="0" collapsed="false">
      <c r="A19020" s="3" t="s">
        <v>499</v>
      </c>
      <c r="C19020" s="25" t="n">
        <f aca="false">C18972-C19012</f>
        <v>890.0487513</v>
      </c>
    </row>
    <row r="19021" customFormat="false" ht="15" hidden="false" customHeight="false" outlineLevel="0" collapsed="false">
      <c r="A19021" s="3" t="s">
        <v>500</v>
      </c>
      <c r="C19021" s="25" t="n">
        <f aca="false">C18973-C19013</f>
        <v>6.40133166435848</v>
      </c>
    </row>
    <row r="19022" customFormat="false" ht="15" hidden="false" customHeight="false" outlineLevel="0" collapsed="false">
      <c r="A19022" s="3" t="s">
        <v>501</v>
      </c>
      <c r="C19022" s="25" t="n">
        <f aca="false">C18974-C19014</f>
        <v>145.27734375</v>
      </c>
    </row>
    <row r="19023" customFormat="false" ht="15" hidden="false" customHeight="false" outlineLevel="0" collapsed="false">
      <c r="A19023" s="23" t="s">
        <v>514</v>
      </c>
      <c r="B19023" s="24"/>
      <c r="C19023" s="24"/>
      <c r="D19023" s="24"/>
      <c r="E19023" s="24"/>
      <c r="F19023" s="24"/>
      <c r="G19023" s="24"/>
      <c r="H19023" s="24"/>
      <c r="I19023" s="24"/>
      <c r="J19023" s="24"/>
      <c r="K19023" s="24"/>
    </row>
    <row r="19024" customFormat="false" ht="15" hidden="false" customHeight="false" outlineLevel="0" collapsed="false">
      <c r="A19024" s="3" t="s">
        <v>499</v>
      </c>
      <c r="C19024" s="21" t="n">
        <f aca="false">IF(C18972=0,0,C19020/C18972)</f>
        <v>0.659481334078188</v>
      </c>
    </row>
    <row r="19025" customFormat="false" ht="15" hidden="false" customHeight="false" outlineLevel="0" collapsed="false">
      <c r="A19025" s="3" t="s">
        <v>500</v>
      </c>
      <c r="C19025" s="21" t="n">
        <f aca="false">IF(C18973=0,0,C19021/C18973)</f>
        <v>1</v>
      </c>
    </row>
    <row r="19026" customFormat="false" ht="15" hidden="false" customHeight="false" outlineLevel="0" collapsed="false">
      <c r="A19026" s="3" t="s">
        <v>501</v>
      </c>
      <c r="C19026" s="21" t="n">
        <f aca="false">IF(C18974=0,0,C19022/C18974)</f>
        <v>1</v>
      </c>
    </row>
    <row r="19027" customFormat="false" ht="15" hidden="false" customHeight="false" outlineLevel="0" collapsed="false">
      <c r="A19027" s="2" t="s">
        <v>515</v>
      </c>
      <c r="C19027" s="16" t="n">
        <f aca="false">MAX(0,$C$18970-SUM($C$18984:$C$18986)-SUM($C$18992:$C$18994))</f>
        <v>0</v>
      </c>
    </row>
    <row r="19028" customFormat="false" ht="15" hidden="false" customHeight="false" outlineLevel="0" collapsed="false">
      <c r="A19028" s="3" t="s">
        <v>516</v>
      </c>
      <c r="C19028" s="25" t="n">
        <f aca="false">SUM($C$19012:$C$19014)+C19027+C18969-C18968</f>
        <v>0</v>
      </c>
    </row>
    <row r="19030" customFormat="false" ht="15" hidden="false" customHeight="false" outlineLevel="0" collapsed="false">
      <c r="A19030" s="23" t="s">
        <v>519</v>
      </c>
      <c r="B19030" s="24"/>
      <c r="C19030" s="24"/>
      <c r="D19030" s="24"/>
      <c r="E19030" s="24"/>
      <c r="F19030" s="24"/>
      <c r="G19030" s="24"/>
      <c r="H19030" s="24"/>
      <c r="I19030" s="24"/>
      <c r="J19030" s="24"/>
      <c r="K19030" s="24"/>
    </row>
    <row r="19031" customFormat="false" ht="15" hidden="false" customHeight="false" outlineLevel="0" collapsed="false">
      <c r="A19031" s="3" t="s">
        <v>520</v>
      </c>
      <c r="C19031" s="27" t="n">
        <f aca="false">Assumptions!$C$33</f>
        <v>1</v>
      </c>
    </row>
    <row r="19032" customFormat="false" ht="15" hidden="false" customHeight="false" outlineLevel="0" collapsed="false">
      <c r="A19032" s="3" t="s">
        <v>521</v>
      </c>
      <c r="C19032" s="29" t="n">
        <f aca="false">Assumptions!$C$34</f>
        <v>100</v>
      </c>
    </row>
    <row r="19033" customFormat="false" ht="15" hidden="false" customHeight="false" outlineLevel="0" collapsed="false">
      <c r="A19033" s="3" t="s">
        <v>522</v>
      </c>
      <c r="C19033" s="40" t="n">
        <f aca="false">Assumptions!$C$35</f>
        <v>95</v>
      </c>
    </row>
    <row r="19034" customFormat="false" ht="15" hidden="false" customHeight="false" outlineLevel="0" collapsed="false">
      <c r="A19034" s="3" t="s">
        <v>523</v>
      </c>
      <c r="C19034" s="25" t="n">
        <f aca="false">C19032*C19033/100*(1+Assumptions!$C$36)</f>
        <v>95</v>
      </c>
    </row>
    <row r="19035" customFormat="false" ht="15" hidden="false" customHeight="false" outlineLevel="0" collapsed="false">
      <c r="A19035" s="3" t="s">
        <v>524</v>
      </c>
      <c r="C19035" s="27" t="n">
        <f aca="false">Assumptions!$C$37</f>
        <v>3</v>
      </c>
    </row>
    <row r="19036" customFormat="false" ht="15" hidden="false" customHeight="false" outlineLevel="0" collapsed="false">
      <c r="A19036" s="3" t="s">
        <v>525</v>
      </c>
      <c r="C19036" s="20" t="n">
        <f aca="false">IF(C18961=1,SUMPRODUCT($G$18913:$K$18913,$G$18806:$K$18806),0)</f>
        <v>3</v>
      </c>
    </row>
    <row r="19037" customFormat="false" ht="15" hidden="false" customHeight="false" outlineLevel="0" collapsed="false">
      <c r="A19037" s="3" t="s">
        <v>526</v>
      </c>
      <c r="C19037" s="21" t="n">
        <f aca="false">IFERROR(C19032/CHOOSE(C19031,SUMPRODUCT($G$18960:$K$18960,$G$18852:$K$18852),SUMPRODUCT($G$18960:$K$18960,$G$18865:$K$18865),SUMPRODUCT($G$18960:$K$18960,$G$18878:$K$18878)),0)</f>
        <v>0.0760399605200525</v>
      </c>
    </row>
    <row r="19038" customFormat="false" ht="15" hidden="false" customHeight="false" outlineLevel="0" collapsed="false">
      <c r="A19038" s="3" t="s">
        <v>527</v>
      </c>
      <c r="C19038" s="25" t="n">
        <f aca="false">CHOOSE(C19031,C19012,C19013,C19014)*C19037</f>
        <v>34.945728090226</v>
      </c>
    </row>
    <row r="19039" customFormat="false" ht="15" hidden="false" customHeight="false" outlineLevel="0" collapsed="false">
      <c r="A19039" s="3" t="s">
        <v>528</v>
      </c>
      <c r="C19039" s="21" t="n">
        <f aca="false">CHOOSE(C19031,C19016,C19017,C19018)</f>
        <v>0.340518665921812</v>
      </c>
    </row>
    <row r="19040" customFormat="false" ht="15" hidden="false" customHeight="false" outlineLevel="0" collapsed="false">
      <c r="A19040" s="3" t="s">
        <v>529</v>
      </c>
      <c r="C19040" s="20" t="n">
        <f aca="false">IF(C18961=1,C19036,C19035)</f>
        <v>3</v>
      </c>
    </row>
    <row r="19041" customFormat="false" ht="15" hidden="false" customHeight="false" outlineLevel="0" collapsed="false">
      <c r="A19041" s="3" t="s">
        <v>530</v>
      </c>
      <c r="C19041" s="34" t="n">
        <f aca="false">CHOOSE($C$18798,Assumptions!$C$83,Assumptions!$C$102,Assumptions!$C$121)</f>
        <v>80</v>
      </c>
    </row>
    <row r="19042" customFormat="false" ht="15" hidden="false" customHeight="false" outlineLevel="0" collapsed="false">
      <c r="A19042" s="3" t="s">
        <v>531</v>
      </c>
      <c r="C19042" s="25" t="n">
        <f aca="false">INDEX($G$18815:$K$18815,C19035)*CHOOSE($C$18798,Assumptions!$C$82,Assumptions!$C$101,Assumptions!$C$120)+MAX(0,INDEX($G$18910:$K$18910,C19035))</f>
        <v>428.3744040576</v>
      </c>
    </row>
    <row r="19043" customFormat="false" ht="15" hidden="false" customHeight="false" outlineLevel="0" collapsed="false">
      <c r="A19043" s="23" t="s">
        <v>532</v>
      </c>
      <c r="B19043" s="24"/>
      <c r="C19043" s="24"/>
      <c r="D19043" s="24"/>
      <c r="E19043" s="24"/>
      <c r="F19043" s="24"/>
      <c r="G19043" s="24"/>
      <c r="H19043" s="24"/>
      <c r="I19043" s="24"/>
      <c r="J19043" s="24"/>
      <c r="K19043" s="24"/>
    </row>
    <row r="19044" customFormat="false" ht="15" hidden="false" customHeight="false" outlineLevel="0" collapsed="false">
      <c r="A19044" s="3" t="s">
        <v>499</v>
      </c>
      <c r="C19044" s="25" t="n">
        <f aca="false">INDEX($G$18852:$K$18852,C19035)</f>
        <v>1315.098</v>
      </c>
    </row>
    <row r="19045" customFormat="false" ht="15" hidden="false" customHeight="false" outlineLevel="0" collapsed="false">
      <c r="A19045" s="3" t="s">
        <v>500</v>
      </c>
      <c r="C19045" s="25" t="n">
        <f aca="false">INDEX($G$18865:$K$18865,C19035)</f>
        <v>6.33403256832008</v>
      </c>
    </row>
    <row r="19046" customFormat="false" ht="15" hidden="false" customHeight="false" outlineLevel="0" collapsed="false">
      <c r="A19046" s="3" t="s">
        <v>501</v>
      </c>
      <c r="C19046" s="25" t="n">
        <f aca="false">INDEX($G$18878:$K$18878,C19035)</f>
        <v>143.75</v>
      </c>
    </row>
    <row r="19047" customFormat="false" ht="15" hidden="false" customHeight="false" outlineLevel="0" collapsed="false">
      <c r="A19047" s="23" t="s">
        <v>502</v>
      </c>
      <c r="B19047" s="24"/>
      <c r="C19047" s="24"/>
      <c r="D19047" s="24"/>
      <c r="E19047" s="24"/>
      <c r="F19047" s="24"/>
      <c r="G19047" s="24"/>
      <c r="H19047" s="24"/>
      <c r="I19047" s="24"/>
      <c r="J19047" s="24"/>
      <c r="K19047" s="24"/>
    </row>
    <row r="19048" customFormat="false" ht="15" hidden="false" customHeight="false" outlineLevel="0" collapsed="false">
      <c r="A19048" s="3" t="s">
        <v>499</v>
      </c>
      <c r="C19048" s="27" t="n">
        <f aca="false">Assumptions!$M$56</f>
        <v>1</v>
      </c>
    </row>
    <row r="19049" customFormat="false" ht="15" hidden="false" customHeight="false" outlineLevel="0" collapsed="false">
      <c r="A19049" s="3" t="s">
        <v>500</v>
      </c>
      <c r="C19049" s="27" t="n">
        <f aca="false">Assumptions!$M$57</f>
        <v>2</v>
      </c>
    </row>
    <row r="19050" customFormat="false" ht="15" hidden="false" customHeight="false" outlineLevel="0" collapsed="false">
      <c r="A19050" s="3" t="s">
        <v>501</v>
      </c>
      <c r="C19050" s="27" t="n">
        <f aca="false">Assumptions!$M$58</f>
        <v>2</v>
      </c>
    </row>
    <row r="19051" customFormat="false" ht="15" hidden="false" customHeight="false" outlineLevel="0" collapsed="false">
      <c r="A19051" s="23" t="s">
        <v>503</v>
      </c>
      <c r="B19051" s="24"/>
      <c r="C19051" s="24"/>
      <c r="D19051" s="24"/>
      <c r="E19051" s="24"/>
      <c r="F19051" s="24"/>
      <c r="G19051" s="24"/>
      <c r="H19051" s="24"/>
      <c r="I19051" s="24"/>
      <c r="J19051" s="24"/>
      <c r="K19051" s="24"/>
    </row>
    <row r="19052" customFormat="false" ht="15" hidden="false" customHeight="false" outlineLevel="0" collapsed="false">
      <c r="A19052" s="3" t="s">
        <v>499</v>
      </c>
      <c r="C19052" s="35" t="n">
        <f aca="false">Assumptions!$Q$56</f>
        <v>0</v>
      </c>
    </row>
    <row r="19053" customFormat="false" ht="15" hidden="false" customHeight="false" outlineLevel="0" collapsed="false">
      <c r="A19053" s="3" t="s">
        <v>500</v>
      </c>
      <c r="C19053" s="35" t="n">
        <f aca="false">Assumptions!$Q$57</f>
        <v>0</v>
      </c>
    </row>
    <row r="19054" customFormat="false" ht="15" hidden="false" customHeight="false" outlineLevel="0" collapsed="false">
      <c r="A19054" s="3" t="s">
        <v>501</v>
      </c>
      <c r="C19054" s="35" t="n">
        <f aca="false">Assumptions!$Q$58</f>
        <v>0</v>
      </c>
    </row>
    <row r="19055" customFormat="false" ht="15" hidden="false" customHeight="false" outlineLevel="0" collapsed="false">
      <c r="A19055" s="23" t="s">
        <v>504</v>
      </c>
      <c r="B19055" s="24"/>
      <c r="C19055" s="24"/>
      <c r="D19055" s="24"/>
      <c r="E19055" s="24"/>
      <c r="F19055" s="24"/>
      <c r="G19055" s="24"/>
      <c r="H19055" s="24"/>
      <c r="I19055" s="24"/>
      <c r="J19055" s="24"/>
      <c r="K19055" s="24"/>
    </row>
    <row r="19056" customFormat="false" ht="15" hidden="false" customHeight="false" outlineLevel="0" collapsed="false">
      <c r="A19056" s="3" t="s">
        <v>499</v>
      </c>
      <c r="C19056" s="25" t="n">
        <f aca="false">IF(C19052&gt;0,MIN(C19044,C19052*$C$19042),0)</f>
        <v>0</v>
      </c>
    </row>
    <row r="19057" customFormat="false" ht="15" hidden="false" customHeight="false" outlineLevel="0" collapsed="false">
      <c r="A19057" s="3" t="s">
        <v>500</v>
      </c>
      <c r="C19057" s="25" t="n">
        <f aca="false">IF(C19053&gt;0,MIN(C19045,C19053*$C$19042),0)</f>
        <v>0</v>
      </c>
    </row>
    <row r="19058" customFormat="false" ht="15" hidden="false" customHeight="false" outlineLevel="0" collapsed="false">
      <c r="A19058" s="3" t="s">
        <v>501</v>
      </c>
      <c r="C19058" s="25" t="n">
        <f aca="false">IF(C19054&gt;0,MIN(C19046,C19054*$C$19042),0)</f>
        <v>0</v>
      </c>
    </row>
    <row r="19059" customFormat="false" ht="15" hidden="false" customHeight="false" outlineLevel="0" collapsed="false">
      <c r="A19059" s="23" t="s">
        <v>505</v>
      </c>
      <c r="B19059" s="24"/>
      <c r="C19059" s="24"/>
      <c r="D19059" s="24"/>
      <c r="E19059" s="24"/>
      <c r="F19059" s="24"/>
      <c r="G19059" s="24"/>
      <c r="H19059" s="24"/>
      <c r="I19059" s="24"/>
      <c r="J19059" s="24"/>
      <c r="K19059" s="24"/>
    </row>
    <row r="19060" customFormat="false" ht="15" hidden="false" customHeight="false" outlineLevel="0" collapsed="false">
      <c r="A19060" s="3" t="s">
        <v>499</v>
      </c>
      <c r="C19060" s="25" t="n">
        <f aca="false">IF(C19052&gt;0,C19044-C19056,0)</f>
        <v>0</v>
      </c>
    </row>
    <row r="19061" customFormat="false" ht="15" hidden="false" customHeight="false" outlineLevel="0" collapsed="false">
      <c r="A19061" s="3" t="s">
        <v>500</v>
      </c>
      <c r="C19061" s="25" t="n">
        <f aca="false">IF(C19053&gt;0,C19045-C19057,0)</f>
        <v>0</v>
      </c>
    </row>
    <row r="19062" customFormat="false" ht="15" hidden="false" customHeight="false" outlineLevel="0" collapsed="false">
      <c r="A19062" s="3" t="s">
        <v>501</v>
      </c>
      <c r="C19062" s="25" t="n">
        <f aca="false">IF(C19054&gt;0,C19046-C19058,0)</f>
        <v>0</v>
      </c>
    </row>
    <row r="19063" customFormat="false" ht="15" hidden="false" customHeight="false" outlineLevel="0" collapsed="false">
      <c r="A19063" s="23" t="s">
        <v>506</v>
      </c>
      <c r="B19063" s="24"/>
      <c r="C19063" s="24"/>
      <c r="D19063" s="24"/>
      <c r="E19063" s="24"/>
      <c r="F19063" s="24"/>
      <c r="G19063" s="24"/>
      <c r="H19063" s="24"/>
      <c r="I19063" s="24"/>
      <c r="J19063" s="24"/>
      <c r="K19063" s="24"/>
    </row>
    <row r="19064" customFormat="false" ht="15" hidden="false" customHeight="false" outlineLevel="0" collapsed="false">
      <c r="A19064" s="3" t="s">
        <v>499</v>
      </c>
      <c r="C19064" s="25" t="n">
        <f aca="false">IF(C19052&gt;0,C19060,C19044)</f>
        <v>1315.098</v>
      </c>
    </row>
    <row r="19065" customFormat="false" ht="15" hidden="false" customHeight="false" outlineLevel="0" collapsed="false">
      <c r="A19065" s="3" t="s">
        <v>500</v>
      </c>
      <c r="C19065" s="25" t="n">
        <f aca="false">IF(C19053&gt;0,C19061,C19045)</f>
        <v>6.33403256832008</v>
      </c>
    </row>
    <row r="19066" customFormat="false" ht="15" hidden="false" customHeight="false" outlineLevel="0" collapsed="false">
      <c r="A19066" s="3" t="s">
        <v>501</v>
      </c>
      <c r="C19066" s="25" t="n">
        <f aca="false">IF(C19054&gt;0,C19062,C19046)</f>
        <v>143.75</v>
      </c>
    </row>
    <row r="19067" customFormat="false" ht="15" hidden="false" customHeight="false" outlineLevel="0" collapsed="false">
      <c r="A19067" s="23" t="s">
        <v>507</v>
      </c>
      <c r="B19067" s="24"/>
      <c r="C19067" s="24"/>
      <c r="D19067" s="24"/>
      <c r="E19067" s="24"/>
      <c r="F19067" s="24"/>
      <c r="G19067" s="24"/>
      <c r="H19067" s="24"/>
      <c r="I19067" s="24"/>
      <c r="J19067" s="24"/>
      <c r="K19067" s="24"/>
    </row>
    <row r="19068" customFormat="false" ht="15" hidden="false" customHeight="false" outlineLevel="0" collapsed="false">
      <c r="A19068" s="3" t="s">
        <v>499</v>
      </c>
      <c r="C19068" s="20" t="n">
        <f aca="false">IF(C19052&gt;0,Assumptions!$C$17,C19048)</f>
        <v>1</v>
      </c>
    </row>
    <row r="19069" customFormat="false" ht="15" hidden="false" customHeight="false" outlineLevel="0" collapsed="false">
      <c r="A19069" s="3" t="s">
        <v>500</v>
      </c>
      <c r="C19069" s="20" t="n">
        <f aca="false">IF(C19053&gt;0,Assumptions!$C$17,C19049)</f>
        <v>2</v>
      </c>
    </row>
    <row r="19070" customFormat="false" ht="15" hidden="false" customHeight="false" outlineLevel="0" collapsed="false">
      <c r="A19070" s="3" t="s">
        <v>501</v>
      </c>
      <c r="C19070" s="20" t="n">
        <f aca="false">IF(C19054&gt;0,Assumptions!$C$17,C19050)</f>
        <v>2</v>
      </c>
    </row>
    <row r="19071" customFormat="false" ht="15" hidden="false" customHeight="false" outlineLevel="0" collapsed="false">
      <c r="A19071" s="23" t="s">
        <v>508</v>
      </c>
      <c r="B19071" s="24"/>
      <c r="C19071" s="24"/>
      <c r="D19071" s="24"/>
      <c r="E19071" s="24"/>
      <c r="F19071" s="24"/>
      <c r="G19071" s="24"/>
      <c r="H19071" s="24"/>
      <c r="I19071" s="24"/>
      <c r="J19071" s="24"/>
      <c r="K19071" s="24"/>
    </row>
    <row r="19072" customFormat="false" ht="15" hidden="false" customHeight="false" outlineLevel="0" collapsed="false">
      <c r="A19072" s="3" t="s">
        <v>499</v>
      </c>
      <c r="C19072" s="25" t="n">
        <f aca="false">SUMPRODUCT(($C$19068:$C$19070&lt;C19068)*$C$19064:$C$19066)</f>
        <v>0</v>
      </c>
    </row>
    <row r="19073" customFormat="false" ht="15" hidden="false" customHeight="false" outlineLevel="0" collapsed="false">
      <c r="A19073" s="3" t="s">
        <v>500</v>
      </c>
      <c r="C19073" s="25" t="n">
        <f aca="false">SUMPRODUCT(($C$19068:$C$19070&lt;C19069)*$C$19064:$C$19066)</f>
        <v>1315.098</v>
      </c>
    </row>
    <row r="19074" customFormat="false" ht="15" hidden="false" customHeight="false" outlineLevel="0" collapsed="false">
      <c r="A19074" s="3" t="s">
        <v>501</v>
      </c>
      <c r="C19074" s="25" t="n">
        <f aca="false">SUMPRODUCT(($C$19068:$C$19070&lt;C19070)*$C$19064:$C$19066)</f>
        <v>1315.098</v>
      </c>
    </row>
    <row r="19075" customFormat="false" ht="15" hidden="false" customHeight="false" outlineLevel="0" collapsed="false">
      <c r="A19075" s="23" t="s">
        <v>509</v>
      </c>
      <c r="B19075" s="24"/>
      <c r="C19075" s="24"/>
      <c r="D19075" s="24"/>
      <c r="E19075" s="24"/>
      <c r="F19075" s="24"/>
      <c r="G19075" s="24"/>
      <c r="H19075" s="24"/>
      <c r="I19075" s="24"/>
      <c r="J19075" s="24"/>
      <c r="K19075" s="24"/>
    </row>
    <row r="19076" customFormat="false" ht="15" hidden="false" customHeight="false" outlineLevel="0" collapsed="false">
      <c r="A19076" s="3" t="s">
        <v>499</v>
      </c>
      <c r="C19076" s="25" t="n">
        <f aca="false">SUMPRODUCT(($C$19068:$C$19070=C19068)*$C$19064:$C$19066)</f>
        <v>1315.098</v>
      </c>
    </row>
    <row r="19077" customFormat="false" ht="15" hidden="false" customHeight="false" outlineLevel="0" collapsed="false">
      <c r="A19077" s="3" t="s">
        <v>500</v>
      </c>
      <c r="C19077" s="25" t="n">
        <f aca="false">SUMPRODUCT(($C$19068:$C$19070=C19069)*$C$19064:$C$19066)</f>
        <v>150.08403256832</v>
      </c>
    </row>
    <row r="19078" customFormat="false" ht="15" hidden="false" customHeight="false" outlineLevel="0" collapsed="false">
      <c r="A19078" s="3" t="s">
        <v>501</v>
      </c>
      <c r="C19078" s="25" t="n">
        <f aca="false">SUMPRODUCT(($C$19068:$C$19070=C19070)*$C$19064:$C$19066)</f>
        <v>150.08403256832</v>
      </c>
    </row>
    <row r="19079" customFormat="false" ht="15" hidden="false" customHeight="false" outlineLevel="0" collapsed="false">
      <c r="A19079" s="23" t="s">
        <v>510</v>
      </c>
      <c r="B19079" s="24"/>
      <c r="C19079" s="24"/>
      <c r="D19079" s="24"/>
      <c r="E19079" s="24"/>
      <c r="F19079" s="24"/>
      <c r="G19079" s="24"/>
      <c r="H19079" s="24"/>
      <c r="I19079" s="24"/>
      <c r="J19079" s="24"/>
      <c r="K19079" s="24"/>
    </row>
    <row r="19080" customFormat="false" ht="15" hidden="false" customHeight="false" outlineLevel="0" collapsed="false">
      <c r="A19080" s="3" t="s">
        <v>499</v>
      </c>
      <c r="C19080" s="25" t="n">
        <f aca="false">IF(C19076=0,0,C19064/C19076*MAX(0,MIN(C19076,$C$19042-SUM($C$19056:$C$19058)-C19072)))</f>
        <v>428.3744040576</v>
      </c>
    </row>
    <row r="19081" customFormat="false" ht="15" hidden="false" customHeight="false" outlineLevel="0" collapsed="false">
      <c r="A19081" s="3" t="s">
        <v>500</v>
      </c>
      <c r="C19081" s="25" t="n">
        <f aca="false">IF(C19077=0,0,C19065/C19077*MAX(0,MIN(C19077,$C$19042-SUM($C$19056:$C$19058)-C19073)))</f>
        <v>0</v>
      </c>
    </row>
    <row r="19082" customFormat="false" ht="15" hidden="false" customHeight="false" outlineLevel="0" collapsed="false">
      <c r="A19082" s="3" t="s">
        <v>501</v>
      </c>
      <c r="C19082" s="25" t="n">
        <f aca="false">IF(C19078=0,0,C19066/C19078*MAX(0,MIN(C19078,$C$19042-SUM($C$19056:$C$19058)-C19074)))</f>
        <v>0</v>
      </c>
    </row>
    <row r="19083" customFormat="false" ht="15" hidden="false" customHeight="false" outlineLevel="0" collapsed="false">
      <c r="A19083" s="23" t="s">
        <v>511</v>
      </c>
      <c r="B19083" s="24"/>
      <c r="C19083" s="24"/>
      <c r="D19083" s="24"/>
      <c r="E19083" s="24"/>
      <c r="F19083" s="24"/>
      <c r="G19083" s="24"/>
      <c r="H19083" s="24"/>
      <c r="I19083" s="24"/>
      <c r="J19083" s="24"/>
      <c r="K19083" s="24"/>
    </row>
    <row r="19084" customFormat="false" ht="15" hidden="false" customHeight="false" outlineLevel="0" collapsed="false">
      <c r="A19084" s="2" t="s">
        <v>499</v>
      </c>
      <c r="C19084" s="16" t="n">
        <f aca="false">C19056+C19080</f>
        <v>428.3744040576</v>
      </c>
    </row>
    <row r="19085" customFormat="false" ht="15" hidden="false" customHeight="false" outlineLevel="0" collapsed="false">
      <c r="A19085" s="2" t="s">
        <v>500</v>
      </c>
      <c r="C19085" s="16" t="n">
        <f aca="false">C19057+C19081</f>
        <v>0</v>
      </c>
    </row>
    <row r="19086" customFormat="false" ht="15" hidden="false" customHeight="false" outlineLevel="0" collapsed="false">
      <c r="A19086" s="2" t="s">
        <v>501</v>
      </c>
      <c r="C19086" s="16" t="n">
        <f aca="false">C19058+C19082</f>
        <v>0</v>
      </c>
    </row>
    <row r="19087" customFormat="false" ht="15" hidden="false" customHeight="false" outlineLevel="0" collapsed="false">
      <c r="A19087" s="23" t="s">
        <v>512</v>
      </c>
      <c r="B19087" s="24"/>
      <c r="C19087" s="24"/>
      <c r="D19087" s="24"/>
      <c r="E19087" s="24"/>
      <c r="F19087" s="24"/>
      <c r="G19087" s="24"/>
      <c r="H19087" s="24"/>
      <c r="I19087" s="24"/>
      <c r="J19087" s="24"/>
      <c r="K19087" s="24"/>
    </row>
    <row r="19088" customFormat="false" ht="15" hidden="false" customHeight="false" outlineLevel="0" collapsed="false">
      <c r="A19088" s="3" t="s">
        <v>499</v>
      </c>
      <c r="C19088" s="21" t="n">
        <f aca="false">IF(C19044=0,1,C19084/C19044)</f>
        <v>0.325735727723409</v>
      </c>
    </row>
    <row r="19089" customFormat="false" ht="15" hidden="false" customHeight="false" outlineLevel="0" collapsed="false">
      <c r="A19089" s="3" t="s">
        <v>500</v>
      </c>
      <c r="C19089" s="21" t="n">
        <f aca="false">IF(C19045=0,1,C19085/C19045)</f>
        <v>0</v>
      </c>
    </row>
    <row r="19090" customFormat="false" ht="15" hidden="false" customHeight="false" outlineLevel="0" collapsed="false">
      <c r="A19090" s="3" t="s">
        <v>501</v>
      </c>
      <c r="C19090" s="21" t="n">
        <f aca="false">IF(C19046=0,1,C19086/C19046)</f>
        <v>0</v>
      </c>
    </row>
    <row r="19091" customFormat="false" ht="15" hidden="false" customHeight="false" outlineLevel="0" collapsed="false">
      <c r="A19091" s="23" t="s">
        <v>513</v>
      </c>
      <c r="B19091" s="24"/>
      <c r="C19091" s="24"/>
      <c r="D19091" s="24"/>
      <c r="E19091" s="24"/>
      <c r="F19091" s="24"/>
      <c r="G19091" s="24"/>
      <c r="H19091" s="24"/>
      <c r="I19091" s="24"/>
      <c r="J19091" s="24"/>
      <c r="K19091" s="24"/>
    </row>
    <row r="19092" customFormat="false" ht="15" hidden="false" customHeight="false" outlineLevel="0" collapsed="false">
      <c r="A19092" s="3" t="s">
        <v>499</v>
      </c>
      <c r="C19092" s="25" t="n">
        <f aca="false">C19044-C19084</f>
        <v>886.7235959424</v>
      </c>
    </row>
    <row r="19093" customFormat="false" ht="15" hidden="false" customHeight="false" outlineLevel="0" collapsed="false">
      <c r="A19093" s="3" t="s">
        <v>500</v>
      </c>
      <c r="C19093" s="25" t="n">
        <f aca="false">C19045-C19085</f>
        <v>6.33403256832008</v>
      </c>
    </row>
    <row r="19094" customFormat="false" ht="15" hidden="false" customHeight="false" outlineLevel="0" collapsed="false">
      <c r="A19094" s="3" t="s">
        <v>501</v>
      </c>
      <c r="C19094" s="25" t="n">
        <f aca="false">C19046-C19086</f>
        <v>143.75</v>
      </c>
    </row>
    <row r="19095" customFormat="false" ht="15" hidden="false" customHeight="false" outlineLevel="0" collapsed="false">
      <c r="A19095" s="23" t="s">
        <v>514</v>
      </c>
      <c r="B19095" s="24"/>
      <c r="C19095" s="24"/>
      <c r="D19095" s="24"/>
      <c r="E19095" s="24"/>
      <c r="F19095" s="24"/>
      <c r="G19095" s="24"/>
      <c r="H19095" s="24"/>
      <c r="I19095" s="24"/>
      <c r="J19095" s="24"/>
      <c r="K19095" s="24"/>
    </row>
    <row r="19096" customFormat="false" ht="15" hidden="false" customHeight="false" outlineLevel="0" collapsed="false">
      <c r="A19096" s="3" t="s">
        <v>499</v>
      </c>
      <c r="C19096" s="21" t="n">
        <f aca="false">IF(C19044=0,0,C19092/C19044)</f>
        <v>0.674264272276591</v>
      </c>
    </row>
    <row r="19097" customFormat="false" ht="15" hidden="false" customHeight="false" outlineLevel="0" collapsed="false">
      <c r="A19097" s="3" t="s">
        <v>500</v>
      </c>
      <c r="C19097" s="21" t="n">
        <f aca="false">IF(C19045=0,0,C19093/C19045)</f>
        <v>1</v>
      </c>
    </row>
    <row r="19098" customFormat="false" ht="15" hidden="false" customHeight="false" outlineLevel="0" collapsed="false">
      <c r="A19098" s="3" t="s">
        <v>501</v>
      </c>
      <c r="C19098" s="21" t="n">
        <f aca="false">IF(C19046=0,0,C19094/C19046)</f>
        <v>1</v>
      </c>
    </row>
    <row r="19099" customFormat="false" ht="15" hidden="false" customHeight="false" outlineLevel="0" collapsed="false">
      <c r="A19099" s="2" t="s">
        <v>515</v>
      </c>
      <c r="C19099" s="16" t="n">
        <f aca="false">MAX(0,$C$19042-SUM($C$19056:$C$19058)-SUM($C$19064:$C$19066))</f>
        <v>0</v>
      </c>
    </row>
    <row r="19100" customFormat="false" ht="15" hidden="false" customHeight="false" outlineLevel="0" collapsed="false">
      <c r="A19100" s="3" t="s">
        <v>533</v>
      </c>
      <c r="C19100" s="34" t="n">
        <f aca="false">MIN(C19041,100*CHOOSE(C19031,C19088,C19089,C19090))</f>
        <v>32.5735727723409</v>
      </c>
    </row>
    <row r="19101" customFormat="false" ht="15" hidden="false" customHeight="false" outlineLevel="0" collapsed="false">
      <c r="A19101" s="3" t="s">
        <v>534</v>
      </c>
      <c r="C19101" s="20" t="n">
        <f aca="false">IF(C18961=1,C19036+Assumptions!$C$39,C19035)</f>
        <v>4</v>
      </c>
    </row>
    <row r="19102" customFormat="false" ht="15" hidden="false" customHeight="false" outlineLevel="0" collapsed="false">
      <c r="A19102" s="23" t="s">
        <v>535</v>
      </c>
      <c r="B19102" s="24"/>
      <c r="C19102" s="24"/>
      <c r="D19102" s="24"/>
      <c r="E19102" s="24"/>
      <c r="F19102" s="24"/>
      <c r="G19102" s="24"/>
      <c r="H19102" s="24"/>
      <c r="I19102" s="24"/>
      <c r="J19102" s="24"/>
      <c r="K19102" s="24"/>
    </row>
    <row r="19103" customFormat="false" ht="15" hidden="false" customHeight="false" outlineLevel="0" collapsed="false">
      <c r="A19103" s="3" t="s">
        <v>536</v>
      </c>
      <c r="C19103" s="20" t="n">
        <f aca="false">COLUMN()-COLUMN($C$1)</f>
        <v>0</v>
      </c>
      <c r="D19103" s="20" t="n">
        <f aca="false">COLUMN()-COLUMN($C$1)</f>
        <v>1</v>
      </c>
      <c r="E19103" s="20" t="n">
        <f aca="false">COLUMN()-COLUMN($C$1)</f>
        <v>2</v>
      </c>
      <c r="F19103" s="20" t="n">
        <f aca="false">COLUMN()-COLUMN($C$1)</f>
        <v>3</v>
      </c>
      <c r="G19103" s="20" t="n">
        <f aca="false">COLUMN()-COLUMN($C$1)</f>
        <v>4</v>
      </c>
      <c r="H19103" s="20" t="n">
        <f aca="false">COLUMN()-COLUMN($C$1)</f>
        <v>5</v>
      </c>
      <c r="I19103" s="20" t="n">
        <f aca="false">COLUMN()-COLUMN($C$1)</f>
        <v>6</v>
      </c>
    </row>
    <row r="19104" customFormat="false" ht="15" hidden="false" customHeight="false" outlineLevel="0" collapsed="false">
      <c r="A19104" s="3" t="s">
        <v>537</v>
      </c>
      <c r="D19104" s="31" t="n">
        <f aca="false">CHOOSE($C$19031,G18844,G18857,G18870)</f>
        <v>0.105</v>
      </c>
      <c r="E19104" s="31" t="n">
        <f aca="false">CHOOSE($C$19031,H18844,H18857,H18870)</f>
        <v>0.105</v>
      </c>
      <c r="F19104" s="31" t="n">
        <f aca="false">CHOOSE($C$19031,I18844,I18857,I18870)</f>
        <v>0.105</v>
      </c>
      <c r="G19104" s="31" t="n">
        <f aca="false">CHOOSE($C$19031,J18844,J18857,J18870)</f>
        <v>0.105</v>
      </c>
      <c r="H19104" s="31" t="n">
        <f aca="false">CHOOSE($C$19031,K18844,K18857,K18870)</f>
        <v>0.105</v>
      </c>
    </row>
    <row r="19105" customFormat="false" ht="15" hidden="false" customHeight="false" outlineLevel="0" collapsed="false">
      <c r="A19105" s="3" t="s">
        <v>538</v>
      </c>
      <c r="D19105" s="25" t="n">
        <f aca="false">IF(D19103&lt;=$C$19040,$C$19032*D19104,0)</f>
        <v>10.5</v>
      </c>
      <c r="E19105" s="25" t="n">
        <f aca="false">IF(E19103&lt;=$C$19040,$C$19032*E19104,0)</f>
        <v>10.5</v>
      </c>
      <c r="F19105" s="25" t="n">
        <f aca="false">IF(F19103&lt;=$C$19040,$C$19032*F19104,0)</f>
        <v>10.5</v>
      </c>
      <c r="G19105" s="25" t="n">
        <f aca="false">IF(G19103&lt;=$C$19040,$C$19032*G19104,0)</f>
        <v>0</v>
      </c>
      <c r="H19105" s="25" t="n">
        <f aca="false">IF(H19103&lt;=$C$19040,$C$19032*H19104,0)</f>
        <v>0</v>
      </c>
    </row>
    <row r="19106" customFormat="false" ht="15" hidden="false" customHeight="false" outlineLevel="0" collapsed="false">
      <c r="A19106" s="3" t="s">
        <v>539</v>
      </c>
      <c r="D19106" s="25" t="n">
        <f aca="false">IF(AND($C$18961=0,D19103=$C$19035),$C$19032*$C$19100/100,0)+IF(AND($C$18961=1,D19103=$C$19101),$C$19038,0)</f>
        <v>0</v>
      </c>
      <c r="E19106" s="25" t="n">
        <f aca="false">IF(AND($C$18961=0,E19103=$C$19035),$C$19032*$C$19100/100,0)+IF(AND($C$18961=1,E19103=$C$19101),$C$19038,0)</f>
        <v>0</v>
      </c>
      <c r="F19106" s="25" t="n">
        <f aca="false">IF(AND($C$18961=0,F19103=$C$19035),$C$19032*$C$19100/100,0)+IF(AND($C$18961=1,F19103=$C$19101),$C$19038,0)</f>
        <v>0</v>
      </c>
      <c r="G19106" s="25" t="n">
        <f aca="false">IF(AND($C$18961=0,G19103=$C$19035),$C$19032*$C$19100/100,0)+IF(AND($C$18961=1,G19103=$C$19101),$C$19038,0)</f>
        <v>34.945728090226</v>
      </c>
      <c r="H19106" s="25" t="n">
        <f aca="false">IF(AND($C$18961=0,H19103=$C$19035),$C$19032*$C$19100/100,0)+IF(AND($C$18961=1,H19103=$C$19101),$C$19038,0)</f>
        <v>0</v>
      </c>
      <c r="I19106" s="25" t="n">
        <f aca="false">IF(AND($C$18961=0,I19103=$C$19035),$C$19032*$C$19100/100,0)+IF(AND($C$18961=1,I19103=$C$19101),$C$19038,0)</f>
        <v>0</v>
      </c>
    </row>
    <row r="19107" customFormat="false" ht="15" hidden="false" customHeight="false" outlineLevel="0" collapsed="false">
      <c r="A19107" s="2" t="s">
        <v>540</v>
      </c>
      <c r="C19107" s="16" t="n">
        <f aca="false">-$C$19034</f>
        <v>-95</v>
      </c>
      <c r="D19107" s="16" t="n">
        <f aca="false">D19105+D19106</f>
        <v>10.5</v>
      </c>
      <c r="E19107" s="16" t="n">
        <f aca="false">E19105+E19106</f>
        <v>10.5</v>
      </c>
      <c r="F19107" s="16" t="n">
        <f aca="false">F19105+F19106</f>
        <v>10.5</v>
      </c>
      <c r="G19107" s="16" t="n">
        <f aca="false">G19105+G19106</f>
        <v>34.945728090226</v>
      </c>
      <c r="H19107" s="16" t="n">
        <f aca="false">H19105+H19106</f>
        <v>0</v>
      </c>
      <c r="I19107" s="16" t="n">
        <f aca="false">I19105+I19106</f>
        <v>0</v>
      </c>
    </row>
    <row r="19108" customFormat="false" ht="15" hidden="false" customHeight="false" outlineLevel="0" collapsed="false">
      <c r="A19108" s="3" t="s">
        <v>541</v>
      </c>
      <c r="C19108" s="25" t="n">
        <f aca="false">SUM($C$19105:$I$19105)</f>
        <v>31.5</v>
      </c>
    </row>
    <row r="19109" customFormat="false" ht="15" hidden="false" customHeight="false" outlineLevel="0" collapsed="false">
      <c r="A19109" s="3" t="s">
        <v>542</v>
      </c>
      <c r="C19109" s="25" t="n">
        <f aca="false">SUM($C$19106:$I$19106)</f>
        <v>34.945728090226</v>
      </c>
    </row>
    <row r="19110" customFormat="false" ht="15" hidden="false" customHeight="false" outlineLevel="0" collapsed="false">
      <c r="A19110" s="3" t="s">
        <v>543</v>
      </c>
      <c r="C19110" s="25" t="n">
        <f aca="false">C19108+C19109</f>
        <v>66.445728090226</v>
      </c>
    </row>
    <row r="19111" customFormat="false" ht="15" hidden="false" customHeight="false" outlineLevel="0" collapsed="false">
      <c r="A19111" s="3" t="s">
        <v>544</v>
      </c>
      <c r="C19111" s="25" t="n">
        <f aca="false">C19109-C19032*C19033/100</f>
        <v>-60.054271909774</v>
      </c>
    </row>
    <row r="19112" customFormat="false" ht="15" hidden="false" customHeight="false" outlineLevel="0" collapsed="false">
      <c r="A19112" s="3" t="s">
        <v>545</v>
      </c>
      <c r="C19112" s="25" t="n">
        <f aca="false">C19110-C19034</f>
        <v>-28.554271909774</v>
      </c>
    </row>
    <row r="19113" customFormat="false" ht="15" hidden="false" customHeight="false" outlineLevel="0" collapsed="false">
      <c r="A19113" s="2" t="s">
        <v>427</v>
      </c>
      <c r="C19113" s="44" t="n">
        <f aca="false">C19110/C19034</f>
        <v>0.699428716739221</v>
      </c>
    </row>
    <row r="19114" customFormat="false" ht="15" hidden="false" customHeight="false" outlineLevel="0" collapsed="false">
      <c r="A19114" s="2" t="s">
        <v>426</v>
      </c>
      <c r="C19114" s="42" t="n">
        <f aca="false">IF(C19110&lt;=0,-1,IFERROR(IRR($C$19107:$I$19107,MAX(-0.9,C19113^(1/C19101)-1)),IRR($C$19107:$I$19107,0.1)))</f>
        <v>-0.10811295237651</v>
      </c>
    </row>
    <row r="19115" customFormat="false" ht="15" hidden="false" customHeight="false" outlineLevel="0" collapsed="false">
      <c r="A19115" s="3" t="s">
        <v>546</v>
      </c>
      <c r="C19115" s="32" t="n">
        <f aca="false">MAX($G$18921:$K$18921)</f>
        <v>17.6426302993449</v>
      </c>
    </row>
    <row r="19116" customFormat="false" ht="15" hidden="false" customHeight="false" outlineLevel="0" collapsed="false">
      <c r="A19116" s="3" t="s">
        <v>547</v>
      </c>
      <c r="C19116" s="32" t="n">
        <f aca="false">MIN($G$18922:$K$18922)</f>
        <v>0.641091448545568</v>
      </c>
    </row>
    <row r="19117" customFormat="false" ht="15" hidden="false" customHeight="false" outlineLevel="0" collapsed="false">
      <c r="A19117" s="3" t="s">
        <v>548</v>
      </c>
      <c r="C19117" s="25" t="n">
        <f aca="false">SUM($G$18828:$K$18828)</f>
        <v>-362.406198194027</v>
      </c>
    </row>
    <row r="19121" customFormat="false" ht="15" hidden="false" customHeight="false" outlineLevel="0" collapsed="false">
      <c r="A19121" s="9" t="s">
        <v>1073</v>
      </c>
      <c r="B19121" s="10"/>
      <c r="C19121" s="10"/>
      <c r="D19121" s="10"/>
      <c r="E19121" s="10"/>
      <c r="F19121" s="10"/>
      <c r="G19121" s="10"/>
      <c r="H19121" s="10"/>
      <c r="I19121" s="10"/>
      <c r="J19121" s="10"/>
      <c r="K19121" s="10"/>
    </row>
    <row r="19122" customFormat="false" ht="15" hidden="false" customHeight="false" outlineLevel="0" collapsed="false">
      <c r="A19122" s="3" t="s">
        <v>1010</v>
      </c>
      <c r="C19122" s="11" t="n">
        <v>3</v>
      </c>
    </row>
    <row r="19123" customFormat="false" ht="15" hidden="false" customHeight="false" outlineLevel="0" collapsed="false">
      <c r="A19123" s="3" t="s">
        <v>1011</v>
      </c>
      <c r="C19123" s="18" t="n">
        <v>0</v>
      </c>
    </row>
    <row r="19124" customFormat="false" ht="15" hidden="false" customHeight="false" outlineLevel="0" collapsed="false">
      <c r="A19124" s="3" t="s">
        <v>1012</v>
      </c>
      <c r="C19124" s="18" t="n">
        <v>0</v>
      </c>
    </row>
    <row r="19125" customFormat="false" ht="15" hidden="false" customHeight="false" outlineLevel="0" collapsed="false">
      <c r="A19125" s="3" t="s">
        <v>1013</v>
      </c>
      <c r="C19125" s="18" t="n">
        <v>0</v>
      </c>
    </row>
    <row r="19126" customFormat="false" ht="15" hidden="false" customHeight="false" outlineLevel="0" collapsed="false">
      <c r="A19126" s="3" t="s">
        <v>1014</v>
      </c>
      <c r="C19126" s="33" t="n">
        <f aca="false">Sensitivities!$A$61</f>
        <v>-1</v>
      </c>
    </row>
    <row r="19128" customFormat="false" ht="15" hidden="false" customHeight="false" outlineLevel="0" collapsed="false">
      <c r="A19128" s="23" t="s">
        <v>281</v>
      </c>
      <c r="B19128" s="24"/>
      <c r="C19128" s="24"/>
      <c r="D19128" s="24"/>
      <c r="E19128" s="24"/>
      <c r="F19128" s="24"/>
      <c r="G19128" s="24"/>
      <c r="H19128" s="24"/>
      <c r="I19128" s="24"/>
      <c r="J19128" s="24"/>
      <c r="K19128" s="24"/>
    </row>
    <row r="19129" customFormat="false" ht="15" hidden="false" customHeight="false" outlineLevel="0" collapsed="false">
      <c r="A19129" s="3" t="s">
        <v>282</v>
      </c>
      <c r="F19129" s="27" t="n">
        <f aca="false">Assumptions!$C$6</f>
        <v>2026</v>
      </c>
      <c r="G19129" s="20" t="n">
        <f aca="false">F19129+1</f>
        <v>2027</v>
      </c>
      <c r="H19129" s="20" t="n">
        <f aca="false">G19129+1</f>
        <v>2028</v>
      </c>
      <c r="I19129" s="20" t="n">
        <f aca="false">H19129+1</f>
        <v>2029</v>
      </c>
      <c r="J19129" s="20" t="n">
        <f aca="false">I19129+1</f>
        <v>2030</v>
      </c>
      <c r="K19129" s="20" t="n">
        <f aca="false">J19129+1</f>
        <v>2031</v>
      </c>
    </row>
    <row r="19130" customFormat="false" ht="15" hidden="false" customHeight="false" outlineLevel="0" collapsed="false">
      <c r="A19130" s="3" t="s">
        <v>283</v>
      </c>
      <c r="G19130" s="20" t="n">
        <f aca="false">G19129-Assumptions!$C$6</f>
        <v>1</v>
      </c>
      <c r="H19130" s="20" t="n">
        <f aca="false">H19129-Assumptions!$C$6</f>
        <v>2</v>
      </c>
      <c r="I19130" s="20" t="n">
        <f aca="false">I19129-Assumptions!$C$6</f>
        <v>3</v>
      </c>
      <c r="J19130" s="20" t="n">
        <f aca="false">J19129-Assumptions!$C$6</f>
        <v>4</v>
      </c>
      <c r="K19130" s="20" t="n">
        <f aca="false">K19129-Assumptions!$C$6</f>
        <v>5</v>
      </c>
    </row>
    <row r="19131" customFormat="false" ht="15" hidden="false" customHeight="false" outlineLevel="0" collapsed="false">
      <c r="A19131" s="3" t="s">
        <v>165</v>
      </c>
      <c r="G19131" s="21" t="n">
        <f aca="false">CHOOSE($C$19122,Assumptions!$G$71,Assumptions!$G$90,Assumptions!$G$109)+$C$19123</f>
        <v>-0.14</v>
      </c>
      <c r="H19131" s="21" t="n">
        <f aca="false">CHOOSE($C$19122,Assumptions!$H$71,Assumptions!$H$90,Assumptions!$H$109)+$C$19123</f>
        <v>-0.12</v>
      </c>
      <c r="I19131" s="21" t="n">
        <f aca="false">CHOOSE($C$19122,Assumptions!$I$71,Assumptions!$I$90,Assumptions!$I$109)+$C$19123</f>
        <v>-0.1</v>
      </c>
      <c r="J19131" s="21" t="n">
        <f aca="false">CHOOSE($C$19122,Assumptions!$J$71,Assumptions!$J$90,Assumptions!$J$109)+$C$19123</f>
        <v>-0.08</v>
      </c>
      <c r="K19131" s="21" t="n">
        <f aca="false">CHOOSE($C$19122,Assumptions!$K$71,Assumptions!$K$90,Assumptions!$K$109)+$C$19123</f>
        <v>-0.06</v>
      </c>
    </row>
    <row r="19132" customFormat="false" ht="15" hidden="false" customHeight="false" outlineLevel="0" collapsed="false">
      <c r="A19132" s="3" t="s">
        <v>166</v>
      </c>
      <c r="G19132" s="21" t="n">
        <f aca="false">CHOOSE($C$19122,Assumptions!$G$72,Assumptions!$G$91,Assumptions!$G$110)</f>
        <v>0.433246670103635</v>
      </c>
      <c r="H19132" s="21" t="n">
        <f aca="false">CHOOSE($C$19122,Assumptions!$H$72,Assumptions!$H$91,Assumptions!$H$110)</f>
        <v>0.418246670103635</v>
      </c>
      <c r="I19132" s="21" t="n">
        <f aca="false">CHOOSE($C$19122,Assumptions!$I$72,Assumptions!$I$91,Assumptions!$I$110)</f>
        <v>0.413246670103635</v>
      </c>
      <c r="J19132" s="21" t="n">
        <f aca="false">CHOOSE($C$19122,Assumptions!$J$72,Assumptions!$J$91,Assumptions!$J$110)</f>
        <v>0.413246670103635</v>
      </c>
      <c r="K19132" s="21" t="n">
        <f aca="false">CHOOSE($C$19122,Assumptions!$K$72,Assumptions!$K$91,Assumptions!$K$110)</f>
        <v>0.413246670103635</v>
      </c>
    </row>
    <row r="19133" customFormat="false" ht="15" hidden="false" customHeight="false" outlineLevel="0" collapsed="false">
      <c r="A19133" s="3" t="s">
        <v>167</v>
      </c>
      <c r="G19133" s="21" t="n">
        <f aca="false">CHOOSE($C$19122,Assumptions!$G$73,Assumptions!$G$92,Assumptions!$G$111)+$C$19124</f>
        <v>0.09</v>
      </c>
      <c r="H19133" s="21" t="n">
        <f aca="false">CHOOSE($C$19122,Assumptions!$H$73,Assumptions!$H$92,Assumptions!$H$111)+$C$19124</f>
        <v>0.075</v>
      </c>
      <c r="I19133" s="21" t="n">
        <f aca="false">CHOOSE($C$19122,Assumptions!$I$73,Assumptions!$I$92,Assumptions!$I$111)+$C$19124</f>
        <v>0.07</v>
      </c>
      <c r="J19133" s="21" t="n">
        <f aca="false">CHOOSE($C$19122,Assumptions!$J$73,Assumptions!$J$92,Assumptions!$J$111)+$C$19124</f>
        <v>0.07</v>
      </c>
      <c r="K19133" s="21" t="n">
        <f aca="false">CHOOSE($C$19122,Assumptions!$K$73,Assumptions!$K$92,Assumptions!$K$111)+$C$19124</f>
        <v>0.07</v>
      </c>
    </row>
    <row r="19134" customFormat="false" ht="15" hidden="false" customHeight="false" outlineLevel="0" collapsed="false">
      <c r="A19134" s="23" t="s">
        <v>284</v>
      </c>
      <c r="B19134" s="24"/>
      <c r="C19134" s="24"/>
      <c r="D19134" s="24"/>
      <c r="E19134" s="24"/>
      <c r="F19134" s="24"/>
      <c r="G19134" s="24"/>
      <c r="H19134" s="24"/>
      <c r="I19134" s="24"/>
      <c r="J19134" s="24"/>
      <c r="K19134" s="24"/>
    </row>
    <row r="19135" customFormat="false" ht="15" hidden="false" customHeight="false" outlineLevel="0" collapsed="false">
      <c r="A19135" s="2" t="s">
        <v>256</v>
      </c>
      <c r="F19135" s="28" t="n">
        <f aca="false">'Historical Financials'!G23</f>
        <v>2246.166</v>
      </c>
      <c r="G19135" s="16" t="n">
        <f aca="false">F19135*(1+G19131)</f>
        <v>1931.70276</v>
      </c>
      <c r="H19135" s="16" t="n">
        <f aca="false">G19135*(1+H19131)</f>
        <v>1699.8984288</v>
      </c>
      <c r="I19135" s="16" t="n">
        <f aca="false">H19135*(1+I19131)</f>
        <v>1529.90858592</v>
      </c>
      <c r="J19135" s="16" t="n">
        <f aca="false">I19135*(1+J19131)</f>
        <v>1407.5158990464</v>
      </c>
      <c r="K19135" s="16" t="n">
        <f aca="false">J19135*(1+K19131)</f>
        <v>1323.06494510362</v>
      </c>
    </row>
    <row r="19136" customFormat="false" ht="15" hidden="false" customHeight="false" outlineLevel="0" collapsed="false">
      <c r="A19136" s="3" t="s">
        <v>257</v>
      </c>
      <c r="G19136" s="25" t="n">
        <f aca="false">G19135*(1-G19132)</f>
        <v>1094.7989716</v>
      </c>
      <c r="H19136" s="25" t="n">
        <f aca="false">H19135*(1-H19132)</f>
        <v>988.92157144</v>
      </c>
      <c r="I19136" s="25" t="n">
        <f aca="false">I19135*(1-I19132)</f>
        <v>897.6789572256</v>
      </c>
      <c r="J19136" s="25" t="n">
        <f aca="false">J19135*(1-J19132)</f>
        <v>825.864640647552</v>
      </c>
      <c r="K19136" s="25" t="n">
        <f aca="false">K19135*(1-K19132)</f>
        <v>776.312762208699</v>
      </c>
    </row>
    <row r="19137" customFormat="false" ht="15" hidden="false" customHeight="false" outlineLevel="0" collapsed="false">
      <c r="A19137" s="2" t="s">
        <v>258</v>
      </c>
      <c r="G19137" s="16" t="n">
        <f aca="false">G19135-G19136</f>
        <v>836.9037884</v>
      </c>
      <c r="H19137" s="16" t="n">
        <f aca="false">H19135-H19136</f>
        <v>710.97685736</v>
      </c>
      <c r="I19137" s="16" t="n">
        <f aca="false">I19135-I19136</f>
        <v>632.2296286944</v>
      </c>
      <c r="J19137" s="16" t="n">
        <f aca="false">J19135-J19136</f>
        <v>581.651258398848</v>
      </c>
      <c r="K19137" s="16" t="n">
        <f aca="false">K19135-K19136</f>
        <v>546.752182894917</v>
      </c>
    </row>
    <row r="19138" customFormat="false" ht="15" hidden="false" customHeight="false" outlineLevel="0" collapsed="false">
      <c r="A19138" s="3" t="s">
        <v>285</v>
      </c>
      <c r="G19138" s="25" t="n">
        <f aca="false">G19137-G19139</f>
        <v>663.05054</v>
      </c>
      <c r="H19138" s="25" t="n">
        <f aca="false">H19137-H19139</f>
        <v>583.4844752</v>
      </c>
      <c r="I19138" s="25" t="n">
        <f aca="false">I19137-I19139</f>
        <v>525.13602768</v>
      </c>
      <c r="J19138" s="25" t="n">
        <f aca="false">J19137-J19139</f>
        <v>483.1251454656</v>
      </c>
      <c r="K19138" s="25" t="n">
        <f aca="false">K19137-K19139</f>
        <v>454.137636737664</v>
      </c>
    </row>
    <row r="19139" customFormat="false" ht="15" hidden="false" customHeight="false" outlineLevel="0" collapsed="false">
      <c r="A19139" s="2" t="s">
        <v>286</v>
      </c>
      <c r="G19139" s="16" t="n">
        <f aca="false">G19135*G19133</f>
        <v>173.8532484</v>
      </c>
      <c r="H19139" s="16" t="n">
        <f aca="false">H19135*H19133</f>
        <v>127.49238216</v>
      </c>
      <c r="I19139" s="16" t="n">
        <f aca="false">I19135*I19133</f>
        <v>107.0936010144</v>
      </c>
      <c r="J19139" s="16" t="n">
        <f aca="false">J19135*J19133</f>
        <v>98.526112933248</v>
      </c>
      <c r="K19139" s="16" t="n">
        <f aca="false">K19135*K19133</f>
        <v>92.6145461572531</v>
      </c>
    </row>
    <row r="19140" customFormat="false" ht="15" hidden="false" customHeight="false" outlineLevel="0" collapsed="false">
      <c r="A19140" s="3" t="s">
        <v>287</v>
      </c>
      <c r="G19140" s="25" t="n">
        <f aca="false">G19135*'Historical Financials'!G28/'Historical Financials'!G23</f>
        <v>73.35456</v>
      </c>
      <c r="H19140" s="25" t="n">
        <f aca="false">H19135*'Historical Financials'!G28/'Historical Financials'!G23</f>
        <v>64.5520128</v>
      </c>
      <c r="I19140" s="25" t="n">
        <f aca="false">I19135*'Historical Financials'!G28/'Historical Financials'!G23</f>
        <v>58.09681152</v>
      </c>
      <c r="J19140" s="25" t="n">
        <f aca="false">J19135*'Historical Financials'!G28/'Historical Financials'!G23</f>
        <v>53.4490665984</v>
      </c>
      <c r="K19140" s="25" t="n">
        <f aca="false">K19135*'Historical Financials'!G28/'Historical Financials'!G23</f>
        <v>50.242122602496</v>
      </c>
    </row>
    <row r="19141" customFormat="false" ht="15" hidden="false" customHeight="false" outlineLevel="0" collapsed="false">
      <c r="A19141" s="3" t="s">
        <v>288</v>
      </c>
      <c r="G19141" s="25" t="n">
        <f aca="false">G19135*'Historical Financials'!G29/'Historical Financials'!G23</f>
        <v>20.94616</v>
      </c>
      <c r="H19141" s="25" t="n">
        <f aca="false">H19135*'Historical Financials'!G29/'Historical Financials'!G23</f>
        <v>18.4326208</v>
      </c>
      <c r="I19141" s="25" t="n">
        <f aca="false">I19135*'Historical Financials'!G29/'Historical Financials'!G23</f>
        <v>16.58935872</v>
      </c>
      <c r="J19141" s="25" t="n">
        <f aca="false">J19135*'Historical Financials'!G29/'Historical Financials'!G23</f>
        <v>15.2622100224</v>
      </c>
      <c r="K19141" s="25" t="n">
        <f aca="false">K19135*'Historical Financials'!G29/'Historical Financials'!G23</f>
        <v>14.346477421056</v>
      </c>
    </row>
    <row r="19142" customFormat="false" ht="15" hidden="false" customHeight="false" outlineLevel="0" collapsed="false">
      <c r="A19142" s="2" t="s">
        <v>289</v>
      </c>
      <c r="G19142" s="16" t="n">
        <f aca="false">G19139-G19140-G19141</f>
        <v>79.5525284</v>
      </c>
      <c r="H19142" s="16" t="n">
        <f aca="false">H19139-H19140-H19141</f>
        <v>44.50774856</v>
      </c>
      <c r="I19142" s="16" t="n">
        <f aca="false">I19139-I19140-I19141</f>
        <v>32.4074307744</v>
      </c>
      <c r="J19142" s="16" t="n">
        <f aca="false">J19139-J19140-J19141</f>
        <v>29.814836312448</v>
      </c>
      <c r="K19142" s="16" t="n">
        <f aca="false">K19139-K19140-K19141</f>
        <v>28.0259461337011</v>
      </c>
    </row>
    <row r="19143" customFormat="false" ht="15" hidden="false" customHeight="false" outlineLevel="0" collapsed="false">
      <c r="A19143" s="3" t="s">
        <v>290</v>
      </c>
      <c r="G19143" s="25" t="n">
        <f aca="false">G19169+G19182+G19195</f>
        <v>155.95467</v>
      </c>
      <c r="H19143" s="25" t="n">
        <f aca="false">H19169+H19182+H19195</f>
        <v>155.95467</v>
      </c>
      <c r="I19143" s="25" t="n">
        <f aca="false">I19169+I19182+I19195</f>
        <v>155.95467</v>
      </c>
      <c r="J19143" s="25" t="n">
        <f aca="false">J19169+J19182+J19195</f>
        <v>144.463861384154</v>
      </c>
      <c r="K19143" s="25" t="n">
        <f aca="false">K19169+K19182+K19195</f>
        <v>144.463861384154</v>
      </c>
    </row>
    <row r="19144" customFormat="false" ht="15" hidden="false" customHeight="false" outlineLevel="0" collapsed="false">
      <c r="A19144" s="3" t="s">
        <v>291</v>
      </c>
      <c r="G19144" s="25" t="n">
        <f aca="false">G19170+G19183+G19196</f>
        <v>0</v>
      </c>
      <c r="H19144" s="25" t="n">
        <f aca="false">H19170+H19183+H19196</f>
        <v>0</v>
      </c>
      <c r="I19144" s="25" t="n">
        <f aca="false">I19170+I19183+I19196</f>
        <v>0</v>
      </c>
      <c r="J19144" s="25" t="n">
        <f aca="false">J19170+J19183+J19196</f>
        <v>0</v>
      </c>
      <c r="K19144" s="25" t="n">
        <f aca="false">K19170+K19183+K19196</f>
        <v>0</v>
      </c>
    </row>
    <row r="19145" customFormat="false" ht="15" hidden="false" customHeight="false" outlineLevel="0" collapsed="false">
      <c r="A19145" s="3" t="s">
        <v>239</v>
      </c>
      <c r="G19145" s="25" t="n">
        <f aca="false">G19143+G19144</f>
        <v>155.95467</v>
      </c>
      <c r="H19145" s="25" t="n">
        <f aca="false">H19143+H19144</f>
        <v>155.95467</v>
      </c>
      <c r="I19145" s="25" t="n">
        <f aca="false">I19143+I19144</f>
        <v>155.95467</v>
      </c>
      <c r="J19145" s="25" t="n">
        <f aca="false">J19143+J19144</f>
        <v>144.463861384154</v>
      </c>
      <c r="K19145" s="25" t="n">
        <f aca="false">K19143+K19144</f>
        <v>144.463861384154</v>
      </c>
    </row>
    <row r="19146" customFormat="false" ht="15" hidden="false" customHeight="false" outlineLevel="0" collapsed="false">
      <c r="A19146" s="2" t="s">
        <v>264</v>
      </c>
      <c r="G19146" s="16" t="n">
        <f aca="false">G19142-G19145</f>
        <v>-76.4021416</v>
      </c>
      <c r="H19146" s="16" t="n">
        <f aca="false">H19142-H19145</f>
        <v>-111.44692144</v>
      </c>
      <c r="I19146" s="16" t="n">
        <f aca="false">I19142-I19145</f>
        <v>-123.5472392256</v>
      </c>
      <c r="J19146" s="16" t="n">
        <f aca="false">J19142-J19145</f>
        <v>-114.649025071706</v>
      </c>
      <c r="K19146" s="16" t="n">
        <f aca="false">K19142-K19145</f>
        <v>-116.437915250452</v>
      </c>
    </row>
    <row r="19147" customFormat="false" ht="15" hidden="false" customHeight="false" outlineLevel="0" collapsed="false">
      <c r="A19147" s="3" t="s">
        <v>292</v>
      </c>
      <c r="G19147" s="25" t="n">
        <f aca="false">MAX(0,G19146)*Assumptions!$C$9</f>
        <v>0</v>
      </c>
      <c r="H19147" s="25" t="n">
        <f aca="false">MAX(0,H19146)*Assumptions!$C$9</f>
        <v>0</v>
      </c>
      <c r="I19147" s="25" t="n">
        <f aca="false">MAX(0,I19146)*Assumptions!$C$9</f>
        <v>0</v>
      </c>
      <c r="J19147" s="25" t="n">
        <f aca="false">MAX(0,J19146)*Assumptions!$C$9</f>
        <v>0</v>
      </c>
      <c r="K19147" s="25" t="n">
        <f aca="false">MAX(0,K19146)*Assumptions!$C$9</f>
        <v>0</v>
      </c>
    </row>
    <row r="19148" customFormat="false" ht="15" hidden="false" customHeight="false" outlineLevel="0" collapsed="false">
      <c r="A19148" s="2" t="s">
        <v>293</v>
      </c>
      <c r="G19148" s="16" t="n">
        <f aca="false">G19146-G19147</f>
        <v>-76.4021416</v>
      </c>
      <c r="H19148" s="16" t="n">
        <f aca="false">H19146-H19147</f>
        <v>-111.44692144</v>
      </c>
      <c r="I19148" s="16" t="n">
        <f aca="false">I19146-I19147</f>
        <v>-123.5472392256</v>
      </c>
      <c r="J19148" s="16" t="n">
        <f aca="false">J19146-J19147</f>
        <v>-114.649025071706</v>
      </c>
      <c r="K19148" s="16" t="n">
        <f aca="false">K19146-K19147</f>
        <v>-116.437915250452</v>
      </c>
    </row>
    <row r="19149" customFormat="false" ht="15" hidden="false" customHeight="false" outlineLevel="0" collapsed="false">
      <c r="A19149" s="23" t="s">
        <v>294</v>
      </c>
      <c r="B19149" s="24"/>
      <c r="C19149" s="24"/>
      <c r="D19149" s="24"/>
      <c r="E19149" s="24"/>
      <c r="F19149" s="24"/>
      <c r="G19149" s="24"/>
      <c r="H19149" s="24"/>
      <c r="I19149" s="24"/>
      <c r="J19149" s="24"/>
      <c r="K19149" s="24"/>
    </row>
    <row r="19150" customFormat="false" ht="15" hidden="false" customHeight="false" outlineLevel="0" collapsed="false">
      <c r="A19150" s="3" t="s">
        <v>169</v>
      </c>
      <c r="G19150" s="25" t="n">
        <f aca="false">G19135*CHOOSE($C$19122,Assumptions!$C$75,Assumptions!$C$94,Assumptions!$C$113)</f>
        <v>21.24873036</v>
      </c>
      <c r="H19150" s="25" t="n">
        <f aca="false">H19135*CHOOSE($C$19122,Assumptions!$C$75,Assumptions!$C$94,Assumptions!$C$113)</f>
        <v>18.6988827168</v>
      </c>
      <c r="I19150" s="25" t="n">
        <f aca="false">I19135*CHOOSE($C$19122,Assumptions!$C$75,Assumptions!$C$94,Assumptions!$C$113)</f>
        <v>16.82899444512</v>
      </c>
      <c r="J19150" s="25" t="n">
        <f aca="false">J19135*CHOOSE($C$19122,Assumptions!$C$75,Assumptions!$C$94,Assumptions!$C$113)</f>
        <v>15.4826748895104</v>
      </c>
      <c r="K19150" s="25" t="n">
        <f aca="false">K19135*CHOOSE($C$19122,Assumptions!$C$75,Assumptions!$C$94,Assumptions!$C$113)</f>
        <v>14.5537143961398</v>
      </c>
    </row>
    <row r="19151" customFormat="false" ht="15" hidden="false" customHeight="false" outlineLevel="0" collapsed="false">
      <c r="A19151" s="3" t="s">
        <v>295</v>
      </c>
      <c r="G19151" s="25" t="n">
        <f aca="false">CHOOSE($C$19122,Assumptions!$C$76,Assumptions!$C$95,Assumptions!$C$114)*(G19135-F19135)+CHOOSE($C$19122,Assumptions!$C$77,Assumptions!$C$96,Assumptions!$C$115)*G19135</f>
        <v>28.9755414</v>
      </c>
      <c r="H19151" s="25" t="n">
        <f aca="false">CHOOSE($C$19122,Assumptions!$C$76,Assumptions!$C$95,Assumptions!$C$114)*(H19135-G19135)+CHOOSE($C$19122,Assumptions!$C$77,Assumptions!$C$96,Assumptions!$C$115)*H19135</f>
        <v>25.498476432</v>
      </c>
      <c r="I19151" s="25" t="n">
        <f aca="false">CHOOSE($C$19122,Assumptions!$C$76,Assumptions!$C$95,Assumptions!$C$114)*(I19135-H19135)+CHOOSE($C$19122,Assumptions!$C$77,Assumptions!$C$96,Assumptions!$C$115)*I19135</f>
        <v>22.9486287888</v>
      </c>
      <c r="J19151" s="25" t="n">
        <f aca="false">CHOOSE($C$19122,Assumptions!$C$76,Assumptions!$C$95,Assumptions!$C$114)*(J19135-I19135)+CHOOSE($C$19122,Assumptions!$C$77,Assumptions!$C$96,Assumptions!$C$115)*J19135</f>
        <v>21.112738485696</v>
      </c>
      <c r="K19151" s="25" t="n">
        <f aca="false">CHOOSE($C$19122,Assumptions!$C$76,Assumptions!$C$95,Assumptions!$C$114)*(K19135-J19135)+CHOOSE($C$19122,Assumptions!$C$77,Assumptions!$C$96,Assumptions!$C$115)*K19135</f>
        <v>19.8459741765542</v>
      </c>
    </row>
    <row r="19152" customFormat="false" ht="15" hidden="false" customHeight="false" outlineLevel="0" collapsed="false">
      <c r="A19152" s="2" t="s">
        <v>296</v>
      </c>
      <c r="G19152" s="16" t="n">
        <f aca="false">G19148+G19140+G19141+G19144-G19150-G19151</f>
        <v>-32.32569336</v>
      </c>
      <c r="H19152" s="16" t="n">
        <f aca="false">H19148+H19140+H19141+H19144-H19150-H19151</f>
        <v>-72.6596469888</v>
      </c>
      <c r="I19152" s="16" t="n">
        <f aca="false">I19148+I19140+I19141+I19144-I19150-I19151</f>
        <v>-88.63869221952</v>
      </c>
      <c r="J19152" s="16" t="n">
        <f aca="false">J19148+J19140+J19141+J19144-J19150-J19151</f>
        <v>-82.533161826112</v>
      </c>
      <c r="K19152" s="16" t="n">
        <f aca="false">K19148+K19140+K19141+K19144-K19150-K19151</f>
        <v>-86.2490037995945</v>
      </c>
    </row>
    <row r="19154" customFormat="false" ht="15" hidden="false" customHeight="false" outlineLevel="0" collapsed="false">
      <c r="A19154" s="23" t="s">
        <v>298</v>
      </c>
      <c r="B19154" s="24"/>
      <c r="C19154" s="24"/>
      <c r="D19154" s="24"/>
      <c r="E19154" s="24"/>
      <c r="F19154" s="24"/>
      <c r="G19154" s="24"/>
      <c r="H19154" s="24"/>
      <c r="I19154" s="24"/>
      <c r="J19154" s="24"/>
      <c r="K19154" s="24"/>
    </row>
    <row r="19155" customFormat="false" ht="15" hidden="false" customHeight="false" outlineLevel="0" collapsed="false">
      <c r="A19155" s="3" t="s">
        <v>299</v>
      </c>
      <c r="G19155" s="30" t="n">
        <f aca="false">Assumptions!$G$52</f>
        <v>0.039</v>
      </c>
      <c r="H19155" s="30" t="n">
        <f aca="false">Assumptions!$H$52</f>
        <v>0.0375</v>
      </c>
      <c r="I19155" s="30" t="n">
        <f aca="false">Assumptions!$I$52</f>
        <v>0.035</v>
      </c>
      <c r="J19155" s="30" t="n">
        <f aca="false">Assumptions!$J$52</f>
        <v>0.035</v>
      </c>
      <c r="K19155" s="30" t="n">
        <f aca="false">Assumptions!$K$52</f>
        <v>0.035</v>
      </c>
    </row>
    <row r="19156" customFormat="false" ht="15" hidden="false" customHeight="false" outlineLevel="0" collapsed="false">
      <c r="A19156" s="3" t="s">
        <v>300</v>
      </c>
      <c r="C19156" s="31" t="n">
        <f aca="false">CHOOSE($C$19122,Assumptions!$C$78,Assumptions!$C$97,Assumptions!$C$116)+$C$19125</f>
        <v>0.03</v>
      </c>
    </row>
    <row r="19157" customFormat="false" ht="15" hidden="false" customHeight="false" outlineLevel="0" collapsed="false">
      <c r="A19157" s="3" t="s">
        <v>301</v>
      </c>
      <c r="C19157" s="31" t="n">
        <f aca="false">CHOOSE($C$19122,Assumptions!$C$79,Assumptions!$C$98,Assumptions!$C$117)</f>
        <v>0.15</v>
      </c>
    </row>
    <row r="19158" customFormat="false" ht="15" hidden="false" customHeight="false" outlineLevel="0" collapsed="false">
      <c r="A19158" s="3" t="s">
        <v>302</v>
      </c>
      <c r="C19158" s="32" t="n">
        <f aca="false">CHOOSE($C$19122,Assumptions!$C$80,Assumptions!$C$99,Assumptions!$C$118)</f>
        <v>5</v>
      </c>
    </row>
    <row r="19159" customFormat="false" ht="15" hidden="false" customHeight="false" outlineLevel="0" collapsed="false">
      <c r="A19159" s="3" t="s">
        <v>303</v>
      </c>
      <c r="C19159" s="32" t="n">
        <f aca="false">CHOOSE($C$19122,Assumptions!$C$81,Assumptions!$C$100,Assumptions!$C$119)</f>
        <v>1.75</v>
      </c>
    </row>
    <row r="19160" customFormat="false" ht="15" hidden="false" customHeight="false" outlineLevel="0" collapsed="false">
      <c r="A19160" s="3" t="s">
        <v>304</v>
      </c>
      <c r="G19160" s="25" t="n">
        <f aca="false">G19165+G19178+G19191</f>
        <v>1735.554</v>
      </c>
      <c r="H19160" s="25" t="n">
        <f aca="false">H19165+H19178+H19191</f>
        <v>1735.554</v>
      </c>
      <c r="I19160" s="25" t="n">
        <f aca="false">I19165+I19178+I19191</f>
        <v>1735.554</v>
      </c>
      <c r="J19160" s="25" t="n">
        <f aca="false">J19165+J19178+J19191</f>
        <v>1465.18203256832</v>
      </c>
      <c r="K19160" s="25" t="n">
        <f aca="false">K19165+K19178+K19191</f>
        <v>1465.18203256832</v>
      </c>
    </row>
    <row r="19161" customFormat="false" ht="15" hidden="false" customHeight="false" outlineLevel="0" collapsed="false">
      <c r="A19161" s="3" t="s">
        <v>305</v>
      </c>
      <c r="G19161" s="25" t="n">
        <f aca="false">F19234</f>
        <v>463.996</v>
      </c>
      <c r="H19161" s="25" t="n">
        <f aca="false">G19234</f>
        <v>431.67030664</v>
      </c>
      <c r="I19161" s="25" t="n">
        <f aca="false">H19234</f>
        <v>359.0106596512</v>
      </c>
      <c r="J19161" s="25" t="n">
        <f aca="false">I19234</f>
        <v>0</v>
      </c>
      <c r="K19161" s="25" t="n">
        <f aca="false">J19234</f>
        <v>-82.533161826112</v>
      </c>
    </row>
    <row r="19162" customFormat="false" ht="15" hidden="false" customHeight="false" outlineLevel="0" collapsed="false">
      <c r="A19162" s="3" t="s">
        <v>306</v>
      </c>
      <c r="G19162" s="25" t="n">
        <f aca="false">G19165*IF(G19166=1,$C$19157,IF(Assumptions!$I$56=1,MAX(G19155,Assumptions!$G$56)+Assumptions!$F$56+$C$19156,Assumptions!$E$56))+G19178*IF(G19179=1,$C$19157,IF(Assumptions!$I$57=1,MAX(G19155,Assumptions!$G$57)+Assumptions!$F$57+$C$19156,Assumptions!$E$57))+G19191*IF(G19192=1,$C$19157,IF(Assumptions!$I$58=1,MAX(G19155,Assumptions!$G$58)+Assumptions!$F$58+$C$19156,Assumptions!$E$58))</f>
        <v>155.95467</v>
      </c>
      <c r="H19162" s="25" t="n">
        <f aca="false">H19165*IF(OR(H19166=1,G19312=1),$C$19157,IF(Assumptions!$I$56=1,MAX(H19155,Assumptions!$G$56)+Assumptions!$F$56+$C$19156,Assumptions!$E$56))+H19178*IF(OR(H19179=1,G19313=1),$C$19157,IF(Assumptions!$I$57=1,MAX(H19155,Assumptions!$G$57)+Assumptions!$F$57+$C$19156,Assumptions!$E$57))+H19191*IF(OR(H19192=1,G19314=1),$C$19157,IF(Assumptions!$I$58=1,MAX(H19155,Assumptions!$G$58)+Assumptions!$F$58+$C$19156,Assumptions!$E$58))</f>
        <v>155.95467</v>
      </c>
      <c r="I19162" s="25" t="n">
        <f aca="false">I19165*IF(OR(I19166=1,H19312=1),$C$19157,IF(Assumptions!$I$56=1,MAX(I19155,Assumptions!$G$56)+Assumptions!$F$56+$C$19156,Assumptions!$E$56))+I19178*IF(OR(I19179=1,H19313=1),$C$19157,IF(Assumptions!$I$57=1,MAX(I19155,Assumptions!$G$57)+Assumptions!$F$57+$C$19156,Assumptions!$E$57))+I19191*IF(OR(I19192=1,H19314=1),$C$19157,IF(Assumptions!$I$58=1,MAX(I19155,Assumptions!$G$58)+Assumptions!$F$58+$C$19156,Assumptions!$E$58))</f>
        <v>201.15369</v>
      </c>
      <c r="J19162" s="25" t="n">
        <f aca="false">J19165*IF(OR(J19166=1,I19312=1),$C$19157,IF(Assumptions!$I$56=1,MAX(J19155,Assumptions!$G$56)+Assumptions!$F$56+$C$19156,Assumptions!$E$56))+J19178*IF(OR(J19179=1,I19313=1),$C$19157,IF(Assumptions!$I$57=1,MAX(J19155,Assumptions!$G$57)+Assumptions!$F$57+$C$19156,Assumptions!$E$57))+J19191*IF(OR(J19192=1,I19314=1),$C$19157,IF(Assumptions!$I$58=1,MAX(J19155,Assumptions!$G$58)+Assumptions!$F$58+$C$19156,Assumptions!$E$58))</f>
        <v>144.463861384154</v>
      </c>
      <c r="K19162" s="25" t="n">
        <f aca="false">K19165*IF(OR(K19166=1,J19312=1),$C$19157,IF(Assumptions!$I$56=1,MAX(K19155,Assumptions!$G$56)+Assumptions!$F$56+$C$19156,Assumptions!$E$56))+K19178*IF(OR(K19179=1,J19313=1),$C$19157,IF(Assumptions!$I$57=1,MAX(K19155,Assumptions!$G$57)+Assumptions!$F$57+$C$19156,Assumptions!$E$57))+K19191*IF(OR(K19192=1,J19314=1),$C$19157,IF(Assumptions!$I$58=1,MAX(K19155,Assumptions!$G$58)+Assumptions!$F$58+$C$19156,Assumptions!$E$58))</f>
        <v>144.463861384154</v>
      </c>
    </row>
    <row r="19163" customFormat="false" ht="15" hidden="false" customHeight="false" outlineLevel="0" collapsed="false">
      <c r="A19163" s="3" t="s">
        <v>307</v>
      </c>
      <c r="G19163" s="20" t="n">
        <f aca="false">IF(G19139&lt;=0,0,IF(AND((G19160-G19161)/G19139&lt;=$C$19158,G19139/G19162&gt;=$C$19159),1,0))</f>
        <v>0</v>
      </c>
      <c r="H19163" s="20" t="n">
        <f aca="false">IF(H19139&lt;=0,0,IF(AND((H19160-H19161)/H19139&lt;=$C$19158,H19139/H19162&gt;=$C$19159),1,0))</f>
        <v>0</v>
      </c>
      <c r="I19163" s="20" t="n">
        <f aca="false">IF(I19139&lt;=0,0,IF(AND((I19160-I19161)/I19139&lt;=$C$19158,I19139/I19162&gt;=$C$19159),1,0))</f>
        <v>0</v>
      </c>
      <c r="J19163" s="20" t="n">
        <f aca="false">IF(J19139&lt;=0,0,IF(AND((J19160-J19161)/J19139&lt;=$C$19158,J19139/J19162&gt;=$C$19159),1,0))</f>
        <v>0</v>
      </c>
      <c r="K19163" s="20" t="n">
        <f aca="false">IF(K19139&lt;=0,0,IF(AND((K19160-K19161)/K19139&lt;=$C$19158,K19139/K19162&gt;=$C$19159),1,0))</f>
        <v>0</v>
      </c>
    </row>
    <row r="19164" customFormat="false" ht="15" hidden="false" customHeight="false" outlineLevel="0" collapsed="false">
      <c r="A19164" s="23" t="s">
        <v>308</v>
      </c>
      <c r="B19164" s="24"/>
      <c r="C19164" s="24"/>
      <c r="D19164" s="24"/>
      <c r="E19164" s="24"/>
      <c r="F19164" s="24"/>
      <c r="G19164" s="24"/>
      <c r="H19164" s="24"/>
      <c r="I19164" s="24"/>
      <c r="J19164" s="24"/>
      <c r="K19164" s="24"/>
    </row>
    <row r="19165" customFormat="false" ht="15" hidden="false" customHeight="false" outlineLevel="0" collapsed="false">
      <c r="A19165" s="3" t="s">
        <v>309</v>
      </c>
      <c r="G19165" s="25" t="n">
        <f aca="false">F19176</f>
        <v>1315.098</v>
      </c>
      <c r="H19165" s="25" t="n">
        <f aca="false">G19176</f>
        <v>1315.098</v>
      </c>
      <c r="I19165" s="25" t="n">
        <f aca="false">H19176</f>
        <v>1315.098</v>
      </c>
      <c r="J19165" s="25" t="n">
        <f aca="false">I19176</f>
        <v>1315.098</v>
      </c>
      <c r="K19165" s="25" t="n">
        <f aca="false">J19176</f>
        <v>1315.098</v>
      </c>
    </row>
    <row r="19166" customFormat="false" ht="15" hidden="false" customHeight="false" outlineLevel="0" collapsed="false">
      <c r="A19166" s="3" t="s">
        <v>310</v>
      </c>
      <c r="G19166" s="20" t="n">
        <f aca="false">IF(G19129=Assumptions!$K$56,1,0)</f>
        <v>0</v>
      </c>
      <c r="H19166" s="20" t="n">
        <f aca="false">IF(H19129=Assumptions!$K$56,1,0)</f>
        <v>0</v>
      </c>
      <c r="I19166" s="20" t="n">
        <f aca="false">IF(I19129=Assumptions!$K$56,1,0)</f>
        <v>0</v>
      </c>
      <c r="J19166" s="20" t="n">
        <f aca="false">IF(J19129=Assumptions!$K$56,1,0)</f>
        <v>0</v>
      </c>
      <c r="K19166" s="20" t="n">
        <f aca="false">IF(K19129=Assumptions!$K$56,1,0)</f>
        <v>0</v>
      </c>
    </row>
    <row r="19168" customFormat="false" ht="15" hidden="false" customHeight="false" outlineLevel="0" collapsed="false">
      <c r="A19168" s="3" t="s">
        <v>311</v>
      </c>
      <c r="G19168" s="31" t="n">
        <f aca="false">IF(Assumptions!$I$56=1,MAX(G19155,Assumptions!$G$56)+Assumptions!$F$56+$C$19156,Assumptions!$E$56)</f>
        <v>0.105</v>
      </c>
      <c r="H19168" s="31" t="n">
        <f aca="false">IF(G19312=1,$C$19157,IF(Assumptions!$I$56=1,MAX(H19155,Assumptions!$G$56)+Assumptions!$F$56+$C$19156,Assumptions!$E$56))</f>
        <v>0.105</v>
      </c>
      <c r="I19168" s="31" t="n">
        <f aca="false">IF(H19312=1,$C$19157,IF(Assumptions!$I$56=1,MAX(I19155,Assumptions!$G$56)+Assumptions!$F$56+$C$19156,Assumptions!$E$56))</f>
        <v>0.105</v>
      </c>
      <c r="J19168" s="31" t="n">
        <f aca="false">IF(I19312=1,$C$19157,IF(Assumptions!$I$56=1,MAX(J19155,Assumptions!$G$56)+Assumptions!$F$56+$C$19156,Assumptions!$E$56))</f>
        <v>0.105</v>
      </c>
      <c r="K19168" s="31" t="n">
        <f aca="false">IF(J19312=1,$C$19157,IF(Assumptions!$I$56=1,MAX(K19155,Assumptions!$G$56)+Assumptions!$F$56+$C$19156,Assumptions!$E$56))</f>
        <v>0.105</v>
      </c>
    </row>
    <row r="19169" customFormat="false" ht="15" hidden="false" customHeight="false" outlineLevel="0" collapsed="false">
      <c r="A19169" s="3" t="s">
        <v>312</v>
      </c>
      <c r="G19169" s="25" t="n">
        <f aca="false">G19165*G19168</f>
        <v>138.08529</v>
      </c>
      <c r="H19169" s="25" t="n">
        <f aca="false">H19165*H19168</f>
        <v>138.08529</v>
      </c>
      <c r="I19169" s="25" t="n">
        <f aca="false">I19165*I19168</f>
        <v>138.08529</v>
      </c>
      <c r="J19169" s="25" t="n">
        <f aca="false">J19165*J19168</f>
        <v>138.08529</v>
      </c>
      <c r="K19169" s="25" t="n">
        <f aca="false">K19165*K19168</f>
        <v>138.08529</v>
      </c>
    </row>
    <row r="19170" customFormat="false" ht="15" hidden="false" customHeight="false" outlineLevel="0" collapsed="false">
      <c r="A19170" s="3" t="s">
        <v>313</v>
      </c>
      <c r="G19170" s="25" t="n">
        <f aca="false">G19165*Assumptions!$H$56</f>
        <v>0</v>
      </c>
      <c r="H19170" s="25" t="n">
        <f aca="false">H19165*Assumptions!$H$56</f>
        <v>0</v>
      </c>
      <c r="I19170" s="25" t="n">
        <f aca="false">I19165*Assumptions!$H$56</f>
        <v>0</v>
      </c>
      <c r="J19170" s="25" t="n">
        <f aca="false">J19165*Assumptions!$H$56</f>
        <v>0</v>
      </c>
      <c r="K19170" s="25" t="n">
        <f aca="false">K19165*Assumptions!$H$56</f>
        <v>0</v>
      </c>
    </row>
    <row r="19171" customFormat="false" ht="15" hidden="false" customHeight="false" outlineLevel="0" collapsed="false">
      <c r="A19171" s="3" t="s">
        <v>314</v>
      </c>
      <c r="G19171" s="25" t="n">
        <f aca="false">MIN(G19165,Assumptions!$L$56*Assumptions!$C$56)</f>
        <v>0</v>
      </c>
      <c r="H19171" s="25" t="n">
        <f aca="false">MIN(H19165,Assumptions!$L$56*Assumptions!$C$56)</f>
        <v>0</v>
      </c>
      <c r="I19171" s="25" t="n">
        <f aca="false">MIN(I19165,Assumptions!$L$56*Assumptions!$C$56)</f>
        <v>0</v>
      </c>
      <c r="J19171" s="25" t="n">
        <f aca="false">MIN(J19165,Assumptions!$L$56*Assumptions!$C$56)</f>
        <v>0</v>
      </c>
      <c r="K19171" s="25" t="n">
        <f aca="false">MIN(K19165,Assumptions!$L$56*Assumptions!$C$56)</f>
        <v>0</v>
      </c>
    </row>
    <row r="19172" customFormat="false" ht="15" hidden="false" customHeight="false" outlineLevel="0" collapsed="false">
      <c r="A19172" s="3" t="s">
        <v>315</v>
      </c>
      <c r="G19172" s="25" t="n">
        <f aca="false">IF(AND(Assumptions!$P$56=1,G19129&lt;Assumptions!$K$56),MIN(MAX(0,-G19226),MAX(0,Assumptions!$D$56-G19165)),0)</f>
        <v>0</v>
      </c>
      <c r="H19172" s="25" t="n">
        <f aca="false">IF(AND(Assumptions!$P$56=1,OR(H19129&lt;Assumptions!$K$56,G19312=1)),MIN(MAX(0,-H19226),MAX(0,Assumptions!$D$56-H19165)),0)</f>
        <v>0</v>
      </c>
      <c r="I19172" s="25" t="n">
        <f aca="false">IF(AND(Assumptions!$P$56=1,OR(I19129&lt;Assumptions!$K$56,H19312=1)),MIN(MAX(0,-I19226),MAX(0,Assumptions!$D$56-I19165)),0)</f>
        <v>0</v>
      </c>
      <c r="J19172" s="25" t="n">
        <f aca="false">IF(AND(Assumptions!$P$56=1,OR(J19129&lt;Assumptions!$K$56,I19312=1)),MIN(MAX(0,-J19226),MAX(0,Assumptions!$D$56-J19165)),0)</f>
        <v>0</v>
      </c>
      <c r="K19172" s="25" t="n">
        <f aca="false">IF(AND(Assumptions!$P$56=1,OR(K19129&lt;Assumptions!$K$56,J19312=1)),MIN(MAX(0,-K19226),MAX(0,Assumptions!$D$56-K19165)),0)</f>
        <v>0</v>
      </c>
    </row>
    <row r="19173" customFormat="false" ht="15" hidden="false" customHeight="false" outlineLevel="0" collapsed="false">
      <c r="A19173" s="3" t="s">
        <v>316</v>
      </c>
      <c r="G19173" s="25" t="n">
        <f aca="false">G19166*MIN(G19165-G19171+G19170,MAX(0,G19228-Assumptions!$C$12*G19163))</f>
        <v>0</v>
      </c>
      <c r="H19173" s="25" t="n">
        <f aca="false">H19166*MIN(H19165-H19171+H19170,MAX(0,H19228-Assumptions!$C$12*H19163))</f>
        <v>0</v>
      </c>
      <c r="I19173" s="25" t="n">
        <f aca="false">I19166*MIN(I19165-I19171+I19170,MAX(0,I19228-Assumptions!$C$12*I19163))</f>
        <v>0</v>
      </c>
      <c r="J19173" s="25" t="n">
        <f aca="false">J19166*MIN(J19165-J19171+J19170,MAX(0,J19228-Assumptions!$C$12*J19163))</f>
        <v>0</v>
      </c>
      <c r="K19173" s="25" t="n">
        <f aca="false">K19166*MIN(K19165-K19171+K19170,MAX(0,K19228-Assumptions!$C$12*K19163))</f>
        <v>0</v>
      </c>
    </row>
    <row r="19174" customFormat="false" ht="15" hidden="false" customHeight="false" outlineLevel="0" collapsed="false">
      <c r="A19174" s="3" t="s">
        <v>317</v>
      </c>
      <c r="G19174" s="25" t="n">
        <f aca="false">Assumptions!$N$56*MIN(G19165+G19172+G19170-G19171-G19173,MAX(0,G19232))</f>
        <v>0</v>
      </c>
      <c r="H19174" s="25" t="n">
        <f aca="false">Assumptions!$N$56*MIN(H19165+H19172+H19170-H19171-H19173,MAX(0,H19232))</f>
        <v>0</v>
      </c>
      <c r="I19174" s="25" t="n">
        <f aca="false">Assumptions!$N$56*MIN(I19165+I19172+I19170-I19171-I19173,MAX(0,I19232))</f>
        <v>0</v>
      </c>
      <c r="J19174" s="25" t="n">
        <f aca="false">Assumptions!$N$56*MIN(J19165+J19172+J19170-J19171-J19173,MAX(0,J19232))</f>
        <v>0</v>
      </c>
      <c r="K19174" s="25" t="n">
        <f aca="false">Assumptions!$N$56*MIN(K19165+K19172+K19170-K19171-K19173,MAX(0,K19232))</f>
        <v>0</v>
      </c>
    </row>
    <row r="19175" customFormat="false" ht="15" hidden="false" customHeight="false" outlineLevel="0" collapsed="false">
      <c r="A19175" s="3" t="s">
        <v>318</v>
      </c>
      <c r="G19175" s="25" t="n">
        <f aca="false">G19166*(1-G19163)*(G19165-G19171+G19170-G19173)</f>
        <v>0</v>
      </c>
      <c r="H19175" s="25" t="n">
        <f aca="false">H19166*(1-H19163)*(H19165-H19171+H19170-H19173)</f>
        <v>0</v>
      </c>
      <c r="I19175" s="25" t="n">
        <f aca="false">I19166*(1-I19163)*(I19165-I19171+I19170-I19173)</f>
        <v>0</v>
      </c>
      <c r="J19175" s="25" t="n">
        <f aca="false">J19166*(1-J19163)*(J19165-J19171+J19170-J19173)</f>
        <v>0</v>
      </c>
      <c r="K19175" s="25" t="n">
        <f aca="false">K19166*(1-K19163)*(K19165-K19171+K19170-K19173)</f>
        <v>0</v>
      </c>
    </row>
    <row r="19176" customFormat="false" ht="15" hidden="false" customHeight="false" outlineLevel="0" collapsed="false">
      <c r="A19176" s="2" t="s">
        <v>319</v>
      </c>
      <c r="F19176" s="28" t="n">
        <f aca="false">Assumptions!$C$56</f>
        <v>1315.098</v>
      </c>
      <c r="G19176" s="16" t="n">
        <f aca="false">G19165+G19172+G19170-G19171-G19173-G19174</f>
        <v>1315.098</v>
      </c>
      <c r="H19176" s="16" t="n">
        <f aca="false">H19165+H19172+H19170-H19171-H19173-H19174</f>
        <v>1315.098</v>
      </c>
      <c r="I19176" s="16" t="n">
        <f aca="false">I19165+I19172+I19170-I19171-I19173-I19174</f>
        <v>1315.098</v>
      </c>
      <c r="J19176" s="16" t="n">
        <f aca="false">J19165+J19172+J19170-J19171-J19173-J19174</f>
        <v>1315.098</v>
      </c>
      <c r="K19176" s="16" t="n">
        <f aca="false">K19165+K19172+K19170-K19171-K19173-K19174</f>
        <v>1315.098</v>
      </c>
    </row>
    <row r="19177" customFormat="false" ht="15" hidden="false" customHeight="false" outlineLevel="0" collapsed="false">
      <c r="A19177" s="23" t="s">
        <v>320</v>
      </c>
      <c r="B19177" s="24"/>
      <c r="C19177" s="24"/>
      <c r="D19177" s="24"/>
      <c r="E19177" s="24"/>
      <c r="F19177" s="24"/>
      <c r="G19177" s="24"/>
      <c r="H19177" s="24"/>
      <c r="I19177" s="24"/>
      <c r="J19177" s="24"/>
      <c r="K19177" s="24"/>
    </row>
    <row r="19178" customFormat="false" ht="15" hidden="false" customHeight="false" outlineLevel="0" collapsed="false">
      <c r="A19178" s="3" t="s">
        <v>309</v>
      </c>
      <c r="G19178" s="25" t="n">
        <f aca="false">F19189</f>
        <v>276.706</v>
      </c>
      <c r="H19178" s="25" t="n">
        <f aca="false">G19189</f>
        <v>276.706</v>
      </c>
      <c r="I19178" s="25" t="n">
        <f aca="false">H19189</f>
        <v>276.706</v>
      </c>
      <c r="J19178" s="25" t="n">
        <f aca="false">I19189</f>
        <v>6.33403256832008</v>
      </c>
      <c r="K19178" s="25" t="n">
        <f aca="false">J19189</f>
        <v>6.33403256832008</v>
      </c>
    </row>
    <row r="19179" customFormat="false" ht="15" hidden="false" customHeight="false" outlineLevel="0" collapsed="false">
      <c r="A19179" s="3" t="s">
        <v>310</v>
      </c>
      <c r="G19179" s="20" t="n">
        <f aca="false">IF(G19129=Assumptions!$K$57,1,0)</f>
        <v>0</v>
      </c>
      <c r="H19179" s="20" t="n">
        <f aca="false">IF(H19129=Assumptions!$K$57,1,0)</f>
        <v>0</v>
      </c>
      <c r="I19179" s="20" t="n">
        <f aca="false">IF(I19129=Assumptions!$K$57,1,0)</f>
        <v>1</v>
      </c>
      <c r="J19179" s="20" t="n">
        <f aca="false">IF(J19129=Assumptions!$K$57,1,0)</f>
        <v>0</v>
      </c>
      <c r="K19179" s="20" t="n">
        <f aca="false">IF(K19129=Assumptions!$K$57,1,0)</f>
        <v>0</v>
      </c>
    </row>
    <row r="19181" customFormat="false" ht="15" hidden="false" customHeight="false" outlineLevel="0" collapsed="false">
      <c r="A19181" s="3" t="s">
        <v>311</v>
      </c>
      <c r="G19181" s="31" t="n">
        <f aca="false">IF(Assumptions!$I$57=1,MAX(G19155,Assumptions!$G$57)+Assumptions!$F$57+$C$19156,Assumptions!$E$57)</f>
        <v>0.0425</v>
      </c>
      <c r="H19181" s="31" t="n">
        <f aca="false">IF(G19313=1,$C$19157,IF(Assumptions!$I$57=1,MAX(H19155,Assumptions!$G$57)+Assumptions!$F$57+$C$19156,Assumptions!$E$57))</f>
        <v>0.0425</v>
      </c>
      <c r="I19181" s="31" t="n">
        <f aca="false">IF(H19313=1,$C$19157,IF(Assumptions!$I$57=1,MAX(I19155,Assumptions!$G$57)+Assumptions!$F$57+$C$19156,Assumptions!$E$57))</f>
        <v>0.0425</v>
      </c>
      <c r="J19181" s="31" t="n">
        <f aca="false">IF(I19313=1,$C$19157,IF(Assumptions!$I$57=1,MAX(J19155,Assumptions!$G$57)+Assumptions!$F$57+$C$19156,Assumptions!$E$57))</f>
        <v>0.0425</v>
      </c>
      <c r="K19181" s="31" t="n">
        <f aca="false">IF(J19313=1,$C$19157,IF(Assumptions!$I$57=1,MAX(K19155,Assumptions!$G$57)+Assumptions!$F$57+$C$19156,Assumptions!$E$57))</f>
        <v>0.0425</v>
      </c>
    </row>
    <row r="19182" customFormat="false" ht="15" hidden="false" customHeight="false" outlineLevel="0" collapsed="false">
      <c r="A19182" s="3" t="s">
        <v>312</v>
      </c>
      <c r="G19182" s="25" t="n">
        <f aca="false">G19178*G19181</f>
        <v>11.760005</v>
      </c>
      <c r="H19182" s="25" t="n">
        <f aca="false">H19178*H19181</f>
        <v>11.760005</v>
      </c>
      <c r="I19182" s="25" t="n">
        <f aca="false">I19178*I19181</f>
        <v>11.760005</v>
      </c>
      <c r="J19182" s="25" t="n">
        <f aca="false">J19178*J19181</f>
        <v>0.269196384153604</v>
      </c>
      <c r="K19182" s="25" t="n">
        <f aca="false">K19178*K19181</f>
        <v>0.269196384153604</v>
      </c>
    </row>
    <row r="19183" customFormat="false" ht="15" hidden="false" customHeight="false" outlineLevel="0" collapsed="false">
      <c r="A19183" s="3" t="s">
        <v>313</v>
      </c>
      <c r="G19183" s="25" t="n">
        <f aca="false">G19178*Assumptions!$H$57</f>
        <v>0</v>
      </c>
      <c r="H19183" s="25" t="n">
        <f aca="false">H19178*Assumptions!$H$57</f>
        <v>0</v>
      </c>
      <c r="I19183" s="25" t="n">
        <f aca="false">I19178*Assumptions!$H$57</f>
        <v>0</v>
      </c>
      <c r="J19183" s="25" t="n">
        <f aca="false">J19178*Assumptions!$H$57</f>
        <v>0</v>
      </c>
      <c r="K19183" s="25" t="n">
        <f aca="false">K19178*Assumptions!$H$57</f>
        <v>0</v>
      </c>
    </row>
    <row r="19184" customFormat="false" ht="15" hidden="false" customHeight="false" outlineLevel="0" collapsed="false">
      <c r="A19184" s="3" t="s">
        <v>314</v>
      </c>
      <c r="G19184" s="25" t="n">
        <f aca="false">MIN(G19178,Assumptions!$L$57*Assumptions!$C$57)</f>
        <v>0</v>
      </c>
      <c r="H19184" s="25" t="n">
        <f aca="false">MIN(H19178,Assumptions!$L$57*Assumptions!$C$57)</f>
        <v>0</v>
      </c>
      <c r="I19184" s="25" t="n">
        <f aca="false">MIN(I19178,Assumptions!$L$57*Assumptions!$C$57)</f>
        <v>0</v>
      </c>
      <c r="J19184" s="25" t="n">
        <f aca="false">MIN(J19178,Assumptions!$L$57*Assumptions!$C$57)</f>
        <v>0</v>
      </c>
      <c r="K19184" s="25" t="n">
        <f aca="false">MIN(K19178,Assumptions!$L$57*Assumptions!$C$57)</f>
        <v>0</v>
      </c>
    </row>
    <row r="19185" customFormat="false" ht="15" hidden="false" customHeight="false" outlineLevel="0" collapsed="false">
      <c r="A19185" s="3" t="s">
        <v>315</v>
      </c>
      <c r="G19185" s="25" t="n">
        <f aca="false">IF(AND(Assumptions!$P$57=1,G19129&lt;Assumptions!$K$57),MIN(MAX(0,-G19226),MAX(0,Assumptions!$D$57-G19178)),0)</f>
        <v>0</v>
      </c>
      <c r="H19185" s="25" t="n">
        <f aca="false">IF(AND(Assumptions!$P$57=1,OR(H19129&lt;Assumptions!$K$57,G19313=1)),MIN(MAX(0,-H19226),MAX(0,Assumptions!$D$57-H19178)),0)</f>
        <v>0</v>
      </c>
      <c r="I19185" s="25" t="n">
        <f aca="false">IF(AND(Assumptions!$P$57=1,OR(I19129&lt;Assumptions!$K$57,H19313=1)),MIN(MAX(0,-I19226),MAX(0,Assumptions!$D$57-I19178)),0)</f>
        <v>0</v>
      </c>
      <c r="J19185" s="25" t="n">
        <f aca="false">IF(AND(Assumptions!$P$57=1,OR(J19129&lt;Assumptions!$K$57,I19313=1)),MIN(MAX(0,-J19226),MAX(0,Assumptions!$D$57-J19178)),0)</f>
        <v>0</v>
      </c>
      <c r="K19185" s="25" t="n">
        <f aca="false">IF(AND(Assumptions!$P$57=1,OR(K19129&lt;Assumptions!$K$57,J19313=1)),MIN(MAX(0,-K19226),MAX(0,Assumptions!$D$57-K19178)),0)</f>
        <v>0</v>
      </c>
    </row>
    <row r="19186" customFormat="false" ht="15" hidden="false" customHeight="false" outlineLevel="0" collapsed="false">
      <c r="A19186" s="3" t="s">
        <v>316</v>
      </c>
      <c r="G19186" s="25" t="n">
        <f aca="false">G19179*MIN(G19178-G19184+G19183,MAX(0,G19228-Assumptions!$C$12*G19163-G19173))</f>
        <v>0</v>
      </c>
      <c r="H19186" s="25" t="n">
        <f aca="false">H19179*MIN(H19178-H19184+H19183,MAX(0,H19228-Assumptions!$C$12*H19163-H19173))</f>
        <v>0</v>
      </c>
      <c r="I19186" s="25" t="n">
        <f aca="false">I19179*MIN(I19178-I19184+I19183,MAX(0,I19228-Assumptions!$C$12*I19163-I19173))</f>
        <v>270.37196743168</v>
      </c>
      <c r="J19186" s="25" t="n">
        <f aca="false">J19179*MIN(J19178-J19184+J19183,MAX(0,J19228-Assumptions!$C$12*J19163-J19173))</f>
        <v>0</v>
      </c>
      <c r="K19186" s="25" t="n">
        <f aca="false">K19179*MIN(K19178-K19184+K19183,MAX(0,K19228-Assumptions!$C$12*K19163-K19173))</f>
        <v>0</v>
      </c>
    </row>
    <row r="19187" customFormat="false" ht="15" hidden="false" customHeight="false" outlineLevel="0" collapsed="false">
      <c r="A19187" s="3" t="s">
        <v>317</v>
      </c>
      <c r="G19187" s="25" t="n">
        <f aca="false">Assumptions!$N$57*MIN(G19178+G19185+G19183-G19184-G19186,MAX(0,G19232-G19174))</f>
        <v>0</v>
      </c>
      <c r="H19187" s="25" t="n">
        <f aca="false">Assumptions!$N$57*MIN(H19178+H19185+H19183-H19184-H19186,MAX(0,H19232-H19174))</f>
        <v>0</v>
      </c>
      <c r="I19187" s="25" t="n">
        <f aca="false">Assumptions!$N$57*MIN(I19178+I19185+I19183-I19184-I19186,MAX(0,I19232-I19174))</f>
        <v>0</v>
      </c>
      <c r="J19187" s="25" t="n">
        <f aca="false">Assumptions!$N$57*MIN(J19178+J19185+J19183-J19184-J19186,MAX(0,J19232-J19174))</f>
        <v>0</v>
      </c>
      <c r="K19187" s="25" t="n">
        <f aca="false">Assumptions!$N$57*MIN(K19178+K19185+K19183-K19184-K19186,MAX(0,K19232-K19174))</f>
        <v>0</v>
      </c>
    </row>
    <row r="19188" customFormat="false" ht="15" hidden="false" customHeight="false" outlineLevel="0" collapsed="false">
      <c r="A19188" s="3" t="s">
        <v>318</v>
      </c>
      <c r="G19188" s="25" t="n">
        <f aca="false">G19179*(1-G19163)*(G19178-G19184+G19183-G19186)</f>
        <v>0</v>
      </c>
      <c r="H19188" s="25" t="n">
        <f aca="false">H19179*(1-H19163)*(H19178-H19184+H19183-H19186)</f>
        <v>0</v>
      </c>
      <c r="I19188" s="25" t="n">
        <f aca="false">I19179*(1-I19163)*(I19178-I19184+I19183-I19186)</f>
        <v>6.33403256832008</v>
      </c>
      <c r="J19188" s="25" t="n">
        <f aca="false">J19179*(1-J19163)*(J19178-J19184+J19183-J19186)</f>
        <v>0</v>
      </c>
      <c r="K19188" s="25" t="n">
        <f aca="false">K19179*(1-K19163)*(K19178-K19184+K19183-K19186)</f>
        <v>0</v>
      </c>
    </row>
    <row r="19189" customFormat="false" ht="15" hidden="false" customHeight="false" outlineLevel="0" collapsed="false">
      <c r="A19189" s="2" t="s">
        <v>319</v>
      </c>
      <c r="F19189" s="28" t="n">
        <f aca="false">Assumptions!$C$57</f>
        <v>276.706</v>
      </c>
      <c r="G19189" s="16" t="n">
        <f aca="false">G19178+G19185+G19183-G19184-G19186-G19187</f>
        <v>276.706</v>
      </c>
      <c r="H19189" s="16" t="n">
        <f aca="false">H19178+H19185+H19183-H19184-H19186-H19187</f>
        <v>276.706</v>
      </c>
      <c r="I19189" s="16" t="n">
        <f aca="false">I19178+I19185+I19183-I19184-I19186-I19187</f>
        <v>6.33403256832008</v>
      </c>
      <c r="J19189" s="16" t="n">
        <f aca="false">J19178+J19185+J19183-J19184-J19186-J19187</f>
        <v>6.33403256832008</v>
      </c>
      <c r="K19189" s="16" t="n">
        <f aca="false">K19178+K19185+K19183-K19184-K19186-K19187</f>
        <v>6.33403256832008</v>
      </c>
    </row>
    <row r="19190" customFormat="false" ht="15" hidden="false" customHeight="false" outlineLevel="0" collapsed="false">
      <c r="A19190" s="23" t="s">
        <v>321</v>
      </c>
      <c r="B19190" s="24"/>
      <c r="C19190" s="24"/>
      <c r="D19190" s="24"/>
      <c r="E19190" s="24"/>
      <c r="F19190" s="24"/>
      <c r="G19190" s="24"/>
      <c r="H19190" s="24"/>
      <c r="I19190" s="24"/>
      <c r="J19190" s="24"/>
      <c r="K19190" s="24"/>
    </row>
    <row r="19191" customFormat="false" ht="15" hidden="false" customHeight="false" outlineLevel="0" collapsed="false">
      <c r="A19191" s="3" t="s">
        <v>309</v>
      </c>
      <c r="G19191" s="25" t="n">
        <f aca="false">F19202</f>
        <v>143.75</v>
      </c>
      <c r="H19191" s="25" t="n">
        <f aca="false">G19202</f>
        <v>143.75</v>
      </c>
      <c r="I19191" s="25" t="n">
        <f aca="false">H19202</f>
        <v>143.75</v>
      </c>
      <c r="J19191" s="25" t="n">
        <f aca="false">I19202</f>
        <v>143.75</v>
      </c>
      <c r="K19191" s="25" t="n">
        <f aca="false">J19202</f>
        <v>143.75</v>
      </c>
    </row>
    <row r="19192" customFormat="false" ht="15" hidden="false" customHeight="false" outlineLevel="0" collapsed="false">
      <c r="A19192" s="3" t="s">
        <v>310</v>
      </c>
      <c r="G19192" s="20" t="n">
        <f aca="false">IF(G19129=Assumptions!$K$58,1,0)</f>
        <v>0</v>
      </c>
      <c r="H19192" s="20" t="n">
        <f aca="false">IF(H19129=Assumptions!$K$58,1,0)</f>
        <v>0</v>
      </c>
      <c r="I19192" s="20" t="n">
        <f aca="false">IF(I19129=Assumptions!$K$58,1,0)</f>
        <v>1</v>
      </c>
      <c r="J19192" s="20" t="n">
        <f aca="false">IF(J19129=Assumptions!$K$58,1,0)</f>
        <v>0</v>
      </c>
      <c r="K19192" s="20" t="n">
        <f aca="false">IF(K19129=Assumptions!$K$58,1,0)</f>
        <v>0</v>
      </c>
    </row>
    <row r="19194" customFormat="false" ht="15" hidden="false" customHeight="false" outlineLevel="0" collapsed="false">
      <c r="A19194" s="3" t="s">
        <v>311</v>
      </c>
      <c r="G19194" s="31" t="n">
        <f aca="false">IF(Assumptions!$I$58=1,MAX(G19155,Assumptions!$G$58)+Assumptions!$F$58+$C$19156,Assumptions!$E$58)</f>
        <v>0.0425</v>
      </c>
      <c r="H19194" s="31" t="n">
        <f aca="false">IF(G19314=1,$C$19157,IF(Assumptions!$I$58=1,MAX(H19155,Assumptions!$G$58)+Assumptions!$F$58+$C$19156,Assumptions!$E$58))</f>
        <v>0.0425</v>
      </c>
      <c r="I19194" s="31" t="n">
        <f aca="false">IF(H19314=1,$C$19157,IF(Assumptions!$I$58=1,MAX(I19155,Assumptions!$G$58)+Assumptions!$F$58+$C$19156,Assumptions!$E$58))</f>
        <v>0.0425</v>
      </c>
      <c r="J19194" s="31" t="n">
        <f aca="false">IF(I19314=1,$C$19157,IF(Assumptions!$I$58=1,MAX(J19155,Assumptions!$G$58)+Assumptions!$F$58+$C$19156,Assumptions!$E$58))</f>
        <v>0.0425</v>
      </c>
      <c r="K19194" s="31" t="n">
        <f aca="false">IF(J19314=1,$C$19157,IF(Assumptions!$I$58=1,MAX(K19155,Assumptions!$G$58)+Assumptions!$F$58+$C$19156,Assumptions!$E$58))</f>
        <v>0.0425</v>
      </c>
    </row>
    <row r="19195" customFormat="false" ht="15" hidden="false" customHeight="false" outlineLevel="0" collapsed="false">
      <c r="A19195" s="3" t="s">
        <v>312</v>
      </c>
      <c r="G19195" s="25" t="n">
        <f aca="false">G19191*G19194</f>
        <v>6.109375</v>
      </c>
      <c r="H19195" s="25" t="n">
        <f aca="false">H19191*H19194</f>
        <v>6.109375</v>
      </c>
      <c r="I19195" s="25" t="n">
        <f aca="false">I19191*I19194</f>
        <v>6.109375</v>
      </c>
      <c r="J19195" s="25" t="n">
        <f aca="false">J19191*J19194</f>
        <v>6.109375</v>
      </c>
      <c r="K19195" s="25" t="n">
        <f aca="false">K19191*K19194</f>
        <v>6.109375</v>
      </c>
    </row>
    <row r="19196" customFormat="false" ht="15" hidden="false" customHeight="false" outlineLevel="0" collapsed="false">
      <c r="A19196" s="3" t="s">
        <v>313</v>
      </c>
      <c r="G19196" s="25" t="n">
        <f aca="false">G19191*Assumptions!$H$58</f>
        <v>0</v>
      </c>
      <c r="H19196" s="25" t="n">
        <f aca="false">H19191*Assumptions!$H$58</f>
        <v>0</v>
      </c>
      <c r="I19196" s="25" t="n">
        <f aca="false">I19191*Assumptions!$H$58</f>
        <v>0</v>
      </c>
      <c r="J19196" s="25" t="n">
        <f aca="false">J19191*Assumptions!$H$58</f>
        <v>0</v>
      </c>
      <c r="K19196" s="25" t="n">
        <f aca="false">K19191*Assumptions!$H$58</f>
        <v>0</v>
      </c>
    </row>
    <row r="19197" customFormat="false" ht="15" hidden="false" customHeight="false" outlineLevel="0" collapsed="false">
      <c r="A19197" s="3" t="s">
        <v>314</v>
      </c>
      <c r="G19197" s="25" t="n">
        <f aca="false">MIN(G19191,Assumptions!$L$58*Assumptions!$C$58)</f>
        <v>0</v>
      </c>
      <c r="H19197" s="25" t="n">
        <f aca="false">MIN(H19191,Assumptions!$L$58*Assumptions!$C$58)</f>
        <v>0</v>
      </c>
      <c r="I19197" s="25" t="n">
        <f aca="false">MIN(I19191,Assumptions!$L$58*Assumptions!$C$58)</f>
        <v>0</v>
      </c>
      <c r="J19197" s="25" t="n">
        <f aca="false">MIN(J19191,Assumptions!$L$58*Assumptions!$C$58)</f>
        <v>0</v>
      </c>
      <c r="K19197" s="25" t="n">
        <f aca="false">MIN(K19191,Assumptions!$L$58*Assumptions!$C$58)</f>
        <v>0</v>
      </c>
    </row>
    <row r="19198" customFormat="false" ht="15" hidden="false" customHeight="false" outlineLevel="0" collapsed="false">
      <c r="A19198" s="3" t="s">
        <v>315</v>
      </c>
      <c r="G19198" s="25" t="n">
        <f aca="false">IF(AND(Assumptions!$P$58=1,G19129&lt;Assumptions!$K$58),MIN(MAX(0,-G19226),MAX(0,Assumptions!$D$58-G19191)),0)</f>
        <v>0</v>
      </c>
      <c r="H19198" s="25" t="n">
        <f aca="false">IF(AND(Assumptions!$P$58=1,OR(H19129&lt;Assumptions!$K$58,G19314=1)),MIN(MAX(0,-H19226),MAX(0,Assumptions!$D$58-H19191)),0)</f>
        <v>0</v>
      </c>
      <c r="I19198" s="25" t="n">
        <f aca="false">IF(AND(Assumptions!$P$58=1,OR(I19129&lt;Assumptions!$K$58,H19314=1)),MIN(MAX(0,-I19226),MAX(0,Assumptions!$D$58-I19191)),0)</f>
        <v>0</v>
      </c>
      <c r="J19198" s="25" t="n">
        <f aca="false">IF(AND(Assumptions!$P$58=1,OR(J19129&lt;Assumptions!$K$58,I19314=1)),MIN(MAX(0,-J19226),MAX(0,Assumptions!$D$58-J19191)),0)</f>
        <v>0</v>
      </c>
      <c r="K19198" s="25" t="n">
        <f aca="false">IF(AND(Assumptions!$P$58=1,OR(K19129&lt;Assumptions!$K$58,J19314=1)),MIN(MAX(0,-K19226),MAX(0,Assumptions!$D$58-K19191)),0)</f>
        <v>0</v>
      </c>
    </row>
    <row r="19199" customFormat="false" ht="15" hidden="false" customHeight="false" outlineLevel="0" collapsed="false">
      <c r="A19199" s="3" t="s">
        <v>316</v>
      </c>
      <c r="G19199" s="25" t="n">
        <f aca="false">G19192*MIN(G19191-G19197+G19196,MAX(0,G19228-Assumptions!$C$12*G19163-G19173-G19186))</f>
        <v>0</v>
      </c>
      <c r="H19199" s="25" t="n">
        <f aca="false">H19192*MIN(H19191-H19197+H19196,MAX(0,H19228-Assumptions!$C$12*H19163-H19173-H19186))</f>
        <v>0</v>
      </c>
      <c r="I19199" s="25" t="n">
        <f aca="false">I19192*MIN(I19191-I19197+I19196,MAX(0,I19228-Assumptions!$C$12*I19163-I19173-I19186))</f>
        <v>0</v>
      </c>
      <c r="J19199" s="25" t="n">
        <f aca="false">J19192*MIN(J19191-J19197+J19196,MAX(0,J19228-Assumptions!$C$12*J19163-J19173-J19186))</f>
        <v>0</v>
      </c>
      <c r="K19199" s="25" t="n">
        <f aca="false">K19192*MIN(K19191-K19197+K19196,MAX(0,K19228-Assumptions!$C$12*K19163-K19173-K19186))</f>
        <v>0</v>
      </c>
    </row>
    <row r="19200" customFormat="false" ht="15" hidden="false" customHeight="false" outlineLevel="0" collapsed="false">
      <c r="A19200" s="3" t="s">
        <v>317</v>
      </c>
      <c r="G19200" s="25" t="n">
        <f aca="false">Assumptions!$N$58*MIN(G19191+G19198+G19196-G19197-G19199,MAX(0,G19232-G19174-G19187))</f>
        <v>0</v>
      </c>
      <c r="H19200" s="25" t="n">
        <f aca="false">Assumptions!$N$58*MIN(H19191+H19198+H19196-H19197-H19199,MAX(0,H19232-H19174-H19187))</f>
        <v>0</v>
      </c>
      <c r="I19200" s="25" t="n">
        <f aca="false">Assumptions!$N$58*MIN(I19191+I19198+I19196-I19197-I19199,MAX(0,I19232-I19174-I19187))</f>
        <v>0</v>
      </c>
      <c r="J19200" s="25" t="n">
        <f aca="false">Assumptions!$N$58*MIN(J19191+J19198+J19196-J19197-J19199,MAX(0,J19232-J19174-J19187))</f>
        <v>0</v>
      </c>
      <c r="K19200" s="25" t="n">
        <f aca="false">Assumptions!$N$58*MIN(K19191+K19198+K19196-K19197-K19199,MAX(0,K19232-K19174-K19187))</f>
        <v>0</v>
      </c>
    </row>
    <row r="19201" customFormat="false" ht="15" hidden="false" customHeight="false" outlineLevel="0" collapsed="false">
      <c r="A19201" s="3" t="s">
        <v>318</v>
      </c>
      <c r="G19201" s="25" t="n">
        <f aca="false">G19192*(1-G19163)*(G19191-G19197+G19196-G19199)</f>
        <v>0</v>
      </c>
      <c r="H19201" s="25" t="n">
        <f aca="false">H19192*(1-H19163)*(H19191-H19197+H19196-H19199)</f>
        <v>0</v>
      </c>
      <c r="I19201" s="25" t="n">
        <f aca="false">I19192*(1-I19163)*(I19191-I19197+I19196-I19199)</f>
        <v>143.75</v>
      </c>
      <c r="J19201" s="25" t="n">
        <f aca="false">J19192*(1-J19163)*(J19191-J19197+J19196-J19199)</f>
        <v>0</v>
      </c>
      <c r="K19201" s="25" t="n">
        <f aca="false">K19192*(1-K19163)*(K19191-K19197+K19196-K19199)</f>
        <v>0</v>
      </c>
    </row>
    <row r="19202" customFormat="false" ht="15" hidden="false" customHeight="false" outlineLevel="0" collapsed="false">
      <c r="A19202" s="2" t="s">
        <v>319</v>
      </c>
      <c r="F19202" s="28" t="n">
        <f aca="false">Assumptions!$C$58</f>
        <v>143.75</v>
      </c>
      <c r="G19202" s="16" t="n">
        <f aca="false">G19191+G19198+G19196-G19197-G19199-G19200</f>
        <v>143.75</v>
      </c>
      <c r="H19202" s="16" t="n">
        <f aca="false">H19191+H19198+H19196-H19197-H19199-H19200</f>
        <v>143.75</v>
      </c>
      <c r="I19202" s="16" t="n">
        <f aca="false">I19191+I19198+I19196-I19197-I19199-I19200</f>
        <v>143.75</v>
      </c>
      <c r="J19202" s="16" t="n">
        <f aca="false">J19191+J19198+J19196-J19197-J19199-J19200</f>
        <v>143.75</v>
      </c>
      <c r="K19202" s="16" t="n">
        <f aca="false">K19191+K19198+K19196-K19197-K19199-K19200</f>
        <v>143.75</v>
      </c>
    </row>
    <row r="19203" customFormat="false" ht="15" hidden="false" customHeight="false" outlineLevel="0" collapsed="false">
      <c r="A19203" s="23" t="s">
        <v>322</v>
      </c>
      <c r="B19203" s="24"/>
      <c r="C19203" s="24"/>
      <c r="D19203" s="24"/>
      <c r="E19203" s="24"/>
      <c r="F19203" s="24"/>
      <c r="G19203" s="24"/>
      <c r="H19203" s="24"/>
      <c r="I19203" s="24"/>
      <c r="J19203" s="24"/>
      <c r="K19203" s="24"/>
    </row>
    <row r="19204" customFormat="false" ht="15" hidden="false" customHeight="false" outlineLevel="0" collapsed="false">
      <c r="A19204" s="2" t="s">
        <v>323</v>
      </c>
      <c r="F19204" s="16" t="n">
        <f aca="false">F19176+F19189+F19202</f>
        <v>1735.554</v>
      </c>
      <c r="G19204" s="16" t="n">
        <f aca="false">G19176+G19189+G19202</f>
        <v>1735.554</v>
      </c>
      <c r="H19204" s="16" t="n">
        <f aca="false">H19176+H19189+H19202</f>
        <v>1735.554</v>
      </c>
      <c r="I19204" s="16" t="n">
        <f aca="false">I19176+I19189+I19202</f>
        <v>1465.18203256832</v>
      </c>
      <c r="J19204" s="16" t="n">
        <f aca="false">J19176+J19189+J19202</f>
        <v>1465.18203256832</v>
      </c>
      <c r="K19204" s="16" t="n">
        <f aca="false">K19176+K19189+K19202</f>
        <v>1465.18203256832</v>
      </c>
    </row>
    <row r="19205" customFormat="false" ht="15" hidden="false" customHeight="false" outlineLevel="0" collapsed="false">
      <c r="A19205" s="3" t="s">
        <v>324</v>
      </c>
      <c r="G19205" s="25" t="n">
        <f aca="false">G19166*Assumptions!$C$56+G19179*Assumptions!$C$57+G19192*Assumptions!$C$58</f>
        <v>0</v>
      </c>
      <c r="H19205" s="25" t="n">
        <f aca="false">H19166*Assumptions!$C$56+H19179*Assumptions!$C$57+H19192*Assumptions!$C$58</f>
        <v>0</v>
      </c>
      <c r="I19205" s="25" t="n">
        <f aca="false">I19166*Assumptions!$C$56+I19179*Assumptions!$C$57+I19192*Assumptions!$C$58</f>
        <v>420.456</v>
      </c>
      <c r="J19205" s="25" t="n">
        <f aca="false">J19166*Assumptions!$C$56+J19179*Assumptions!$C$57+J19192*Assumptions!$C$58</f>
        <v>0</v>
      </c>
      <c r="K19205" s="25" t="n">
        <f aca="false">K19166*Assumptions!$C$56+K19179*Assumptions!$C$57+K19192*Assumptions!$C$58</f>
        <v>0</v>
      </c>
    </row>
    <row r="19206" customFormat="false" ht="15" hidden="false" customHeight="false" outlineLevel="0" collapsed="false">
      <c r="A19206" s="23" t="s">
        <v>325</v>
      </c>
      <c r="B19206" s="24"/>
      <c r="C19206" s="24"/>
      <c r="D19206" s="24"/>
      <c r="E19206" s="24"/>
      <c r="F19206" s="24"/>
      <c r="G19206" s="24"/>
      <c r="H19206" s="24"/>
      <c r="I19206" s="24"/>
      <c r="J19206" s="24"/>
      <c r="K19206" s="24"/>
    </row>
    <row r="19207" customFormat="false" ht="15" hidden="false" customHeight="false" outlineLevel="0" collapsed="false">
      <c r="A19207" s="3" t="s">
        <v>326</v>
      </c>
      <c r="C19207" s="25" t="n">
        <f aca="false">SUMPRODUCT($G$19166:$K$19166,$G$19165:$K$19165-$G$19171:$K$19171+$G$19170:$K$19170)</f>
        <v>0</v>
      </c>
    </row>
    <row r="19208" customFormat="false" ht="15" hidden="false" customHeight="false" outlineLevel="0" collapsed="false">
      <c r="A19208" s="3" t="s">
        <v>327</v>
      </c>
      <c r="C19208" s="25" t="n">
        <f aca="false">SUMPRODUCT($G$19166:$K$19166,$G$19173:$K$19173)</f>
        <v>0</v>
      </c>
    </row>
    <row r="19209" customFormat="false" ht="15" hidden="false" customHeight="false" outlineLevel="0" collapsed="false">
      <c r="A19209" s="3" t="s">
        <v>328</v>
      </c>
      <c r="C19209" s="3" t="str">
        <f aca="false">IF(SUM($G$19166:$K$19166)=0,"n/a (beyond horizon)",IF(SUMPRODUCT($G$19166:$K$19166,$G$19163:$K$19163)&gt;0,"REFINANCING PASS","REFINANCING FAILURE"))</f>
        <v>n/a (beyond horizon)</v>
      </c>
    </row>
    <row r="19210" customFormat="false" ht="15" hidden="false" customHeight="false" outlineLevel="0" collapsed="false">
      <c r="A19210" s="3" t="s">
        <v>329</v>
      </c>
      <c r="C19210" s="3" t="str">
        <f aca="false">IF(SUM($G$19166:$K$19166)=0,"n/a",IF(C19208&gt;=C19207-0.001,"Repaid from cash",IF(SUMPRODUCT($G$19166:$K$19166,$G$19163:$K$19163)&gt;0,IF(C19208&gt;0,"Partly repaid; remainder refinanced","Refinanced"),IF(SUM($G$19175:$K$19175)&gt;0.001,IF(C19208&gt;0,"Partial repayment; PAYMENT DEFAULT","PAYMENT DEFAULT"),"Repaid from cash"))))</f>
        <v>n/a</v>
      </c>
    </row>
    <row r="19211" customFormat="false" ht="15" hidden="false" customHeight="false" outlineLevel="0" collapsed="false">
      <c r="A19211" s="3" t="s">
        <v>330</v>
      </c>
      <c r="C19211" s="25" t="n">
        <f aca="false">SUMPRODUCT($G$19179:$K$19179,$G$19178:$K$19178-$G$19184:$K$19184+$G$19183:$K$19183)</f>
        <v>276.706</v>
      </c>
    </row>
    <row r="19212" customFormat="false" ht="15" hidden="false" customHeight="false" outlineLevel="0" collapsed="false">
      <c r="A19212" s="3" t="s">
        <v>331</v>
      </c>
      <c r="C19212" s="25" t="n">
        <f aca="false">SUMPRODUCT($G$19179:$K$19179,$G$19186:$K$19186)</f>
        <v>270.37196743168</v>
      </c>
    </row>
    <row r="19213" customFormat="false" ht="15" hidden="false" customHeight="false" outlineLevel="0" collapsed="false">
      <c r="A19213" s="3" t="s">
        <v>332</v>
      </c>
      <c r="C19213" s="3" t="str">
        <f aca="false">IF(SUM($G$19179:$K$19179)=0,"n/a (beyond horizon)",IF(SUMPRODUCT($G$19179:$K$19179,$G$19163:$K$19163)&gt;0,"REFINANCING PASS","REFINANCING FAILURE"))</f>
        <v>REFINANCING FAILURE</v>
      </c>
    </row>
    <row r="19214" customFormat="false" ht="15" hidden="false" customHeight="false" outlineLevel="0" collapsed="false">
      <c r="A19214" s="3" t="s">
        <v>333</v>
      </c>
      <c r="C19214" s="3" t="str">
        <f aca="false">IF(SUM($G$19179:$K$19179)=0,"n/a",IF(C19212&gt;=C19211-0.001,"Repaid from cash",IF(SUMPRODUCT($G$19179:$K$19179,$G$19163:$K$19163)&gt;0,IF(C19212&gt;0,"Partly repaid; remainder refinanced","Refinanced"),IF(SUM($G$19188:$K$19188)&gt;0.001,IF(C19212&gt;0,"Partial repayment; PAYMENT DEFAULT","PAYMENT DEFAULT"),"Repaid from cash"))))</f>
        <v>Partial repayment; PAYMENT DEFAULT</v>
      </c>
    </row>
    <row r="19215" customFormat="false" ht="15" hidden="false" customHeight="false" outlineLevel="0" collapsed="false">
      <c r="A19215" s="3" t="s">
        <v>334</v>
      </c>
      <c r="C19215" s="25" t="n">
        <f aca="false">SUMPRODUCT($G$19192:$K$19192,$G$19191:$K$19191-$G$19197:$K$19197+$G$19196:$K$19196)</f>
        <v>143.75</v>
      </c>
    </row>
    <row r="19216" customFormat="false" ht="15" hidden="false" customHeight="false" outlineLevel="0" collapsed="false">
      <c r="A19216" s="3" t="s">
        <v>335</v>
      </c>
      <c r="C19216" s="25" t="n">
        <f aca="false">SUMPRODUCT($G$19192:$K$19192,$G$19199:$K$19199)</f>
        <v>0</v>
      </c>
    </row>
    <row r="19217" customFormat="false" ht="15" hidden="false" customHeight="false" outlineLevel="0" collapsed="false">
      <c r="A19217" s="3" t="s">
        <v>336</v>
      </c>
      <c r="C19217" s="3" t="str">
        <f aca="false">IF(SUM($G$19192:$K$19192)=0,"n/a (beyond horizon)",IF(SUMPRODUCT($G$19192:$K$19192,$G$19163:$K$19163)&gt;0,"REFINANCING PASS","REFINANCING FAILURE"))</f>
        <v>REFINANCING FAILURE</v>
      </c>
    </row>
    <row r="19218" customFormat="false" ht="15" hidden="false" customHeight="false" outlineLevel="0" collapsed="false">
      <c r="A19218" s="3" t="s">
        <v>337</v>
      </c>
      <c r="C19218" s="3" t="str">
        <f aca="false">IF(SUM($G$19192:$K$19192)=0,"n/a",IF(C19216&gt;=C19215-0.001,"Repaid from cash",IF(SUMPRODUCT($G$19192:$K$19192,$G$19163:$K$19163)&gt;0,IF(C19216&gt;0,"Partly repaid; remainder refinanced","Refinanced"),IF(SUM($G$19201:$K$19201)&gt;0.001,IF(C19216&gt;0,"Partial repayment; PAYMENT DEFAULT","PAYMENT DEFAULT"),"Repaid from cash"))))</f>
        <v>PAYMENT DEFAULT</v>
      </c>
    </row>
    <row r="19219" customFormat="false" ht="15" hidden="false" customHeight="false" outlineLevel="0" collapsed="false">
      <c r="A19219" s="3" t="s">
        <v>338</v>
      </c>
      <c r="C19219" s="20" t="n">
        <f aca="false">IF(C19209="REFINANCING FAILURE",1,0)+IF(C19213="REFINANCING FAILURE",1,0)+IF(C19217="REFINANCING FAILURE",1,0)</f>
        <v>2</v>
      </c>
    </row>
    <row r="19221" customFormat="false" ht="15" hidden="false" customHeight="false" outlineLevel="0" collapsed="false">
      <c r="A19221" s="23" t="s">
        <v>340</v>
      </c>
      <c r="B19221" s="24"/>
      <c r="C19221" s="24"/>
      <c r="D19221" s="24"/>
      <c r="E19221" s="24"/>
      <c r="F19221" s="24"/>
      <c r="G19221" s="24"/>
      <c r="H19221" s="24"/>
      <c r="I19221" s="24"/>
      <c r="J19221" s="24"/>
      <c r="K19221" s="24"/>
    </row>
    <row r="19222" customFormat="false" ht="15" hidden="false" customHeight="false" outlineLevel="0" collapsed="false">
      <c r="A19222" s="3" t="s">
        <v>305</v>
      </c>
      <c r="G19222" s="25" t="n">
        <f aca="false">F19234</f>
        <v>463.996</v>
      </c>
      <c r="H19222" s="25" t="n">
        <f aca="false">G19234</f>
        <v>431.67030664</v>
      </c>
      <c r="I19222" s="25" t="n">
        <f aca="false">H19234</f>
        <v>359.0106596512</v>
      </c>
      <c r="J19222" s="25" t="n">
        <f aca="false">I19234</f>
        <v>0</v>
      </c>
      <c r="K19222" s="25" t="n">
        <f aca="false">J19234</f>
        <v>-82.533161826112</v>
      </c>
    </row>
    <row r="19223" customFormat="false" ht="15" hidden="false" customHeight="false" outlineLevel="0" collapsed="false">
      <c r="A19223" s="3" t="s">
        <v>341</v>
      </c>
      <c r="G19223" s="25" t="n">
        <f aca="false">G19152</f>
        <v>-32.32569336</v>
      </c>
      <c r="H19223" s="25" t="n">
        <f aca="false">H19152</f>
        <v>-72.6596469888</v>
      </c>
      <c r="I19223" s="25" t="n">
        <f aca="false">I19152</f>
        <v>-88.63869221952</v>
      </c>
      <c r="J19223" s="25" t="n">
        <f aca="false">J19152</f>
        <v>-82.533161826112</v>
      </c>
      <c r="K19223" s="25" t="n">
        <f aca="false">K19152</f>
        <v>-86.2490037995945</v>
      </c>
    </row>
    <row r="19224" customFormat="false" ht="15" hidden="false" customHeight="false" outlineLevel="0" collapsed="false">
      <c r="A19224" s="3" t="s">
        <v>342</v>
      </c>
      <c r="G19224" s="25" t="n">
        <f aca="false">CHOOSE($C$19122,Assumptions!$G$74,Assumptions!$G$93,Assumptions!$G$112)</f>
        <v>0</v>
      </c>
      <c r="H19224" s="25" t="n">
        <f aca="false">CHOOSE($C$19122,Assumptions!$H$74,Assumptions!$H$93,Assumptions!$H$112)</f>
        <v>0</v>
      </c>
      <c r="I19224" s="25" t="n">
        <f aca="false">CHOOSE($C$19122,Assumptions!$I$74,Assumptions!$I$93,Assumptions!$I$112)</f>
        <v>0</v>
      </c>
      <c r="J19224" s="25" t="n">
        <f aca="false">CHOOSE($C$19122,Assumptions!$J$74,Assumptions!$J$93,Assumptions!$J$112)</f>
        <v>0</v>
      </c>
      <c r="K19224" s="25" t="n">
        <f aca="false">CHOOSE($C$19122,Assumptions!$K$74,Assumptions!$K$93,Assumptions!$K$112)</f>
        <v>0</v>
      </c>
    </row>
    <row r="19225" customFormat="false" ht="15" hidden="false" customHeight="false" outlineLevel="0" collapsed="false">
      <c r="A19225" s="3" t="s">
        <v>343</v>
      </c>
      <c r="G19225" s="25" t="n">
        <f aca="false">G19171+G19184+G19197</f>
        <v>0</v>
      </c>
      <c r="H19225" s="25" t="n">
        <f aca="false">H19171+H19184+H19197</f>
        <v>0</v>
      </c>
      <c r="I19225" s="25" t="n">
        <f aca="false">I19171+I19184+I19197</f>
        <v>0</v>
      </c>
      <c r="J19225" s="25" t="n">
        <f aca="false">J19171+J19184+J19197</f>
        <v>0</v>
      </c>
      <c r="K19225" s="25" t="n">
        <f aca="false">K19171+K19184+K19197</f>
        <v>0</v>
      </c>
    </row>
    <row r="19226" customFormat="false" ht="15" hidden="false" customHeight="false" outlineLevel="0" collapsed="false">
      <c r="A19226" s="2" t="s">
        <v>344</v>
      </c>
      <c r="G19226" s="16" t="n">
        <f aca="false">G19222+G19223+G19224-G19225</f>
        <v>431.67030664</v>
      </c>
      <c r="H19226" s="16" t="n">
        <f aca="false">H19222+H19223+H19224-H19225</f>
        <v>359.0106596512</v>
      </c>
      <c r="I19226" s="16" t="n">
        <f aca="false">I19222+I19223+I19224-I19225</f>
        <v>270.37196743168</v>
      </c>
      <c r="J19226" s="16" t="n">
        <f aca="false">J19222+J19223+J19224-J19225</f>
        <v>-82.533161826112</v>
      </c>
      <c r="K19226" s="16" t="n">
        <f aca="false">K19222+K19223+K19224-K19225</f>
        <v>-168.782165625707</v>
      </c>
    </row>
    <row r="19227" customFormat="false" ht="15" hidden="false" customHeight="false" outlineLevel="0" collapsed="false">
      <c r="A19227" s="3" t="s">
        <v>345</v>
      </c>
      <c r="G19227" s="25" t="n">
        <f aca="false">G19172+G19185+G19198</f>
        <v>0</v>
      </c>
      <c r="H19227" s="25" t="n">
        <f aca="false">H19172+H19185+H19198</f>
        <v>0</v>
      </c>
      <c r="I19227" s="25" t="n">
        <f aca="false">I19172+I19185+I19198</f>
        <v>0</v>
      </c>
      <c r="J19227" s="25" t="n">
        <f aca="false">J19172+J19185+J19198</f>
        <v>0</v>
      </c>
      <c r="K19227" s="25" t="n">
        <f aca="false">K19172+K19185+K19198</f>
        <v>0</v>
      </c>
    </row>
    <row r="19228" customFormat="false" ht="15" hidden="false" customHeight="false" outlineLevel="0" collapsed="false">
      <c r="A19228" s="2" t="s">
        <v>346</v>
      </c>
      <c r="G19228" s="16" t="n">
        <f aca="false">G19226+G19227</f>
        <v>431.67030664</v>
      </c>
      <c r="H19228" s="16" t="n">
        <f aca="false">H19226+H19227</f>
        <v>359.0106596512</v>
      </c>
      <c r="I19228" s="16" t="n">
        <f aca="false">I19226+I19227</f>
        <v>270.37196743168</v>
      </c>
      <c r="J19228" s="16" t="n">
        <f aca="false">J19226+J19227</f>
        <v>-82.533161826112</v>
      </c>
      <c r="K19228" s="16" t="n">
        <f aca="false">K19226+K19227</f>
        <v>-168.782165625707</v>
      </c>
    </row>
    <row r="19229" customFormat="false" ht="15" hidden="false" customHeight="false" outlineLevel="0" collapsed="false">
      <c r="A19229" s="3" t="s">
        <v>347</v>
      </c>
      <c r="G19229" s="25" t="n">
        <f aca="false">G19173+G19186+G19199</f>
        <v>0</v>
      </c>
      <c r="H19229" s="25" t="n">
        <f aca="false">H19173+H19186+H19199</f>
        <v>0</v>
      </c>
      <c r="I19229" s="25" t="n">
        <f aca="false">I19173+I19186+I19199</f>
        <v>270.37196743168</v>
      </c>
      <c r="J19229" s="25" t="n">
        <f aca="false">J19173+J19186+J19199</f>
        <v>0</v>
      </c>
      <c r="K19229" s="25" t="n">
        <f aca="false">K19173+K19186+K19199</f>
        <v>0</v>
      </c>
    </row>
    <row r="19230" customFormat="false" ht="15" hidden="false" customHeight="false" outlineLevel="0" collapsed="false">
      <c r="A19230" s="2" t="s">
        <v>348</v>
      </c>
      <c r="G19230" s="16" t="n">
        <f aca="false">G19228-G19229</f>
        <v>431.67030664</v>
      </c>
      <c r="H19230" s="16" t="n">
        <f aca="false">H19228-H19229</f>
        <v>359.0106596512</v>
      </c>
      <c r="I19230" s="16" t="n">
        <f aca="false">I19228-I19229</f>
        <v>0</v>
      </c>
      <c r="J19230" s="16" t="n">
        <f aca="false">J19228-J19229</f>
        <v>-82.533161826112</v>
      </c>
      <c r="K19230" s="16" t="n">
        <f aca="false">K19228-K19229</f>
        <v>-168.782165625707</v>
      </c>
    </row>
    <row r="19231" customFormat="false" ht="15" hidden="false" customHeight="false" outlineLevel="0" collapsed="false">
      <c r="A19231" s="3" t="s">
        <v>349</v>
      </c>
      <c r="G19231" s="25" t="n">
        <f aca="false">MAX(0,-G19230)</f>
        <v>0</v>
      </c>
      <c r="H19231" s="25" t="n">
        <f aca="false">MAX(0,-H19230)</f>
        <v>0</v>
      </c>
      <c r="I19231" s="25" t="n">
        <f aca="false">MAX(0,-I19230)</f>
        <v>-0</v>
      </c>
      <c r="J19231" s="25" t="n">
        <f aca="false">MAX(0,-J19230)</f>
        <v>82.533161826112</v>
      </c>
      <c r="K19231" s="25" t="n">
        <f aca="false">MAX(0,-K19230)</f>
        <v>168.782165625707</v>
      </c>
    </row>
    <row r="19232" customFormat="false" ht="15" hidden="false" customHeight="false" outlineLevel="0" collapsed="false">
      <c r="A19232" s="3" t="s">
        <v>350</v>
      </c>
      <c r="G19232" s="25" t="n">
        <f aca="false">MAX(0,G19230-Assumptions!$C$12)*Assumptions!$C$13</f>
        <v>0</v>
      </c>
      <c r="H19232" s="25" t="n">
        <f aca="false">MAX(0,H19230-Assumptions!$C$12)*Assumptions!$C$13</f>
        <v>0</v>
      </c>
      <c r="I19232" s="25" t="n">
        <f aca="false">MAX(0,I19230-Assumptions!$C$12)*Assumptions!$C$13</f>
        <v>0</v>
      </c>
      <c r="J19232" s="25" t="n">
        <f aca="false">MAX(0,J19230-Assumptions!$C$12)*Assumptions!$C$13</f>
        <v>0</v>
      </c>
      <c r="K19232" s="25" t="n">
        <f aca="false">MAX(0,K19230-Assumptions!$C$12)*Assumptions!$C$13</f>
        <v>0</v>
      </c>
    </row>
    <row r="19233" customFormat="false" ht="15" hidden="false" customHeight="false" outlineLevel="0" collapsed="false">
      <c r="A19233" s="3" t="s">
        <v>351</v>
      </c>
      <c r="G19233" s="25" t="n">
        <f aca="false">G19174+G19187+G19200</f>
        <v>0</v>
      </c>
      <c r="H19233" s="25" t="n">
        <f aca="false">H19174+H19187+H19200</f>
        <v>0</v>
      </c>
      <c r="I19233" s="25" t="n">
        <f aca="false">I19174+I19187+I19200</f>
        <v>0</v>
      </c>
      <c r="J19233" s="25" t="n">
        <f aca="false">J19174+J19187+J19200</f>
        <v>0</v>
      </c>
      <c r="K19233" s="25" t="n">
        <f aca="false">K19174+K19187+K19200</f>
        <v>0</v>
      </c>
    </row>
    <row r="19234" customFormat="false" ht="15" hidden="false" customHeight="false" outlineLevel="0" collapsed="false">
      <c r="A19234" s="2" t="s">
        <v>352</v>
      </c>
      <c r="F19234" s="28" t="n">
        <f aca="false">Assumptions!$C$11</f>
        <v>463.996</v>
      </c>
      <c r="G19234" s="16" t="n">
        <f aca="false">G19230-G19233</f>
        <v>431.67030664</v>
      </c>
      <c r="H19234" s="16" t="n">
        <f aca="false">H19230-H19233</f>
        <v>359.0106596512</v>
      </c>
      <c r="I19234" s="16" t="n">
        <f aca="false">I19230-I19233</f>
        <v>0</v>
      </c>
      <c r="J19234" s="16" t="n">
        <f aca="false">J19230-J19233</f>
        <v>-82.533161826112</v>
      </c>
      <c r="K19234" s="16" t="n">
        <f aca="false">K19230-K19233</f>
        <v>-168.782165625707</v>
      </c>
    </row>
    <row r="19235" customFormat="false" ht="15" hidden="false" customHeight="false" outlineLevel="0" collapsed="false">
      <c r="A19235" s="3" t="s">
        <v>353</v>
      </c>
      <c r="G19235" s="25" t="n">
        <f aca="false">G19175+G19188+G19201</f>
        <v>0</v>
      </c>
      <c r="H19235" s="25" t="n">
        <f aca="false">H19175+H19188+H19201</f>
        <v>0</v>
      </c>
      <c r="I19235" s="25" t="n">
        <f aca="false">I19175+I19188+I19201</f>
        <v>150.08403256832</v>
      </c>
      <c r="J19235" s="25" t="n">
        <f aca="false">J19175+J19188+J19201</f>
        <v>0</v>
      </c>
      <c r="K19235" s="25" t="n">
        <f aca="false">K19175+K19188+K19201</f>
        <v>0</v>
      </c>
    </row>
    <row r="19236" customFormat="false" ht="15" hidden="false" customHeight="false" outlineLevel="0" collapsed="false">
      <c r="A19236" s="3" t="s">
        <v>354</v>
      </c>
      <c r="G19236" s="20" t="n">
        <f aca="false">IF(OR(G19231&gt;0.001,G19235&gt;0.001),1,0)</f>
        <v>0</v>
      </c>
      <c r="H19236" s="20" t="n">
        <f aca="false">IF(OR(H19231&gt;0.001,H19235&gt;0.001),1,0)</f>
        <v>0</v>
      </c>
      <c r="I19236" s="20" t="n">
        <f aca="false">IF(OR(I19231&gt;0.001,I19235&gt;0.001),1,0)</f>
        <v>1</v>
      </c>
      <c r="J19236" s="20" t="n">
        <f aca="false">IF(OR(J19231&gt;0.001,J19235&gt;0.001),1,0)</f>
        <v>1</v>
      </c>
      <c r="K19236" s="20" t="n">
        <f aca="false">IF(OR(K19231&gt;0.001,K19235&gt;0.001),1,0)</f>
        <v>1</v>
      </c>
    </row>
    <row r="19237" customFormat="false" ht="15" hidden="false" customHeight="false" outlineLevel="0" collapsed="false">
      <c r="A19237" s="3" t="s">
        <v>355</v>
      </c>
      <c r="G19237" s="20" t="n">
        <f aca="false">IF(G19236=1,1,0)</f>
        <v>0</v>
      </c>
      <c r="H19237" s="20" t="n">
        <f aca="false">IF(AND(H19236=1,SUM($G$19236:G19236)=0),1,0)</f>
        <v>0</v>
      </c>
      <c r="I19237" s="20" t="n">
        <f aca="false">IF(AND(I19236=1,SUM($G$19236:H19236)=0),1,0)</f>
        <v>1</v>
      </c>
      <c r="J19237" s="20" t="n">
        <f aca="false">IF(AND(J19236=1,SUM($G$19236:I19236)=0),1,0)</f>
        <v>0</v>
      </c>
      <c r="K19237" s="20" t="n">
        <f aca="false">IF(AND(K19236=1,SUM($G$19236:J19236)=0),1,0)</f>
        <v>0</v>
      </c>
    </row>
    <row r="19238" customFormat="false" ht="15" hidden="false" customHeight="false" outlineLevel="0" collapsed="false">
      <c r="A19238" s="3" t="s">
        <v>356</v>
      </c>
      <c r="G19238" s="25" t="n">
        <f aca="false">(G19204-F19204)-(G19227+G19144-G19225-G19229-G19233)</f>
        <v>0</v>
      </c>
      <c r="H19238" s="25" t="n">
        <f aca="false">(H19204-G19204)-(H19227+H19144-H19225-H19229-H19233)</f>
        <v>0</v>
      </c>
      <c r="I19238" s="25" t="n">
        <f aca="false">(I19204-H19204)-(I19227+I19144-I19225-I19229-I19233)</f>
        <v>0</v>
      </c>
      <c r="J19238" s="25" t="n">
        <f aca="false">(J19204-I19204)-(J19227+J19144-J19225-J19229-J19233)</f>
        <v>0</v>
      </c>
      <c r="K19238" s="25" t="n">
        <f aca="false">(K19204-J19204)-(K19227+K19144-K19225-K19229-K19233)</f>
        <v>0</v>
      </c>
    </row>
    <row r="19240" customFormat="false" ht="15" hidden="false" customHeight="false" outlineLevel="0" collapsed="false">
      <c r="A19240" s="23" t="s">
        <v>358</v>
      </c>
      <c r="B19240" s="24"/>
      <c r="C19240" s="24"/>
      <c r="D19240" s="24"/>
      <c r="E19240" s="24"/>
      <c r="F19240" s="24"/>
      <c r="G19240" s="24"/>
      <c r="H19240" s="24"/>
      <c r="I19240" s="24"/>
      <c r="J19240" s="24"/>
      <c r="K19240" s="24"/>
    </row>
    <row r="19241" customFormat="false" ht="15" hidden="false" customHeight="false" outlineLevel="0" collapsed="false">
      <c r="A19241" s="3" t="s">
        <v>359</v>
      </c>
      <c r="G19241" s="25" t="n">
        <f aca="false">G19204</f>
        <v>1735.554</v>
      </c>
      <c r="H19241" s="25" t="n">
        <f aca="false">H19204</f>
        <v>1735.554</v>
      </c>
      <c r="I19241" s="25" t="n">
        <f aca="false">I19204</f>
        <v>1465.18203256832</v>
      </c>
      <c r="J19241" s="25" t="n">
        <f aca="false">J19204</f>
        <v>1465.18203256832</v>
      </c>
      <c r="K19241" s="25" t="n">
        <f aca="false">K19204</f>
        <v>1465.18203256832</v>
      </c>
    </row>
    <row r="19242" customFormat="false" ht="15" hidden="false" customHeight="false" outlineLevel="0" collapsed="false">
      <c r="A19242" s="3" t="s">
        <v>360</v>
      </c>
      <c r="G19242" s="25" t="n">
        <f aca="false">Assumptions!$O$56*G19176+Assumptions!$O$57*G19189+Assumptions!$O$58*G19202</f>
        <v>1315.098</v>
      </c>
      <c r="H19242" s="25" t="n">
        <f aca="false">Assumptions!$O$56*H19176+Assumptions!$O$57*H19189+Assumptions!$O$58*H19202</f>
        <v>1315.098</v>
      </c>
      <c r="I19242" s="25" t="n">
        <f aca="false">Assumptions!$O$56*I19176+Assumptions!$O$57*I19189+Assumptions!$O$58*I19202</f>
        <v>1315.098</v>
      </c>
      <c r="J19242" s="25" t="n">
        <f aca="false">Assumptions!$O$56*J19176+Assumptions!$O$57*J19189+Assumptions!$O$58*J19202</f>
        <v>1315.098</v>
      </c>
      <c r="K19242" s="25" t="n">
        <f aca="false">Assumptions!$O$56*K19176+Assumptions!$O$57*K19189+Assumptions!$O$58*K19202</f>
        <v>1315.098</v>
      </c>
    </row>
    <row r="19243" customFormat="false" ht="15" hidden="false" customHeight="false" outlineLevel="0" collapsed="false">
      <c r="A19243" s="3" t="s">
        <v>361</v>
      </c>
      <c r="G19243" s="25" t="n">
        <f aca="false">G19241-G19234</f>
        <v>1303.88369336</v>
      </c>
      <c r="H19243" s="25" t="n">
        <f aca="false">H19241-H19234</f>
        <v>1376.5433403488</v>
      </c>
      <c r="I19243" s="25" t="n">
        <f aca="false">I19241-I19234</f>
        <v>1465.18203256832</v>
      </c>
      <c r="J19243" s="25" t="n">
        <f aca="false">J19241-J19234</f>
        <v>1547.71519439443</v>
      </c>
      <c r="K19243" s="25" t="n">
        <f aca="false">K19241-K19234</f>
        <v>1633.96419819403</v>
      </c>
    </row>
    <row r="19244" customFormat="false" ht="15" hidden="false" customHeight="false" outlineLevel="0" collapsed="false">
      <c r="A19244" s="3" t="s">
        <v>362</v>
      </c>
      <c r="G19244" s="32" t="n">
        <f aca="false">IF(G19139&gt;0,G19241/G19139,0)</f>
        <v>9.98286782658702</v>
      </c>
      <c r="H19244" s="32" t="n">
        <f aca="false">IF(H19139&gt;0,H19241/H19139,0)</f>
        <v>13.6130015817096</v>
      </c>
      <c r="I19244" s="32" t="n">
        <f aca="false">IF(I19139&gt;0,I19241/I19139,0)</f>
        <v>13.6813219341771</v>
      </c>
      <c r="J19244" s="32" t="n">
        <f aca="false">IF(J19139&gt;0,J19241/J19139,0)</f>
        <v>14.8710021023664</v>
      </c>
      <c r="K19244" s="32" t="n">
        <f aca="false">IF(K19139&gt;0,K19241/K19139,0)</f>
        <v>15.8202150025174</v>
      </c>
    </row>
    <row r="19245" customFormat="false" ht="15" hidden="false" customHeight="false" outlineLevel="0" collapsed="false">
      <c r="A19245" s="3" t="s">
        <v>363</v>
      </c>
      <c r="G19245" s="32" t="n">
        <f aca="false">IF(G19139&gt;0,G19243/G19139,0)</f>
        <v>7.49990986858087</v>
      </c>
      <c r="H19245" s="32" t="n">
        <f aca="false">IF(H19139&gt;0,H19243/H19139,0)</f>
        <v>10.7970634560838</v>
      </c>
      <c r="I19245" s="32" t="n">
        <f aca="false">IF(I19139&gt;0,I19243/I19139,0)</f>
        <v>13.6813219341771</v>
      </c>
      <c r="J19245" s="32" t="n">
        <f aca="false">IF(J19139&gt;0,J19243/J19139,0)</f>
        <v>15.7086801490181</v>
      </c>
      <c r="K19245" s="32" t="n">
        <f aca="false">IF(K19139&gt;0,K19243/K19139,0)</f>
        <v>17.6426302993449</v>
      </c>
    </row>
    <row r="19246" customFormat="false" ht="15" hidden="false" customHeight="false" outlineLevel="0" collapsed="false">
      <c r="A19246" s="3" t="s">
        <v>364</v>
      </c>
      <c r="G19246" s="32" t="n">
        <f aca="false">IF(G19143&gt;0,G19139/G19143,0)</f>
        <v>1.11476782580477</v>
      </c>
      <c r="H19246" s="32" t="n">
        <f aca="false">IF(H19143&gt;0,H19139/H19143,0)</f>
        <v>0.817496405590163</v>
      </c>
      <c r="I19246" s="32" t="n">
        <f aca="false">IF(I19143&gt;0,I19139/I19143,0)</f>
        <v>0.686696980695737</v>
      </c>
      <c r="J19246" s="32" t="n">
        <f aca="false">IF(J19143&gt;0,J19139/J19143,0)</f>
        <v>0.682012179303795</v>
      </c>
      <c r="K19246" s="32" t="n">
        <f aca="false">IF(K19143&gt;0,K19139/K19143,0)</f>
        <v>0.641091448545568</v>
      </c>
    </row>
    <row r="19247" customFormat="false" ht="15" hidden="false" customHeight="false" outlineLevel="0" collapsed="false">
      <c r="A19247" s="3" t="s">
        <v>365</v>
      </c>
      <c r="G19247" s="32" t="n">
        <f aca="false">IF(G19143&gt;0,G19142/G19143,0)</f>
        <v>0.510100328512125</v>
      </c>
      <c r="H19247" s="32" t="n">
        <f aca="false">IF(H19143&gt;0,H19142/H19143,0)</f>
        <v>0.285389007972637</v>
      </c>
      <c r="I19247" s="32" t="n">
        <f aca="false">IF(I19143&gt;0,I19142/I19143,0)</f>
        <v>0.207800322839964</v>
      </c>
      <c r="J19247" s="32" t="n">
        <f aca="false">IF(J19143&gt;0,J19142/J19143,0)</f>
        <v>0.206382662257416</v>
      </c>
      <c r="K19247" s="32" t="n">
        <f aca="false">IF(K19143&gt;0,K19142/K19143,0)</f>
        <v>0.193999702521971</v>
      </c>
    </row>
    <row r="19248" customFormat="false" ht="15" hidden="false" customHeight="false" outlineLevel="0" collapsed="false">
      <c r="A19248" s="3" t="s">
        <v>198</v>
      </c>
      <c r="G19248" s="21" t="n">
        <f aca="false">IF(G19241&gt;0,G19152/G19241,0)</f>
        <v>-0.0186255762482758</v>
      </c>
      <c r="H19248" s="21" t="n">
        <f aca="false">IF(H19241&gt;0,H19152/H19241,0)</f>
        <v>-0.0418653911020919</v>
      </c>
      <c r="I19248" s="21" t="n">
        <f aca="false">IF(I19241&gt;0,I19152/I19241,0)</f>
        <v>-0.0604967097938985</v>
      </c>
      <c r="J19248" s="21" t="n">
        <f aca="false">IF(J19241&gt;0,J19152/J19241,0)</f>
        <v>-0.0563296300333683</v>
      </c>
      <c r="K19248" s="21" t="n">
        <f aca="false">IF(K19241&gt;0,K19152/K19241,0)</f>
        <v>-0.0588657258159305</v>
      </c>
    </row>
    <row r="19249" customFormat="false" ht="15" hidden="false" customHeight="false" outlineLevel="0" collapsed="false">
      <c r="A19249" s="3" t="s">
        <v>366</v>
      </c>
      <c r="G19249" s="32" t="n">
        <f aca="false">IF(G19143+G19225&gt;0,(G19139-G19150-G19147)/(G19143+G19225),0)</f>
        <v>0.978518424873074</v>
      </c>
      <c r="H19249" s="32" t="n">
        <f aca="false">IF(H19143+H19225&gt;0,(H19139-H19150-H19147)/(H19143+H19225),0)</f>
        <v>0.697596932770272</v>
      </c>
      <c r="I19249" s="32" t="n">
        <f aca="false">IF(I19143+I19225&gt;0,(I19139-I19150-I19147)/(I19143+I19225),0)</f>
        <v>0.578787455157835</v>
      </c>
      <c r="J19249" s="32" t="n">
        <f aca="false">IF(J19143+J19225&gt;0,(J19139-J19150-J19147)/(J19143+J19225),0)</f>
        <v>0.57483883684177</v>
      </c>
      <c r="K19249" s="32" t="n">
        <f aca="false">IF(K19143+K19225&gt;0,(K19139-K19150-K19147)/(K19143+K19225),0)</f>
        <v>0.540348506631264</v>
      </c>
    </row>
    <row r="19250" customFormat="false" ht="15" hidden="false" customHeight="false" outlineLevel="0" collapsed="false">
      <c r="A19250" s="3" t="s">
        <v>367</v>
      </c>
      <c r="G19250" s="25" t="n">
        <f aca="false">MAX(0,G19234)+Assumptions!$P$56*MAX(0,Assumptions!$D$56-G19176)+Assumptions!$P$57*MAX(0,Assumptions!$D$57-G19189)+Assumptions!$P$58*MAX(0,Assumptions!$D$58-G19202)</f>
        <v>431.67030664</v>
      </c>
      <c r="H19250" s="25" t="n">
        <f aca="false">MAX(0,H19234)+Assumptions!$P$56*MAX(0,Assumptions!$D$56-H19176)+Assumptions!$P$57*MAX(0,Assumptions!$D$57-H19189)+Assumptions!$P$58*MAX(0,Assumptions!$D$58-H19202)</f>
        <v>359.0106596512</v>
      </c>
      <c r="I19250" s="25" t="n">
        <f aca="false">MAX(0,I19234)+Assumptions!$P$56*MAX(0,Assumptions!$D$56-I19176)+Assumptions!$P$57*MAX(0,Assumptions!$D$57-I19189)+Assumptions!$P$58*MAX(0,Assumptions!$D$58-I19202)</f>
        <v>0</v>
      </c>
      <c r="J19250" s="25" t="n">
        <f aca="false">MAX(0,J19234)+Assumptions!$P$56*MAX(0,Assumptions!$D$56-J19176)+Assumptions!$P$57*MAX(0,Assumptions!$D$57-J19189)+Assumptions!$P$58*MAX(0,Assumptions!$D$58-J19202)</f>
        <v>0</v>
      </c>
      <c r="K19250" s="25" t="n">
        <f aca="false">MAX(0,K19234)+Assumptions!$P$56*MAX(0,Assumptions!$D$56-K19176)+Assumptions!$P$57*MAX(0,Assumptions!$D$57-K19189)+Assumptions!$P$58*MAX(0,Assumptions!$D$58-K19202)</f>
        <v>0</v>
      </c>
    </row>
    <row r="19251" customFormat="false" ht="15" hidden="false" customHeight="false" outlineLevel="0" collapsed="false">
      <c r="A19251" s="3" t="s">
        <v>368</v>
      </c>
      <c r="G19251" s="21" t="n">
        <f aca="false">IF(G19241&gt;0,G19241/(G19241+MAX(0,G19139*CHOOSE($C$19122,Assumptions!$C$82,Assumptions!$C$101,Assumptions!$C$120)-G19243)),0)</f>
        <v>1</v>
      </c>
      <c r="H19251" s="21" t="n">
        <f aca="false">IF(H19241&gt;0,H19241/(H19241+MAX(0,H19139*CHOOSE($C$19122,Assumptions!$C$82,Assumptions!$C$101,Assumptions!$C$120)-H19243)),0)</f>
        <v>1</v>
      </c>
      <c r="I19251" s="21" t="n">
        <f aca="false">IF(I19241&gt;0,I19241/(I19241+MAX(0,I19139*CHOOSE($C$19122,Assumptions!$C$82,Assumptions!$C$101,Assumptions!$C$120)-I19243)),0)</f>
        <v>1</v>
      </c>
      <c r="J19251" s="21" t="n">
        <f aca="false">IF(J19241&gt;0,J19241/(J19241+MAX(0,J19139*CHOOSE($C$19122,Assumptions!$C$82,Assumptions!$C$101,Assumptions!$C$120)-J19243)),0)</f>
        <v>1</v>
      </c>
      <c r="K19251" s="21" t="n">
        <f aca="false">IF(K19241&gt;0,K19241/(K19241+MAX(0,K19139*CHOOSE($C$19122,Assumptions!$C$82,Assumptions!$C$101,Assumptions!$C$120)-K19243)),0)</f>
        <v>1</v>
      </c>
    </row>
    <row r="19252" customFormat="false" ht="15" hidden="false" customHeight="false" outlineLevel="0" collapsed="false">
      <c r="A19252" s="3" t="s">
        <v>369</v>
      </c>
      <c r="G19252" s="21" t="n">
        <f aca="false">IF(G19241&gt;0,MAX(0,G19234)/G19241,0)</f>
        <v>0.248721910490829</v>
      </c>
      <c r="H19252" s="21" t="n">
        <f aca="false">IF(H19241&gt;0,MAX(0,H19234)/H19241,0)</f>
        <v>0.206856519388737</v>
      </c>
      <c r="I19252" s="21" t="n">
        <f aca="false">IF(I19241&gt;0,MAX(0,I19234)/I19241,0)</f>
        <v>0</v>
      </c>
      <c r="J19252" s="21" t="n">
        <f aca="false">IF(J19241&gt;0,MAX(0,J19234)/J19241,0)</f>
        <v>0</v>
      </c>
      <c r="K19252" s="21" t="n">
        <f aca="false">IF(K19241&gt;0,MAX(0,K19234)/K19241,0)</f>
        <v>0</v>
      </c>
    </row>
    <row r="19253" customFormat="false" ht="15" hidden="false" customHeight="false" outlineLevel="0" collapsed="false">
      <c r="A19253" s="3" t="s">
        <v>370</v>
      </c>
      <c r="G19253" s="25" t="n">
        <f aca="false">Assumptions!$C$30*(1-CHOOSE($C$19122,Assumptions!$C$85,Assumptions!$C$104,Assumptions!$C$123))</f>
        <v>1595.73115</v>
      </c>
      <c r="H19253" s="25" t="n">
        <f aca="false">Assumptions!$C$30*(1-CHOOSE($C$19122,Assumptions!$C$85,Assumptions!$C$104,Assumptions!$C$123))</f>
        <v>1595.73115</v>
      </c>
      <c r="I19253" s="25" t="n">
        <f aca="false">Assumptions!$C$30*(1-CHOOSE($C$19122,Assumptions!$C$85,Assumptions!$C$104,Assumptions!$C$123))</f>
        <v>1595.73115</v>
      </c>
      <c r="J19253" s="25" t="n">
        <f aca="false">Assumptions!$C$30*(1-CHOOSE($C$19122,Assumptions!$C$85,Assumptions!$C$104,Assumptions!$C$123))</f>
        <v>1595.73115</v>
      </c>
      <c r="K19253" s="25" t="n">
        <f aca="false">Assumptions!$C$30*(1-CHOOSE($C$19122,Assumptions!$C$85,Assumptions!$C$104,Assumptions!$C$123))</f>
        <v>1595.73115</v>
      </c>
    </row>
    <row r="19254" customFormat="false" ht="15" hidden="false" customHeight="false" outlineLevel="0" collapsed="false">
      <c r="A19254" s="23" t="s">
        <v>371</v>
      </c>
      <c r="B19254" s="24"/>
      <c r="C19254" s="24"/>
      <c r="D19254" s="24"/>
      <c r="E19254" s="24"/>
      <c r="F19254" s="24"/>
      <c r="G19254" s="24"/>
      <c r="H19254" s="24"/>
      <c r="I19254" s="24"/>
      <c r="J19254" s="24"/>
      <c r="K19254" s="24"/>
    </row>
    <row r="19255" customFormat="false" ht="15" hidden="false" customHeight="false" outlineLevel="0" collapsed="false">
      <c r="A19255" s="23" t="s">
        <v>372</v>
      </c>
      <c r="B19255" s="24"/>
      <c r="C19255" s="24"/>
      <c r="D19255" s="24"/>
      <c r="E19255" s="24"/>
      <c r="F19255" s="24"/>
      <c r="G19255" s="24"/>
      <c r="H19255" s="24"/>
      <c r="I19255" s="24"/>
      <c r="J19255" s="24"/>
      <c r="K19255" s="24"/>
    </row>
    <row r="19256" customFormat="false" ht="15" hidden="false" customHeight="false" outlineLevel="0" collapsed="false">
      <c r="A19256" s="3" t="s">
        <v>373</v>
      </c>
      <c r="G19256" s="32" t="n">
        <f aca="false">IF(G19139&gt;0,G19243/G19139,99)</f>
        <v>7.49990986858087</v>
      </c>
      <c r="H19256" s="32" t="n">
        <f aca="false">IF(H19139&gt;0,H19243/H19139,99)</f>
        <v>10.7970634560838</v>
      </c>
      <c r="I19256" s="32" t="n">
        <f aca="false">IF(I19139&gt;0,I19243/I19139,99)</f>
        <v>13.6813219341771</v>
      </c>
      <c r="J19256" s="32" t="n">
        <f aca="false">IF(J19139&gt;0,J19243/J19139,99)</f>
        <v>15.7086801490181</v>
      </c>
      <c r="K19256" s="32" t="n">
        <f aca="false">IF(K19139&gt;0,K19243/K19139,99)</f>
        <v>17.6426302993449</v>
      </c>
    </row>
    <row r="19257" customFormat="false" ht="15" hidden="false" customHeight="false" outlineLevel="0" collapsed="false">
      <c r="A19257" s="3" t="s">
        <v>374</v>
      </c>
      <c r="G19257" s="33" t="n">
        <f aca="false">Assumptions!$G$65</f>
        <v>5.25</v>
      </c>
      <c r="H19257" s="33" t="n">
        <f aca="false">Assumptions!$H$65</f>
        <v>5.25</v>
      </c>
      <c r="I19257" s="33" t="n">
        <f aca="false">Assumptions!$I$65</f>
        <v>5</v>
      </c>
      <c r="J19257" s="33" t="n">
        <f aca="false">Assumptions!$J$65</f>
        <v>5</v>
      </c>
      <c r="K19257" s="33" t="n">
        <f aca="false">Assumptions!$K$65</f>
        <v>5</v>
      </c>
    </row>
    <row r="19258" customFormat="false" ht="15" hidden="false" customHeight="false" outlineLevel="0" collapsed="false">
      <c r="A19258" s="3" t="s">
        <v>375</v>
      </c>
      <c r="G19258" s="32" t="n">
        <f aca="false">G19257-G19256</f>
        <v>-2.24990986858086</v>
      </c>
      <c r="H19258" s="32" t="n">
        <f aca="false">H19257-H19256</f>
        <v>-5.54706345608375</v>
      </c>
      <c r="I19258" s="32" t="n">
        <f aca="false">I19257-I19256</f>
        <v>-8.68132193417709</v>
      </c>
      <c r="J19258" s="32" t="n">
        <f aca="false">J19257-J19256</f>
        <v>-10.7086801490181</v>
      </c>
      <c r="K19258" s="32" t="n">
        <f aca="false">K19257-K19256</f>
        <v>-12.6426302993449</v>
      </c>
    </row>
    <row r="19259" customFormat="false" ht="15" hidden="false" customHeight="false" outlineLevel="0" collapsed="false">
      <c r="A19259" s="3" t="s">
        <v>376</v>
      </c>
      <c r="G19259" s="21" t="n">
        <f aca="false">IF(G19257=0,0,G19258/ABS(G19257))</f>
        <v>-0.42855426068207</v>
      </c>
      <c r="H19259" s="21" t="n">
        <f aca="false">IF(H19257=0,0,H19258/ABS(H19257))</f>
        <v>-1.05658351544452</v>
      </c>
      <c r="I19259" s="21" t="n">
        <f aca="false">IF(I19257=0,0,I19258/ABS(I19257))</f>
        <v>-1.73626438683542</v>
      </c>
      <c r="J19259" s="21" t="n">
        <f aca="false">IF(J19257=0,0,J19258/ABS(J19257))</f>
        <v>-2.14173602980363</v>
      </c>
      <c r="K19259" s="21" t="n">
        <f aca="false">IF(K19257=0,0,K19258/ABS(K19257))</f>
        <v>-2.52852605986897</v>
      </c>
    </row>
    <row r="19260" customFormat="false" ht="15" hidden="false" customHeight="false" outlineLevel="0" collapsed="false">
      <c r="A19260" s="3" t="s">
        <v>377</v>
      </c>
      <c r="G19260" s="20" t="n">
        <f aca="false">IF(G19258&lt;0,1,0)</f>
        <v>1</v>
      </c>
      <c r="H19260" s="20" t="n">
        <f aca="false">IF(H19258&lt;0,1,0)</f>
        <v>1</v>
      </c>
      <c r="I19260" s="20" t="n">
        <f aca="false">IF(I19258&lt;0,1,0)</f>
        <v>1</v>
      </c>
      <c r="J19260" s="20" t="n">
        <f aca="false">IF(J19258&lt;0,1,0)</f>
        <v>1</v>
      </c>
      <c r="K19260" s="20" t="n">
        <f aca="false">IF(K19258&lt;0,1,0)</f>
        <v>1</v>
      </c>
    </row>
    <row r="19261" customFormat="false" ht="15" hidden="false" customHeight="false" outlineLevel="0" collapsed="false">
      <c r="A19261" s="3" t="s">
        <v>378</v>
      </c>
      <c r="C19261" s="20" t="n">
        <f aca="false">IFERROR(INDEX($G$19129:$K$19129,MATCH(1,$G$19260:$K$19260,0)),0)</f>
        <v>2027</v>
      </c>
    </row>
    <row r="19262" customFormat="false" ht="15" hidden="false" customHeight="false" outlineLevel="0" collapsed="false">
      <c r="A19262" s="3" t="s">
        <v>379</v>
      </c>
      <c r="C19262" s="21" t="n">
        <f aca="false">MIN($G$19259:$K$19259)</f>
        <v>-2.52852605986897</v>
      </c>
    </row>
    <row r="19263" customFormat="false" ht="15" hidden="false" customHeight="false" outlineLevel="0" collapsed="false">
      <c r="A19263" s="23" t="s">
        <v>380</v>
      </c>
      <c r="B19263" s="24"/>
      <c r="C19263" s="24"/>
      <c r="D19263" s="24"/>
      <c r="E19263" s="24"/>
      <c r="F19263" s="24"/>
      <c r="G19263" s="24"/>
      <c r="H19263" s="24"/>
      <c r="I19263" s="24"/>
      <c r="J19263" s="24"/>
      <c r="K19263" s="24"/>
    </row>
    <row r="19264" customFormat="false" ht="15" hidden="false" customHeight="false" outlineLevel="0" collapsed="false">
      <c r="A19264" s="3" t="s">
        <v>373</v>
      </c>
      <c r="G19264" s="32" t="n">
        <f aca="false">IF(G19143&gt;0,G19139/G19143,99)</f>
        <v>1.11476782580477</v>
      </c>
      <c r="H19264" s="32" t="n">
        <f aca="false">IF(H19143&gt;0,H19139/H19143,99)</f>
        <v>0.817496405590163</v>
      </c>
      <c r="I19264" s="32" t="n">
        <f aca="false">IF(I19143&gt;0,I19139/I19143,99)</f>
        <v>0.686696980695737</v>
      </c>
      <c r="J19264" s="32" t="n">
        <f aca="false">IF(J19143&gt;0,J19139/J19143,99)</f>
        <v>0.682012179303795</v>
      </c>
      <c r="K19264" s="32" t="n">
        <f aca="false">IF(K19143&gt;0,K19139/K19143,99)</f>
        <v>0.641091448545568</v>
      </c>
    </row>
    <row r="19265" customFormat="false" ht="15" hidden="false" customHeight="false" outlineLevel="0" collapsed="false">
      <c r="A19265" s="3" t="s">
        <v>374</v>
      </c>
      <c r="G19265" s="33" t="n">
        <f aca="false">Assumptions!$G$66</f>
        <v>1.4</v>
      </c>
      <c r="H19265" s="33" t="n">
        <f aca="false">Assumptions!$H$66</f>
        <v>1.4</v>
      </c>
      <c r="I19265" s="33" t="n">
        <f aca="false">Assumptions!$I$66</f>
        <v>1.4</v>
      </c>
      <c r="J19265" s="33" t="n">
        <f aca="false">Assumptions!$J$66</f>
        <v>1.5</v>
      </c>
      <c r="K19265" s="33" t="n">
        <f aca="false">Assumptions!$K$66</f>
        <v>1.5</v>
      </c>
    </row>
    <row r="19266" customFormat="false" ht="15" hidden="false" customHeight="false" outlineLevel="0" collapsed="false">
      <c r="A19266" s="3" t="s">
        <v>375</v>
      </c>
      <c r="G19266" s="32" t="n">
        <f aca="false">G19264-G19265</f>
        <v>-0.285232174195233</v>
      </c>
      <c r="H19266" s="32" t="n">
        <f aca="false">H19264-H19265</f>
        <v>-0.582503594409837</v>
      </c>
      <c r="I19266" s="32" t="n">
        <f aca="false">I19264-I19265</f>
        <v>-0.713303019304263</v>
      </c>
      <c r="J19266" s="32" t="n">
        <f aca="false">J19264-J19265</f>
        <v>-0.817987820696205</v>
      </c>
      <c r="K19266" s="32" t="n">
        <f aca="false">K19264-K19265</f>
        <v>-0.858908551454433</v>
      </c>
    </row>
    <row r="19267" customFormat="false" ht="15" hidden="false" customHeight="false" outlineLevel="0" collapsed="false">
      <c r="A19267" s="3" t="s">
        <v>376</v>
      </c>
      <c r="G19267" s="21" t="n">
        <f aca="false">IF(G19265=0,0,G19266/ABS(G19265))</f>
        <v>-0.203737267282309</v>
      </c>
      <c r="H19267" s="21" t="n">
        <f aca="false">IF(H19265=0,0,H19266/ABS(H19265))</f>
        <v>-0.416073996007027</v>
      </c>
      <c r="I19267" s="21" t="n">
        <f aca="false">IF(I19265=0,0,I19266/ABS(I19265))</f>
        <v>-0.509502156645902</v>
      </c>
      <c r="J19267" s="21" t="n">
        <f aca="false">IF(J19265=0,0,J19266/ABS(J19265))</f>
        <v>-0.54532521379747</v>
      </c>
      <c r="K19267" s="21" t="n">
        <f aca="false">IF(K19265=0,0,K19266/ABS(K19265))</f>
        <v>-0.572605700969622</v>
      </c>
    </row>
    <row r="19268" customFormat="false" ht="15" hidden="false" customHeight="false" outlineLevel="0" collapsed="false">
      <c r="A19268" s="3" t="s">
        <v>377</v>
      </c>
      <c r="G19268" s="20" t="n">
        <f aca="false">IF(G19266&lt;0,1,0)</f>
        <v>1</v>
      </c>
      <c r="H19268" s="20" t="n">
        <f aca="false">IF(H19266&lt;0,1,0)</f>
        <v>1</v>
      </c>
      <c r="I19268" s="20" t="n">
        <f aca="false">IF(I19266&lt;0,1,0)</f>
        <v>1</v>
      </c>
      <c r="J19268" s="20" t="n">
        <f aca="false">IF(J19266&lt;0,1,0)</f>
        <v>1</v>
      </c>
      <c r="K19268" s="20" t="n">
        <f aca="false">IF(K19266&lt;0,1,0)</f>
        <v>1</v>
      </c>
    </row>
    <row r="19269" customFormat="false" ht="15" hidden="false" customHeight="false" outlineLevel="0" collapsed="false">
      <c r="A19269" s="3" t="s">
        <v>378</v>
      </c>
      <c r="C19269" s="20" t="n">
        <f aca="false">IFERROR(INDEX($G$19129:$K$19129,MATCH(1,$G$19268:$K$19268,0)),0)</f>
        <v>2027</v>
      </c>
    </row>
    <row r="19270" customFormat="false" ht="15" hidden="false" customHeight="false" outlineLevel="0" collapsed="false">
      <c r="A19270" s="3" t="s">
        <v>379</v>
      </c>
      <c r="C19270" s="21" t="n">
        <f aca="false">MIN($G$19267:$K$19267)</f>
        <v>-0.572605700969622</v>
      </c>
    </row>
    <row r="19271" customFormat="false" ht="15" hidden="false" customHeight="false" outlineLevel="0" collapsed="false">
      <c r="A19271" s="23" t="s">
        <v>381</v>
      </c>
      <c r="B19271" s="24"/>
      <c r="C19271" s="24"/>
      <c r="D19271" s="24"/>
      <c r="E19271" s="24"/>
      <c r="F19271" s="24"/>
      <c r="G19271" s="24"/>
      <c r="H19271" s="24"/>
      <c r="I19271" s="24"/>
      <c r="J19271" s="24"/>
      <c r="K19271" s="24"/>
    </row>
    <row r="19272" customFormat="false" ht="15" hidden="false" customHeight="false" outlineLevel="0" collapsed="false">
      <c r="A19272" s="3" t="s">
        <v>373</v>
      </c>
      <c r="G19272" s="25" t="n">
        <f aca="false">G19250</f>
        <v>431.67030664</v>
      </c>
      <c r="H19272" s="25" t="n">
        <f aca="false">H19250</f>
        <v>359.0106596512</v>
      </c>
      <c r="I19272" s="25" t="n">
        <f aca="false">I19250</f>
        <v>0</v>
      </c>
      <c r="J19272" s="25" t="n">
        <f aca="false">J19250</f>
        <v>0</v>
      </c>
      <c r="K19272" s="25" t="n">
        <f aca="false">K19250</f>
        <v>0</v>
      </c>
    </row>
    <row r="19273" customFormat="false" ht="15" hidden="false" customHeight="false" outlineLevel="0" collapsed="false">
      <c r="A19273" s="3" t="s">
        <v>374</v>
      </c>
      <c r="G19273" s="29" t="n">
        <f aca="false">Assumptions!$G$67</f>
        <v>200</v>
      </c>
      <c r="H19273" s="29" t="n">
        <f aca="false">Assumptions!$H$67</f>
        <v>200</v>
      </c>
      <c r="I19273" s="29" t="n">
        <f aca="false">Assumptions!$I$67</f>
        <v>200</v>
      </c>
      <c r="J19273" s="29" t="n">
        <f aca="false">Assumptions!$J$67</f>
        <v>200</v>
      </c>
      <c r="K19273" s="29" t="n">
        <f aca="false">Assumptions!$K$67</f>
        <v>200</v>
      </c>
    </row>
    <row r="19274" customFormat="false" ht="15" hidden="false" customHeight="false" outlineLevel="0" collapsed="false">
      <c r="A19274" s="3" t="s">
        <v>375</v>
      </c>
      <c r="G19274" s="25" t="n">
        <f aca="false">G19272-G19273</f>
        <v>231.67030664</v>
      </c>
      <c r="H19274" s="25" t="n">
        <f aca="false">H19272-H19273</f>
        <v>159.0106596512</v>
      </c>
      <c r="I19274" s="25" t="n">
        <f aca="false">I19272-I19273</f>
        <v>-200</v>
      </c>
      <c r="J19274" s="25" t="n">
        <f aca="false">J19272-J19273</f>
        <v>-200</v>
      </c>
      <c r="K19274" s="25" t="n">
        <f aca="false">K19272-K19273</f>
        <v>-200</v>
      </c>
    </row>
    <row r="19275" customFormat="false" ht="15" hidden="false" customHeight="false" outlineLevel="0" collapsed="false">
      <c r="A19275" s="3" t="s">
        <v>376</v>
      </c>
      <c r="G19275" s="21" t="n">
        <f aca="false">IF(G19273=0,0,G19274/ABS(G19273))</f>
        <v>1.1583515332</v>
      </c>
      <c r="H19275" s="21" t="n">
        <f aca="false">IF(H19273=0,0,H19274/ABS(H19273))</f>
        <v>0.795053298256</v>
      </c>
      <c r="I19275" s="21" t="n">
        <f aca="false">IF(I19273=0,0,I19274/ABS(I19273))</f>
        <v>-1</v>
      </c>
      <c r="J19275" s="21" t="n">
        <f aca="false">IF(J19273=0,0,J19274/ABS(J19273))</f>
        <v>-1</v>
      </c>
      <c r="K19275" s="21" t="n">
        <f aca="false">IF(K19273=0,0,K19274/ABS(K19273))</f>
        <v>-1</v>
      </c>
    </row>
    <row r="19276" customFormat="false" ht="15" hidden="false" customHeight="false" outlineLevel="0" collapsed="false">
      <c r="A19276" s="3" t="s">
        <v>377</v>
      </c>
      <c r="G19276" s="20" t="n">
        <f aca="false">IF(G19274&lt;0,1,0)</f>
        <v>0</v>
      </c>
      <c r="H19276" s="20" t="n">
        <f aca="false">IF(H19274&lt;0,1,0)</f>
        <v>0</v>
      </c>
      <c r="I19276" s="20" t="n">
        <f aca="false">IF(I19274&lt;0,1,0)</f>
        <v>1</v>
      </c>
      <c r="J19276" s="20" t="n">
        <f aca="false">IF(J19274&lt;0,1,0)</f>
        <v>1</v>
      </c>
      <c r="K19276" s="20" t="n">
        <f aca="false">IF(K19274&lt;0,1,0)</f>
        <v>1</v>
      </c>
    </row>
    <row r="19277" customFormat="false" ht="15" hidden="false" customHeight="false" outlineLevel="0" collapsed="false">
      <c r="A19277" s="3" t="s">
        <v>378</v>
      </c>
      <c r="C19277" s="20" t="n">
        <f aca="false">IFERROR(INDEX($G$19129:$K$19129,MATCH(1,$G$19276:$K$19276,0)),0)</f>
        <v>2029</v>
      </c>
    </row>
    <row r="19278" customFormat="false" ht="15" hidden="false" customHeight="false" outlineLevel="0" collapsed="false">
      <c r="A19278" s="3" t="s">
        <v>379</v>
      </c>
      <c r="C19278" s="21" t="n">
        <f aca="false">MIN($G$19275:$K$19275)</f>
        <v>-1</v>
      </c>
    </row>
    <row r="19279" customFormat="false" ht="15" hidden="false" customHeight="false" outlineLevel="0" collapsed="false">
      <c r="A19279" s="3" t="s">
        <v>382</v>
      </c>
      <c r="G19279" s="20" t="n">
        <f aca="false">G19260+G19268+G19276</f>
        <v>2</v>
      </c>
      <c r="H19279" s="20" t="n">
        <f aca="false">H19260+H19268+H19276</f>
        <v>2</v>
      </c>
      <c r="I19279" s="20" t="n">
        <f aca="false">I19260+I19268+I19276</f>
        <v>3</v>
      </c>
      <c r="J19279" s="20" t="n">
        <f aca="false">J19260+J19268+J19276</f>
        <v>3</v>
      </c>
      <c r="K19279" s="20" t="n">
        <f aca="false">K19260+K19268+K19276</f>
        <v>3</v>
      </c>
    </row>
    <row r="19280" customFormat="false" ht="15" hidden="false" customHeight="false" outlineLevel="0" collapsed="false">
      <c r="A19280" s="3" t="s">
        <v>383</v>
      </c>
      <c r="C19280" s="20" t="n">
        <f aca="false">SUM($G$19279:$K$19279)</f>
        <v>13</v>
      </c>
    </row>
    <row r="19281" customFormat="false" ht="15" hidden="false" customHeight="false" outlineLevel="0" collapsed="false">
      <c r="A19281" s="3" t="s">
        <v>384</v>
      </c>
      <c r="C19281" s="21" t="n">
        <f aca="false">MIN(C19262,C19270,C19278)</f>
        <v>-2.52852605986897</v>
      </c>
    </row>
    <row r="19283" customFormat="false" ht="15" hidden="false" customHeight="false" outlineLevel="0" collapsed="false">
      <c r="A19283" s="23" t="s">
        <v>486</v>
      </c>
      <c r="B19283" s="24"/>
      <c r="C19283" s="24"/>
      <c r="D19283" s="24"/>
      <c r="E19283" s="24"/>
      <c r="F19283" s="24"/>
      <c r="G19283" s="24"/>
      <c r="H19283" s="24"/>
      <c r="I19283" s="24"/>
      <c r="J19283" s="24"/>
      <c r="K19283" s="24"/>
    </row>
    <row r="19284" customFormat="false" ht="15" hidden="false" customHeight="false" outlineLevel="0" collapsed="false">
      <c r="A19284" s="3" t="s">
        <v>487</v>
      </c>
      <c r="G19284" s="20" t="n">
        <f aca="false">IF($C$19285=1,G19237,IF(G19139=MIN($G$19139:$K$19139),1,0))</f>
        <v>0</v>
      </c>
      <c r="H19284" s="20" t="n">
        <f aca="false">IF($C$19285=1,H19237,IF(AND(H19139=MIN($G$19139:$K$19139),SUM($G$19284:G19284)=0),1,0))</f>
        <v>0</v>
      </c>
      <c r="I19284" s="20" t="n">
        <f aca="false">IF($C$19285=1,I19237,IF(AND(I19139=MIN($G$19139:$K$19139),SUM($G$19284:H19284)=0),1,0))</f>
        <v>1</v>
      </c>
      <c r="J19284" s="20" t="n">
        <f aca="false">IF($C$19285=1,J19237,IF(AND(J19139=MIN($G$19139:$K$19139),SUM($G$19284:I19284)=0),1,0))</f>
        <v>0</v>
      </c>
      <c r="K19284" s="20" t="n">
        <f aca="false">IF($C$19285=1,K19237,IF(AND(K19139=MIN($G$19139:$K$19139),SUM($G$19284:J19284)=0),1,0))</f>
        <v>0</v>
      </c>
    </row>
    <row r="19285" customFormat="false" ht="15" hidden="false" customHeight="false" outlineLevel="0" collapsed="false">
      <c r="A19285" s="3" t="s">
        <v>488</v>
      </c>
      <c r="C19285" s="20" t="n">
        <f aca="false">IF(SUM($G$19237:$K$19237)&gt;0,1,0)</f>
        <v>1</v>
      </c>
    </row>
    <row r="19286" customFormat="false" ht="15" hidden="false" customHeight="false" outlineLevel="0" collapsed="false">
      <c r="A19286" s="3" t="s">
        <v>489</v>
      </c>
      <c r="C19286" s="20" t="n">
        <f aca="false">SUMPRODUCT($G$19284:$K$19284,$G$19129:$K$19129)</f>
        <v>2029</v>
      </c>
    </row>
    <row r="19287" customFormat="false" ht="15" hidden="false" customHeight="false" outlineLevel="0" collapsed="false">
      <c r="A19287" s="3" t="s">
        <v>490</v>
      </c>
      <c r="C19287" s="25" t="n">
        <f aca="false">SUMPRODUCT($G$19284:$K$19284,$G$19139:$K$19139)</f>
        <v>107.0936010144</v>
      </c>
    </row>
    <row r="19288" customFormat="false" ht="15" hidden="false" customHeight="false" outlineLevel="0" collapsed="false">
      <c r="A19288" s="3" t="s">
        <v>491</v>
      </c>
      <c r="C19288" s="25" t="n">
        <f aca="false">MAX(0,SUMPRODUCT($G$19284:$K$19284,$G$19234:$K$19234))</f>
        <v>0</v>
      </c>
    </row>
    <row r="19289" customFormat="false" ht="15" hidden="false" customHeight="false" outlineLevel="0" collapsed="false">
      <c r="A19289" s="3" t="s">
        <v>492</v>
      </c>
      <c r="C19289" s="25" t="n">
        <f aca="false">(CHOOSE($C$19122,Assumptions!$C$84,Assumptions!$C$103,Assumptions!$C$122)+$C$19126)*C19287</f>
        <v>321.2808030432</v>
      </c>
    </row>
    <row r="19290" customFormat="false" ht="15" hidden="false" customHeight="false" outlineLevel="0" collapsed="false">
      <c r="A19290" s="3" t="s">
        <v>493</v>
      </c>
      <c r="C19290" s="25" t="n">
        <f aca="false">Assumptions!$C$30*(1-CHOOSE($C$19122,Assumptions!$C$85,Assumptions!$C$104,Assumptions!$C$123))*CHOOSE($C$19122,Assumptions!$C$86,Assumptions!$C$105,Assumptions!$C$124)</f>
        <v>478.719345</v>
      </c>
    </row>
    <row r="19291" customFormat="false" ht="15" hidden="false" customHeight="false" outlineLevel="0" collapsed="false">
      <c r="A19291" s="3" t="s">
        <v>494</v>
      </c>
      <c r="C19291" s="25" t="n">
        <f aca="false">MAX(C19289,C19290)+C19288</f>
        <v>478.719345</v>
      </c>
    </row>
    <row r="19292" customFormat="false" ht="15" hidden="false" customHeight="false" outlineLevel="0" collapsed="false">
      <c r="A19292" s="2" t="s">
        <v>495</v>
      </c>
      <c r="C19292" s="16" t="n">
        <f aca="false">IF(ISNUMBER(Assumptions!$C$14),Assumptions!$C$14,C19291)</f>
        <v>478.719345</v>
      </c>
    </row>
    <row r="19293" customFormat="false" ht="15" hidden="false" customHeight="false" outlineLevel="0" collapsed="false">
      <c r="A19293" s="3" t="s">
        <v>496</v>
      </c>
      <c r="C19293" s="25" t="n">
        <f aca="false">C19292*Assumptions!$C$15</f>
        <v>19.1487738</v>
      </c>
    </row>
    <row r="19294" customFormat="false" ht="15" hidden="false" customHeight="false" outlineLevel="0" collapsed="false">
      <c r="A19294" s="2" t="s">
        <v>497</v>
      </c>
      <c r="C19294" s="16" t="n">
        <f aca="false">C19292-C19293</f>
        <v>459.5705712</v>
      </c>
    </row>
    <row r="19295" customFormat="false" ht="15" hidden="false" customHeight="false" outlineLevel="0" collapsed="false">
      <c r="A19295" s="23" t="s">
        <v>498</v>
      </c>
      <c r="B19295" s="24"/>
      <c r="C19295" s="24"/>
      <c r="D19295" s="24"/>
      <c r="E19295" s="24"/>
      <c r="F19295" s="24"/>
      <c r="G19295" s="24"/>
      <c r="H19295" s="24"/>
      <c r="I19295" s="24"/>
      <c r="J19295" s="24"/>
      <c r="K19295" s="24"/>
    </row>
    <row r="19296" customFormat="false" ht="15" hidden="false" customHeight="false" outlineLevel="0" collapsed="false">
      <c r="A19296" s="3" t="s">
        <v>499</v>
      </c>
      <c r="C19296" s="25" t="n">
        <f aca="false">SUMPRODUCT($G$19284:$K$19284,$G$19176:$K$19176)*(1+SUMPRODUCT($G$19284:$K$19284,$G$19168:$K$19168)*Assumptions!$C$16/12)</f>
        <v>1349.6193225</v>
      </c>
    </row>
    <row r="19297" customFormat="false" ht="15" hidden="false" customHeight="false" outlineLevel="0" collapsed="false">
      <c r="A19297" s="3" t="s">
        <v>500</v>
      </c>
      <c r="C19297" s="25" t="n">
        <f aca="false">SUMPRODUCT($G$19284:$K$19284,$G$19189:$K$19189)*(1+SUMPRODUCT($G$19284:$K$19284,$G$19181:$K$19181)*Assumptions!$C$16/12)</f>
        <v>6.40133166435848</v>
      </c>
    </row>
    <row r="19298" customFormat="false" ht="15" hidden="false" customHeight="false" outlineLevel="0" collapsed="false">
      <c r="A19298" s="3" t="s">
        <v>501</v>
      </c>
      <c r="C19298" s="25" t="n">
        <f aca="false">SUMPRODUCT($G$19284:$K$19284,$G$19202:$K$19202)*(1+SUMPRODUCT($G$19284:$K$19284,$G$19194:$K$19194)*Assumptions!$C$16/12)</f>
        <v>145.27734375</v>
      </c>
    </row>
    <row r="19299" customFormat="false" ht="15" hidden="false" customHeight="false" outlineLevel="0" collapsed="false">
      <c r="A19299" s="23" t="s">
        <v>502</v>
      </c>
      <c r="B19299" s="24"/>
      <c r="C19299" s="24"/>
      <c r="D19299" s="24"/>
      <c r="E19299" s="24"/>
      <c r="F19299" s="24"/>
      <c r="G19299" s="24"/>
      <c r="H19299" s="24"/>
      <c r="I19299" s="24"/>
      <c r="J19299" s="24"/>
      <c r="K19299" s="24"/>
    </row>
    <row r="19300" customFormat="false" ht="15" hidden="false" customHeight="false" outlineLevel="0" collapsed="false">
      <c r="A19300" s="3" t="s">
        <v>499</v>
      </c>
      <c r="C19300" s="27" t="n">
        <f aca="false">Assumptions!$M$56</f>
        <v>1</v>
      </c>
    </row>
    <row r="19301" customFormat="false" ht="15" hidden="false" customHeight="false" outlineLevel="0" collapsed="false">
      <c r="A19301" s="3" t="s">
        <v>500</v>
      </c>
      <c r="C19301" s="27" t="n">
        <f aca="false">Assumptions!$M$57</f>
        <v>2</v>
      </c>
    </row>
    <row r="19302" customFormat="false" ht="15" hidden="false" customHeight="false" outlineLevel="0" collapsed="false">
      <c r="A19302" s="3" t="s">
        <v>501</v>
      </c>
      <c r="C19302" s="27" t="n">
        <f aca="false">Assumptions!$M$58</f>
        <v>2</v>
      </c>
    </row>
    <row r="19303" customFormat="false" ht="15" hidden="false" customHeight="false" outlineLevel="0" collapsed="false">
      <c r="A19303" s="23" t="s">
        <v>503</v>
      </c>
      <c r="B19303" s="24"/>
      <c r="C19303" s="24"/>
      <c r="D19303" s="24"/>
      <c r="E19303" s="24"/>
      <c r="F19303" s="24"/>
      <c r="G19303" s="24"/>
      <c r="H19303" s="24"/>
      <c r="I19303" s="24"/>
      <c r="J19303" s="24"/>
      <c r="K19303" s="24"/>
    </row>
    <row r="19304" customFormat="false" ht="15" hidden="false" customHeight="false" outlineLevel="0" collapsed="false">
      <c r="A19304" s="3" t="s">
        <v>499</v>
      </c>
      <c r="C19304" s="35" t="n">
        <f aca="false">Assumptions!$Q$56</f>
        <v>0</v>
      </c>
    </row>
    <row r="19305" customFormat="false" ht="15" hidden="false" customHeight="false" outlineLevel="0" collapsed="false">
      <c r="A19305" s="3" t="s">
        <v>500</v>
      </c>
      <c r="C19305" s="35" t="n">
        <f aca="false">Assumptions!$Q$57</f>
        <v>0</v>
      </c>
    </row>
    <row r="19306" customFormat="false" ht="15" hidden="false" customHeight="false" outlineLevel="0" collapsed="false">
      <c r="A19306" s="3" t="s">
        <v>501</v>
      </c>
      <c r="C19306" s="35" t="n">
        <f aca="false">Assumptions!$Q$58</f>
        <v>0</v>
      </c>
    </row>
    <row r="19307" customFormat="false" ht="15" hidden="false" customHeight="false" outlineLevel="0" collapsed="false">
      <c r="A19307" s="23" t="s">
        <v>504</v>
      </c>
      <c r="B19307" s="24"/>
      <c r="C19307" s="24"/>
      <c r="D19307" s="24"/>
      <c r="E19307" s="24"/>
      <c r="F19307" s="24"/>
      <c r="G19307" s="24"/>
      <c r="H19307" s="24"/>
      <c r="I19307" s="24"/>
      <c r="J19307" s="24"/>
      <c r="K19307" s="24"/>
    </row>
    <row r="19308" customFormat="false" ht="15" hidden="false" customHeight="false" outlineLevel="0" collapsed="false">
      <c r="A19308" s="3" t="s">
        <v>499</v>
      </c>
      <c r="C19308" s="25" t="n">
        <f aca="false">IF(C19304&gt;0,MIN(C19296,C19304*$C$19294),0)</f>
        <v>0</v>
      </c>
    </row>
    <row r="19309" customFormat="false" ht="15" hidden="false" customHeight="false" outlineLevel="0" collapsed="false">
      <c r="A19309" s="3" t="s">
        <v>500</v>
      </c>
      <c r="C19309" s="25" t="n">
        <f aca="false">IF(C19305&gt;0,MIN(C19297,C19305*$C$19294),0)</f>
        <v>0</v>
      </c>
    </row>
    <row r="19310" customFormat="false" ht="15" hidden="false" customHeight="false" outlineLevel="0" collapsed="false">
      <c r="A19310" s="3" t="s">
        <v>501</v>
      </c>
      <c r="C19310" s="25" t="n">
        <f aca="false">IF(C19306&gt;0,MIN(C19298,C19306*$C$19294),0)</f>
        <v>0</v>
      </c>
    </row>
    <row r="19311" customFormat="false" ht="15" hidden="false" customHeight="false" outlineLevel="0" collapsed="false">
      <c r="A19311" s="23" t="s">
        <v>505</v>
      </c>
      <c r="B19311" s="24"/>
      <c r="C19311" s="24"/>
      <c r="D19311" s="24"/>
      <c r="E19311" s="24"/>
      <c r="F19311" s="24"/>
      <c r="G19311" s="24"/>
      <c r="H19311" s="24"/>
      <c r="I19311" s="24"/>
      <c r="J19311" s="24"/>
      <c r="K19311" s="24"/>
    </row>
    <row r="19312" customFormat="false" ht="15" hidden="false" customHeight="false" outlineLevel="0" collapsed="false">
      <c r="A19312" s="3" t="s">
        <v>499</v>
      </c>
      <c r="C19312" s="25" t="n">
        <f aca="false">IF(C19304&gt;0,C19296-C19308,0)</f>
        <v>0</v>
      </c>
      <c r="G19312" s="20" t="n">
        <f aca="false">IF(AND(G19166=1,G19163=1),1,0)</f>
        <v>0</v>
      </c>
      <c r="H19312" s="20" t="n">
        <f aca="false">IF(G19312=1,1,IF(AND(H19166=1,H19163=1),1,0))</f>
        <v>0</v>
      </c>
      <c r="I19312" s="20" t="n">
        <f aca="false">IF(H19312=1,1,IF(AND(I19166=1,I19163=1),1,0))</f>
        <v>0</v>
      </c>
      <c r="J19312" s="20" t="n">
        <f aca="false">IF(I19312=1,1,IF(AND(J19166=1,J19163=1),1,0))</f>
        <v>0</v>
      </c>
      <c r="K19312" s="20" t="n">
        <f aca="false">IF(J19312=1,1,IF(AND(K19166=1,K19163=1),1,0))</f>
        <v>0</v>
      </c>
    </row>
    <row r="19313" customFormat="false" ht="15" hidden="false" customHeight="false" outlineLevel="0" collapsed="false">
      <c r="A19313" s="3" t="s">
        <v>500</v>
      </c>
      <c r="C19313" s="25" t="n">
        <f aca="false">IF(C19305&gt;0,C19297-C19309,0)</f>
        <v>0</v>
      </c>
      <c r="G19313" s="20" t="n">
        <f aca="false">IF(AND(G19179=1,G19163=1),1,0)</f>
        <v>0</v>
      </c>
      <c r="H19313" s="20" t="n">
        <f aca="false">IF(G19313=1,1,IF(AND(H19179=1,H19163=1),1,0))</f>
        <v>0</v>
      </c>
      <c r="I19313" s="20" t="n">
        <f aca="false">IF(H19313=1,1,IF(AND(I19179=1,I19163=1),1,0))</f>
        <v>0</v>
      </c>
      <c r="J19313" s="20" t="n">
        <f aca="false">IF(I19313=1,1,IF(AND(J19179=1,J19163=1),1,0))</f>
        <v>0</v>
      </c>
      <c r="K19313" s="20" t="n">
        <f aca="false">IF(J19313=1,1,IF(AND(K19179=1,K19163=1),1,0))</f>
        <v>0</v>
      </c>
    </row>
    <row r="19314" customFormat="false" ht="15" hidden="false" customHeight="false" outlineLevel="0" collapsed="false">
      <c r="A19314" s="3" t="s">
        <v>501</v>
      </c>
      <c r="C19314" s="25" t="n">
        <f aca="false">IF(C19306&gt;0,C19298-C19310,0)</f>
        <v>0</v>
      </c>
      <c r="G19314" s="20" t="n">
        <f aca="false">IF(AND(G19192=1,G19163=1),1,0)</f>
        <v>0</v>
      </c>
      <c r="H19314" s="20" t="n">
        <f aca="false">IF(G19314=1,1,IF(AND(H19192=1,H19163=1),1,0))</f>
        <v>0</v>
      </c>
      <c r="I19314" s="20" t="n">
        <f aca="false">IF(H19314=1,1,IF(AND(I19192=1,I19163=1),1,0))</f>
        <v>0</v>
      </c>
      <c r="J19314" s="20" t="n">
        <f aca="false">IF(I19314=1,1,IF(AND(J19192=1,J19163=1),1,0))</f>
        <v>0</v>
      </c>
      <c r="K19314" s="20" t="n">
        <f aca="false">IF(J19314=1,1,IF(AND(K19192=1,K19163=1),1,0))</f>
        <v>0</v>
      </c>
    </row>
    <row r="19315" customFormat="false" ht="15" hidden="false" customHeight="false" outlineLevel="0" collapsed="false">
      <c r="A19315" s="23" t="s">
        <v>506</v>
      </c>
      <c r="B19315" s="24"/>
      <c r="C19315" s="24"/>
      <c r="D19315" s="24"/>
      <c r="E19315" s="24"/>
      <c r="F19315" s="24"/>
      <c r="G19315" s="24"/>
      <c r="H19315" s="24"/>
      <c r="I19315" s="24"/>
      <c r="J19315" s="24"/>
      <c r="K19315" s="24"/>
    </row>
    <row r="19316" customFormat="false" ht="15" hidden="false" customHeight="false" outlineLevel="0" collapsed="false">
      <c r="A19316" s="3" t="s">
        <v>499</v>
      </c>
      <c r="C19316" s="25" t="n">
        <f aca="false">IF(C19304&gt;0,C19312,C19296)</f>
        <v>1349.6193225</v>
      </c>
    </row>
    <row r="19317" customFormat="false" ht="15" hidden="false" customHeight="false" outlineLevel="0" collapsed="false">
      <c r="A19317" s="3" t="s">
        <v>500</v>
      </c>
      <c r="C19317" s="25" t="n">
        <f aca="false">IF(C19305&gt;0,C19313,C19297)</f>
        <v>6.40133166435848</v>
      </c>
    </row>
    <row r="19318" customFormat="false" ht="15" hidden="false" customHeight="false" outlineLevel="0" collapsed="false">
      <c r="A19318" s="3" t="s">
        <v>501</v>
      </c>
      <c r="C19318" s="25" t="n">
        <f aca="false">IF(C19306&gt;0,C19314,C19298)</f>
        <v>145.27734375</v>
      </c>
    </row>
    <row r="19319" customFormat="false" ht="15" hidden="false" customHeight="false" outlineLevel="0" collapsed="false">
      <c r="A19319" s="23" t="s">
        <v>507</v>
      </c>
      <c r="B19319" s="24"/>
      <c r="C19319" s="24"/>
      <c r="D19319" s="24"/>
      <c r="E19319" s="24"/>
      <c r="F19319" s="24"/>
      <c r="G19319" s="24"/>
      <c r="H19319" s="24"/>
      <c r="I19319" s="24"/>
      <c r="J19319" s="24"/>
      <c r="K19319" s="24"/>
    </row>
    <row r="19320" customFormat="false" ht="15" hidden="false" customHeight="false" outlineLevel="0" collapsed="false">
      <c r="A19320" s="3" t="s">
        <v>499</v>
      </c>
      <c r="C19320" s="20" t="n">
        <f aca="false">IF(C19304&gt;0,Assumptions!$C$17,C19300)</f>
        <v>1</v>
      </c>
    </row>
    <row r="19321" customFormat="false" ht="15" hidden="false" customHeight="false" outlineLevel="0" collapsed="false">
      <c r="A19321" s="3" t="s">
        <v>500</v>
      </c>
      <c r="C19321" s="20" t="n">
        <f aca="false">IF(C19305&gt;0,Assumptions!$C$17,C19301)</f>
        <v>2</v>
      </c>
    </row>
    <row r="19322" customFormat="false" ht="15" hidden="false" customHeight="false" outlineLevel="0" collapsed="false">
      <c r="A19322" s="3" t="s">
        <v>501</v>
      </c>
      <c r="C19322" s="20" t="n">
        <f aca="false">IF(C19306&gt;0,Assumptions!$C$17,C19302)</f>
        <v>2</v>
      </c>
    </row>
    <row r="19323" customFormat="false" ht="15" hidden="false" customHeight="false" outlineLevel="0" collapsed="false">
      <c r="A19323" s="23" t="s">
        <v>508</v>
      </c>
      <c r="B19323" s="24"/>
      <c r="C19323" s="24"/>
      <c r="D19323" s="24"/>
      <c r="E19323" s="24"/>
      <c r="F19323" s="24"/>
      <c r="G19323" s="24"/>
      <c r="H19323" s="24"/>
      <c r="I19323" s="24"/>
      <c r="J19323" s="24"/>
      <c r="K19323" s="24"/>
    </row>
    <row r="19324" customFormat="false" ht="15" hidden="false" customHeight="false" outlineLevel="0" collapsed="false">
      <c r="A19324" s="3" t="s">
        <v>499</v>
      </c>
      <c r="C19324" s="25" t="n">
        <f aca="false">SUMPRODUCT(($C$19320:$C$19322&lt;C19320)*$C$19316:$C$19318)</f>
        <v>0</v>
      </c>
    </row>
    <row r="19325" customFormat="false" ht="15" hidden="false" customHeight="false" outlineLevel="0" collapsed="false">
      <c r="A19325" s="3" t="s">
        <v>500</v>
      </c>
      <c r="C19325" s="25" t="n">
        <f aca="false">SUMPRODUCT(($C$19320:$C$19322&lt;C19321)*$C$19316:$C$19318)</f>
        <v>1349.6193225</v>
      </c>
    </row>
    <row r="19326" customFormat="false" ht="15" hidden="false" customHeight="false" outlineLevel="0" collapsed="false">
      <c r="A19326" s="3" t="s">
        <v>501</v>
      </c>
      <c r="C19326" s="25" t="n">
        <f aca="false">SUMPRODUCT(($C$19320:$C$19322&lt;C19322)*$C$19316:$C$19318)</f>
        <v>1349.6193225</v>
      </c>
    </row>
    <row r="19327" customFormat="false" ht="15" hidden="false" customHeight="false" outlineLevel="0" collapsed="false">
      <c r="A19327" s="23" t="s">
        <v>509</v>
      </c>
      <c r="B19327" s="24"/>
      <c r="C19327" s="24"/>
      <c r="D19327" s="24"/>
      <c r="E19327" s="24"/>
      <c r="F19327" s="24"/>
      <c r="G19327" s="24"/>
      <c r="H19327" s="24"/>
      <c r="I19327" s="24"/>
      <c r="J19327" s="24"/>
      <c r="K19327" s="24"/>
    </row>
    <row r="19328" customFormat="false" ht="15" hidden="false" customHeight="false" outlineLevel="0" collapsed="false">
      <c r="A19328" s="3" t="s">
        <v>499</v>
      </c>
      <c r="C19328" s="25" t="n">
        <f aca="false">SUMPRODUCT(($C$19320:$C$19322=C19320)*$C$19316:$C$19318)</f>
        <v>1349.6193225</v>
      </c>
    </row>
    <row r="19329" customFormat="false" ht="15" hidden="false" customHeight="false" outlineLevel="0" collapsed="false">
      <c r="A19329" s="3" t="s">
        <v>500</v>
      </c>
      <c r="C19329" s="25" t="n">
        <f aca="false">SUMPRODUCT(($C$19320:$C$19322=C19321)*$C$19316:$C$19318)</f>
        <v>151.678675414359</v>
      </c>
    </row>
    <row r="19330" customFormat="false" ht="15" hidden="false" customHeight="false" outlineLevel="0" collapsed="false">
      <c r="A19330" s="3" t="s">
        <v>501</v>
      </c>
      <c r="C19330" s="25" t="n">
        <f aca="false">SUMPRODUCT(($C$19320:$C$19322=C19322)*$C$19316:$C$19318)</f>
        <v>151.678675414359</v>
      </c>
    </row>
    <row r="19331" customFormat="false" ht="15" hidden="false" customHeight="false" outlineLevel="0" collapsed="false">
      <c r="A19331" s="23" t="s">
        <v>510</v>
      </c>
      <c r="B19331" s="24"/>
      <c r="C19331" s="24"/>
      <c r="D19331" s="24"/>
      <c r="E19331" s="24"/>
      <c r="F19331" s="24"/>
      <c r="G19331" s="24"/>
      <c r="H19331" s="24"/>
      <c r="I19331" s="24"/>
      <c r="J19331" s="24"/>
      <c r="K19331" s="24"/>
    </row>
    <row r="19332" customFormat="false" ht="15" hidden="false" customHeight="false" outlineLevel="0" collapsed="false">
      <c r="A19332" s="3" t="s">
        <v>499</v>
      </c>
      <c r="C19332" s="25" t="n">
        <f aca="false">IF(C19328=0,0,C19316/C19328*MAX(0,MIN(C19328,$C$19294-SUM($C$19308:$C$19310)-C19324)))</f>
        <v>459.5705712</v>
      </c>
    </row>
    <row r="19333" customFormat="false" ht="15" hidden="false" customHeight="false" outlineLevel="0" collapsed="false">
      <c r="A19333" s="3" t="s">
        <v>500</v>
      </c>
      <c r="C19333" s="25" t="n">
        <f aca="false">IF(C19329=0,0,C19317/C19329*MAX(0,MIN(C19329,$C$19294-SUM($C$19308:$C$19310)-C19325)))</f>
        <v>0</v>
      </c>
    </row>
    <row r="19334" customFormat="false" ht="15" hidden="false" customHeight="false" outlineLevel="0" collapsed="false">
      <c r="A19334" s="3" t="s">
        <v>501</v>
      </c>
      <c r="C19334" s="25" t="n">
        <f aca="false">IF(C19330=0,0,C19318/C19330*MAX(0,MIN(C19330,$C$19294-SUM($C$19308:$C$19310)-C19326)))</f>
        <v>0</v>
      </c>
    </row>
    <row r="19335" customFormat="false" ht="15" hidden="false" customHeight="false" outlineLevel="0" collapsed="false">
      <c r="A19335" s="23" t="s">
        <v>511</v>
      </c>
      <c r="B19335" s="24"/>
      <c r="C19335" s="24"/>
      <c r="D19335" s="24"/>
      <c r="E19335" s="24"/>
      <c r="F19335" s="24"/>
      <c r="G19335" s="24"/>
      <c r="H19335" s="24"/>
      <c r="I19335" s="24"/>
      <c r="J19335" s="24"/>
      <c r="K19335" s="24"/>
    </row>
    <row r="19336" customFormat="false" ht="15" hidden="false" customHeight="false" outlineLevel="0" collapsed="false">
      <c r="A19336" s="2" t="s">
        <v>499</v>
      </c>
      <c r="C19336" s="16" t="n">
        <f aca="false">C19308+C19332</f>
        <v>459.5705712</v>
      </c>
    </row>
    <row r="19337" customFormat="false" ht="15" hidden="false" customHeight="false" outlineLevel="0" collapsed="false">
      <c r="A19337" s="2" t="s">
        <v>500</v>
      </c>
      <c r="C19337" s="16" t="n">
        <f aca="false">C19309+C19333</f>
        <v>0</v>
      </c>
    </row>
    <row r="19338" customFormat="false" ht="15" hidden="false" customHeight="false" outlineLevel="0" collapsed="false">
      <c r="A19338" s="2" t="s">
        <v>501</v>
      </c>
      <c r="C19338" s="16" t="n">
        <f aca="false">C19310+C19334</f>
        <v>0</v>
      </c>
    </row>
    <row r="19339" customFormat="false" ht="15" hidden="false" customHeight="false" outlineLevel="0" collapsed="false">
      <c r="A19339" s="23" t="s">
        <v>512</v>
      </c>
      <c r="B19339" s="24"/>
      <c r="C19339" s="24"/>
      <c r="D19339" s="24"/>
      <c r="E19339" s="24"/>
      <c r="F19339" s="24"/>
      <c r="G19339" s="24"/>
      <c r="H19339" s="24"/>
      <c r="I19339" s="24"/>
      <c r="J19339" s="24"/>
      <c r="K19339" s="24"/>
    </row>
    <row r="19340" customFormat="false" ht="15" hidden="false" customHeight="false" outlineLevel="0" collapsed="false">
      <c r="A19340" s="3" t="s">
        <v>499</v>
      </c>
      <c r="C19340" s="21" t="n">
        <f aca="false">IF(C19296=0,1,C19336/C19296)</f>
        <v>0.340518665921812</v>
      </c>
    </row>
    <row r="19341" customFormat="false" ht="15" hidden="false" customHeight="false" outlineLevel="0" collapsed="false">
      <c r="A19341" s="3" t="s">
        <v>500</v>
      </c>
      <c r="C19341" s="21" t="n">
        <f aca="false">IF(C19297=0,1,C19337/C19297)</f>
        <v>0</v>
      </c>
    </row>
    <row r="19342" customFormat="false" ht="15" hidden="false" customHeight="false" outlineLevel="0" collapsed="false">
      <c r="A19342" s="3" t="s">
        <v>501</v>
      </c>
      <c r="C19342" s="21" t="n">
        <f aca="false">IF(C19298=0,1,C19338/C19298)</f>
        <v>0</v>
      </c>
    </row>
    <row r="19343" customFormat="false" ht="15" hidden="false" customHeight="false" outlineLevel="0" collapsed="false">
      <c r="A19343" s="23" t="s">
        <v>513</v>
      </c>
      <c r="B19343" s="24"/>
      <c r="C19343" s="24"/>
      <c r="D19343" s="24"/>
      <c r="E19343" s="24"/>
      <c r="F19343" s="24"/>
      <c r="G19343" s="24"/>
      <c r="H19343" s="24"/>
      <c r="I19343" s="24"/>
      <c r="J19343" s="24"/>
      <c r="K19343" s="24"/>
    </row>
    <row r="19344" customFormat="false" ht="15" hidden="false" customHeight="false" outlineLevel="0" collapsed="false">
      <c r="A19344" s="3" t="s">
        <v>499</v>
      </c>
      <c r="C19344" s="25" t="n">
        <f aca="false">C19296-C19336</f>
        <v>890.0487513</v>
      </c>
    </row>
    <row r="19345" customFormat="false" ht="15" hidden="false" customHeight="false" outlineLevel="0" collapsed="false">
      <c r="A19345" s="3" t="s">
        <v>500</v>
      </c>
      <c r="C19345" s="25" t="n">
        <f aca="false">C19297-C19337</f>
        <v>6.40133166435848</v>
      </c>
    </row>
    <row r="19346" customFormat="false" ht="15" hidden="false" customHeight="false" outlineLevel="0" collapsed="false">
      <c r="A19346" s="3" t="s">
        <v>501</v>
      </c>
      <c r="C19346" s="25" t="n">
        <f aca="false">C19298-C19338</f>
        <v>145.27734375</v>
      </c>
    </row>
    <row r="19347" customFormat="false" ht="15" hidden="false" customHeight="false" outlineLevel="0" collapsed="false">
      <c r="A19347" s="23" t="s">
        <v>514</v>
      </c>
      <c r="B19347" s="24"/>
      <c r="C19347" s="24"/>
      <c r="D19347" s="24"/>
      <c r="E19347" s="24"/>
      <c r="F19347" s="24"/>
      <c r="G19347" s="24"/>
      <c r="H19347" s="24"/>
      <c r="I19347" s="24"/>
      <c r="J19347" s="24"/>
      <c r="K19347" s="24"/>
    </row>
    <row r="19348" customFormat="false" ht="15" hidden="false" customHeight="false" outlineLevel="0" collapsed="false">
      <c r="A19348" s="3" t="s">
        <v>499</v>
      </c>
      <c r="C19348" s="21" t="n">
        <f aca="false">IF(C19296=0,0,C19344/C19296)</f>
        <v>0.659481334078188</v>
      </c>
    </row>
    <row r="19349" customFormat="false" ht="15" hidden="false" customHeight="false" outlineLevel="0" collapsed="false">
      <c r="A19349" s="3" t="s">
        <v>500</v>
      </c>
      <c r="C19349" s="21" t="n">
        <f aca="false">IF(C19297=0,0,C19345/C19297)</f>
        <v>1</v>
      </c>
    </row>
    <row r="19350" customFormat="false" ht="15" hidden="false" customHeight="false" outlineLevel="0" collapsed="false">
      <c r="A19350" s="3" t="s">
        <v>501</v>
      </c>
      <c r="C19350" s="21" t="n">
        <f aca="false">IF(C19298=0,0,C19346/C19298)</f>
        <v>1</v>
      </c>
    </row>
    <row r="19351" customFormat="false" ht="15" hidden="false" customHeight="false" outlineLevel="0" collapsed="false">
      <c r="A19351" s="2" t="s">
        <v>515</v>
      </c>
      <c r="C19351" s="16" t="n">
        <f aca="false">MAX(0,$C$19294-SUM($C$19308:$C$19310)-SUM($C$19316:$C$19318))</f>
        <v>0</v>
      </c>
    </row>
    <row r="19352" customFormat="false" ht="15" hidden="false" customHeight="false" outlineLevel="0" collapsed="false">
      <c r="A19352" s="3" t="s">
        <v>516</v>
      </c>
      <c r="C19352" s="25" t="n">
        <f aca="false">SUM($C$19336:$C$19338)+C19351+C19293-C19292</f>
        <v>0</v>
      </c>
    </row>
    <row r="19354" customFormat="false" ht="15" hidden="false" customHeight="false" outlineLevel="0" collapsed="false">
      <c r="A19354" s="23" t="s">
        <v>519</v>
      </c>
      <c r="B19354" s="24"/>
      <c r="C19354" s="24"/>
      <c r="D19354" s="24"/>
      <c r="E19354" s="24"/>
      <c r="F19354" s="24"/>
      <c r="G19354" s="24"/>
      <c r="H19354" s="24"/>
      <c r="I19354" s="24"/>
      <c r="J19354" s="24"/>
      <c r="K19354" s="24"/>
    </row>
    <row r="19355" customFormat="false" ht="15" hidden="false" customHeight="false" outlineLevel="0" collapsed="false">
      <c r="A19355" s="3" t="s">
        <v>520</v>
      </c>
      <c r="C19355" s="27" t="n">
        <f aca="false">Assumptions!$C$33</f>
        <v>1</v>
      </c>
    </row>
    <row r="19356" customFormat="false" ht="15" hidden="false" customHeight="false" outlineLevel="0" collapsed="false">
      <c r="A19356" s="3" t="s">
        <v>521</v>
      </c>
      <c r="C19356" s="29" t="n">
        <f aca="false">Assumptions!$C$34</f>
        <v>100</v>
      </c>
    </row>
    <row r="19357" customFormat="false" ht="15" hidden="false" customHeight="false" outlineLevel="0" collapsed="false">
      <c r="A19357" s="3" t="s">
        <v>522</v>
      </c>
      <c r="C19357" s="40" t="n">
        <f aca="false">Assumptions!$C$35</f>
        <v>95</v>
      </c>
    </row>
    <row r="19358" customFormat="false" ht="15" hidden="false" customHeight="false" outlineLevel="0" collapsed="false">
      <c r="A19358" s="3" t="s">
        <v>523</v>
      </c>
      <c r="C19358" s="25" t="n">
        <f aca="false">C19356*C19357/100*(1+Assumptions!$C$36)</f>
        <v>95</v>
      </c>
    </row>
    <row r="19359" customFormat="false" ht="15" hidden="false" customHeight="false" outlineLevel="0" collapsed="false">
      <c r="A19359" s="3" t="s">
        <v>524</v>
      </c>
      <c r="C19359" s="27" t="n">
        <f aca="false">Assumptions!$C$37</f>
        <v>3</v>
      </c>
    </row>
    <row r="19360" customFormat="false" ht="15" hidden="false" customHeight="false" outlineLevel="0" collapsed="false">
      <c r="A19360" s="3" t="s">
        <v>525</v>
      </c>
      <c r="C19360" s="20" t="n">
        <f aca="false">IF(C19285=1,SUMPRODUCT($G$19237:$K$19237,$G$19130:$K$19130),0)</f>
        <v>3</v>
      </c>
    </row>
    <row r="19361" customFormat="false" ht="15" hidden="false" customHeight="false" outlineLevel="0" collapsed="false">
      <c r="A19361" s="3" t="s">
        <v>526</v>
      </c>
      <c r="C19361" s="21" t="n">
        <f aca="false">IFERROR(C19356/CHOOSE(C19355,SUMPRODUCT($G$19284:$K$19284,$G$19176:$K$19176),SUMPRODUCT($G$19284:$K$19284,$G$19189:$K$19189),SUMPRODUCT($G$19284:$K$19284,$G$19202:$K$19202)),0)</f>
        <v>0.0760399605200525</v>
      </c>
    </row>
    <row r="19362" customFormat="false" ht="15" hidden="false" customHeight="false" outlineLevel="0" collapsed="false">
      <c r="A19362" s="3" t="s">
        <v>527</v>
      </c>
      <c r="C19362" s="25" t="n">
        <f aca="false">CHOOSE(C19355,C19336,C19337,C19338)*C19361</f>
        <v>34.945728090226</v>
      </c>
    </row>
    <row r="19363" customFormat="false" ht="15" hidden="false" customHeight="false" outlineLevel="0" collapsed="false">
      <c r="A19363" s="3" t="s">
        <v>528</v>
      </c>
      <c r="C19363" s="21" t="n">
        <f aca="false">CHOOSE(C19355,C19340,C19341,C19342)</f>
        <v>0.340518665921812</v>
      </c>
    </row>
    <row r="19364" customFormat="false" ht="15" hidden="false" customHeight="false" outlineLevel="0" collapsed="false">
      <c r="A19364" s="3" t="s">
        <v>529</v>
      </c>
      <c r="C19364" s="20" t="n">
        <f aca="false">IF(C19285=1,C19360,C19359)</f>
        <v>3</v>
      </c>
    </row>
    <row r="19365" customFormat="false" ht="15" hidden="false" customHeight="false" outlineLevel="0" collapsed="false">
      <c r="A19365" s="3" t="s">
        <v>530</v>
      </c>
      <c r="C19365" s="34" t="n">
        <f aca="false">CHOOSE($C$19122,Assumptions!$C$83,Assumptions!$C$102,Assumptions!$C$121)</f>
        <v>80</v>
      </c>
    </row>
    <row r="19366" customFormat="false" ht="15" hidden="false" customHeight="false" outlineLevel="0" collapsed="false">
      <c r="A19366" s="3" t="s">
        <v>531</v>
      </c>
      <c r="C19366" s="25" t="n">
        <f aca="false">INDEX($G$19139:$K$19139,C19359)*CHOOSE($C$19122,Assumptions!$C$82,Assumptions!$C$101,Assumptions!$C$120)+MAX(0,INDEX($G$19234:$K$19234,C19359))</f>
        <v>428.3744040576</v>
      </c>
    </row>
    <row r="19367" customFormat="false" ht="15" hidden="false" customHeight="false" outlineLevel="0" collapsed="false">
      <c r="A19367" s="23" t="s">
        <v>532</v>
      </c>
      <c r="B19367" s="24"/>
      <c r="C19367" s="24"/>
      <c r="D19367" s="24"/>
      <c r="E19367" s="24"/>
      <c r="F19367" s="24"/>
      <c r="G19367" s="24"/>
      <c r="H19367" s="24"/>
      <c r="I19367" s="24"/>
      <c r="J19367" s="24"/>
      <c r="K19367" s="24"/>
    </row>
    <row r="19368" customFormat="false" ht="15" hidden="false" customHeight="false" outlineLevel="0" collapsed="false">
      <c r="A19368" s="3" t="s">
        <v>499</v>
      </c>
      <c r="C19368" s="25" t="n">
        <f aca="false">INDEX($G$19176:$K$19176,C19359)</f>
        <v>1315.098</v>
      </c>
    </row>
    <row r="19369" customFormat="false" ht="15" hidden="false" customHeight="false" outlineLevel="0" collapsed="false">
      <c r="A19369" s="3" t="s">
        <v>500</v>
      </c>
      <c r="C19369" s="25" t="n">
        <f aca="false">INDEX($G$19189:$K$19189,C19359)</f>
        <v>6.33403256832008</v>
      </c>
    </row>
    <row r="19370" customFormat="false" ht="15" hidden="false" customHeight="false" outlineLevel="0" collapsed="false">
      <c r="A19370" s="3" t="s">
        <v>501</v>
      </c>
      <c r="C19370" s="25" t="n">
        <f aca="false">INDEX($G$19202:$K$19202,C19359)</f>
        <v>143.75</v>
      </c>
    </row>
    <row r="19371" customFormat="false" ht="15" hidden="false" customHeight="false" outlineLevel="0" collapsed="false">
      <c r="A19371" s="23" t="s">
        <v>502</v>
      </c>
      <c r="B19371" s="24"/>
      <c r="C19371" s="24"/>
      <c r="D19371" s="24"/>
      <c r="E19371" s="24"/>
      <c r="F19371" s="24"/>
      <c r="G19371" s="24"/>
      <c r="H19371" s="24"/>
      <c r="I19371" s="24"/>
      <c r="J19371" s="24"/>
      <c r="K19371" s="24"/>
    </row>
    <row r="19372" customFormat="false" ht="15" hidden="false" customHeight="false" outlineLevel="0" collapsed="false">
      <c r="A19372" s="3" t="s">
        <v>499</v>
      </c>
      <c r="C19372" s="27" t="n">
        <f aca="false">Assumptions!$M$56</f>
        <v>1</v>
      </c>
    </row>
    <row r="19373" customFormat="false" ht="15" hidden="false" customHeight="false" outlineLevel="0" collapsed="false">
      <c r="A19373" s="3" t="s">
        <v>500</v>
      </c>
      <c r="C19373" s="27" t="n">
        <f aca="false">Assumptions!$M$57</f>
        <v>2</v>
      </c>
    </row>
    <row r="19374" customFormat="false" ht="15" hidden="false" customHeight="false" outlineLevel="0" collapsed="false">
      <c r="A19374" s="3" t="s">
        <v>501</v>
      </c>
      <c r="C19374" s="27" t="n">
        <f aca="false">Assumptions!$M$58</f>
        <v>2</v>
      </c>
    </row>
    <row r="19375" customFormat="false" ht="15" hidden="false" customHeight="false" outlineLevel="0" collapsed="false">
      <c r="A19375" s="23" t="s">
        <v>503</v>
      </c>
      <c r="B19375" s="24"/>
      <c r="C19375" s="24"/>
      <c r="D19375" s="24"/>
      <c r="E19375" s="24"/>
      <c r="F19375" s="24"/>
      <c r="G19375" s="24"/>
      <c r="H19375" s="24"/>
      <c r="I19375" s="24"/>
      <c r="J19375" s="24"/>
      <c r="K19375" s="24"/>
    </row>
    <row r="19376" customFormat="false" ht="15" hidden="false" customHeight="false" outlineLevel="0" collapsed="false">
      <c r="A19376" s="3" t="s">
        <v>499</v>
      </c>
      <c r="C19376" s="35" t="n">
        <f aca="false">Assumptions!$Q$56</f>
        <v>0</v>
      </c>
    </row>
    <row r="19377" customFormat="false" ht="15" hidden="false" customHeight="false" outlineLevel="0" collapsed="false">
      <c r="A19377" s="3" t="s">
        <v>500</v>
      </c>
      <c r="C19377" s="35" t="n">
        <f aca="false">Assumptions!$Q$57</f>
        <v>0</v>
      </c>
    </row>
    <row r="19378" customFormat="false" ht="15" hidden="false" customHeight="false" outlineLevel="0" collapsed="false">
      <c r="A19378" s="3" t="s">
        <v>501</v>
      </c>
      <c r="C19378" s="35" t="n">
        <f aca="false">Assumptions!$Q$58</f>
        <v>0</v>
      </c>
    </row>
    <row r="19379" customFormat="false" ht="15" hidden="false" customHeight="false" outlineLevel="0" collapsed="false">
      <c r="A19379" s="23" t="s">
        <v>504</v>
      </c>
      <c r="B19379" s="24"/>
      <c r="C19379" s="24"/>
      <c r="D19379" s="24"/>
      <c r="E19379" s="24"/>
      <c r="F19379" s="24"/>
      <c r="G19379" s="24"/>
      <c r="H19379" s="24"/>
      <c r="I19379" s="24"/>
      <c r="J19379" s="24"/>
      <c r="K19379" s="24"/>
    </row>
    <row r="19380" customFormat="false" ht="15" hidden="false" customHeight="false" outlineLevel="0" collapsed="false">
      <c r="A19380" s="3" t="s">
        <v>499</v>
      </c>
      <c r="C19380" s="25" t="n">
        <f aca="false">IF(C19376&gt;0,MIN(C19368,C19376*$C$19366),0)</f>
        <v>0</v>
      </c>
    </row>
    <row r="19381" customFormat="false" ht="15" hidden="false" customHeight="false" outlineLevel="0" collapsed="false">
      <c r="A19381" s="3" t="s">
        <v>500</v>
      </c>
      <c r="C19381" s="25" t="n">
        <f aca="false">IF(C19377&gt;0,MIN(C19369,C19377*$C$19366),0)</f>
        <v>0</v>
      </c>
    </row>
    <row r="19382" customFormat="false" ht="15" hidden="false" customHeight="false" outlineLevel="0" collapsed="false">
      <c r="A19382" s="3" t="s">
        <v>501</v>
      </c>
      <c r="C19382" s="25" t="n">
        <f aca="false">IF(C19378&gt;0,MIN(C19370,C19378*$C$19366),0)</f>
        <v>0</v>
      </c>
    </row>
    <row r="19383" customFormat="false" ht="15" hidden="false" customHeight="false" outlineLevel="0" collapsed="false">
      <c r="A19383" s="23" t="s">
        <v>505</v>
      </c>
      <c r="B19383" s="24"/>
      <c r="C19383" s="24"/>
      <c r="D19383" s="24"/>
      <c r="E19383" s="24"/>
      <c r="F19383" s="24"/>
      <c r="G19383" s="24"/>
      <c r="H19383" s="24"/>
      <c r="I19383" s="24"/>
      <c r="J19383" s="24"/>
      <c r="K19383" s="24"/>
    </row>
    <row r="19384" customFormat="false" ht="15" hidden="false" customHeight="false" outlineLevel="0" collapsed="false">
      <c r="A19384" s="3" t="s">
        <v>499</v>
      </c>
      <c r="C19384" s="25" t="n">
        <f aca="false">IF(C19376&gt;0,C19368-C19380,0)</f>
        <v>0</v>
      </c>
    </row>
    <row r="19385" customFormat="false" ht="15" hidden="false" customHeight="false" outlineLevel="0" collapsed="false">
      <c r="A19385" s="3" t="s">
        <v>500</v>
      </c>
      <c r="C19385" s="25" t="n">
        <f aca="false">IF(C19377&gt;0,C19369-C19381,0)</f>
        <v>0</v>
      </c>
    </row>
    <row r="19386" customFormat="false" ht="15" hidden="false" customHeight="false" outlineLevel="0" collapsed="false">
      <c r="A19386" s="3" t="s">
        <v>501</v>
      </c>
      <c r="C19386" s="25" t="n">
        <f aca="false">IF(C19378&gt;0,C19370-C19382,0)</f>
        <v>0</v>
      </c>
    </row>
    <row r="19387" customFormat="false" ht="15" hidden="false" customHeight="false" outlineLevel="0" collapsed="false">
      <c r="A19387" s="23" t="s">
        <v>506</v>
      </c>
      <c r="B19387" s="24"/>
      <c r="C19387" s="24"/>
      <c r="D19387" s="24"/>
      <c r="E19387" s="24"/>
      <c r="F19387" s="24"/>
      <c r="G19387" s="24"/>
      <c r="H19387" s="24"/>
      <c r="I19387" s="24"/>
      <c r="J19387" s="24"/>
      <c r="K19387" s="24"/>
    </row>
    <row r="19388" customFormat="false" ht="15" hidden="false" customHeight="false" outlineLevel="0" collapsed="false">
      <c r="A19388" s="3" t="s">
        <v>499</v>
      </c>
      <c r="C19388" s="25" t="n">
        <f aca="false">IF(C19376&gt;0,C19384,C19368)</f>
        <v>1315.098</v>
      </c>
    </row>
    <row r="19389" customFormat="false" ht="15" hidden="false" customHeight="false" outlineLevel="0" collapsed="false">
      <c r="A19389" s="3" t="s">
        <v>500</v>
      </c>
      <c r="C19389" s="25" t="n">
        <f aca="false">IF(C19377&gt;0,C19385,C19369)</f>
        <v>6.33403256832008</v>
      </c>
    </row>
    <row r="19390" customFormat="false" ht="15" hidden="false" customHeight="false" outlineLevel="0" collapsed="false">
      <c r="A19390" s="3" t="s">
        <v>501</v>
      </c>
      <c r="C19390" s="25" t="n">
        <f aca="false">IF(C19378&gt;0,C19386,C19370)</f>
        <v>143.75</v>
      </c>
    </row>
    <row r="19391" customFormat="false" ht="15" hidden="false" customHeight="false" outlineLevel="0" collapsed="false">
      <c r="A19391" s="23" t="s">
        <v>507</v>
      </c>
      <c r="B19391" s="24"/>
      <c r="C19391" s="24"/>
      <c r="D19391" s="24"/>
      <c r="E19391" s="24"/>
      <c r="F19391" s="24"/>
      <c r="G19391" s="24"/>
      <c r="H19391" s="24"/>
      <c r="I19391" s="24"/>
      <c r="J19391" s="24"/>
      <c r="K19391" s="24"/>
    </row>
    <row r="19392" customFormat="false" ht="15" hidden="false" customHeight="false" outlineLevel="0" collapsed="false">
      <c r="A19392" s="3" t="s">
        <v>499</v>
      </c>
      <c r="C19392" s="20" t="n">
        <f aca="false">IF(C19376&gt;0,Assumptions!$C$17,C19372)</f>
        <v>1</v>
      </c>
    </row>
    <row r="19393" customFormat="false" ht="15" hidden="false" customHeight="false" outlineLevel="0" collapsed="false">
      <c r="A19393" s="3" t="s">
        <v>500</v>
      </c>
      <c r="C19393" s="20" t="n">
        <f aca="false">IF(C19377&gt;0,Assumptions!$C$17,C19373)</f>
        <v>2</v>
      </c>
    </row>
    <row r="19394" customFormat="false" ht="15" hidden="false" customHeight="false" outlineLevel="0" collapsed="false">
      <c r="A19394" s="3" t="s">
        <v>501</v>
      </c>
      <c r="C19394" s="20" t="n">
        <f aca="false">IF(C19378&gt;0,Assumptions!$C$17,C19374)</f>
        <v>2</v>
      </c>
    </row>
    <row r="19395" customFormat="false" ht="15" hidden="false" customHeight="false" outlineLevel="0" collapsed="false">
      <c r="A19395" s="23" t="s">
        <v>508</v>
      </c>
      <c r="B19395" s="24"/>
      <c r="C19395" s="24"/>
      <c r="D19395" s="24"/>
      <c r="E19395" s="24"/>
      <c r="F19395" s="24"/>
      <c r="G19395" s="24"/>
      <c r="H19395" s="24"/>
      <c r="I19395" s="24"/>
      <c r="J19395" s="24"/>
      <c r="K19395" s="24"/>
    </row>
    <row r="19396" customFormat="false" ht="15" hidden="false" customHeight="false" outlineLevel="0" collapsed="false">
      <c r="A19396" s="3" t="s">
        <v>499</v>
      </c>
      <c r="C19396" s="25" t="n">
        <f aca="false">SUMPRODUCT(($C$19392:$C$19394&lt;C19392)*$C$19388:$C$19390)</f>
        <v>0</v>
      </c>
    </row>
    <row r="19397" customFormat="false" ht="15" hidden="false" customHeight="false" outlineLevel="0" collapsed="false">
      <c r="A19397" s="3" t="s">
        <v>500</v>
      </c>
      <c r="C19397" s="25" t="n">
        <f aca="false">SUMPRODUCT(($C$19392:$C$19394&lt;C19393)*$C$19388:$C$19390)</f>
        <v>1315.098</v>
      </c>
    </row>
    <row r="19398" customFormat="false" ht="15" hidden="false" customHeight="false" outlineLevel="0" collapsed="false">
      <c r="A19398" s="3" t="s">
        <v>501</v>
      </c>
      <c r="C19398" s="25" t="n">
        <f aca="false">SUMPRODUCT(($C$19392:$C$19394&lt;C19394)*$C$19388:$C$19390)</f>
        <v>1315.098</v>
      </c>
    </row>
    <row r="19399" customFormat="false" ht="15" hidden="false" customHeight="false" outlineLevel="0" collapsed="false">
      <c r="A19399" s="23" t="s">
        <v>509</v>
      </c>
      <c r="B19399" s="24"/>
      <c r="C19399" s="24"/>
      <c r="D19399" s="24"/>
      <c r="E19399" s="24"/>
      <c r="F19399" s="24"/>
      <c r="G19399" s="24"/>
      <c r="H19399" s="24"/>
      <c r="I19399" s="24"/>
      <c r="J19399" s="24"/>
      <c r="K19399" s="24"/>
    </row>
    <row r="19400" customFormat="false" ht="15" hidden="false" customHeight="false" outlineLevel="0" collapsed="false">
      <c r="A19400" s="3" t="s">
        <v>499</v>
      </c>
      <c r="C19400" s="25" t="n">
        <f aca="false">SUMPRODUCT(($C$19392:$C$19394=C19392)*$C$19388:$C$19390)</f>
        <v>1315.098</v>
      </c>
    </row>
    <row r="19401" customFormat="false" ht="15" hidden="false" customHeight="false" outlineLevel="0" collapsed="false">
      <c r="A19401" s="3" t="s">
        <v>500</v>
      </c>
      <c r="C19401" s="25" t="n">
        <f aca="false">SUMPRODUCT(($C$19392:$C$19394=C19393)*$C$19388:$C$19390)</f>
        <v>150.08403256832</v>
      </c>
    </row>
    <row r="19402" customFormat="false" ht="15" hidden="false" customHeight="false" outlineLevel="0" collapsed="false">
      <c r="A19402" s="3" t="s">
        <v>501</v>
      </c>
      <c r="C19402" s="25" t="n">
        <f aca="false">SUMPRODUCT(($C$19392:$C$19394=C19394)*$C$19388:$C$19390)</f>
        <v>150.08403256832</v>
      </c>
    </row>
    <row r="19403" customFormat="false" ht="15" hidden="false" customHeight="false" outlineLevel="0" collapsed="false">
      <c r="A19403" s="23" t="s">
        <v>510</v>
      </c>
      <c r="B19403" s="24"/>
      <c r="C19403" s="24"/>
      <c r="D19403" s="24"/>
      <c r="E19403" s="24"/>
      <c r="F19403" s="24"/>
      <c r="G19403" s="24"/>
      <c r="H19403" s="24"/>
      <c r="I19403" s="24"/>
      <c r="J19403" s="24"/>
      <c r="K19403" s="24"/>
    </row>
    <row r="19404" customFormat="false" ht="15" hidden="false" customHeight="false" outlineLevel="0" collapsed="false">
      <c r="A19404" s="3" t="s">
        <v>499</v>
      </c>
      <c r="C19404" s="25" t="n">
        <f aca="false">IF(C19400=0,0,C19388/C19400*MAX(0,MIN(C19400,$C$19366-SUM($C$19380:$C$19382)-C19396)))</f>
        <v>428.3744040576</v>
      </c>
    </row>
    <row r="19405" customFormat="false" ht="15" hidden="false" customHeight="false" outlineLevel="0" collapsed="false">
      <c r="A19405" s="3" t="s">
        <v>500</v>
      </c>
      <c r="C19405" s="25" t="n">
        <f aca="false">IF(C19401=0,0,C19389/C19401*MAX(0,MIN(C19401,$C$19366-SUM($C$19380:$C$19382)-C19397)))</f>
        <v>0</v>
      </c>
    </row>
    <row r="19406" customFormat="false" ht="15" hidden="false" customHeight="false" outlineLevel="0" collapsed="false">
      <c r="A19406" s="3" t="s">
        <v>501</v>
      </c>
      <c r="C19406" s="25" t="n">
        <f aca="false">IF(C19402=0,0,C19390/C19402*MAX(0,MIN(C19402,$C$19366-SUM($C$19380:$C$19382)-C19398)))</f>
        <v>0</v>
      </c>
    </row>
    <row r="19407" customFormat="false" ht="15" hidden="false" customHeight="false" outlineLevel="0" collapsed="false">
      <c r="A19407" s="23" t="s">
        <v>511</v>
      </c>
      <c r="B19407" s="24"/>
      <c r="C19407" s="24"/>
      <c r="D19407" s="24"/>
      <c r="E19407" s="24"/>
      <c r="F19407" s="24"/>
      <c r="G19407" s="24"/>
      <c r="H19407" s="24"/>
      <c r="I19407" s="24"/>
      <c r="J19407" s="24"/>
      <c r="K19407" s="24"/>
    </row>
    <row r="19408" customFormat="false" ht="15" hidden="false" customHeight="false" outlineLevel="0" collapsed="false">
      <c r="A19408" s="2" t="s">
        <v>499</v>
      </c>
      <c r="C19408" s="16" t="n">
        <f aca="false">C19380+C19404</f>
        <v>428.3744040576</v>
      </c>
    </row>
    <row r="19409" customFormat="false" ht="15" hidden="false" customHeight="false" outlineLevel="0" collapsed="false">
      <c r="A19409" s="2" t="s">
        <v>500</v>
      </c>
      <c r="C19409" s="16" t="n">
        <f aca="false">C19381+C19405</f>
        <v>0</v>
      </c>
    </row>
    <row r="19410" customFormat="false" ht="15" hidden="false" customHeight="false" outlineLevel="0" collapsed="false">
      <c r="A19410" s="2" t="s">
        <v>501</v>
      </c>
      <c r="C19410" s="16" t="n">
        <f aca="false">C19382+C19406</f>
        <v>0</v>
      </c>
    </row>
    <row r="19411" customFormat="false" ht="15" hidden="false" customHeight="false" outlineLevel="0" collapsed="false">
      <c r="A19411" s="23" t="s">
        <v>512</v>
      </c>
      <c r="B19411" s="24"/>
      <c r="C19411" s="24"/>
      <c r="D19411" s="24"/>
      <c r="E19411" s="24"/>
      <c r="F19411" s="24"/>
      <c r="G19411" s="24"/>
      <c r="H19411" s="24"/>
      <c r="I19411" s="24"/>
      <c r="J19411" s="24"/>
      <c r="K19411" s="24"/>
    </row>
    <row r="19412" customFormat="false" ht="15" hidden="false" customHeight="false" outlineLevel="0" collapsed="false">
      <c r="A19412" s="3" t="s">
        <v>499</v>
      </c>
      <c r="C19412" s="21" t="n">
        <f aca="false">IF(C19368=0,1,C19408/C19368)</f>
        <v>0.325735727723409</v>
      </c>
    </row>
    <row r="19413" customFormat="false" ht="15" hidden="false" customHeight="false" outlineLevel="0" collapsed="false">
      <c r="A19413" s="3" t="s">
        <v>500</v>
      </c>
      <c r="C19413" s="21" t="n">
        <f aca="false">IF(C19369=0,1,C19409/C19369)</f>
        <v>0</v>
      </c>
    </row>
    <row r="19414" customFormat="false" ht="15" hidden="false" customHeight="false" outlineLevel="0" collapsed="false">
      <c r="A19414" s="3" t="s">
        <v>501</v>
      </c>
      <c r="C19414" s="21" t="n">
        <f aca="false">IF(C19370=0,1,C19410/C19370)</f>
        <v>0</v>
      </c>
    </row>
    <row r="19415" customFormat="false" ht="15" hidden="false" customHeight="false" outlineLevel="0" collapsed="false">
      <c r="A19415" s="23" t="s">
        <v>513</v>
      </c>
      <c r="B19415" s="24"/>
      <c r="C19415" s="24"/>
      <c r="D19415" s="24"/>
      <c r="E19415" s="24"/>
      <c r="F19415" s="24"/>
      <c r="G19415" s="24"/>
      <c r="H19415" s="24"/>
      <c r="I19415" s="24"/>
      <c r="J19415" s="24"/>
      <c r="K19415" s="24"/>
    </row>
    <row r="19416" customFormat="false" ht="15" hidden="false" customHeight="false" outlineLevel="0" collapsed="false">
      <c r="A19416" s="3" t="s">
        <v>499</v>
      </c>
      <c r="C19416" s="25" t="n">
        <f aca="false">C19368-C19408</f>
        <v>886.7235959424</v>
      </c>
    </row>
    <row r="19417" customFormat="false" ht="15" hidden="false" customHeight="false" outlineLevel="0" collapsed="false">
      <c r="A19417" s="3" t="s">
        <v>500</v>
      </c>
      <c r="C19417" s="25" t="n">
        <f aca="false">C19369-C19409</f>
        <v>6.33403256832008</v>
      </c>
    </row>
    <row r="19418" customFormat="false" ht="15" hidden="false" customHeight="false" outlineLevel="0" collapsed="false">
      <c r="A19418" s="3" t="s">
        <v>501</v>
      </c>
      <c r="C19418" s="25" t="n">
        <f aca="false">C19370-C19410</f>
        <v>143.75</v>
      </c>
    </row>
    <row r="19419" customFormat="false" ht="15" hidden="false" customHeight="false" outlineLevel="0" collapsed="false">
      <c r="A19419" s="23" t="s">
        <v>514</v>
      </c>
      <c r="B19419" s="24"/>
      <c r="C19419" s="24"/>
      <c r="D19419" s="24"/>
      <c r="E19419" s="24"/>
      <c r="F19419" s="24"/>
      <c r="G19419" s="24"/>
      <c r="H19419" s="24"/>
      <c r="I19419" s="24"/>
      <c r="J19419" s="24"/>
      <c r="K19419" s="24"/>
    </row>
    <row r="19420" customFormat="false" ht="15" hidden="false" customHeight="false" outlineLevel="0" collapsed="false">
      <c r="A19420" s="3" t="s">
        <v>499</v>
      </c>
      <c r="C19420" s="21" t="n">
        <f aca="false">IF(C19368=0,0,C19416/C19368)</f>
        <v>0.674264272276591</v>
      </c>
    </row>
    <row r="19421" customFormat="false" ht="15" hidden="false" customHeight="false" outlineLevel="0" collapsed="false">
      <c r="A19421" s="3" t="s">
        <v>500</v>
      </c>
      <c r="C19421" s="21" t="n">
        <f aca="false">IF(C19369=0,0,C19417/C19369)</f>
        <v>1</v>
      </c>
    </row>
    <row r="19422" customFormat="false" ht="15" hidden="false" customHeight="false" outlineLevel="0" collapsed="false">
      <c r="A19422" s="3" t="s">
        <v>501</v>
      </c>
      <c r="C19422" s="21" t="n">
        <f aca="false">IF(C19370=0,0,C19418/C19370)</f>
        <v>1</v>
      </c>
    </row>
    <row r="19423" customFormat="false" ht="15" hidden="false" customHeight="false" outlineLevel="0" collapsed="false">
      <c r="A19423" s="2" t="s">
        <v>515</v>
      </c>
      <c r="C19423" s="16" t="n">
        <f aca="false">MAX(0,$C$19366-SUM($C$19380:$C$19382)-SUM($C$19388:$C$19390))</f>
        <v>0</v>
      </c>
    </row>
    <row r="19424" customFormat="false" ht="15" hidden="false" customHeight="false" outlineLevel="0" collapsed="false">
      <c r="A19424" s="3" t="s">
        <v>533</v>
      </c>
      <c r="C19424" s="34" t="n">
        <f aca="false">MIN(C19365,100*CHOOSE(C19355,C19412,C19413,C19414))</f>
        <v>32.5735727723409</v>
      </c>
    </row>
    <row r="19425" customFormat="false" ht="15" hidden="false" customHeight="false" outlineLevel="0" collapsed="false">
      <c r="A19425" s="3" t="s">
        <v>534</v>
      </c>
      <c r="C19425" s="20" t="n">
        <f aca="false">IF(C19285=1,C19360+Assumptions!$C$39,C19359)</f>
        <v>4</v>
      </c>
    </row>
    <row r="19426" customFormat="false" ht="15" hidden="false" customHeight="false" outlineLevel="0" collapsed="false">
      <c r="A19426" s="23" t="s">
        <v>535</v>
      </c>
      <c r="B19426" s="24"/>
      <c r="C19426" s="24"/>
      <c r="D19426" s="24"/>
      <c r="E19426" s="24"/>
      <c r="F19426" s="24"/>
      <c r="G19426" s="24"/>
      <c r="H19426" s="24"/>
      <c r="I19426" s="24"/>
      <c r="J19426" s="24"/>
      <c r="K19426" s="24"/>
    </row>
    <row r="19427" customFormat="false" ht="15" hidden="false" customHeight="false" outlineLevel="0" collapsed="false">
      <c r="A19427" s="3" t="s">
        <v>536</v>
      </c>
      <c r="C19427" s="20" t="n">
        <f aca="false">COLUMN()-COLUMN($C$1)</f>
        <v>0</v>
      </c>
      <c r="D19427" s="20" t="n">
        <f aca="false">COLUMN()-COLUMN($C$1)</f>
        <v>1</v>
      </c>
      <c r="E19427" s="20" t="n">
        <f aca="false">COLUMN()-COLUMN($C$1)</f>
        <v>2</v>
      </c>
      <c r="F19427" s="20" t="n">
        <f aca="false">COLUMN()-COLUMN($C$1)</f>
        <v>3</v>
      </c>
      <c r="G19427" s="20" t="n">
        <f aca="false">COLUMN()-COLUMN($C$1)</f>
        <v>4</v>
      </c>
      <c r="H19427" s="20" t="n">
        <f aca="false">COLUMN()-COLUMN($C$1)</f>
        <v>5</v>
      </c>
      <c r="I19427" s="20" t="n">
        <f aca="false">COLUMN()-COLUMN($C$1)</f>
        <v>6</v>
      </c>
    </row>
    <row r="19428" customFormat="false" ht="15" hidden="false" customHeight="false" outlineLevel="0" collapsed="false">
      <c r="A19428" s="3" t="s">
        <v>537</v>
      </c>
      <c r="D19428" s="31" t="n">
        <f aca="false">CHOOSE($C$19355,G19168,G19181,G19194)</f>
        <v>0.105</v>
      </c>
      <c r="E19428" s="31" t="n">
        <f aca="false">CHOOSE($C$19355,H19168,H19181,H19194)</f>
        <v>0.105</v>
      </c>
      <c r="F19428" s="31" t="n">
        <f aca="false">CHOOSE($C$19355,I19168,I19181,I19194)</f>
        <v>0.105</v>
      </c>
      <c r="G19428" s="31" t="n">
        <f aca="false">CHOOSE($C$19355,J19168,J19181,J19194)</f>
        <v>0.105</v>
      </c>
      <c r="H19428" s="31" t="n">
        <f aca="false">CHOOSE($C$19355,K19168,K19181,K19194)</f>
        <v>0.105</v>
      </c>
    </row>
    <row r="19429" customFormat="false" ht="15" hidden="false" customHeight="false" outlineLevel="0" collapsed="false">
      <c r="A19429" s="3" t="s">
        <v>538</v>
      </c>
      <c r="D19429" s="25" t="n">
        <f aca="false">IF(D19427&lt;=$C$19364,$C$19356*D19428,0)</f>
        <v>10.5</v>
      </c>
      <c r="E19429" s="25" t="n">
        <f aca="false">IF(E19427&lt;=$C$19364,$C$19356*E19428,0)</f>
        <v>10.5</v>
      </c>
      <c r="F19429" s="25" t="n">
        <f aca="false">IF(F19427&lt;=$C$19364,$C$19356*F19428,0)</f>
        <v>10.5</v>
      </c>
      <c r="G19429" s="25" t="n">
        <f aca="false">IF(G19427&lt;=$C$19364,$C$19356*G19428,0)</f>
        <v>0</v>
      </c>
      <c r="H19429" s="25" t="n">
        <f aca="false">IF(H19427&lt;=$C$19364,$C$19356*H19428,0)</f>
        <v>0</v>
      </c>
    </row>
    <row r="19430" customFormat="false" ht="15" hidden="false" customHeight="false" outlineLevel="0" collapsed="false">
      <c r="A19430" s="3" t="s">
        <v>539</v>
      </c>
      <c r="D19430" s="25" t="n">
        <f aca="false">IF(AND($C$19285=0,D19427=$C$19359),$C$19356*$C$19424/100,0)+IF(AND($C$19285=1,D19427=$C$19425),$C$19362,0)</f>
        <v>0</v>
      </c>
      <c r="E19430" s="25" t="n">
        <f aca="false">IF(AND($C$19285=0,E19427=$C$19359),$C$19356*$C$19424/100,0)+IF(AND($C$19285=1,E19427=$C$19425),$C$19362,0)</f>
        <v>0</v>
      </c>
      <c r="F19430" s="25" t="n">
        <f aca="false">IF(AND($C$19285=0,F19427=$C$19359),$C$19356*$C$19424/100,0)+IF(AND($C$19285=1,F19427=$C$19425),$C$19362,0)</f>
        <v>0</v>
      </c>
      <c r="G19430" s="25" t="n">
        <f aca="false">IF(AND($C$19285=0,G19427=$C$19359),$C$19356*$C$19424/100,0)+IF(AND($C$19285=1,G19427=$C$19425),$C$19362,0)</f>
        <v>34.945728090226</v>
      </c>
      <c r="H19430" s="25" t="n">
        <f aca="false">IF(AND($C$19285=0,H19427=$C$19359),$C$19356*$C$19424/100,0)+IF(AND($C$19285=1,H19427=$C$19425),$C$19362,0)</f>
        <v>0</v>
      </c>
      <c r="I19430" s="25" t="n">
        <f aca="false">IF(AND($C$19285=0,I19427=$C$19359),$C$19356*$C$19424/100,0)+IF(AND($C$19285=1,I19427=$C$19425),$C$19362,0)</f>
        <v>0</v>
      </c>
    </row>
    <row r="19431" customFormat="false" ht="15" hidden="false" customHeight="false" outlineLevel="0" collapsed="false">
      <c r="A19431" s="2" t="s">
        <v>540</v>
      </c>
      <c r="C19431" s="16" t="n">
        <f aca="false">-$C$19358</f>
        <v>-95</v>
      </c>
      <c r="D19431" s="16" t="n">
        <f aca="false">D19429+D19430</f>
        <v>10.5</v>
      </c>
      <c r="E19431" s="16" t="n">
        <f aca="false">E19429+E19430</f>
        <v>10.5</v>
      </c>
      <c r="F19431" s="16" t="n">
        <f aca="false">F19429+F19430</f>
        <v>10.5</v>
      </c>
      <c r="G19431" s="16" t="n">
        <f aca="false">G19429+G19430</f>
        <v>34.945728090226</v>
      </c>
      <c r="H19431" s="16" t="n">
        <f aca="false">H19429+H19430</f>
        <v>0</v>
      </c>
      <c r="I19431" s="16" t="n">
        <f aca="false">I19429+I19430</f>
        <v>0</v>
      </c>
    </row>
    <row r="19432" customFormat="false" ht="15" hidden="false" customHeight="false" outlineLevel="0" collapsed="false">
      <c r="A19432" s="3" t="s">
        <v>541</v>
      </c>
      <c r="C19432" s="25" t="n">
        <f aca="false">SUM($C$19429:$I$19429)</f>
        <v>31.5</v>
      </c>
    </row>
    <row r="19433" customFormat="false" ht="15" hidden="false" customHeight="false" outlineLevel="0" collapsed="false">
      <c r="A19433" s="3" t="s">
        <v>542</v>
      </c>
      <c r="C19433" s="25" t="n">
        <f aca="false">SUM($C$19430:$I$19430)</f>
        <v>34.945728090226</v>
      </c>
    </row>
    <row r="19434" customFormat="false" ht="15" hidden="false" customHeight="false" outlineLevel="0" collapsed="false">
      <c r="A19434" s="3" t="s">
        <v>543</v>
      </c>
      <c r="C19434" s="25" t="n">
        <f aca="false">C19432+C19433</f>
        <v>66.445728090226</v>
      </c>
    </row>
    <row r="19435" customFormat="false" ht="15" hidden="false" customHeight="false" outlineLevel="0" collapsed="false">
      <c r="A19435" s="3" t="s">
        <v>544</v>
      </c>
      <c r="C19435" s="25" t="n">
        <f aca="false">C19433-C19356*C19357/100</f>
        <v>-60.054271909774</v>
      </c>
    </row>
    <row r="19436" customFormat="false" ht="15" hidden="false" customHeight="false" outlineLevel="0" collapsed="false">
      <c r="A19436" s="3" t="s">
        <v>545</v>
      </c>
      <c r="C19436" s="25" t="n">
        <f aca="false">C19434-C19358</f>
        <v>-28.554271909774</v>
      </c>
    </row>
    <row r="19437" customFormat="false" ht="15" hidden="false" customHeight="false" outlineLevel="0" collapsed="false">
      <c r="A19437" s="2" t="s">
        <v>427</v>
      </c>
      <c r="C19437" s="44" t="n">
        <f aca="false">C19434/C19358</f>
        <v>0.699428716739221</v>
      </c>
    </row>
    <row r="19438" customFormat="false" ht="15" hidden="false" customHeight="false" outlineLevel="0" collapsed="false">
      <c r="A19438" s="2" t="s">
        <v>426</v>
      </c>
      <c r="C19438" s="42" t="n">
        <f aca="false">IF(C19434&lt;=0,-1,IFERROR(IRR($C$19431:$I$19431,MAX(-0.9,C19437^(1/C19425)-1)),IRR($C$19431:$I$19431,0.1)))</f>
        <v>-0.10811295237651</v>
      </c>
    </row>
    <row r="19439" customFormat="false" ht="15" hidden="false" customHeight="false" outlineLevel="0" collapsed="false">
      <c r="A19439" s="3" t="s">
        <v>546</v>
      </c>
      <c r="C19439" s="32" t="n">
        <f aca="false">MAX($G$19245:$K$19245)</f>
        <v>17.6426302993449</v>
      </c>
    </row>
    <row r="19440" customFormat="false" ht="15" hidden="false" customHeight="false" outlineLevel="0" collapsed="false">
      <c r="A19440" s="3" t="s">
        <v>547</v>
      </c>
      <c r="C19440" s="32" t="n">
        <f aca="false">MIN($G$19246:$K$19246)</f>
        <v>0.641091448545568</v>
      </c>
    </row>
    <row r="19441" customFormat="false" ht="15" hidden="false" customHeight="false" outlineLevel="0" collapsed="false">
      <c r="A19441" s="3" t="s">
        <v>548</v>
      </c>
      <c r="C19441" s="25" t="n">
        <f aca="false">SUM($G$19152:$K$19152)</f>
        <v>-362.406198194027</v>
      </c>
    </row>
    <row r="19445" customFormat="false" ht="15" hidden="false" customHeight="false" outlineLevel="0" collapsed="false">
      <c r="A19445" s="9" t="s">
        <v>1074</v>
      </c>
      <c r="B19445" s="10"/>
      <c r="C19445" s="10"/>
      <c r="D19445" s="10"/>
      <c r="E19445" s="10"/>
      <c r="F19445" s="10"/>
      <c r="G19445" s="10"/>
      <c r="H19445" s="10"/>
      <c r="I19445" s="10"/>
      <c r="J19445" s="10"/>
      <c r="K19445" s="10"/>
    </row>
    <row r="19446" customFormat="false" ht="15" hidden="false" customHeight="false" outlineLevel="0" collapsed="false">
      <c r="A19446" s="3" t="s">
        <v>1010</v>
      </c>
      <c r="C19446" s="11" t="n">
        <v>3</v>
      </c>
    </row>
    <row r="19447" customFormat="false" ht="15" hidden="false" customHeight="false" outlineLevel="0" collapsed="false">
      <c r="A19447" s="3" t="s">
        <v>1011</v>
      </c>
      <c r="C19447" s="18" t="n">
        <v>0</v>
      </c>
    </row>
    <row r="19448" customFormat="false" ht="15" hidden="false" customHeight="false" outlineLevel="0" collapsed="false">
      <c r="A19448" s="3" t="s">
        <v>1012</v>
      </c>
      <c r="C19448" s="18" t="n">
        <v>0</v>
      </c>
    </row>
    <row r="19449" customFormat="false" ht="15" hidden="false" customHeight="false" outlineLevel="0" collapsed="false">
      <c r="A19449" s="3" t="s">
        <v>1013</v>
      </c>
      <c r="C19449" s="18" t="n">
        <v>0</v>
      </c>
    </row>
    <row r="19450" customFormat="false" ht="15" hidden="false" customHeight="false" outlineLevel="0" collapsed="false">
      <c r="A19450" s="3" t="s">
        <v>1014</v>
      </c>
      <c r="C19450" s="33" t="n">
        <f aca="false">Sensitivities!$A$62</f>
        <v>0</v>
      </c>
    </row>
    <row r="19452" customFormat="false" ht="15" hidden="false" customHeight="false" outlineLevel="0" collapsed="false">
      <c r="A19452" s="23" t="s">
        <v>281</v>
      </c>
      <c r="B19452" s="24"/>
      <c r="C19452" s="24"/>
      <c r="D19452" s="24"/>
      <c r="E19452" s="24"/>
      <c r="F19452" s="24"/>
      <c r="G19452" s="24"/>
      <c r="H19452" s="24"/>
      <c r="I19452" s="24"/>
      <c r="J19452" s="24"/>
      <c r="K19452" s="24"/>
    </row>
    <row r="19453" customFormat="false" ht="15" hidden="false" customHeight="false" outlineLevel="0" collapsed="false">
      <c r="A19453" s="3" t="s">
        <v>282</v>
      </c>
      <c r="F19453" s="27" t="n">
        <f aca="false">Assumptions!$C$6</f>
        <v>2026</v>
      </c>
      <c r="G19453" s="20" t="n">
        <f aca="false">F19453+1</f>
        <v>2027</v>
      </c>
      <c r="H19453" s="20" t="n">
        <f aca="false">G19453+1</f>
        <v>2028</v>
      </c>
      <c r="I19453" s="20" t="n">
        <f aca="false">H19453+1</f>
        <v>2029</v>
      </c>
      <c r="J19453" s="20" t="n">
        <f aca="false">I19453+1</f>
        <v>2030</v>
      </c>
      <c r="K19453" s="20" t="n">
        <f aca="false">J19453+1</f>
        <v>2031</v>
      </c>
    </row>
    <row r="19454" customFormat="false" ht="15" hidden="false" customHeight="false" outlineLevel="0" collapsed="false">
      <c r="A19454" s="3" t="s">
        <v>283</v>
      </c>
      <c r="G19454" s="20" t="n">
        <f aca="false">G19453-Assumptions!$C$6</f>
        <v>1</v>
      </c>
      <c r="H19454" s="20" t="n">
        <f aca="false">H19453-Assumptions!$C$6</f>
        <v>2</v>
      </c>
      <c r="I19454" s="20" t="n">
        <f aca="false">I19453-Assumptions!$C$6</f>
        <v>3</v>
      </c>
      <c r="J19454" s="20" t="n">
        <f aca="false">J19453-Assumptions!$C$6</f>
        <v>4</v>
      </c>
      <c r="K19454" s="20" t="n">
        <f aca="false">K19453-Assumptions!$C$6</f>
        <v>5</v>
      </c>
    </row>
    <row r="19455" customFormat="false" ht="15" hidden="false" customHeight="false" outlineLevel="0" collapsed="false">
      <c r="A19455" s="3" t="s">
        <v>165</v>
      </c>
      <c r="G19455" s="21" t="n">
        <f aca="false">CHOOSE($C$19446,Assumptions!$G$71,Assumptions!$G$90,Assumptions!$G$109)+$C$19447</f>
        <v>-0.14</v>
      </c>
      <c r="H19455" s="21" t="n">
        <f aca="false">CHOOSE($C$19446,Assumptions!$H$71,Assumptions!$H$90,Assumptions!$H$109)+$C$19447</f>
        <v>-0.12</v>
      </c>
      <c r="I19455" s="21" t="n">
        <f aca="false">CHOOSE($C$19446,Assumptions!$I$71,Assumptions!$I$90,Assumptions!$I$109)+$C$19447</f>
        <v>-0.1</v>
      </c>
      <c r="J19455" s="21" t="n">
        <f aca="false">CHOOSE($C$19446,Assumptions!$J$71,Assumptions!$J$90,Assumptions!$J$109)+$C$19447</f>
        <v>-0.08</v>
      </c>
      <c r="K19455" s="21" t="n">
        <f aca="false">CHOOSE($C$19446,Assumptions!$K$71,Assumptions!$K$90,Assumptions!$K$109)+$C$19447</f>
        <v>-0.06</v>
      </c>
    </row>
    <row r="19456" customFormat="false" ht="15" hidden="false" customHeight="false" outlineLevel="0" collapsed="false">
      <c r="A19456" s="3" t="s">
        <v>166</v>
      </c>
      <c r="G19456" s="21" t="n">
        <f aca="false">CHOOSE($C$19446,Assumptions!$G$72,Assumptions!$G$91,Assumptions!$G$110)</f>
        <v>0.433246670103635</v>
      </c>
      <c r="H19456" s="21" t="n">
        <f aca="false">CHOOSE($C$19446,Assumptions!$H$72,Assumptions!$H$91,Assumptions!$H$110)</f>
        <v>0.418246670103635</v>
      </c>
      <c r="I19456" s="21" t="n">
        <f aca="false">CHOOSE($C$19446,Assumptions!$I$72,Assumptions!$I$91,Assumptions!$I$110)</f>
        <v>0.413246670103635</v>
      </c>
      <c r="J19456" s="21" t="n">
        <f aca="false">CHOOSE($C$19446,Assumptions!$J$72,Assumptions!$J$91,Assumptions!$J$110)</f>
        <v>0.413246670103635</v>
      </c>
      <c r="K19456" s="21" t="n">
        <f aca="false">CHOOSE($C$19446,Assumptions!$K$72,Assumptions!$K$91,Assumptions!$K$110)</f>
        <v>0.413246670103635</v>
      </c>
    </row>
    <row r="19457" customFormat="false" ht="15" hidden="false" customHeight="false" outlineLevel="0" collapsed="false">
      <c r="A19457" s="3" t="s">
        <v>167</v>
      </c>
      <c r="G19457" s="21" t="n">
        <f aca="false">CHOOSE($C$19446,Assumptions!$G$73,Assumptions!$G$92,Assumptions!$G$111)+$C$19448</f>
        <v>0.09</v>
      </c>
      <c r="H19457" s="21" t="n">
        <f aca="false">CHOOSE($C$19446,Assumptions!$H$73,Assumptions!$H$92,Assumptions!$H$111)+$C$19448</f>
        <v>0.075</v>
      </c>
      <c r="I19457" s="21" t="n">
        <f aca="false">CHOOSE($C$19446,Assumptions!$I$73,Assumptions!$I$92,Assumptions!$I$111)+$C$19448</f>
        <v>0.07</v>
      </c>
      <c r="J19457" s="21" t="n">
        <f aca="false">CHOOSE($C$19446,Assumptions!$J$73,Assumptions!$J$92,Assumptions!$J$111)+$C$19448</f>
        <v>0.07</v>
      </c>
      <c r="K19457" s="21" t="n">
        <f aca="false">CHOOSE($C$19446,Assumptions!$K$73,Assumptions!$K$92,Assumptions!$K$111)+$C$19448</f>
        <v>0.07</v>
      </c>
    </row>
    <row r="19458" customFormat="false" ht="15" hidden="false" customHeight="false" outlineLevel="0" collapsed="false">
      <c r="A19458" s="23" t="s">
        <v>284</v>
      </c>
      <c r="B19458" s="24"/>
      <c r="C19458" s="24"/>
      <c r="D19458" s="24"/>
      <c r="E19458" s="24"/>
      <c r="F19458" s="24"/>
      <c r="G19458" s="24"/>
      <c r="H19458" s="24"/>
      <c r="I19458" s="24"/>
      <c r="J19458" s="24"/>
      <c r="K19458" s="24"/>
    </row>
    <row r="19459" customFormat="false" ht="15" hidden="false" customHeight="false" outlineLevel="0" collapsed="false">
      <c r="A19459" s="2" t="s">
        <v>256</v>
      </c>
      <c r="F19459" s="28" t="n">
        <f aca="false">'Historical Financials'!G23</f>
        <v>2246.166</v>
      </c>
      <c r="G19459" s="16" t="n">
        <f aca="false">F19459*(1+G19455)</f>
        <v>1931.70276</v>
      </c>
      <c r="H19459" s="16" t="n">
        <f aca="false">G19459*(1+H19455)</f>
        <v>1699.8984288</v>
      </c>
      <c r="I19459" s="16" t="n">
        <f aca="false">H19459*(1+I19455)</f>
        <v>1529.90858592</v>
      </c>
      <c r="J19459" s="16" t="n">
        <f aca="false">I19459*(1+J19455)</f>
        <v>1407.5158990464</v>
      </c>
      <c r="K19459" s="16" t="n">
        <f aca="false">J19459*(1+K19455)</f>
        <v>1323.06494510362</v>
      </c>
    </row>
    <row r="19460" customFormat="false" ht="15" hidden="false" customHeight="false" outlineLevel="0" collapsed="false">
      <c r="A19460" s="3" t="s">
        <v>257</v>
      </c>
      <c r="G19460" s="25" t="n">
        <f aca="false">G19459*(1-G19456)</f>
        <v>1094.7989716</v>
      </c>
      <c r="H19460" s="25" t="n">
        <f aca="false">H19459*(1-H19456)</f>
        <v>988.92157144</v>
      </c>
      <c r="I19460" s="25" t="n">
        <f aca="false">I19459*(1-I19456)</f>
        <v>897.6789572256</v>
      </c>
      <c r="J19460" s="25" t="n">
        <f aca="false">J19459*(1-J19456)</f>
        <v>825.864640647552</v>
      </c>
      <c r="K19460" s="25" t="n">
        <f aca="false">K19459*(1-K19456)</f>
        <v>776.312762208699</v>
      </c>
    </row>
    <row r="19461" customFormat="false" ht="15" hidden="false" customHeight="false" outlineLevel="0" collapsed="false">
      <c r="A19461" s="2" t="s">
        <v>258</v>
      </c>
      <c r="G19461" s="16" t="n">
        <f aca="false">G19459-G19460</f>
        <v>836.9037884</v>
      </c>
      <c r="H19461" s="16" t="n">
        <f aca="false">H19459-H19460</f>
        <v>710.97685736</v>
      </c>
      <c r="I19461" s="16" t="n">
        <f aca="false">I19459-I19460</f>
        <v>632.2296286944</v>
      </c>
      <c r="J19461" s="16" t="n">
        <f aca="false">J19459-J19460</f>
        <v>581.651258398848</v>
      </c>
      <c r="K19461" s="16" t="n">
        <f aca="false">K19459-K19460</f>
        <v>546.752182894917</v>
      </c>
    </row>
    <row r="19462" customFormat="false" ht="15" hidden="false" customHeight="false" outlineLevel="0" collapsed="false">
      <c r="A19462" s="3" t="s">
        <v>285</v>
      </c>
      <c r="G19462" s="25" t="n">
        <f aca="false">G19461-G19463</f>
        <v>663.05054</v>
      </c>
      <c r="H19462" s="25" t="n">
        <f aca="false">H19461-H19463</f>
        <v>583.4844752</v>
      </c>
      <c r="I19462" s="25" t="n">
        <f aca="false">I19461-I19463</f>
        <v>525.13602768</v>
      </c>
      <c r="J19462" s="25" t="n">
        <f aca="false">J19461-J19463</f>
        <v>483.1251454656</v>
      </c>
      <c r="K19462" s="25" t="n">
        <f aca="false">K19461-K19463</f>
        <v>454.137636737664</v>
      </c>
    </row>
    <row r="19463" customFormat="false" ht="15" hidden="false" customHeight="false" outlineLevel="0" collapsed="false">
      <c r="A19463" s="2" t="s">
        <v>286</v>
      </c>
      <c r="G19463" s="16" t="n">
        <f aca="false">G19459*G19457</f>
        <v>173.8532484</v>
      </c>
      <c r="H19463" s="16" t="n">
        <f aca="false">H19459*H19457</f>
        <v>127.49238216</v>
      </c>
      <c r="I19463" s="16" t="n">
        <f aca="false">I19459*I19457</f>
        <v>107.0936010144</v>
      </c>
      <c r="J19463" s="16" t="n">
        <f aca="false">J19459*J19457</f>
        <v>98.526112933248</v>
      </c>
      <c r="K19463" s="16" t="n">
        <f aca="false">K19459*K19457</f>
        <v>92.6145461572531</v>
      </c>
    </row>
    <row r="19464" customFormat="false" ht="15" hidden="false" customHeight="false" outlineLevel="0" collapsed="false">
      <c r="A19464" s="3" t="s">
        <v>287</v>
      </c>
      <c r="G19464" s="25" t="n">
        <f aca="false">G19459*'Historical Financials'!G28/'Historical Financials'!G23</f>
        <v>73.35456</v>
      </c>
      <c r="H19464" s="25" t="n">
        <f aca="false">H19459*'Historical Financials'!G28/'Historical Financials'!G23</f>
        <v>64.5520128</v>
      </c>
      <c r="I19464" s="25" t="n">
        <f aca="false">I19459*'Historical Financials'!G28/'Historical Financials'!G23</f>
        <v>58.09681152</v>
      </c>
      <c r="J19464" s="25" t="n">
        <f aca="false">J19459*'Historical Financials'!G28/'Historical Financials'!G23</f>
        <v>53.4490665984</v>
      </c>
      <c r="K19464" s="25" t="n">
        <f aca="false">K19459*'Historical Financials'!G28/'Historical Financials'!G23</f>
        <v>50.242122602496</v>
      </c>
    </row>
    <row r="19465" customFormat="false" ht="15" hidden="false" customHeight="false" outlineLevel="0" collapsed="false">
      <c r="A19465" s="3" t="s">
        <v>288</v>
      </c>
      <c r="G19465" s="25" t="n">
        <f aca="false">G19459*'Historical Financials'!G29/'Historical Financials'!G23</f>
        <v>20.94616</v>
      </c>
      <c r="H19465" s="25" t="n">
        <f aca="false">H19459*'Historical Financials'!G29/'Historical Financials'!G23</f>
        <v>18.4326208</v>
      </c>
      <c r="I19465" s="25" t="n">
        <f aca="false">I19459*'Historical Financials'!G29/'Historical Financials'!G23</f>
        <v>16.58935872</v>
      </c>
      <c r="J19465" s="25" t="n">
        <f aca="false">J19459*'Historical Financials'!G29/'Historical Financials'!G23</f>
        <v>15.2622100224</v>
      </c>
      <c r="K19465" s="25" t="n">
        <f aca="false">K19459*'Historical Financials'!G29/'Historical Financials'!G23</f>
        <v>14.346477421056</v>
      </c>
    </row>
    <row r="19466" customFormat="false" ht="15" hidden="false" customHeight="false" outlineLevel="0" collapsed="false">
      <c r="A19466" s="2" t="s">
        <v>289</v>
      </c>
      <c r="G19466" s="16" t="n">
        <f aca="false">G19463-G19464-G19465</f>
        <v>79.5525284</v>
      </c>
      <c r="H19466" s="16" t="n">
        <f aca="false">H19463-H19464-H19465</f>
        <v>44.50774856</v>
      </c>
      <c r="I19466" s="16" t="n">
        <f aca="false">I19463-I19464-I19465</f>
        <v>32.4074307744</v>
      </c>
      <c r="J19466" s="16" t="n">
        <f aca="false">J19463-J19464-J19465</f>
        <v>29.814836312448</v>
      </c>
      <c r="K19466" s="16" t="n">
        <f aca="false">K19463-K19464-K19465</f>
        <v>28.0259461337011</v>
      </c>
    </row>
    <row r="19467" customFormat="false" ht="15" hidden="false" customHeight="false" outlineLevel="0" collapsed="false">
      <c r="A19467" s="3" t="s">
        <v>290</v>
      </c>
      <c r="G19467" s="25" t="n">
        <f aca="false">G19493+G19506+G19519</f>
        <v>155.95467</v>
      </c>
      <c r="H19467" s="25" t="n">
        <f aca="false">H19493+H19506+H19519</f>
        <v>155.95467</v>
      </c>
      <c r="I19467" s="25" t="n">
        <f aca="false">I19493+I19506+I19519</f>
        <v>155.95467</v>
      </c>
      <c r="J19467" s="25" t="n">
        <f aca="false">J19493+J19506+J19519</f>
        <v>144.463861384154</v>
      </c>
      <c r="K19467" s="25" t="n">
        <f aca="false">K19493+K19506+K19519</f>
        <v>144.463861384154</v>
      </c>
    </row>
    <row r="19468" customFormat="false" ht="15" hidden="false" customHeight="false" outlineLevel="0" collapsed="false">
      <c r="A19468" s="3" t="s">
        <v>291</v>
      </c>
      <c r="G19468" s="25" t="n">
        <f aca="false">G19494+G19507+G19520</f>
        <v>0</v>
      </c>
      <c r="H19468" s="25" t="n">
        <f aca="false">H19494+H19507+H19520</f>
        <v>0</v>
      </c>
      <c r="I19468" s="25" t="n">
        <f aca="false">I19494+I19507+I19520</f>
        <v>0</v>
      </c>
      <c r="J19468" s="25" t="n">
        <f aca="false">J19494+J19507+J19520</f>
        <v>0</v>
      </c>
      <c r="K19468" s="25" t="n">
        <f aca="false">K19494+K19507+K19520</f>
        <v>0</v>
      </c>
    </row>
    <row r="19469" customFormat="false" ht="15" hidden="false" customHeight="false" outlineLevel="0" collapsed="false">
      <c r="A19469" s="3" t="s">
        <v>239</v>
      </c>
      <c r="G19469" s="25" t="n">
        <f aca="false">G19467+G19468</f>
        <v>155.95467</v>
      </c>
      <c r="H19469" s="25" t="n">
        <f aca="false">H19467+H19468</f>
        <v>155.95467</v>
      </c>
      <c r="I19469" s="25" t="n">
        <f aca="false">I19467+I19468</f>
        <v>155.95467</v>
      </c>
      <c r="J19469" s="25" t="n">
        <f aca="false">J19467+J19468</f>
        <v>144.463861384154</v>
      </c>
      <c r="K19469" s="25" t="n">
        <f aca="false">K19467+K19468</f>
        <v>144.463861384154</v>
      </c>
    </row>
    <row r="19470" customFormat="false" ht="15" hidden="false" customHeight="false" outlineLevel="0" collapsed="false">
      <c r="A19470" s="2" t="s">
        <v>264</v>
      </c>
      <c r="G19470" s="16" t="n">
        <f aca="false">G19466-G19469</f>
        <v>-76.4021416</v>
      </c>
      <c r="H19470" s="16" t="n">
        <f aca="false">H19466-H19469</f>
        <v>-111.44692144</v>
      </c>
      <c r="I19470" s="16" t="n">
        <f aca="false">I19466-I19469</f>
        <v>-123.5472392256</v>
      </c>
      <c r="J19470" s="16" t="n">
        <f aca="false">J19466-J19469</f>
        <v>-114.649025071706</v>
      </c>
      <c r="K19470" s="16" t="n">
        <f aca="false">K19466-K19469</f>
        <v>-116.437915250452</v>
      </c>
    </row>
    <row r="19471" customFormat="false" ht="15" hidden="false" customHeight="false" outlineLevel="0" collapsed="false">
      <c r="A19471" s="3" t="s">
        <v>292</v>
      </c>
      <c r="G19471" s="25" t="n">
        <f aca="false">MAX(0,G19470)*Assumptions!$C$9</f>
        <v>0</v>
      </c>
      <c r="H19471" s="25" t="n">
        <f aca="false">MAX(0,H19470)*Assumptions!$C$9</f>
        <v>0</v>
      </c>
      <c r="I19471" s="25" t="n">
        <f aca="false">MAX(0,I19470)*Assumptions!$C$9</f>
        <v>0</v>
      </c>
      <c r="J19471" s="25" t="n">
        <f aca="false">MAX(0,J19470)*Assumptions!$C$9</f>
        <v>0</v>
      </c>
      <c r="K19471" s="25" t="n">
        <f aca="false">MAX(0,K19470)*Assumptions!$C$9</f>
        <v>0</v>
      </c>
    </row>
    <row r="19472" customFormat="false" ht="15" hidden="false" customHeight="false" outlineLevel="0" collapsed="false">
      <c r="A19472" s="2" t="s">
        <v>293</v>
      </c>
      <c r="G19472" s="16" t="n">
        <f aca="false">G19470-G19471</f>
        <v>-76.4021416</v>
      </c>
      <c r="H19472" s="16" t="n">
        <f aca="false">H19470-H19471</f>
        <v>-111.44692144</v>
      </c>
      <c r="I19472" s="16" t="n">
        <f aca="false">I19470-I19471</f>
        <v>-123.5472392256</v>
      </c>
      <c r="J19472" s="16" t="n">
        <f aca="false">J19470-J19471</f>
        <v>-114.649025071706</v>
      </c>
      <c r="K19472" s="16" t="n">
        <f aca="false">K19470-K19471</f>
        <v>-116.437915250452</v>
      </c>
    </row>
    <row r="19473" customFormat="false" ht="15" hidden="false" customHeight="false" outlineLevel="0" collapsed="false">
      <c r="A19473" s="23" t="s">
        <v>294</v>
      </c>
      <c r="B19473" s="24"/>
      <c r="C19473" s="24"/>
      <c r="D19473" s="24"/>
      <c r="E19473" s="24"/>
      <c r="F19473" s="24"/>
      <c r="G19473" s="24"/>
      <c r="H19473" s="24"/>
      <c r="I19473" s="24"/>
      <c r="J19473" s="24"/>
      <c r="K19473" s="24"/>
    </row>
    <row r="19474" customFormat="false" ht="15" hidden="false" customHeight="false" outlineLevel="0" collapsed="false">
      <c r="A19474" s="3" t="s">
        <v>169</v>
      </c>
      <c r="G19474" s="25" t="n">
        <f aca="false">G19459*CHOOSE($C$19446,Assumptions!$C$75,Assumptions!$C$94,Assumptions!$C$113)</f>
        <v>21.24873036</v>
      </c>
      <c r="H19474" s="25" t="n">
        <f aca="false">H19459*CHOOSE($C$19446,Assumptions!$C$75,Assumptions!$C$94,Assumptions!$C$113)</f>
        <v>18.6988827168</v>
      </c>
      <c r="I19474" s="25" t="n">
        <f aca="false">I19459*CHOOSE($C$19446,Assumptions!$C$75,Assumptions!$C$94,Assumptions!$C$113)</f>
        <v>16.82899444512</v>
      </c>
      <c r="J19474" s="25" t="n">
        <f aca="false">J19459*CHOOSE($C$19446,Assumptions!$C$75,Assumptions!$C$94,Assumptions!$C$113)</f>
        <v>15.4826748895104</v>
      </c>
      <c r="K19474" s="25" t="n">
        <f aca="false">K19459*CHOOSE($C$19446,Assumptions!$C$75,Assumptions!$C$94,Assumptions!$C$113)</f>
        <v>14.5537143961398</v>
      </c>
    </row>
    <row r="19475" customFormat="false" ht="15" hidden="false" customHeight="false" outlineLevel="0" collapsed="false">
      <c r="A19475" s="3" t="s">
        <v>295</v>
      </c>
      <c r="G19475" s="25" t="n">
        <f aca="false">CHOOSE($C$19446,Assumptions!$C$76,Assumptions!$C$95,Assumptions!$C$114)*(G19459-F19459)+CHOOSE($C$19446,Assumptions!$C$77,Assumptions!$C$96,Assumptions!$C$115)*G19459</f>
        <v>28.9755414</v>
      </c>
      <c r="H19475" s="25" t="n">
        <f aca="false">CHOOSE($C$19446,Assumptions!$C$76,Assumptions!$C$95,Assumptions!$C$114)*(H19459-G19459)+CHOOSE($C$19446,Assumptions!$C$77,Assumptions!$C$96,Assumptions!$C$115)*H19459</f>
        <v>25.498476432</v>
      </c>
      <c r="I19475" s="25" t="n">
        <f aca="false">CHOOSE($C$19446,Assumptions!$C$76,Assumptions!$C$95,Assumptions!$C$114)*(I19459-H19459)+CHOOSE($C$19446,Assumptions!$C$77,Assumptions!$C$96,Assumptions!$C$115)*I19459</f>
        <v>22.9486287888</v>
      </c>
      <c r="J19475" s="25" t="n">
        <f aca="false">CHOOSE($C$19446,Assumptions!$C$76,Assumptions!$C$95,Assumptions!$C$114)*(J19459-I19459)+CHOOSE($C$19446,Assumptions!$C$77,Assumptions!$C$96,Assumptions!$C$115)*J19459</f>
        <v>21.112738485696</v>
      </c>
      <c r="K19475" s="25" t="n">
        <f aca="false">CHOOSE($C$19446,Assumptions!$C$76,Assumptions!$C$95,Assumptions!$C$114)*(K19459-J19459)+CHOOSE($C$19446,Assumptions!$C$77,Assumptions!$C$96,Assumptions!$C$115)*K19459</f>
        <v>19.8459741765542</v>
      </c>
    </row>
    <row r="19476" customFormat="false" ht="15" hidden="false" customHeight="false" outlineLevel="0" collapsed="false">
      <c r="A19476" s="2" t="s">
        <v>296</v>
      </c>
      <c r="G19476" s="16" t="n">
        <f aca="false">G19472+G19464+G19465+G19468-G19474-G19475</f>
        <v>-32.32569336</v>
      </c>
      <c r="H19476" s="16" t="n">
        <f aca="false">H19472+H19464+H19465+H19468-H19474-H19475</f>
        <v>-72.6596469888</v>
      </c>
      <c r="I19476" s="16" t="n">
        <f aca="false">I19472+I19464+I19465+I19468-I19474-I19475</f>
        <v>-88.63869221952</v>
      </c>
      <c r="J19476" s="16" t="n">
        <f aca="false">J19472+J19464+J19465+J19468-J19474-J19475</f>
        <v>-82.533161826112</v>
      </c>
      <c r="K19476" s="16" t="n">
        <f aca="false">K19472+K19464+K19465+K19468-K19474-K19475</f>
        <v>-86.2490037995945</v>
      </c>
    </row>
    <row r="19478" customFormat="false" ht="15" hidden="false" customHeight="false" outlineLevel="0" collapsed="false">
      <c r="A19478" s="23" t="s">
        <v>298</v>
      </c>
      <c r="B19478" s="24"/>
      <c r="C19478" s="24"/>
      <c r="D19478" s="24"/>
      <c r="E19478" s="24"/>
      <c r="F19478" s="24"/>
      <c r="G19478" s="24"/>
      <c r="H19478" s="24"/>
      <c r="I19478" s="24"/>
      <c r="J19478" s="24"/>
      <c r="K19478" s="24"/>
    </row>
    <row r="19479" customFormat="false" ht="15" hidden="false" customHeight="false" outlineLevel="0" collapsed="false">
      <c r="A19479" s="3" t="s">
        <v>299</v>
      </c>
      <c r="G19479" s="30" t="n">
        <f aca="false">Assumptions!$G$52</f>
        <v>0.039</v>
      </c>
      <c r="H19479" s="30" t="n">
        <f aca="false">Assumptions!$H$52</f>
        <v>0.0375</v>
      </c>
      <c r="I19479" s="30" t="n">
        <f aca="false">Assumptions!$I$52</f>
        <v>0.035</v>
      </c>
      <c r="J19479" s="30" t="n">
        <f aca="false">Assumptions!$J$52</f>
        <v>0.035</v>
      </c>
      <c r="K19479" s="30" t="n">
        <f aca="false">Assumptions!$K$52</f>
        <v>0.035</v>
      </c>
    </row>
    <row r="19480" customFormat="false" ht="15" hidden="false" customHeight="false" outlineLevel="0" collapsed="false">
      <c r="A19480" s="3" t="s">
        <v>300</v>
      </c>
      <c r="C19480" s="31" t="n">
        <f aca="false">CHOOSE($C$19446,Assumptions!$C$78,Assumptions!$C$97,Assumptions!$C$116)+$C$19449</f>
        <v>0.03</v>
      </c>
    </row>
    <row r="19481" customFormat="false" ht="15" hidden="false" customHeight="false" outlineLevel="0" collapsed="false">
      <c r="A19481" s="3" t="s">
        <v>301</v>
      </c>
      <c r="C19481" s="31" t="n">
        <f aca="false">CHOOSE($C$19446,Assumptions!$C$79,Assumptions!$C$98,Assumptions!$C$117)</f>
        <v>0.15</v>
      </c>
    </row>
    <row r="19482" customFormat="false" ht="15" hidden="false" customHeight="false" outlineLevel="0" collapsed="false">
      <c r="A19482" s="3" t="s">
        <v>302</v>
      </c>
      <c r="C19482" s="32" t="n">
        <f aca="false">CHOOSE($C$19446,Assumptions!$C$80,Assumptions!$C$99,Assumptions!$C$118)</f>
        <v>5</v>
      </c>
    </row>
    <row r="19483" customFormat="false" ht="15" hidden="false" customHeight="false" outlineLevel="0" collapsed="false">
      <c r="A19483" s="3" t="s">
        <v>303</v>
      </c>
      <c r="C19483" s="32" t="n">
        <f aca="false">CHOOSE($C$19446,Assumptions!$C$81,Assumptions!$C$100,Assumptions!$C$119)</f>
        <v>1.75</v>
      </c>
    </row>
    <row r="19484" customFormat="false" ht="15" hidden="false" customHeight="false" outlineLevel="0" collapsed="false">
      <c r="A19484" s="3" t="s">
        <v>304</v>
      </c>
      <c r="G19484" s="25" t="n">
        <f aca="false">G19489+G19502+G19515</f>
        <v>1735.554</v>
      </c>
      <c r="H19484" s="25" t="n">
        <f aca="false">H19489+H19502+H19515</f>
        <v>1735.554</v>
      </c>
      <c r="I19484" s="25" t="n">
        <f aca="false">I19489+I19502+I19515</f>
        <v>1735.554</v>
      </c>
      <c r="J19484" s="25" t="n">
        <f aca="false">J19489+J19502+J19515</f>
        <v>1465.18203256832</v>
      </c>
      <c r="K19484" s="25" t="n">
        <f aca="false">K19489+K19502+K19515</f>
        <v>1465.18203256832</v>
      </c>
    </row>
    <row r="19485" customFormat="false" ht="15" hidden="false" customHeight="false" outlineLevel="0" collapsed="false">
      <c r="A19485" s="3" t="s">
        <v>305</v>
      </c>
      <c r="G19485" s="25" t="n">
        <f aca="false">F19558</f>
        <v>463.996</v>
      </c>
      <c r="H19485" s="25" t="n">
        <f aca="false">G19558</f>
        <v>431.67030664</v>
      </c>
      <c r="I19485" s="25" t="n">
        <f aca="false">H19558</f>
        <v>359.0106596512</v>
      </c>
      <c r="J19485" s="25" t="n">
        <f aca="false">I19558</f>
        <v>0</v>
      </c>
      <c r="K19485" s="25" t="n">
        <f aca="false">J19558</f>
        <v>-82.533161826112</v>
      </c>
    </row>
    <row r="19486" customFormat="false" ht="15" hidden="false" customHeight="false" outlineLevel="0" collapsed="false">
      <c r="A19486" s="3" t="s">
        <v>306</v>
      </c>
      <c r="G19486" s="25" t="n">
        <f aca="false">G19489*IF(G19490=1,$C$19481,IF(Assumptions!$I$56=1,MAX(G19479,Assumptions!$G$56)+Assumptions!$F$56+$C$19480,Assumptions!$E$56))+G19502*IF(G19503=1,$C$19481,IF(Assumptions!$I$57=1,MAX(G19479,Assumptions!$G$57)+Assumptions!$F$57+$C$19480,Assumptions!$E$57))+G19515*IF(G19516=1,$C$19481,IF(Assumptions!$I$58=1,MAX(G19479,Assumptions!$G$58)+Assumptions!$F$58+$C$19480,Assumptions!$E$58))</f>
        <v>155.95467</v>
      </c>
      <c r="H19486" s="25" t="n">
        <f aca="false">H19489*IF(OR(H19490=1,G19636=1),$C$19481,IF(Assumptions!$I$56=1,MAX(H19479,Assumptions!$G$56)+Assumptions!$F$56+$C$19480,Assumptions!$E$56))+H19502*IF(OR(H19503=1,G19637=1),$C$19481,IF(Assumptions!$I$57=1,MAX(H19479,Assumptions!$G$57)+Assumptions!$F$57+$C$19480,Assumptions!$E$57))+H19515*IF(OR(H19516=1,G19638=1),$C$19481,IF(Assumptions!$I$58=1,MAX(H19479,Assumptions!$G$58)+Assumptions!$F$58+$C$19480,Assumptions!$E$58))</f>
        <v>155.95467</v>
      </c>
      <c r="I19486" s="25" t="n">
        <f aca="false">I19489*IF(OR(I19490=1,H19636=1),$C$19481,IF(Assumptions!$I$56=1,MAX(I19479,Assumptions!$G$56)+Assumptions!$F$56+$C$19480,Assumptions!$E$56))+I19502*IF(OR(I19503=1,H19637=1),$C$19481,IF(Assumptions!$I$57=1,MAX(I19479,Assumptions!$G$57)+Assumptions!$F$57+$C$19480,Assumptions!$E$57))+I19515*IF(OR(I19516=1,H19638=1),$C$19481,IF(Assumptions!$I$58=1,MAX(I19479,Assumptions!$G$58)+Assumptions!$F$58+$C$19480,Assumptions!$E$58))</f>
        <v>201.15369</v>
      </c>
      <c r="J19486" s="25" t="n">
        <f aca="false">J19489*IF(OR(J19490=1,I19636=1),$C$19481,IF(Assumptions!$I$56=1,MAX(J19479,Assumptions!$G$56)+Assumptions!$F$56+$C$19480,Assumptions!$E$56))+J19502*IF(OR(J19503=1,I19637=1),$C$19481,IF(Assumptions!$I$57=1,MAX(J19479,Assumptions!$G$57)+Assumptions!$F$57+$C$19480,Assumptions!$E$57))+J19515*IF(OR(J19516=1,I19638=1),$C$19481,IF(Assumptions!$I$58=1,MAX(J19479,Assumptions!$G$58)+Assumptions!$F$58+$C$19480,Assumptions!$E$58))</f>
        <v>144.463861384154</v>
      </c>
      <c r="K19486" s="25" t="n">
        <f aca="false">K19489*IF(OR(K19490=1,J19636=1),$C$19481,IF(Assumptions!$I$56=1,MAX(K19479,Assumptions!$G$56)+Assumptions!$F$56+$C$19480,Assumptions!$E$56))+K19502*IF(OR(K19503=1,J19637=1),$C$19481,IF(Assumptions!$I$57=1,MAX(K19479,Assumptions!$G$57)+Assumptions!$F$57+$C$19480,Assumptions!$E$57))+K19515*IF(OR(K19516=1,J19638=1),$C$19481,IF(Assumptions!$I$58=1,MAX(K19479,Assumptions!$G$58)+Assumptions!$F$58+$C$19480,Assumptions!$E$58))</f>
        <v>144.463861384154</v>
      </c>
    </row>
    <row r="19487" customFormat="false" ht="15" hidden="false" customHeight="false" outlineLevel="0" collapsed="false">
      <c r="A19487" s="3" t="s">
        <v>307</v>
      </c>
      <c r="G19487" s="20" t="n">
        <f aca="false">IF(G19463&lt;=0,0,IF(AND((G19484-G19485)/G19463&lt;=$C$19482,G19463/G19486&gt;=$C$19483),1,0))</f>
        <v>0</v>
      </c>
      <c r="H19487" s="20" t="n">
        <f aca="false">IF(H19463&lt;=0,0,IF(AND((H19484-H19485)/H19463&lt;=$C$19482,H19463/H19486&gt;=$C$19483),1,0))</f>
        <v>0</v>
      </c>
      <c r="I19487" s="20" t="n">
        <f aca="false">IF(I19463&lt;=0,0,IF(AND((I19484-I19485)/I19463&lt;=$C$19482,I19463/I19486&gt;=$C$19483),1,0))</f>
        <v>0</v>
      </c>
      <c r="J19487" s="20" t="n">
        <f aca="false">IF(J19463&lt;=0,0,IF(AND((J19484-J19485)/J19463&lt;=$C$19482,J19463/J19486&gt;=$C$19483),1,0))</f>
        <v>0</v>
      </c>
      <c r="K19487" s="20" t="n">
        <f aca="false">IF(K19463&lt;=0,0,IF(AND((K19484-K19485)/K19463&lt;=$C$19482,K19463/K19486&gt;=$C$19483),1,0))</f>
        <v>0</v>
      </c>
    </row>
    <row r="19488" customFormat="false" ht="15" hidden="false" customHeight="false" outlineLevel="0" collapsed="false">
      <c r="A19488" s="23" t="s">
        <v>308</v>
      </c>
      <c r="B19488" s="24"/>
      <c r="C19488" s="24"/>
      <c r="D19488" s="24"/>
      <c r="E19488" s="24"/>
      <c r="F19488" s="24"/>
      <c r="G19488" s="24"/>
      <c r="H19488" s="24"/>
      <c r="I19488" s="24"/>
      <c r="J19488" s="24"/>
      <c r="K19488" s="24"/>
    </row>
    <row r="19489" customFormat="false" ht="15" hidden="false" customHeight="false" outlineLevel="0" collapsed="false">
      <c r="A19489" s="3" t="s">
        <v>309</v>
      </c>
      <c r="G19489" s="25" t="n">
        <f aca="false">F19500</f>
        <v>1315.098</v>
      </c>
      <c r="H19489" s="25" t="n">
        <f aca="false">G19500</f>
        <v>1315.098</v>
      </c>
      <c r="I19489" s="25" t="n">
        <f aca="false">H19500</f>
        <v>1315.098</v>
      </c>
      <c r="J19489" s="25" t="n">
        <f aca="false">I19500</f>
        <v>1315.098</v>
      </c>
      <c r="K19489" s="25" t="n">
        <f aca="false">J19500</f>
        <v>1315.098</v>
      </c>
    </row>
    <row r="19490" customFormat="false" ht="15" hidden="false" customHeight="false" outlineLevel="0" collapsed="false">
      <c r="A19490" s="3" t="s">
        <v>310</v>
      </c>
      <c r="G19490" s="20" t="n">
        <f aca="false">IF(G19453=Assumptions!$K$56,1,0)</f>
        <v>0</v>
      </c>
      <c r="H19490" s="20" t="n">
        <f aca="false">IF(H19453=Assumptions!$K$56,1,0)</f>
        <v>0</v>
      </c>
      <c r="I19490" s="20" t="n">
        <f aca="false">IF(I19453=Assumptions!$K$56,1,0)</f>
        <v>0</v>
      </c>
      <c r="J19490" s="20" t="n">
        <f aca="false">IF(J19453=Assumptions!$K$56,1,0)</f>
        <v>0</v>
      </c>
      <c r="K19490" s="20" t="n">
        <f aca="false">IF(K19453=Assumptions!$K$56,1,0)</f>
        <v>0</v>
      </c>
    </row>
    <row r="19492" customFormat="false" ht="15" hidden="false" customHeight="false" outlineLevel="0" collapsed="false">
      <c r="A19492" s="3" t="s">
        <v>311</v>
      </c>
      <c r="G19492" s="31" t="n">
        <f aca="false">IF(Assumptions!$I$56=1,MAX(G19479,Assumptions!$G$56)+Assumptions!$F$56+$C$19480,Assumptions!$E$56)</f>
        <v>0.105</v>
      </c>
      <c r="H19492" s="31" t="n">
        <f aca="false">IF(G19636=1,$C$19481,IF(Assumptions!$I$56=1,MAX(H19479,Assumptions!$G$56)+Assumptions!$F$56+$C$19480,Assumptions!$E$56))</f>
        <v>0.105</v>
      </c>
      <c r="I19492" s="31" t="n">
        <f aca="false">IF(H19636=1,$C$19481,IF(Assumptions!$I$56=1,MAX(I19479,Assumptions!$G$56)+Assumptions!$F$56+$C$19480,Assumptions!$E$56))</f>
        <v>0.105</v>
      </c>
      <c r="J19492" s="31" t="n">
        <f aca="false">IF(I19636=1,$C$19481,IF(Assumptions!$I$56=1,MAX(J19479,Assumptions!$G$56)+Assumptions!$F$56+$C$19480,Assumptions!$E$56))</f>
        <v>0.105</v>
      </c>
      <c r="K19492" s="31" t="n">
        <f aca="false">IF(J19636=1,$C$19481,IF(Assumptions!$I$56=1,MAX(K19479,Assumptions!$G$56)+Assumptions!$F$56+$C$19480,Assumptions!$E$56))</f>
        <v>0.105</v>
      </c>
    </row>
    <row r="19493" customFormat="false" ht="15" hidden="false" customHeight="false" outlineLevel="0" collapsed="false">
      <c r="A19493" s="3" t="s">
        <v>312</v>
      </c>
      <c r="G19493" s="25" t="n">
        <f aca="false">G19489*G19492</f>
        <v>138.08529</v>
      </c>
      <c r="H19493" s="25" t="n">
        <f aca="false">H19489*H19492</f>
        <v>138.08529</v>
      </c>
      <c r="I19493" s="25" t="n">
        <f aca="false">I19489*I19492</f>
        <v>138.08529</v>
      </c>
      <c r="J19493" s="25" t="n">
        <f aca="false">J19489*J19492</f>
        <v>138.08529</v>
      </c>
      <c r="K19493" s="25" t="n">
        <f aca="false">K19489*K19492</f>
        <v>138.08529</v>
      </c>
    </row>
    <row r="19494" customFormat="false" ht="15" hidden="false" customHeight="false" outlineLevel="0" collapsed="false">
      <c r="A19494" s="3" t="s">
        <v>313</v>
      </c>
      <c r="G19494" s="25" t="n">
        <f aca="false">G19489*Assumptions!$H$56</f>
        <v>0</v>
      </c>
      <c r="H19494" s="25" t="n">
        <f aca="false">H19489*Assumptions!$H$56</f>
        <v>0</v>
      </c>
      <c r="I19494" s="25" t="n">
        <f aca="false">I19489*Assumptions!$H$56</f>
        <v>0</v>
      </c>
      <c r="J19494" s="25" t="n">
        <f aca="false">J19489*Assumptions!$H$56</f>
        <v>0</v>
      </c>
      <c r="K19494" s="25" t="n">
        <f aca="false">K19489*Assumptions!$H$56</f>
        <v>0</v>
      </c>
    </row>
    <row r="19495" customFormat="false" ht="15" hidden="false" customHeight="false" outlineLevel="0" collapsed="false">
      <c r="A19495" s="3" t="s">
        <v>314</v>
      </c>
      <c r="G19495" s="25" t="n">
        <f aca="false">MIN(G19489,Assumptions!$L$56*Assumptions!$C$56)</f>
        <v>0</v>
      </c>
      <c r="H19495" s="25" t="n">
        <f aca="false">MIN(H19489,Assumptions!$L$56*Assumptions!$C$56)</f>
        <v>0</v>
      </c>
      <c r="I19495" s="25" t="n">
        <f aca="false">MIN(I19489,Assumptions!$L$56*Assumptions!$C$56)</f>
        <v>0</v>
      </c>
      <c r="J19495" s="25" t="n">
        <f aca="false">MIN(J19489,Assumptions!$L$56*Assumptions!$C$56)</f>
        <v>0</v>
      </c>
      <c r="K19495" s="25" t="n">
        <f aca="false">MIN(K19489,Assumptions!$L$56*Assumptions!$C$56)</f>
        <v>0</v>
      </c>
    </row>
    <row r="19496" customFormat="false" ht="15" hidden="false" customHeight="false" outlineLevel="0" collapsed="false">
      <c r="A19496" s="3" t="s">
        <v>315</v>
      </c>
      <c r="G19496" s="25" t="n">
        <f aca="false">IF(AND(Assumptions!$P$56=1,G19453&lt;Assumptions!$K$56),MIN(MAX(0,-G19550),MAX(0,Assumptions!$D$56-G19489)),0)</f>
        <v>0</v>
      </c>
      <c r="H19496" s="25" t="n">
        <f aca="false">IF(AND(Assumptions!$P$56=1,OR(H19453&lt;Assumptions!$K$56,G19636=1)),MIN(MAX(0,-H19550),MAX(0,Assumptions!$D$56-H19489)),0)</f>
        <v>0</v>
      </c>
      <c r="I19496" s="25" t="n">
        <f aca="false">IF(AND(Assumptions!$P$56=1,OR(I19453&lt;Assumptions!$K$56,H19636=1)),MIN(MAX(0,-I19550),MAX(0,Assumptions!$D$56-I19489)),0)</f>
        <v>0</v>
      </c>
      <c r="J19496" s="25" t="n">
        <f aca="false">IF(AND(Assumptions!$P$56=1,OR(J19453&lt;Assumptions!$K$56,I19636=1)),MIN(MAX(0,-J19550),MAX(0,Assumptions!$D$56-J19489)),0)</f>
        <v>0</v>
      </c>
      <c r="K19496" s="25" t="n">
        <f aca="false">IF(AND(Assumptions!$P$56=1,OR(K19453&lt;Assumptions!$K$56,J19636=1)),MIN(MAX(0,-K19550),MAX(0,Assumptions!$D$56-K19489)),0)</f>
        <v>0</v>
      </c>
    </row>
    <row r="19497" customFormat="false" ht="15" hidden="false" customHeight="false" outlineLevel="0" collapsed="false">
      <c r="A19497" s="3" t="s">
        <v>316</v>
      </c>
      <c r="G19497" s="25" t="n">
        <f aca="false">G19490*MIN(G19489-G19495+G19494,MAX(0,G19552-Assumptions!$C$12*G19487))</f>
        <v>0</v>
      </c>
      <c r="H19497" s="25" t="n">
        <f aca="false">H19490*MIN(H19489-H19495+H19494,MAX(0,H19552-Assumptions!$C$12*H19487))</f>
        <v>0</v>
      </c>
      <c r="I19497" s="25" t="n">
        <f aca="false">I19490*MIN(I19489-I19495+I19494,MAX(0,I19552-Assumptions!$C$12*I19487))</f>
        <v>0</v>
      </c>
      <c r="J19497" s="25" t="n">
        <f aca="false">J19490*MIN(J19489-J19495+J19494,MAX(0,J19552-Assumptions!$C$12*J19487))</f>
        <v>0</v>
      </c>
      <c r="K19497" s="25" t="n">
        <f aca="false">K19490*MIN(K19489-K19495+K19494,MAX(0,K19552-Assumptions!$C$12*K19487))</f>
        <v>0</v>
      </c>
    </row>
    <row r="19498" customFormat="false" ht="15" hidden="false" customHeight="false" outlineLevel="0" collapsed="false">
      <c r="A19498" s="3" t="s">
        <v>317</v>
      </c>
      <c r="G19498" s="25" t="n">
        <f aca="false">Assumptions!$N$56*MIN(G19489+G19496+G19494-G19495-G19497,MAX(0,G19556))</f>
        <v>0</v>
      </c>
      <c r="H19498" s="25" t="n">
        <f aca="false">Assumptions!$N$56*MIN(H19489+H19496+H19494-H19495-H19497,MAX(0,H19556))</f>
        <v>0</v>
      </c>
      <c r="I19498" s="25" t="n">
        <f aca="false">Assumptions!$N$56*MIN(I19489+I19496+I19494-I19495-I19497,MAX(0,I19556))</f>
        <v>0</v>
      </c>
      <c r="J19498" s="25" t="n">
        <f aca="false">Assumptions!$N$56*MIN(J19489+J19496+J19494-J19495-J19497,MAX(0,J19556))</f>
        <v>0</v>
      </c>
      <c r="K19498" s="25" t="n">
        <f aca="false">Assumptions!$N$56*MIN(K19489+K19496+K19494-K19495-K19497,MAX(0,K19556))</f>
        <v>0</v>
      </c>
    </row>
    <row r="19499" customFormat="false" ht="15" hidden="false" customHeight="false" outlineLevel="0" collapsed="false">
      <c r="A19499" s="3" t="s">
        <v>318</v>
      </c>
      <c r="G19499" s="25" t="n">
        <f aca="false">G19490*(1-G19487)*(G19489-G19495+G19494-G19497)</f>
        <v>0</v>
      </c>
      <c r="H19499" s="25" t="n">
        <f aca="false">H19490*(1-H19487)*(H19489-H19495+H19494-H19497)</f>
        <v>0</v>
      </c>
      <c r="I19499" s="25" t="n">
        <f aca="false">I19490*(1-I19487)*(I19489-I19495+I19494-I19497)</f>
        <v>0</v>
      </c>
      <c r="J19499" s="25" t="n">
        <f aca="false">J19490*(1-J19487)*(J19489-J19495+J19494-J19497)</f>
        <v>0</v>
      </c>
      <c r="K19499" s="25" t="n">
        <f aca="false">K19490*(1-K19487)*(K19489-K19495+K19494-K19497)</f>
        <v>0</v>
      </c>
    </row>
    <row r="19500" customFormat="false" ht="15" hidden="false" customHeight="false" outlineLevel="0" collapsed="false">
      <c r="A19500" s="2" t="s">
        <v>319</v>
      </c>
      <c r="F19500" s="28" t="n">
        <f aca="false">Assumptions!$C$56</f>
        <v>1315.098</v>
      </c>
      <c r="G19500" s="16" t="n">
        <f aca="false">G19489+G19496+G19494-G19495-G19497-G19498</f>
        <v>1315.098</v>
      </c>
      <c r="H19500" s="16" t="n">
        <f aca="false">H19489+H19496+H19494-H19495-H19497-H19498</f>
        <v>1315.098</v>
      </c>
      <c r="I19500" s="16" t="n">
        <f aca="false">I19489+I19496+I19494-I19495-I19497-I19498</f>
        <v>1315.098</v>
      </c>
      <c r="J19500" s="16" t="n">
        <f aca="false">J19489+J19496+J19494-J19495-J19497-J19498</f>
        <v>1315.098</v>
      </c>
      <c r="K19500" s="16" t="n">
        <f aca="false">K19489+K19496+K19494-K19495-K19497-K19498</f>
        <v>1315.098</v>
      </c>
    </row>
    <row r="19501" customFormat="false" ht="15" hidden="false" customHeight="false" outlineLevel="0" collapsed="false">
      <c r="A19501" s="23" t="s">
        <v>320</v>
      </c>
      <c r="B19501" s="24"/>
      <c r="C19501" s="24"/>
      <c r="D19501" s="24"/>
      <c r="E19501" s="24"/>
      <c r="F19501" s="24"/>
      <c r="G19501" s="24"/>
      <c r="H19501" s="24"/>
      <c r="I19501" s="24"/>
      <c r="J19501" s="24"/>
      <c r="K19501" s="24"/>
    </row>
    <row r="19502" customFormat="false" ht="15" hidden="false" customHeight="false" outlineLevel="0" collapsed="false">
      <c r="A19502" s="3" t="s">
        <v>309</v>
      </c>
      <c r="G19502" s="25" t="n">
        <f aca="false">F19513</f>
        <v>276.706</v>
      </c>
      <c r="H19502" s="25" t="n">
        <f aca="false">G19513</f>
        <v>276.706</v>
      </c>
      <c r="I19502" s="25" t="n">
        <f aca="false">H19513</f>
        <v>276.706</v>
      </c>
      <c r="J19502" s="25" t="n">
        <f aca="false">I19513</f>
        <v>6.33403256832008</v>
      </c>
      <c r="K19502" s="25" t="n">
        <f aca="false">J19513</f>
        <v>6.33403256832008</v>
      </c>
    </row>
    <row r="19503" customFormat="false" ht="15" hidden="false" customHeight="false" outlineLevel="0" collapsed="false">
      <c r="A19503" s="3" t="s">
        <v>310</v>
      </c>
      <c r="G19503" s="20" t="n">
        <f aca="false">IF(G19453=Assumptions!$K$57,1,0)</f>
        <v>0</v>
      </c>
      <c r="H19503" s="20" t="n">
        <f aca="false">IF(H19453=Assumptions!$K$57,1,0)</f>
        <v>0</v>
      </c>
      <c r="I19503" s="20" t="n">
        <f aca="false">IF(I19453=Assumptions!$K$57,1,0)</f>
        <v>1</v>
      </c>
      <c r="J19503" s="20" t="n">
        <f aca="false">IF(J19453=Assumptions!$K$57,1,0)</f>
        <v>0</v>
      </c>
      <c r="K19503" s="20" t="n">
        <f aca="false">IF(K19453=Assumptions!$K$57,1,0)</f>
        <v>0</v>
      </c>
    </row>
    <row r="19505" customFormat="false" ht="15" hidden="false" customHeight="false" outlineLevel="0" collapsed="false">
      <c r="A19505" s="3" t="s">
        <v>311</v>
      </c>
      <c r="G19505" s="31" t="n">
        <f aca="false">IF(Assumptions!$I$57=1,MAX(G19479,Assumptions!$G$57)+Assumptions!$F$57+$C$19480,Assumptions!$E$57)</f>
        <v>0.0425</v>
      </c>
      <c r="H19505" s="31" t="n">
        <f aca="false">IF(G19637=1,$C$19481,IF(Assumptions!$I$57=1,MAX(H19479,Assumptions!$G$57)+Assumptions!$F$57+$C$19480,Assumptions!$E$57))</f>
        <v>0.0425</v>
      </c>
      <c r="I19505" s="31" t="n">
        <f aca="false">IF(H19637=1,$C$19481,IF(Assumptions!$I$57=1,MAX(I19479,Assumptions!$G$57)+Assumptions!$F$57+$C$19480,Assumptions!$E$57))</f>
        <v>0.0425</v>
      </c>
      <c r="J19505" s="31" t="n">
        <f aca="false">IF(I19637=1,$C$19481,IF(Assumptions!$I$57=1,MAX(J19479,Assumptions!$G$57)+Assumptions!$F$57+$C$19480,Assumptions!$E$57))</f>
        <v>0.0425</v>
      </c>
      <c r="K19505" s="31" t="n">
        <f aca="false">IF(J19637=1,$C$19481,IF(Assumptions!$I$57=1,MAX(K19479,Assumptions!$G$57)+Assumptions!$F$57+$C$19480,Assumptions!$E$57))</f>
        <v>0.0425</v>
      </c>
    </row>
    <row r="19506" customFormat="false" ht="15" hidden="false" customHeight="false" outlineLevel="0" collapsed="false">
      <c r="A19506" s="3" t="s">
        <v>312</v>
      </c>
      <c r="G19506" s="25" t="n">
        <f aca="false">G19502*G19505</f>
        <v>11.760005</v>
      </c>
      <c r="H19506" s="25" t="n">
        <f aca="false">H19502*H19505</f>
        <v>11.760005</v>
      </c>
      <c r="I19506" s="25" t="n">
        <f aca="false">I19502*I19505</f>
        <v>11.760005</v>
      </c>
      <c r="J19506" s="25" t="n">
        <f aca="false">J19502*J19505</f>
        <v>0.269196384153604</v>
      </c>
      <c r="K19506" s="25" t="n">
        <f aca="false">K19502*K19505</f>
        <v>0.269196384153604</v>
      </c>
    </row>
    <row r="19507" customFormat="false" ht="15" hidden="false" customHeight="false" outlineLevel="0" collapsed="false">
      <c r="A19507" s="3" t="s">
        <v>313</v>
      </c>
      <c r="G19507" s="25" t="n">
        <f aca="false">G19502*Assumptions!$H$57</f>
        <v>0</v>
      </c>
      <c r="H19507" s="25" t="n">
        <f aca="false">H19502*Assumptions!$H$57</f>
        <v>0</v>
      </c>
      <c r="I19507" s="25" t="n">
        <f aca="false">I19502*Assumptions!$H$57</f>
        <v>0</v>
      </c>
      <c r="J19507" s="25" t="n">
        <f aca="false">J19502*Assumptions!$H$57</f>
        <v>0</v>
      </c>
      <c r="K19507" s="25" t="n">
        <f aca="false">K19502*Assumptions!$H$57</f>
        <v>0</v>
      </c>
    </row>
    <row r="19508" customFormat="false" ht="15" hidden="false" customHeight="false" outlineLevel="0" collapsed="false">
      <c r="A19508" s="3" t="s">
        <v>314</v>
      </c>
      <c r="G19508" s="25" t="n">
        <f aca="false">MIN(G19502,Assumptions!$L$57*Assumptions!$C$57)</f>
        <v>0</v>
      </c>
      <c r="H19508" s="25" t="n">
        <f aca="false">MIN(H19502,Assumptions!$L$57*Assumptions!$C$57)</f>
        <v>0</v>
      </c>
      <c r="I19508" s="25" t="n">
        <f aca="false">MIN(I19502,Assumptions!$L$57*Assumptions!$C$57)</f>
        <v>0</v>
      </c>
      <c r="J19508" s="25" t="n">
        <f aca="false">MIN(J19502,Assumptions!$L$57*Assumptions!$C$57)</f>
        <v>0</v>
      </c>
      <c r="K19508" s="25" t="n">
        <f aca="false">MIN(K19502,Assumptions!$L$57*Assumptions!$C$57)</f>
        <v>0</v>
      </c>
    </row>
    <row r="19509" customFormat="false" ht="15" hidden="false" customHeight="false" outlineLevel="0" collapsed="false">
      <c r="A19509" s="3" t="s">
        <v>315</v>
      </c>
      <c r="G19509" s="25" t="n">
        <f aca="false">IF(AND(Assumptions!$P$57=1,G19453&lt;Assumptions!$K$57),MIN(MAX(0,-G19550),MAX(0,Assumptions!$D$57-G19502)),0)</f>
        <v>0</v>
      </c>
      <c r="H19509" s="25" t="n">
        <f aca="false">IF(AND(Assumptions!$P$57=1,OR(H19453&lt;Assumptions!$K$57,G19637=1)),MIN(MAX(0,-H19550),MAX(0,Assumptions!$D$57-H19502)),0)</f>
        <v>0</v>
      </c>
      <c r="I19509" s="25" t="n">
        <f aca="false">IF(AND(Assumptions!$P$57=1,OR(I19453&lt;Assumptions!$K$57,H19637=1)),MIN(MAX(0,-I19550),MAX(0,Assumptions!$D$57-I19502)),0)</f>
        <v>0</v>
      </c>
      <c r="J19509" s="25" t="n">
        <f aca="false">IF(AND(Assumptions!$P$57=1,OR(J19453&lt;Assumptions!$K$57,I19637=1)),MIN(MAX(0,-J19550),MAX(0,Assumptions!$D$57-J19502)),0)</f>
        <v>0</v>
      </c>
      <c r="K19509" s="25" t="n">
        <f aca="false">IF(AND(Assumptions!$P$57=1,OR(K19453&lt;Assumptions!$K$57,J19637=1)),MIN(MAX(0,-K19550),MAX(0,Assumptions!$D$57-K19502)),0)</f>
        <v>0</v>
      </c>
    </row>
    <row r="19510" customFormat="false" ht="15" hidden="false" customHeight="false" outlineLevel="0" collapsed="false">
      <c r="A19510" s="3" t="s">
        <v>316</v>
      </c>
      <c r="G19510" s="25" t="n">
        <f aca="false">G19503*MIN(G19502-G19508+G19507,MAX(0,G19552-Assumptions!$C$12*G19487-G19497))</f>
        <v>0</v>
      </c>
      <c r="H19510" s="25" t="n">
        <f aca="false">H19503*MIN(H19502-H19508+H19507,MAX(0,H19552-Assumptions!$C$12*H19487-H19497))</f>
        <v>0</v>
      </c>
      <c r="I19510" s="25" t="n">
        <f aca="false">I19503*MIN(I19502-I19508+I19507,MAX(0,I19552-Assumptions!$C$12*I19487-I19497))</f>
        <v>270.37196743168</v>
      </c>
      <c r="J19510" s="25" t="n">
        <f aca="false">J19503*MIN(J19502-J19508+J19507,MAX(0,J19552-Assumptions!$C$12*J19487-J19497))</f>
        <v>0</v>
      </c>
      <c r="K19510" s="25" t="n">
        <f aca="false">K19503*MIN(K19502-K19508+K19507,MAX(0,K19552-Assumptions!$C$12*K19487-K19497))</f>
        <v>0</v>
      </c>
    </row>
    <row r="19511" customFormat="false" ht="15" hidden="false" customHeight="false" outlineLevel="0" collapsed="false">
      <c r="A19511" s="3" t="s">
        <v>317</v>
      </c>
      <c r="G19511" s="25" t="n">
        <f aca="false">Assumptions!$N$57*MIN(G19502+G19509+G19507-G19508-G19510,MAX(0,G19556-G19498))</f>
        <v>0</v>
      </c>
      <c r="H19511" s="25" t="n">
        <f aca="false">Assumptions!$N$57*MIN(H19502+H19509+H19507-H19508-H19510,MAX(0,H19556-H19498))</f>
        <v>0</v>
      </c>
      <c r="I19511" s="25" t="n">
        <f aca="false">Assumptions!$N$57*MIN(I19502+I19509+I19507-I19508-I19510,MAX(0,I19556-I19498))</f>
        <v>0</v>
      </c>
      <c r="J19511" s="25" t="n">
        <f aca="false">Assumptions!$N$57*MIN(J19502+J19509+J19507-J19508-J19510,MAX(0,J19556-J19498))</f>
        <v>0</v>
      </c>
      <c r="K19511" s="25" t="n">
        <f aca="false">Assumptions!$N$57*MIN(K19502+K19509+K19507-K19508-K19510,MAX(0,K19556-K19498))</f>
        <v>0</v>
      </c>
    </row>
    <row r="19512" customFormat="false" ht="15" hidden="false" customHeight="false" outlineLevel="0" collapsed="false">
      <c r="A19512" s="3" t="s">
        <v>318</v>
      </c>
      <c r="G19512" s="25" t="n">
        <f aca="false">G19503*(1-G19487)*(G19502-G19508+G19507-G19510)</f>
        <v>0</v>
      </c>
      <c r="H19512" s="25" t="n">
        <f aca="false">H19503*(1-H19487)*(H19502-H19508+H19507-H19510)</f>
        <v>0</v>
      </c>
      <c r="I19512" s="25" t="n">
        <f aca="false">I19503*(1-I19487)*(I19502-I19508+I19507-I19510)</f>
        <v>6.33403256832008</v>
      </c>
      <c r="J19512" s="25" t="n">
        <f aca="false">J19503*(1-J19487)*(J19502-J19508+J19507-J19510)</f>
        <v>0</v>
      </c>
      <c r="K19512" s="25" t="n">
        <f aca="false">K19503*(1-K19487)*(K19502-K19508+K19507-K19510)</f>
        <v>0</v>
      </c>
    </row>
    <row r="19513" customFormat="false" ht="15" hidden="false" customHeight="false" outlineLevel="0" collapsed="false">
      <c r="A19513" s="2" t="s">
        <v>319</v>
      </c>
      <c r="F19513" s="28" t="n">
        <f aca="false">Assumptions!$C$57</f>
        <v>276.706</v>
      </c>
      <c r="G19513" s="16" t="n">
        <f aca="false">G19502+G19509+G19507-G19508-G19510-G19511</f>
        <v>276.706</v>
      </c>
      <c r="H19513" s="16" t="n">
        <f aca="false">H19502+H19509+H19507-H19508-H19510-H19511</f>
        <v>276.706</v>
      </c>
      <c r="I19513" s="16" t="n">
        <f aca="false">I19502+I19509+I19507-I19508-I19510-I19511</f>
        <v>6.33403256832008</v>
      </c>
      <c r="J19513" s="16" t="n">
        <f aca="false">J19502+J19509+J19507-J19508-J19510-J19511</f>
        <v>6.33403256832008</v>
      </c>
      <c r="K19513" s="16" t="n">
        <f aca="false">K19502+K19509+K19507-K19508-K19510-K19511</f>
        <v>6.33403256832008</v>
      </c>
    </row>
    <row r="19514" customFormat="false" ht="15" hidden="false" customHeight="false" outlineLevel="0" collapsed="false">
      <c r="A19514" s="23" t="s">
        <v>321</v>
      </c>
      <c r="B19514" s="24"/>
      <c r="C19514" s="24"/>
      <c r="D19514" s="24"/>
      <c r="E19514" s="24"/>
      <c r="F19514" s="24"/>
      <c r="G19514" s="24"/>
      <c r="H19514" s="24"/>
      <c r="I19514" s="24"/>
      <c r="J19514" s="24"/>
      <c r="K19514" s="24"/>
    </row>
    <row r="19515" customFormat="false" ht="15" hidden="false" customHeight="false" outlineLevel="0" collapsed="false">
      <c r="A19515" s="3" t="s">
        <v>309</v>
      </c>
      <c r="G19515" s="25" t="n">
        <f aca="false">F19526</f>
        <v>143.75</v>
      </c>
      <c r="H19515" s="25" t="n">
        <f aca="false">G19526</f>
        <v>143.75</v>
      </c>
      <c r="I19515" s="25" t="n">
        <f aca="false">H19526</f>
        <v>143.75</v>
      </c>
      <c r="J19515" s="25" t="n">
        <f aca="false">I19526</f>
        <v>143.75</v>
      </c>
      <c r="K19515" s="25" t="n">
        <f aca="false">J19526</f>
        <v>143.75</v>
      </c>
    </row>
    <row r="19516" customFormat="false" ht="15" hidden="false" customHeight="false" outlineLevel="0" collapsed="false">
      <c r="A19516" s="3" t="s">
        <v>310</v>
      </c>
      <c r="G19516" s="20" t="n">
        <f aca="false">IF(G19453=Assumptions!$K$58,1,0)</f>
        <v>0</v>
      </c>
      <c r="H19516" s="20" t="n">
        <f aca="false">IF(H19453=Assumptions!$K$58,1,0)</f>
        <v>0</v>
      </c>
      <c r="I19516" s="20" t="n">
        <f aca="false">IF(I19453=Assumptions!$K$58,1,0)</f>
        <v>1</v>
      </c>
      <c r="J19516" s="20" t="n">
        <f aca="false">IF(J19453=Assumptions!$K$58,1,0)</f>
        <v>0</v>
      </c>
      <c r="K19516" s="20" t="n">
        <f aca="false">IF(K19453=Assumptions!$K$58,1,0)</f>
        <v>0</v>
      </c>
    </row>
    <row r="19518" customFormat="false" ht="15" hidden="false" customHeight="false" outlineLevel="0" collapsed="false">
      <c r="A19518" s="3" t="s">
        <v>311</v>
      </c>
      <c r="G19518" s="31" t="n">
        <f aca="false">IF(Assumptions!$I$58=1,MAX(G19479,Assumptions!$G$58)+Assumptions!$F$58+$C$19480,Assumptions!$E$58)</f>
        <v>0.0425</v>
      </c>
      <c r="H19518" s="31" t="n">
        <f aca="false">IF(G19638=1,$C$19481,IF(Assumptions!$I$58=1,MAX(H19479,Assumptions!$G$58)+Assumptions!$F$58+$C$19480,Assumptions!$E$58))</f>
        <v>0.0425</v>
      </c>
      <c r="I19518" s="31" t="n">
        <f aca="false">IF(H19638=1,$C$19481,IF(Assumptions!$I$58=1,MAX(I19479,Assumptions!$G$58)+Assumptions!$F$58+$C$19480,Assumptions!$E$58))</f>
        <v>0.0425</v>
      </c>
      <c r="J19518" s="31" t="n">
        <f aca="false">IF(I19638=1,$C$19481,IF(Assumptions!$I$58=1,MAX(J19479,Assumptions!$G$58)+Assumptions!$F$58+$C$19480,Assumptions!$E$58))</f>
        <v>0.0425</v>
      </c>
      <c r="K19518" s="31" t="n">
        <f aca="false">IF(J19638=1,$C$19481,IF(Assumptions!$I$58=1,MAX(K19479,Assumptions!$G$58)+Assumptions!$F$58+$C$19480,Assumptions!$E$58))</f>
        <v>0.0425</v>
      </c>
    </row>
    <row r="19519" customFormat="false" ht="15" hidden="false" customHeight="false" outlineLevel="0" collapsed="false">
      <c r="A19519" s="3" t="s">
        <v>312</v>
      </c>
      <c r="G19519" s="25" t="n">
        <f aca="false">G19515*G19518</f>
        <v>6.109375</v>
      </c>
      <c r="H19519" s="25" t="n">
        <f aca="false">H19515*H19518</f>
        <v>6.109375</v>
      </c>
      <c r="I19519" s="25" t="n">
        <f aca="false">I19515*I19518</f>
        <v>6.109375</v>
      </c>
      <c r="J19519" s="25" t="n">
        <f aca="false">J19515*J19518</f>
        <v>6.109375</v>
      </c>
      <c r="K19519" s="25" t="n">
        <f aca="false">K19515*K19518</f>
        <v>6.109375</v>
      </c>
    </row>
    <row r="19520" customFormat="false" ht="15" hidden="false" customHeight="false" outlineLevel="0" collapsed="false">
      <c r="A19520" s="3" t="s">
        <v>313</v>
      </c>
      <c r="G19520" s="25" t="n">
        <f aca="false">G19515*Assumptions!$H$58</f>
        <v>0</v>
      </c>
      <c r="H19520" s="25" t="n">
        <f aca="false">H19515*Assumptions!$H$58</f>
        <v>0</v>
      </c>
      <c r="I19520" s="25" t="n">
        <f aca="false">I19515*Assumptions!$H$58</f>
        <v>0</v>
      </c>
      <c r="J19520" s="25" t="n">
        <f aca="false">J19515*Assumptions!$H$58</f>
        <v>0</v>
      </c>
      <c r="K19520" s="25" t="n">
        <f aca="false">K19515*Assumptions!$H$58</f>
        <v>0</v>
      </c>
    </row>
    <row r="19521" customFormat="false" ht="15" hidden="false" customHeight="false" outlineLevel="0" collapsed="false">
      <c r="A19521" s="3" t="s">
        <v>314</v>
      </c>
      <c r="G19521" s="25" t="n">
        <f aca="false">MIN(G19515,Assumptions!$L$58*Assumptions!$C$58)</f>
        <v>0</v>
      </c>
      <c r="H19521" s="25" t="n">
        <f aca="false">MIN(H19515,Assumptions!$L$58*Assumptions!$C$58)</f>
        <v>0</v>
      </c>
      <c r="I19521" s="25" t="n">
        <f aca="false">MIN(I19515,Assumptions!$L$58*Assumptions!$C$58)</f>
        <v>0</v>
      </c>
      <c r="J19521" s="25" t="n">
        <f aca="false">MIN(J19515,Assumptions!$L$58*Assumptions!$C$58)</f>
        <v>0</v>
      </c>
      <c r="K19521" s="25" t="n">
        <f aca="false">MIN(K19515,Assumptions!$L$58*Assumptions!$C$58)</f>
        <v>0</v>
      </c>
    </row>
    <row r="19522" customFormat="false" ht="15" hidden="false" customHeight="false" outlineLevel="0" collapsed="false">
      <c r="A19522" s="3" t="s">
        <v>315</v>
      </c>
      <c r="G19522" s="25" t="n">
        <f aca="false">IF(AND(Assumptions!$P$58=1,G19453&lt;Assumptions!$K$58),MIN(MAX(0,-G19550),MAX(0,Assumptions!$D$58-G19515)),0)</f>
        <v>0</v>
      </c>
      <c r="H19522" s="25" t="n">
        <f aca="false">IF(AND(Assumptions!$P$58=1,OR(H19453&lt;Assumptions!$K$58,G19638=1)),MIN(MAX(0,-H19550),MAX(0,Assumptions!$D$58-H19515)),0)</f>
        <v>0</v>
      </c>
      <c r="I19522" s="25" t="n">
        <f aca="false">IF(AND(Assumptions!$P$58=1,OR(I19453&lt;Assumptions!$K$58,H19638=1)),MIN(MAX(0,-I19550),MAX(0,Assumptions!$D$58-I19515)),0)</f>
        <v>0</v>
      </c>
      <c r="J19522" s="25" t="n">
        <f aca="false">IF(AND(Assumptions!$P$58=1,OR(J19453&lt;Assumptions!$K$58,I19638=1)),MIN(MAX(0,-J19550),MAX(0,Assumptions!$D$58-J19515)),0)</f>
        <v>0</v>
      </c>
      <c r="K19522" s="25" t="n">
        <f aca="false">IF(AND(Assumptions!$P$58=1,OR(K19453&lt;Assumptions!$K$58,J19638=1)),MIN(MAX(0,-K19550),MAX(0,Assumptions!$D$58-K19515)),0)</f>
        <v>0</v>
      </c>
    </row>
    <row r="19523" customFormat="false" ht="15" hidden="false" customHeight="false" outlineLevel="0" collapsed="false">
      <c r="A19523" s="3" t="s">
        <v>316</v>
      </c>
      <c r="G19523" s="25" t="n">
        <f aca="false">G19516*MIN(G19515-G19521+G19520,MAX(0,G19552-Assumptions!$C$12*G19487-G19497-G19510))</f>
        <v>0</v>
      </c>
      <c r="H19523" s="25" t="n">
        <f aca="false">H19516*MIN(H19515-H19521+H19520,MAX(0,H19552-Assumptions!$C$12*H19487-H19497-H19510))</f>
        <v>0</v>
      </c>
      <c r="I19523" s="25" t="n">
        <f aca="false">I19516*MIN(I19515-I19521+I19520,MAX(0,I19552-Assumptions!$C$12*I19487-I19497-I19510))</f>
        <v>0</v>
      </c>
      <c r="J19523" s="25" t="n">
        <f aca="false">J19516*MIN(J19515-J19521+J19520,MAX(0,J19552-Assumptions!$C$12*J19487-J19497-J19510))</f>
        <v>0</v>
      </c>
      <c r="K19523" s="25" t="n">
        <f aca="false">K19516*MIN(K19515-K19521+K19520,MAX(0,K19552-Assumptions!$C$12*K19487-K19497-K19510))</f>
        <v>0</v>
      </c>
    </row>
    <row r="19524" customFormat="false" ht="15" hidden="false" customHeight="false" outlineLevel="0" collapsed="false">
      <c r="A19524" s="3" t="s">
        <v>317</v>
      </c>
      <c r="G19524" s="25" t="n">
        <f aca="false">Assumptions!$N$58*MIN(G19515+G19522+G19520-G19521-G19523,MAX(0,G19556-G19498-G19511))</f>
        <v>0</v>
      </c>
      <c r="H19524" s="25" t="n">
        <f aca="false">Assumptions!$N$58*MIN(H19515+H19522+H19520-H19521-H19523,MAX(0,H19556-H19498-H19511))</f>
        <v>0</v>
      </c>
      <c r="I19524" s="25" t="n">
        <f aca="false">Assumptions!$N$58*MIN(I19515+I19522+I19520-I19521-I19523,MAX(0,I19556-I19498-I19511))</f>
        <v>0</v>
      </c>
      <c r="J19524" s="25" t="n">
        <f aca="false">Assumptions!$N$58*MIN(J19515+J19522+J19520-J19521-J19523,MAX(0,J19556-J19498-J19511))</f>
        <v>0</v>
      </c>
      <c r="K19524" s="25" t="n">
        <f aca="false">Assumptions!$N$58*MIN(K19515+K19522+K19520-K19521-K19523,MAX(0,K19556-K19498-K19511))</f>
        <v>0</v>
      </c>
    </row>
    <row r="19525" customFormat="false" ht="15" hidden="false" customHeight="false" outlineLevel="0" collapsed="false">
      <c r="A19525" s="3" t="s">
        <v>318</v>
      </c>
      <c r="G19525" s="25" t="n">
        <f aca="false">G19516*(1-G19487)*(G19515-G19521+G19520-G19523)</f>
        <v>0</v>
      </c>
      <c r="H19525" s="25" t="n">
        <f aca="false">H19516*(1-H19487)*(H19515-H19521+H19520-H19523)</f>
        <v>0</v>
      </c>
      <c r="I19525" s="25" t="n">
        <f aca="false">I19516*(1-I19487)*(I19515-I19521+I19520-I19523)</f>
        <v>143.75</v>
      </c>
      <c r="J19525" s="25" t="n">
        <f aca="false">J19516*(1-J19487)*(J19515-J19521+J19520-J19523)</f>
        <v>0</v>
      </c>
      <c r="K19525" s="25" t="n">
        <f aca="false">K19516*(1-K19487)*(K19515-K19521+K19520-K19523)</f>
        <v>0</v>
      </c>
    </row>
    <row r="19526" customFormat="false" ht="15" hidden="false" customHeight="false" outlineLevel="0" collapsed="false">
      <c r="A19526" s="2" t="s">
        <v>319</v>
      </c>
      <c r="F19526" s="28" t="n">
        <f aca="false">Assumptions!$C$58</f>
        <v>143.75</v>
      </c>
      <c r="G19526" s="16" t="n">
        <f aca="false">G19515+G19522+G19520-G19521-G19523-G19524</f>
        <v>143.75</v>
      </c>
      <c r="H19526" s="16" t="n">
        <f aca="false">H19515+H19522+H19520-H19521-H19523-H19524</f>
        <v>143.75</v>
      </c>
      <c r="I19526" s="16" t="n">
        <f aca="false">I19515+I19522+I19520-I19521-I19523-I19524</f>
        <v>143.75</v>
      </c>
      <c r="J19526" s="16" t="n">
        <f aca="false">J19515+J19522+J19520-J19521-J19523-J19524</f>
        <v>143.75</v>
      </c>
      <c r="K19526" s="16" t="n">
        <f aca="false">K19515+K19522+K19520-K19521-K19523-K19524</f>
        <v>143.75</v>
      </c>
    </row>
    <row r="19527" customFormat="false" ht="15" hidden="false" customHeight="false" outlineLevel="0" collapsed="false">
      <c r="A19527" s="23" t="s">
        <v>322</v>
      </c>
      <c r="B19527" s="24"/>
      <c r="C19527" s="24"/>
      <c r="D19527" s="24"/>
      <c r="E19527" s="24"/>
      <c r="F19527" s="24"/>
      <c r="G19527" s="24"/>
      <c r="H19527" s="24"/>
      <c r="I19527" s="24"/>
      <c r="J19527" s="24"/>
      <c r="K19527" s="24"/>
    </row>
    <row r="19528" customFormat="false" ht="15" hidden="false" customHeight="false" outlineLevel="0" collapsed="false">
      <c r="A19528" s="2" t="s">
        <v>323</v>
      </c>
      <c r="F19528" s="16" t="n">
        <f aca="false">F19500+F19513+F19526</f>
        <v>1735.554</v>
      </c>
      <c r="G19528" s="16" t="n">
        <f aca="false">G19500+G19513+G19526</f>
        <v>1735.554</v>
      </c>
      <c r="H19528" s="16" t="n">
        <f aca="false">H19500+H19513+H19526</f>
        <v>1735.554</v>
      </c>
      <c r="I19528" s="16" t="n">
        <f aca="false">I19500+I19513+I19526</f>
        <v>1465.18203256832</v>
      </c>
      <c r="J19528" s="16" t="n">
        <f aca="false">J19500+J19513+J19526</f>
        <v>1465.18203256832</v>
      </c>
      <c r="K19528" s="16" t="n">
        <f aca="false">K19500+K19513+K19526</f>
        <v>1465.18203256832</v>
      </c>
    </row>
    <row r="19529" customFormat="false" ht="15" hidden="false" customHeight="false" outlineLevel="0" collapsed="false">
      <c r="A19529" s="3" t="s">
        <v>324</v>
      </c>
      <c r="G19529" s="25" t="n">
        <f aca="false">G19490*Assumptions!$C$56+G19503*Assumptions!$C$57+G19516*Assumptions!$C$58</f>
        <v>0</v>
      </c>
      <c r="H19529" s="25" t="n">
        <f aca="false">H19490*Assumptions!$C$56+H19503*Assumptions!$C$57+H19516*Assumptions!$C$58</f>
        <v>0</v>
      </c>
      <c r="I19529" s="25" t="n">
        <f aca="false">I19490*Assumptions!$C$56+I19503*Assumptions!$C$57+I19516*Assumptions!$C$58</f>
        <v>420.456</v>
      </c>
      <c r="J19529" s="25" t="n">
        <f aca="false">J19490*Assumptions!$C$56+J19503*Assumptions!$C$57+J19516*Assumptions!$C$58</f>
        <v>0</v>
      </c>
      <c r="K19529" s="25" t="n">
        <f aca="false">K19490*Assumptions!$C$56+K19503*Assumptions!$C$57+K19516*Assumptions!$C$58</f>
        <v>0</v>
      </c>
    </row>
    <row r="19530" customFormat="false" ht="15" hidden="false" customHeight="false" outlineLevel="0" collapsed="false">
      <c r="A19530" s="23" t="s">
        <v>325</v>
      </c>
      <c r="B19530" s="24"/>
      <c r="C19530" s="24"/>
      <c r="D19530" s="24"/>
      <c r="E19530" s="24"/>
      <c r="F19530" s="24"/>
      <c r="G19530" s="24"/>
      <c r="H19530" s="24"/>
      <c r="I19530" s="24"/>
      <c r="J19530" s="24"/>
      <c r="K19530" s="24"/>
    </row>
    <row r="19531" customFormat="false" ht="15" hidden="false" customHeight="false" outlineLevel="0" collapsed="false">
      <c r="A19531" s="3" t="s">
        <v>326</v>
      </c>
      <c r="C19531" s="25" t="n">
        <f aca="false">SUMPRODUCT($G$19490:$K$19490,$G$19489:$K$19489-$G$19495:$K$19495+$G$19494:$K$19494)</f>
        <v>0</v>
      </c>
    </row>
    <row r="19532" customFormat="false" ht="15" hidden="false" customHeight="false" outlineLevel="0" collapsed="false">
      <c r="A19532" s="3" t="s">
        <v>327</v>
      </c>
      <c r="C19532" s="25" t="n">
        <f aca="false">SUMPRODUCT($G$19490:$K$19490,$G$19497:$K$19497)</f>
        <v>0</v>
      </c>
    </row>
    <row r="19533" customFormat="false" ht="15" hidden="false" customHeight="false" outlineLevel="0" collapsed="false">
      <c r="A19533" s="3" t="s">
        <v>328</v>
      </c>
      <c r="C19533" s="3" t="str">
        <f aca="false">IF(SUM($G$19490:$K$19490)=0,"n/a (beyond horizon)",IF(SUMPRODUCT($G$19490:$K$19490,$G$19487:$K$19487)&gt;0,"REFINANCING PASS","REFINANCING FAILURE"))</f>
        <v>n/a (beyond horizon)</v>
      </c>
    </row>
    <row r="19534" customFormat="false" ht="15" hidden="false" customHeight="false" outlineLevel="0" collapsed="false">
      <c r="A19534" s="3" t="s">
        <v>329</v>
      </c>
      <c r="C19534" s="3" t="str">
        <f aca="false">IF(SUM($G$19490:$K$19490)=0,"n/a",IF(C19532&gt;=C19531-0.001,"Repaid from cash",IF(SUMPRODUCT($G$19490:$K$19490,$G$19487:$K$19487)&gt;0,IF(C19532&gt;0,"Partly repaid; remainder refinanced","Refinanced"),IF(SUM($G$19499:$K$19499)&gt;0.001,IF(C19532&gt;0,"Partial repayment; PAYMENT DEFAULT","PAYMENT DEFAULT"),"Repaid from cash"))))</f>
        <v>n/a</v>
      </c>
    </row>
    <row r="19535" customFormat="false" ht="15" hidden="false" customHeight="false" outlineLevel="0" collapsed="false">
      <c r="A19535" s="3" t="s">
        <v>330</v>
      </c>
      <c r="C19535" s="25" t="n">
        <f aca="false">SUMPRODUCT($G$19503:$K$19503,$G$19502:$K$19502-$G$19508:$K$19508+$G$19507:$K$19507)</f>
        <v>276.706</v>
      </c>
    </row>
    <row r="19536" customFormat="false" ht="15" hidden="false" customHeight="false" outlineLevel="0" collapsed="false">
      <c r="A19536" s="3" t="s">
        <v>331</v>
      </c>
      <c r="C19536" s="25" t="n">
        <f aca="false">SUMPRODUCT($G$19503:$K$19503,$G$19510:$K$19510)</f>
        <v>270.37196743168</v>
      </c>
    </row>
    <row r="19537" customFormat="false" ht="15" hidden="false" customHeight="false" outlineLevel="0" collapsed="false">
      <c r="A19537" s="3" t="s">
        <v>332</v>
      </c>
      <c r="C19537" s="3" t="str">
        <f aca="false">IF(SUM($G$19503:$K$19503)=0,"n/a (beyond horizon)",IF(SUMPRODUCT($G$19503:$K$19503,$G$19487:$K$19487)&gt;0,"REFINANCING PASS","REFINANCING FAILURE"))</f>
        <v>REFINANCING FAILURE</v>
      </c>
    </row>
    <row r="19538" customFormat="false" ht="15" hidden="false" customHeight="false" outlineLevel="0" collapsed="false">
      <c r="A19538" s="3" t="s">
        <v>333</v>
      </c>
      <c r="C19538" s="3" t="str">
        <f aca="false">IF(SUM($G$19503:$K$19503)=0,"n/a",IF(C19536&gt;=C19535-0.001,"Repaid from cash",IF(SUMPRODUCT($G$19503:$K$19503,$G$19487:$K$19487)&gt;0,IF(C19536&gt;0,"Partly repaid; remainder refinanced","Refinanced"),IF(SUM($G$19512:$K$19512)&gt;0.001,IF(C19536&gt;0,"Partial repayment; PAYMENT DEFAULT","PAYMENT DEFAULT"),"Repaid from cash"))))</f>
        <v>Partial repayment; PAYMENT DEFAULT</v>
      </c>
    </row>
    <row r="19539" customFormat="false" ht="15" hidden="false" customHeight="false" outlineLevel="0" collapsed="false">
      <c r="A19539" s="3" t="s">
        <v>334</v>
      </c>
      <c r="C19539" s="25" t="n">
        <f aca="false">SUMPRODUCT($G$19516:$K$19516,$G$19515:$K$19515-$G$19521:$K$19521+$G$19520:$K$19520)</f>
        <v>143.75</v>
      </c>
    </row>
    <row r="19540" customFormat="false" ht="15" hidden="false" customHeight="false" outlineLevel="0" collapsed="false">
      <c r="A19540" s="3" t="s">
        <v>335</v>
      </c>
      <c r="C19540" s="25" t="n">
        <f aca="false">SUMPRODUCT($G$19516:$K$19516,$G$19523:$K$19523)</f>
        <v>0</v>
      </c>
    </row>
    <row r="19541" customFormat="false" ht="15" hidden="false" customHeight="false" outlineLevel="0" collapsed="false">
      <c r="A19541" s="3" t="s">
        <v>336</v>
      </c>
      <c r="C19541" s="3" t="str">
        <f aca="false">IF(SUM($G$19516:$K$19516)=0,"n/a (beyond horizon)",IF(SUMPRODUCT($G$19516:$K$19516,$G$19487:$K$19487)&gt;0,"REFINANCING PASS","REFINANCING FAILURE"))</f>
        <v>REFINANCING FAILURE</v>
      </c>
    </row>
    <row r="19542" customFormat="false" ht="15" hidden="false" customHeight="false" outlineLevel="0" collapsed="false">
      <c r="A19542" s="3" t="s">
        <v>337</v>
      </c>
      <c r="C19542" s="3" t="str">
        <f aca="false">IF(SUM($G$19516:$K$19516)=0,"n/a",IF(C19540&gt;=C19539-0.001,"Repaid from cash",IF(SUMPRODUCT($G$19516:$K$19516,$G$19487:$K$19487)&gt;0,IF(C19540&gt;0,"Partly repaid; remainder refinanced","Refinanced"),IF(SUM($G$19525:$K$19525)&gt;0.001,IF(C19540&gt;0,"Partial repayment; PAYMENT DEFAULT","PAYMENT DEFAULT"),"Repaid from cash"))))</f>
        <v>PAYMENT DEFAULT</v>
      </c>
    </row>
    <row r="19543" customFormat="false" ht="15" hidden="false" customHeight="false" outlineLevel="0" collapsed="false">
      <c r="A19543" s="3" t="s">
        <v>338</v>
      </c>
      <c r="C19543" s="20" t="n">
        <f aca="false">IF(C19533="REFINANCING FAILURE",1,0)+IF(C19537="REFINANCING FAILURE",1,0)+IF(C19541="REFINANCING FAILURE",1,0)</f>
        <v>2</v>
      </c>
    </row>
    <row r="19545" customFormat="false" ht="15" hidden="false" customHeight="false" outlineLevel="0" collapsed="false">
      <c r="A19545" s="23" t="s">
        <v>340</v>
      </c>
      <c r="B19545" s="24"/>
      <c r="C19545" s="24"/>
      <c r="D19545" s="24"/>
      <c r="E19545" s="24"/>
      <c r="F19545" s="24"/>
      <c r="G19545" s="24"/>
      <c r="H19545" s="24"/>
      <c r="I19545" s="24"/>
      <c r="J19545" s="24"/>
      <c r="K19545" s="24"/>
    </row>
    <row r="19546" customFormat="false" ht="15" hidden="false" customHeight="false" outlineLevel="0" collapsed="false">
      <c r="A19546" s="3" t="s">
        <v>305</v>
      </c>
      <c r="G19546" s="25" t="n">
        <f aca="false">F19558</f>
        <v>463.996</v>
      </c>
      <c r="H19546" s="25" t="n">
        <f aca="false">G19558</f>
        <v>431.67030664</v>
      </c>
      <c r="I19546" s="25" t="n">
        <f aca="false">H19558</f>
        <v>359.0106596512</v>
      </c>
      <c r="J19546" s="25" t="n">
        <f aca="false">I19558</f>
        <v>0</v>
      </c>
      <c r="K19546" s="25" t="n">
        <f aca="false">J19558</f>
        <v>-82.533161826112</v>
      </c>
    </row>
    <row r="19547" customFormat="false" ht="15" hidden="false" customHeight="false" outlineLevel="0" collapsed="false">
      <c r="A19547" s="3" t="s">
        <v>341</v>
      </c>
      <c r="G19547" s="25" t="n">
        <f aca="false">G19476</f>
        <v>-32.32569336</v>
      </c>
      <c r="H19547" s="25" t="n">
        <f aca="false">H19476</f>
        <v>-72.6596469888</v>
      </c>
      <c r="I19547" s="25" t="n">
        <f aca="false">I19476</f>
        <v>-88.63869221952</v>
      </c>
      <c r="J19547" s="25" t="n">
        <f aca="false">J19476</f>
        <v>-82.533161826112</v>
      </c>
      <c r="K19547" s="25" t="n">
        <f aca="false">K19476</f>
        <v>-86.2490037995945</v>
      </c>
    </row>
    <row r="19548" customFormat="false" ht="15" hidden="false" customHeight="false" outlineLevel="0" collapsed="false">
      <c r="A19548" s="3" t="s">
        <v>342</v>
      </c>
      <c r="G19548" s="25" t="n">
        <f aca="false">CHOOSE($C$19446,Assumptions!$G$74,Assumptions!$G$93,Assumptions!$G$112)</f>
        <v>0</v>
      </c>
      <c r="H19548" s="25" t="n">
        <f aca="false">CHOOSE($C$19446,Assumptions!$H$74,Assumptions!$H$93,Assumptions!$H$112)</f>
        <v>0</v>
      </c>
      <c r="I19548" s="25" t="n">
        <f aca="false">CHOOSE($C$19446,Assumptions!$I$74,Assumptions!$I$93,Assumptions!$I$112)</f>
        <v>0</v>
      </c>
      <c r="J19548" s="25" t="n">
        <f aca="false">CHOOSE($C$19446,Assumptions!$J$74,Assumptions!$J$93,Assumptions!$J$112)</f>
        <v>0</v>
      </c>
      <c r="K19548" s="25" t="n">
        <f aca="false">CHOOSE($C$19446,Assumptions!$K$74,Assumptions!$K$93,Assumptions!$K$112)</f>
        <v>0</v>
      </c>
    </row>
    <row r="19549" customFormat="false" ht="15" hidden="false" customHeight="false" outlineLevel="0" collapsed="false">
      <c r="A19549" s="3" t="s">
        <v>343</v>
      </c>
      <c r="G19549" s="25" t="n">
        <f aca="false">G19495+G19508+G19521</f>
        <v>0</v>
      </c>
      <c r="H19549" s="25" t="n">
        <f aca="false">H19495+H19508+H19521</f>
        <v>0</v>
      </c>
      <c r="I19549" s="25" t="n">
        <f aca="false">I19495+I19508+I19521</f>
        <v>0</v>
      </c>
      <c r="J19549" s="25" t="n">
        <f aca="false">J19495+J19508+J19521</f>
        <v>0</v>
      </c>
      <c r="K19549" s="25" t="n">
        <f aca="false">K19495+K19508+K19521</f>
        <v>0</v>
      </c>
    </row>
    <row r="19550" customFormat="false" ht="15" hidden="false" customHeight="false" outlineLevel="0" collapsed="false">
      <c r="A19550" s="2" t="s">
        <v>344</v>
      </c>
      <c r="G19550" s="16" t="n">
        <f aca="false">G19546+G19547+G19548-G19549</f>
        <v>431.67030664</v>
      </c>
      <c r="H19550" s="16" t="n">
        <f aca="false">H19546+H19547+H19548-H19549</f>
        <v>359.0106596512</v>
      </c>
      <c r="I19550" s="16" t="n">
        <f aca="false">I19546+I19547+I19548-I19549</f>
        <v>270.37196743168</v>
      </c>
      <c r="J19550" s="16" t="n">
        <f aca="false">J19546+J19547+J19548-J19549</f>
        <v>-82.533161826112</v>
      </c>
      <c r="K19550" s="16" t="n">
        <f aca="false">K19546+K19547+K19548-K19549</f>
        <v>-168.782165625707</v>
      </c>
    </row>
    <row r="19551" customFormat="false" ht="15" hidden="false" customHeight="false" outlineLevel="0" collapsed="false">
      <c r="A19551" s="3" t="s">
        <v>345</v>
      </c>
      <c r="G19551" s="25" t="n">
        <f aca="false">G19496+G19509+G19522</f>
        <v>0</v>
      </c>
      <c r="H19551" s="25" t="n">
        <f aca="false">H19496+H19509+H19522</f>
        <v>0</v>
      </c>
      <c r="I19551" s="25" t="n">
        <f aca="false">I19496+I19509+I19522</f>
        <v>0</v>
      </c>
      <c r="J19551" s="25" t="n">
        <f aca="false">J19496+J19509+J19522</f>
        <v>0</v>
      </c>
      <c r="K19551" s="25" t="n">
        <f aca="false">K19496+K19509+K19522</f>
        <v>0</v>
      </c>
    </row>
    <row r="19552" customFormat="false" ht="15" hidden="false" customHeight="false" outlineLevel="0" collapsed="false">
      <c r="A19552" s="2" t="s">
        <v>346</v>
      </c>
      <c r="G19552" s="16" t="n">
        <f aca="false">G19550+G19551</f>
        <v>431.67030664</v>
      </c>
      <c r="H19552" s="16" t="n">
        <f aca="false">H19550+H19551</f>
        <v>359.0106596512</v>
      </c>
      <c r="I19552" s="16" t="n">
        <f aca="false">I19550+I19551</f>
        <v>270.37196743168</v>
      </c>
      <c r="J19552" s="16" t="n">
        <f aca="false">J19550+J19551</f>
        <v>-82.533161826112</v>
      </c>
      <c r="K19552" s="16" t="n">
        <f aca="false">K19550+K19551</f>
        <v>-168.782165625707</v>
      </c>
    </row>
    <row r="19553" customFormat="false" ht="15" hidden="false" customHeight="false" outlineLevel="0" collapsed="false">
      <c r="A19553" s="3" t="s">
        <v>347</v>
      </c>
      <c r="G19553" s="25" t="n">
        <f aca="false">G19497+G19510+G19523</f>
        <v>0</v>
      </c>
      <c r="H19553" s="25" t="n">
        <f aca="false">H19497+H19510+H19523</f>
        <v>0</v>
      </c>
      <c r="I19553" s="25" t="n">
        <f aca="false">I19497+I19510+I19523</f>
        <v>270.37196743168</v>
      </c>
      <c r="J19553" s="25" t="n">
        <f aca="false">J19497+J19510+J19523</f>
        <v>0</v>
      </c>
      <c r="K19553" s="25" t="n">
        <f aca="false">K19497+K19510+K19523</f>
        <v>0</v>
      </c>
    </row>
    <row r="19554" customFormat="false" ht="15" hidden="false" customHeight="false" outlineLevel="0" collapsed="false">
      <c r="A19554" s="2" t="s">
        <v>348</v>
      </c>
      <c r="G19554" s="16" t="n">
        <f aca="false">G19552-G19553</f>
        <v>431.67030664</v>
      </c>
      <c r="H19554" s="16" t="n">
        <f aca="false">H19552-H19553</f>
        <v>359.0106596512</v>
      </c>
      <c r="I19554" s="16" t="n">
        <f aca="false">I19552-I19553</f>
        <v>0</v>
      </c>
      <c r="J19554" s="16" t="n">
        <f aca="false">J19552-J19553</f>
        <v>-82.533161826112</v>
      </c>
      <c r="K19554" s="16" t="n">
        <f aca="false">K19552-K19553</f>
        <v>-168.782165625707</v>
      </c>
    </row>
    <row r="19555" customFormat="false" ht="15" hidden="false" customHeight="false" outlineLevel="0" collapsed="false">
      <c r="A19555" s="3" t="s">
        <v>349</v>
      </c>
      <c r="G19555" s="25" t="n">
        <f aca="false">MAX(0,-G19554)</f>
        <v>0</v>
      </c>
      <c r="H19555" s="25" t="n">
        <f aca="false">MAX(0,-H19554)</f>
        <v>0</v>
      </c>
      <c r="I19555" s="25" t="n">
        <f aca="false">MAX(0,-I19554)</f>
        <v>-0</v>
      </c>
      <c r="J19555" s="25" t="n">
        <f aca="false">MAX(0,-J19554)</f>
        <v>82.533161826112</v>
      </c>
      <c r="K19555" s="25" t="n">
        <f aca="false">MAX(0,-K19554)</f>
        <v>168.782165625707</v>
      </c>
    </row>
    <row r="19556" customFormat="false" ht="15" hidden="false" customHeight="false" outlineLevel="0" collapsed="false">
      <c r="A19556" s="3" t="s">
        <v>350</v>
      </c>
      <c r="G19556" s="25" t="n">
        <f aca="false">MAX(0,G19554-Assumptions!$C$12)*Assumptions!$C$13</f>
        <v>0</v>
      </c>
      <c r="H19556" s="25" t="n">
        <f aca="false">MAX(0,H19554-Assumptions!$C$12)*Assumptions!$C$13</f>
        <v>0</v>
      </c>
      <c r="I19556" s="25" t="n">
        <f aca="false">MAX(0,I19554-Assumptions!$C$12)*Assumptions!$C$13</f>
        <v>0</v>
      </c>
      <c r="J19556" s="25" t="n">
        <f aca="false">MAX(0,J19554-Assumptions!$C$12)*Assumptions!$C$13</f>
        <v>0</v>
      </c>
      <c r="K19556" s="25" t="n">
        <f aca="false">MAX(0,K19554-Assumptions!$C$12)*Assumptions!$C$13</f>
        <v>0</v>
      </c>
    </row>
    <row r="19557" customFormat="false" ht="15" hidden="false" customHeight="false" outlineLevel="0" collapsed="false">
      <c r="A19557" s="3" t="s">
        <v>351</v>
      </c>
      <c r="G19557" s="25" t="n">
        <f aca="false">G19498+G19511+G19524</f>
        <v>0</v>
      </c>
      <c r="H19557" s="25" t="n">
        <f aca="false">H19498+H19511+H19524</f>
        <v>0</v>
      </c>
      <c r="I19557" s="25" t="n">
        <f aca="false">I19498+I19511+I19524</f>
        <v>0</v>
      </c>
      <c r="J19557" s="25" t="n">
        <f aca="false">J19498+J19511+J19524</f>
        <v>0</v>
      </c>
      <c r="K19557" s="25" t="n">
        <f aca="false">K19498+K19511+K19524</f>
        <v>0</v>
      </c>
    </row>
    <row r="19558" customFormat="false" ht="15" hidden="false" customHeight="false" outlineLevel="0" collapsed="false">
      <c r="A19558" s="2" t="s">
        <v>352</v>
      </c>
      <c r="F19558" s="28" t="n">
        <f aca="false">Assumptions!$C$11</f>
        <v>463.996</v>
      </c>
      <c r="G19558" s="16" t="n">
        <f aca="false">G19554-G19557</f>
        <v>431.67030664</v>
      </c>
      <c r="H19558" s="16" t="n">
        <f aca="false">H19554-H19557</f>
        <v>359.0106596512</v>
      </c>
      <c r="I19558" s="16" t="n">
        <f aca="false">I19554-I19557</f>
        <v>0</v>
      </c>
      <c r="J19558" s="16" t="n">
        <f aca="false">J19554-J19557</f>
        <v>-82.533161826112</v>
      </c>
      <c r="K19558" s="16" t="n">
        <f aca="false">K19554-K19557</f>
        <v>-168.782165625707</v>
      </c>
    </row>
    <row r="19559" customFormat="false" ht="15" hidden="false" customHeight="false" outlineLevel="0" collapsed="false">
      <c r="A19559" s="3" t="s">
        <v>353</v>
      </c>
      <c r="G19559" s="25" t="n">
        <f aca="false">G19499+G19512+G19525</f>
        <v>0</v>
      </c>
      <c r="H19559" s="25" t="n">
        <f aca="false">H19499+H19512+H19525</f>
        <v>0</v>
      </c>
      <c r="I19559" s="25" t="n">
        <f aca="false">I19499+I19512+I19525</f>
        <v>150.08403256832</v>
      </c>
      <c r="J19559" s="25" t="n">
        <f aca="false">J19499+J19512+J19525</f>
        <v>0</v>
      </c>
      <c r="K19559" s="25" t="n">
        <f aca="false">K19499+K19512+K19525</f>
        <v>0</v>
      </c>
    </row>
    <row r="19560" customFormat="false" ht="15" hidden="false" customHeight="false" outlineLevel="0" collapsed="false">
      <c r="A19560" s="3" t="s">
        <v>354</v>
      </c>
      <c r="G19560" s="20" t="n">
        <f aca="false">IF(OR(G19555&gt;0.001,G19559&gt;0.001),1,0)</f>
        <v>0</v>
      </c>
      <c r="H19560" s="20" t="n">
        <f aca="false">IF(OR(H19555&gt;0.001,H19559&gt;0.001),1,0)</f>
        <v>0</v>
      </c>
      <c r="I19560" s="20" t="n">
        <f aca="false">IF(OR(I19555&gt;0.001,I19559&gt;0.001),1,0)</f>
        <v>1</v>
      </c>
      <c r="J19560" s="20" t="n">
        <f aca="false">IF(OR(J19555&gt;0.001,J19559&gt;0.001),1,0)</f>
        <v>1</v>
      </c>
      <c r="K19560" s="20" t="n">
        <f aca="false">IF(OR(K19555&gt;0.001,K19559&gt;0.001),1,0)</f>
        <v>1</v>
      </c>
    </row>
    <row r="19561" customFormat="false" ht="15" hidden="false" customHeight="false" outlineLevel="0" collapsed="false">
      <c r="A19561" s="3" t="s">
        <v>355</v>
      </c>
      <c r="G19561" s="20" t="n">
        <f aca="false">IF(G19560=1,1,0)</f>
        <v>0</v>
      </c>
      <c r="H19561" s="20" t="n">
        <f aca="false">IF(AND(H19560=1,SUM($G$19560:G19560)=0),1,0)</f>
        <v>0</v>
      </c>
      <c r="I19561" s="20" t="n">
        <f aca="false">IF(AND(I19560=1,SUM($G$19560:H19560)=0),1,0)</f>
        <v>1</v>
      </c>
      <c r="J19561" s="20" t="n">
        <f aca="false">IF(AND(J19560=1,SUM($G$19560:I19560)=0),1,0)</f>
        <v>0</v>
      </c>
      <c r="K19561" s="20" t="n">
        <f aca="false">IF(AND(K19560=1,SUM($G$19560:J19560)=0),1,0)</f>
        <v>0</v>
      </c>
    </row>
    <row r="19562" customFormat="false" ht="15" hidden="false" customHeight="false" outlineLevel="0" collapsed="false">
      <c r="A19562" s="3" t="s">
        <v>356</v>
      </c>
      <c r="G19562" s="25" t="n">
        <f aca="false">(G19528-F19528)-(G19551+G19468-G19549-G19553-G19557)</f>
        <v>0</v>
      </c>
      <c r="H19562" s="25" t="n">
        <f aca="false">(H19528-G19528)-(H19551+H19468-H19549-H19553-H19557)</f>
        <v>0</v>
      </c>
      <c r="I19562" s="25" t="n">
        <f aca="false">(I19528-H19528)-(I19551+I19468-I19549-I19553-I19557)</f>
        <v>0</v>
      </c>
      <c r="J19562" s="25" t="n">
        <f aca="false">(J19528-I19528)-(J19551+J19468-J19549-J19553-J19557)</f>
        <v>0</v>
      </c>
      <c r="K19562" s="25" t="n">
        <f aca="false">(K19528-J19528)-(K19551+K19468-K19549-K19553-K19557)</f>
        <v>0</v>
      </c>
    </row>
    <row r="19564" customFormat="false" ht="15" hidden="false" customHeight="false" outlineLevel="0" collapsed="false">
      <c r="A19564" s="23" t="s">
        <v>358</v>
      </c>
      <c r="B19564" s="24"/>
      <c r="C19564" s="24"/>
      <c r="D19564" s="24"/>
      <c r="E19564" s="24"/>
      <c r="F19564" s="24"/>
      <c r="G19564" s="24"/>
      <c r="H19564" s="24"/>
      <c r="I19564" s="24"/>
      <c r="J19564" s="24"/>
      <c r="K19564" s="24"/>
    </row>
    <row r="19565" customFormat="false" ht="15" hidden="false" customHeight="false" outlineLevel="0" collapsed="false">
      <c r="A19565" s="3" t="s">
        <v>359</v>
      </c>
      <c r="G19565" s="25" t="n">
        <f aca="false">G19528</f>
        <v>1735.554</v>
      </c>
      <c r="H19565" s="25" t="n">
        <f aca="false">H19528</f>
        <v>1735.554</v>
      </c>
      <c r="I19565" s="25" t="n">
        <f aca="false">I19528</f>
        <v>1465.18203256832</v>
      </c>
      <c r="J19565" s="25" t="n">
        <f aca="false">J19528</f>
        <v>1465.18203256832</v>
      </c>
      <c r="K19565" s="25" t="n">
        <f aca="false">K19528</f>
        <v>1465.18203256832</v>
      </c>
    </row>
    <row r="19566" customFormat="false" ht="15" hidden="false" customHeight="false" outlineLevel="0" collapsed="false">
      <c r="A19566" s="3" t="s">
        <v>360</v>
      </c>
      <c r="G19566" s="25" t="n">
        <f aca="false">Assumptions!$O$56*G19500+Assumptions!$O$57*G19513+Assumptions!$O$58*G19526</f>
        <v>1315.098</v>
      </c>
      <c r="H19566" s="25" t="n">
        <f aca="false">Assumptions!$O$56*H19500+Assumptions!$O$57*H19513+Assumptions!$O$58*H19526</f>
        <v>1315.098</v>
      </c>
      <c r="I19566" s="25" t="n">
        <f aca="false">Assumptions!$O$56*I19500+Assumptions!$O$57*I19513+Assumptions!$O$58*I19526</f>
        <v>1315.098</v>
      </c>
      <c r="J19566" s="25" t="n">
        <f aca="false">Assumptions!$O$56*J19500+Assumptions!$O$57*J19513+Assumptions!$O$58*J19526</f>
        <v>1315.098</v>
      </c>
      <c r="K19566" s="25" t="n">
        <f aca="false">Assumptions!$O$56*K19500+Assumptions!$O$57*K19513+Assumptions!$O$58*K19526</f>
        <v>1315.098</v>
      </c>
    </row>
    <row r="19567" customFormat="false" ht="15" hidden="false" customHeight="false" outlineLevel="0" collapsed="false">
      <c r="A19567" s="3" t="s">
        <v>361</v>
      </c>
      <c r="G19567" s="25" t="n">
        <f aca="false">G19565-G19558</f>
        <v>1303.88369336</v>
      </c>
      <c r="H19567" s="25" t="n">
        <f aca="false">H19565-H19558</f>
        <v>1376.5433403488</v>
      </c>
      <c r="I19567" s="25" t="n">
        <f aca="false">I19565-I19558</f>
        <v>1465.18203256832</v>
      </c>
      <c r="J19567" s="25" t="n">
        <f aca="false">J19565-J19558</f>
        <v>1547.71519439443</v>
      </c>
      <c r="K19567" s="25" t="n">
        <f aca="false">K19565-K19558</f>
        <v>1633.96419819403</v>
      </c>
    </row>
    <row r="19568" customFormat="false" ht="15" hidden="false" customHeight="false" outlineLevel="0" collapsed="false">
      <c r="A19568" s="3" t="s">
        <v>362</v>
      </c>
      <c r="G19568" s="32" t="n">
        <f aca="false">IF(G19463&gt;0,G19565/G19463,0)</f>
        <v>9.98286782658702</v>
      </c>
      <c r="H19568" s="32" t="n">
        <f aca="false">IF(H19463&gt;0,H19565/H19463,0)</f>
        <v>13.6130015817096</v>
      </c>
      <c r="I19568" s="32" t="n">
        <f aca="false">IF(I19463&gt;0,I19565/I19463,0)</f>
        <v>13.6813219341771</v>
      </c>
      <c r="J19568" s="32" t="n">
        <f aca="false">IF(J19463&gt;0,J19565/J19463,0)</f>
        <v>14.8710021023664</v>
      </c>
      <c r="K19568" s="32" t="n">
        <f aca="false">IF(K19463&gt;0,K19565/K19463,0)</f>
        <v>15.8202150025174</v>
      </c>
    </row>
    <row r="19569" customFormat="false" ht="15" hidden="false" customHeight="false" outlineLevel="0" collapsed="false">
      <c r="A19569" s="3" t="s">
        <v>363</v>
      </c>
      <c r="G19569" s="32" t="n">
        <f aca="false">IF(G19463&gt;0,G19567/G19463,0)</f>
        <v>7.49990986858087</v>
      </c>
      <c r="H19569" s="32" t="n">
        <f aca="false">IF(H19463&gt;0,H19567/H19463,0)</f>
        <v>10.7970634560838</v>
      </c>
      <c r="I19569" s="32" t="n">
        <f aca="false">IF(I19463&gt;0,I19567/I19463,0)</f>
        <v>13.6813219341771</v>
      </c>
      <c r="J19569" s="32" t="n">
        <f aca="false">IF(J19463&gt;0,J19567/J19463,0)</f>
        <v>15.7086801490181</v>
      </c>
      <c r="K19569" s="32" t="n">
        <f aca="false">IF(K19463&gt;0,K19567/K19463,0)</f>
        <v>17.6426302993449</v>
      </c>
    </row>
    <row r="19570" customFormat="false" ht="15" hidden="false" customHeight="false" outlineLevel="0" collapsed="false">
      <c r="A19570" s="3" t="s">
        <v>364</v>
      </c>
      <c r="G19570" s="32" t="n">
        <f aca="false">IF(G19467&gt;0,G19463/G19467,0)</f>
        <v>1.11476782580477</v>
      </c>
      <c r="H19570" s="32" t="n">
        <f aca="false">IF(H19467&gt;0,H19463/H19467,0)</f>
        <v>0.817496405590163</v>
      </c>
      <c r="I19570" s="32" t="n">
        <f aca="false">IF(I19467&gt;0,I19463/I19467,0)</f>
        <v>0.686696980695737</v>
      </c>
      <c r="J19570" s="32" t="n">
        <f aca="false">IF(J19467&gt;0,J19463/J19467,0)</f>
        <v>0.682012179303795</v>
      </c>
      <c r="K19570" s="32" t="n">
        <f aca="false">IF(K19467&gt;0,K19463/K19467,0)</f>
        <v>0.641091448545568</v>
      </c>
    </row>
    <row r="19571" customFormat="false" ht="15" hidden="false" customHeight="false" outlineLevel="0" collapsed="false">
      <c r="A19571" s="3" t="s">
        <v>365</v>
      </c>
      <c r="G19571" s="32" t="n">
        <f aca="false">IF(G19467&gt;0,G19466/G19467,0)</f>
        <v>0.510100328512125</v>
      </c>
      <c r="H19571" s="32" t="n">
        <f aca="false">IF(H19467&gt;0,H19466/H19467,0)</f>
        <v>0.285389007972637</v>
      </c>
      <c r="I19571" s="32" t="n">
        <f aca="false">IF(I19467&gt;0,I19466/I19467,0)</f>
        <v>0.207800322839964</v>
      </c>
      <c r="J19571" s="32" t="n">
        <f aca="false">IF(J19467&gt;0,J19466/J19467,0)</f>
        <v>0.206382662257416</v>
      </c>
      <c r="K19571" s="32" t="n">
        <f aca="false">IF(K19467&gt;0,K19466/K19467,0)</f>
        <v>0.193999702521971</v>
      </c>
    </row>
    <row r="19572" customFormat="false" ht="15" hidden="false" customHeight="false" outlineLevel="0" collapsed="false">
      <c r="A19572" s="3" t="s">
        <v>198</v>
      </c>
      <c r="G19572" s="21" t="n">
        <f aca="false">IF(G19565&gt;0,G19476/G19565,0)</f>
        <v>-0.0186255762482758</v>
      </c>
      <c r="H19572" s="21" t="n">
        <f aca="false">IF(H19565&gt;0,H19476/H19565,0)</f>
        <v>-0.0418653911020919</v>
      </c>
      <c r="I19572" s="21" t="n">
        <f aca="false">IF(I19565&gt;0,I19476/I19565,0)</f>
        <v>-0.0604967097938985</v>
      </c>
      <c r="J19572" s="21" t="n">
        <f aca="false">IF(J19565&gt;0,J19476/J19565,0)</f>
        <v>-0.0563296300333683</v>
      </c>
      <c r="K19572" s="21" t="n">
        <f aca="false">IF(K19565&gt;0,K19476/K19565,0)</f>
        <v>-0.0588657258159305</v>
      </c>
    </row>
    <row r="19573" customFormat="false" ht="15" hidden="false" customHeight="false" outlineLevel="0" collapsed="false">
      <c r="A19573" s="3" t="s">
        <v>366</v>
      </c>
      <c r="G19573" s="32" t="n">
        <f aca="false">IF(G19467+G19549&gt;0,(G19463-G19474-G19471)/(G19467+G19549),0)</f>
        <v>0.978518424873074</v>
      </c>
      <c r="H19573" s="32" t="n">
        <f aca="false">IF(H19467+H19549&gt;0,(H19463-H19474-H19471)/(H19467+H19549),0)</f>
        <v>0.697596932770272</v>
      </c>
      <c r="I19573" s="32" t="n">
        <f aca="false">IF(I19467+I19549&gt;0,(I19463-I19474-I19471)/(I19467+I19549),0)</f>
        <v>0.578787455157835</v>
      </c>
      <c r="J19573" s="32" t="n">
        <f aca="false">IF(J19467+J19549&gt;0,(J19463-J19474-J19471)/(J19467+J19549),0)</f>
        <v>0.57483883684177</v>
      </c>
      <c r="K19573" s="32" t="n">
        <f aca="false">IF(K19467+K19549&gt;0,(K19463-K19474-K19471)/(K19467+K19549),0)</f>
        <v>0.540348506631264</v>
      </c>
    </row>
    <row r="19574" customFormat="false" ht="15" hidden="false" customHeight="false" outlineLevel="0" collapsed="false">
      <c r="A19574" s="3" t="s">
        <v>367</v>
      </c>
      <c r="G19574" s="25" t="n">
        <f aca="false">MAX(0,G19558)+Assumptions!$P$56*MAX(0,Assumptions!$D$56-G19500)+Assumptions!$P$57*MAX(0,Assumptions!$D$57-G19513)+Assumptions!$P$58*MAX(0,Assumptions!$D$58-G19526)</f>
        <v>431.67030664</v>
      </c>
      <c r="H19574" s="25" t="n">
        <f aca="false">MAX(0,H19558)+Assumptions!$P$56*MAX(0,Assumptions!$D$56-H19500)+Assumptions!$P$57*MAX(0,Assumptions!$D$57-H19513)+Assumptions!$P$58*MAX(0,Assumptions!$D$58-H19526)</f>
        <v>359.0106596512</v>
      </c>
      <c r="I19574" s="25" t="n">
        <f aca="false">MAX(0,I19558)+Assumptions!$P$56*MAX(0,Assumptions!$D$56-I19500)+Assumptions!$P$57*MAX(0,Assumptions!$D$57-I19513)+Assumptions!$P$58*MAX(0,Assumptions!$D$58-I19526)</f>
        <v>0</v>
      </c>
      <c r="J19574" s="25" t="n">
        <f aca="false">MAX(0,J19558)+Assumptions!$P$56*MAX(0,Assumptions!$D$56-J19500)+Assumptions!$P$57*MAX(0,Assumptions!$D$57-J19513)+Assumptions!$P$58*MAX(0,Assumptions!$D$58-J19526)</f>
        <v>0</v>
      </c>
      <c r="K19574" s="25" t="n">
        <f aca="false">MAX(0,K19558)+Assumptions!$P$56*MAX(0,Assumptions!$D$56-K19500)+Assumptions!$P$57*MAX(0,Assumptions!$D$57-K19513)+Assumptions!$P$58*MAX(0,Assumptions!$D$58-K19526)</f>
        <v>0</v>
      </c>
    </row>
    <row r="19575" customFormat="false" ht="15" hidden="false" customHeight="false" outlineLevel="0" collapsed="false">
      <c r="A19575" s="3" t="s">
        <v>368</v>
      </c>
      <c r="G19575" s="21" t="n">
        <f aca="false">IF(G19565&gt;0,G19565/(G19565+MAX(0,G19463*CHOOSE($C$19446,Assumptions!$C$82,Assumptions!$C$101,Assumptions!$C$120)-G19567)),0)</f>
        <v>1</v>
      </c>
      <c r="H19575" s="21" t="n">
        <f aca="false">IF(H19565&gt;0,H19565/(H19565+MAX(0,H19463*CHOOSE($C$19446,Assumptions!$C$82,Assumptions!$C$101,Assumptions!$C$120)-H19567)),0)</f>
        <v>1</v>
      </c>
      <c r="I19575" s="21" t="n">
        <f aca="false">IF(I19565&gt;0,I19565/(I19565+MAX(0,I19463*CHOOSE($C$19446,Assumptions!$C$82,Assumptions!$C$101,Assumptions!$C$120)-I19567)),0)</f>
        <v>1</v>
      </c>
      <c r="J19575" s="21" t="n">
        <f aca="false">IF(J19565&gt;0,J19565/(J19565+MAX(0,J19463*CHOOSE($C$19446,Assumptions!$C$82,Assumptions!$C$101,Assumptions!$C$120)-J19567)),0)</f>
        <v>1</v>
      </c>
      <c r="K19575" s="21" t="n">
        <f aca="false">IF(K19565&gt;0,K19565/(K19565+MAX(0,K19463*CHOOSE($C$19446,Assumptions!$C$82,Assumptions!$C$101,Assumptions!$C$120)-K19567)),0)</f>
        <v>1</v>
      </c>
    </row>
    <row r="19576" customFormat="false" ht="15" hidden="false" customHeight="false" outlineLevel="0" collapsed="false">
      <c r="A19576" s="3" t="s">
        <v>369</v>
      </c>
      <c r="G19576" s="21" t="n">
        <f aca="false">IF(G19565&gt;0,MAX(0,G19558)/G19565,0)</f>
        <v>0.248721910490829</v>
      </c>
      <c r="H19576" s="21" t="n">
        <f aca="false">IF(H19565&gt;0,MAX(0,H19558)/H19565,0)</f>
        <v>0.206856519388737</v>
      </c>
      <c r="I19576" s="21" t="n">
        <f aca="false">IF(I19565&gt;0,MAX(0,I19558)/I19565,0)</f>
        <v>0</v>
      </c>
      <c r="J19576" s="21" t="n">
        <f aca="false">IF(J19565&gt;0,MAX(0,J19558)/J19565,0)</f>
        <v>0</v>
      </c>
      <c r="K19576" s="21" t="n">
        <f aca="false">IF(K19565&gt;0,MAX(0,K19558)/K19565,0)</f>
        <v>0</v>
      </c>
    </row>
    <row r="19577" customFormat="false" ht="15" hidden="false" customHeight="false" outlineLevel="0" collapsed="false">
      <c r="A19577" s="3" t="s">
        <v>370</v>
      </c>
      <c r="G19577" s="25" t="n">
        <f aca="false">Assumptions!$C$30*(1-CHOOSE($C$19446,Assumptions!$C$85,Assumptions!$C$104,Assumptions!$C$123))</f>
        <v>1595.73115</v>
      </c>
      <c r="H19577" s="25" t="n">
        <f aca="false">Assumptions!$C$30*(1-CHOOSE($C$19446,Assumptions!$C$85,Assumptions!$C$104,Assumptions!$C$123))</f>
        <v>1595.73115</v>
      </c>
      <c r="I19577" s="25" t="n">
        <f aca="false">Assumptions!$C$30*(1-CHOOSE($C$19446,Assumptions!$C$85,Assumptions!$C$104,Assumptions!$C$123))</f>
        <v>1595.73115</v>
      </c>
      <c r="J19577" s="25" t="n">
        <f aca="false">Assumptions!$C$30*(1-CHOOSE($C$19446,Assumptions!$C$85,Assumptions!$C$104,Assumptions!$C$123))</f>
        <v>1595.73115</v>
      </c>
      <c r="K19577" s="25" t="n">
        <f aca="false">Assumptions!$C$30*(1-CHOOSE($C$19446,Assumptions!$C$85,Assumptions!$C$104,Assumptions!$C$123))</f>
        <v>1595.73115</v>
      </c>
    </row>
    <row r="19578" customFormat="false" ht="15" hidden="false" customHeight="false" outlineLevel="0" collapsed="false">
      <c r="A19578" s="23" t="s">
        <v>371</v>
      </c>
      <c r="B19578" s="24"/>
      <c r="C19578" s="24"/>
      <c r="D19578" s="24"/>
      <c r="E19578" s="24"/>
      <c r="F19578" s="24"/>
      <c r="G19578" s="24"/>
      <c r="H19578" s="24"/>
      <c r="I19578" s="24"/>
      <c r="J19578" s="24"/>
      <c r="K19578" s="24"/>
    </row>
    <row r="19579" customFormat="false" ht="15" hidden="false" customHeight="false" outlineLevel="0" collapsed="false">
      <c r="A19579" s="23" t="s">
        <v>372</v>
      </c>
      <c r="B19579" s="24"/>
      <c r="C19579" s="24"/>
      <c r="D19579" s="24"/>
      <c r="E19579" s="24"/>
      <c r="F19579" s="24"/>
      <c r="G19579" s="24"/>
      <c r="H19579" s="24"/>
      <c r="I19579" s="24"/>
      <c r="J19579" s="24"/>
      <c r="K19579" s="24"/>
    </row>
    <row r="19580" customFormat="false" ht="15" hidden="false" customHeight="false" outlineLevel="0" collapsed="false">
      <c r="A19580" s="3" t="s">
        <v>373</v>
      </c>
      <c r="G19580" s="32" t="n">
        <f aca="false">IF(G19463&gt;0,G19567/G19463,99)</f>
        <v>7.49990986858087</v>
      </c>
      <c r="H19580" s="32" t="n">
        <f aca="false">IF(H19463&gt;0,H19567/H19463,99)</f>
        <v>10.7970634560838</v>
      </c>
      <c r="I19580" s="32" t="n">
        <f aca="false">IF(I19463&gt;0,I19567/I19463,99)</f>
        <v>13.6813219341771</v>
      </c>
      <c r="J19580" s="32" t="n">
        <f aca="false">IF(J19463&gt;0,J19567/J19463,99)</f>
        <v>15.7086801490181</v>
      </c>
      <c r="K19580" s="32" t="n">
        <f aca="false">IF(K19463&gt;0,K19567/K19463,99)</f>
        <v>17.6426302993449</v>
      </c>
    </row>
    <row r="19581" customFormat="false" ht="15" hidden="false" customHeight="false" outlineLevel="0" collapsed="false">
      <c r="A19581" s="3" t="s">
        <v>374</v>
      </c>
      <c r="G19581" s="33" t="n">
        <f aca="false">Assumptions!$G$65</f>
        <v>5.25</v>
      </c>
      <c r="H19581" s="33" t="n">
        <f aca="false">Assumptions!$H$65</f>
        <v>5.25</v>
      </c>
      <c r="I19581" s="33" t="n">
        <f aca="false">Assumptions!$I$65</f>
        <v>5</v>
      </c>
      <c r="J19581" s="33" t="n">
        <f aca="false">Assumptions!$J$65</f>
        <v>5</v>
      </c>
      <c r="K19581" s="33" t="n">
        <f aca="false">Assumptions!$K$65</f>
        <v>5</v>
      </c>
    </row>
    <row r="19582" customFormat="false" ht="15" hidden="false" customHeight="false" outlineLevel="0" collapsed="false">
      <c r="A19582" s="3" t="s">
        <v>375</v>
      </c>
      <c r="G19582" s="32" t="n">
        <f aca="false">G19581-G19580</f>
        <v>-2.24990986858086</v>
      </c>
      <c r="H19582" s="32" t="n">
        <f aca="false">H19581-H19580</f>
        <v>-5.54706345608375</v>
      </c>
      <c r="I19582" s="32" t="n">
        <f aca="false">I19581-I19580</f>
        <v>-8.68132193417709</v>
      </c>
      <c r="J19582" s="32" t="n">
        <f aca="false">J19581-J19580</f>
        <v>-10.7086801490181</v>
      </c>
      <c r="K19582" s="32" t="n">
        <f aca="false">K19581-K19580</f>
        <v>-12.6426302993449</v>
      </c>
    </row>
    <row r="19583" customFormat="false" ht="15" hidden="false" customHeight="false" outlineLevel="0" collapsed="false">
      <c r="A19583" s="3" t="s">
        <v>376</v>
      </c>
      <c r="G19583" s="21" t="n">
        <f aca="false">IF(G19581=0,0,G19582/ABS(G19581))</f>
        <v>-0.42855426068207</v>
      </c>
      <c r="H19583" s="21" t="n">
        <f aca="false">IF(H19581=0,0,H19582/ABS(H19581))</f>
        <v>-1.05658351544452</v>
      </c>
      <c r="I19583" s="21" t="n">
        <f aca="false">IF(I19581=0,0,I19582/ABS(I19581))</f>
        <v>-1.73626438683542</v>
      </c>
      <c r="J19583" s="21" t="n">
        <f aca="false">IF(J19581=0,0,J19582/ABS(J19581))</f>
        <v>-2.14173602980363</v>
      </c>
      <c r="K19583" s="21" t="n">
        <f aca="false">IF(K19581=0,0,K19582/ABS(K19581))</f>
        <v>-2.52852605986897</v>
      </c>
    </row>
    <row r="19584" customFormat="false" ht="15" hidden="false" customHeight="false" outlineLevel="0" collapsed="false">
      <c r="A19584" s="3" t="s">
        <v>377</v>
      </c>
      <c r="G19584" s="20" t="n">
        <f aca="false">IF(G19582&lt;0,1,0)</f>
        <v>1</v>
      </c>
      <c r="H19584" s="20" t="n">
        <f aca="false">IF(H19582&lt;0,1,0)</f>
        <v>1</v>
      </c>
      <c r="I19584" s="20" t="n">
        <f aca="false">IF(I19582&lt;0,1,0)</f>
        <v>1</v>
      </c>
      <c r="J19584" s="20" t="n">
        <f aca="false">IF(J19582&lt;0,1,0)</f>
        <v>1</v>
      </c>
      <c r="K19584" s="20" t="n">
        <f aca="false">IF(K19582&lt;0,1,0)</f>
        <v>1</v>
      </c>
    </row>
    <row r="19585" customFormat="false" ht="15" hidden="false" customHeight="false" outlineLevel="0" collapsed="false">
      <c r="A19585" s="3" t="s">
        <v>378</v>
      </c>
      <c r="C19585" s="20" t="n">
        <f aca="false">IFERROR(INDEX($G$19453:$K$19453,MATCH(1,$G$19584:$K$19584,0)),0)</f>
        <v>2027</v>
      </c>
    </row>
    <row r="19586" customFormat="false" ht="15" hidden="false" customHeight="false" outlineLevel="0" collapsed="false">
      <c r="A19586" s="3" t="s">
        <v>379</v>
      </c>
      <c r="C19586" s="21" t="n">
        <f aca="false">MIN($G$19583:$K$19583)</f>
        <v>-2.52852605986897</v>
      </c>
    </row>
    <row r="19587" customFormat="false" ht="15" hidden="false" customHeight="false" outlineLevel="0" collapsed="false">
      <c r="A19587" s="23" t="s">
        <v>380</v>
      </c>
      <c r="B19587" s="24"/>
      <c r="C19587" s="24"/>
      <c r="D19587" s="24"/>
      <c r="E19587" s="24"/>
      <c r="F19587" s="24"/>
      <c r="G19587" s="24"/>
      <c r="H19587" s="24"/>
      <c r="I19587" s="24"/>
      <c r="J19587" s="24"/>
      <c r="K19587" s="24"/>
    </row>
    <row r="19588" customFormat="false" ht="15" hidden="false" customHeight="false" outlineLevel="0" collapsed="false">
      <c r="A19588" s="3" t="s">
        <v>373</v>
      </c>
      <c r="G19588" s="32" t="n">
        <f aca="false">IF(G19467&gt;0,G19463/G19467,99)</f>
        <v>1.11476782580477</v>
      </c>
      <c r="H19588" s="32" t="n">
        <f aca="false">IF(H19467&gt;0,H19463/H19467,99)</f>
        <v>0.817496405590163</v>
      </c>
      <c r="I19588" s="32" t="n">
        <f aca="false">IF(I19467&gt;0,I19463/I19467,99)</f>
        <v>0.686696980695737</v>
      </c>
      <c r="J19588" s="32" t="n">
        <f aca="false">IF(J19467&gt;0,J19463/J19467,99)</f>
        <v>0.682012179303795</v>
      </c>
      <c r="K19588" s="32" t="n">
        <f aca="false">IF(K19467&gt;0,K19463/K19467,99)</f>
        <v>0.641091448545568</v>
      </c>
    </row>
    <row r="19589" customFormat="false" ht="15" hidden="false" customHeight="false" outlineLevel="0" collapsed="false">
      <c r="A19589" s="3" t="s">
        <v>374</v>
      </c>
      <c r="G19589" s="33" t="n">
        <f aca="false">Assumptions!$G$66</f>
        <v>1.4</v>
      </c>
      <c r="H19589" s="33" t="n">
        <f aca="false">Assumptions!$H$66</f>
        <v>1.4</v>
      </c>
      <c r="I19589" s="33" t="n">
        <f aca="false">Assumptions!$I$66</f>
        <v>1.4</v>
      </c>
      <c r="J19589" s="33" t="n">
        <f aca="false">Assumptions!$J$66</f>
        <v>1.5</v>
      </c>
      <c r="K19589" s="33" t="n">
        <f aca="false">Assumptions!$K$66</f>
        <v>1.5</v>
      </c>
    </row>
    <row r="19590" customFormat="false" ht="15" hidden="false" customHeight="false" outlineLevel="0" collapsed="false">
      <c r="A19590" s="3" t="s">
        <v>375</v>
      </c>
      <c r="G19590" s="32" t="n">
        <f aca="false">G19588-G19589</f>
        <v>-0.285232174195233</v>
      </c>
      <c r="H19590" s="32" t="n">
        <f aca="false">H19588-H19589</f>
        <v>-0.582503594409837</v>
      </c>
      <c r="I19590" s="32" t="n">
        <f aca="false">I19588-I19589</f>
        <v>-0.713303019304263</v>
      </c>
      <c r="J19590" s="32" t="n">
        <f aca="false">J19588-J19589</f>
        <v>-0.817987820696205</v>
      </c>
      <c r="K19590" s="32" t="n">
        <f aca="false">K19588-K19589</f>
        <v>-0.858908551454433</v>
      </c>
    </row>
    <row r="19591" customFormat="false" ht="15" hidden="false" customHeight="false" outlineLevel="0" collapsed="false">
      <c r="A19591" s="3" t="s">
        <v>376</v>
      </c>
      <c r="G19591" s="21" t="n">
        <f aca="false">IF(G19589=0,0,G19590/ABS(G19589))</f>
        <v>-0.203737267282309</v>
      </c>
      <c r="H19591" s="21" t="n">
        <f aca="false">IF(H19589=0,0,H19590/ABS(H19589))</f>
        <v>-0.416073996007027</v>
      </c>
      <c r="I19591" s="21" t="n">
        <f aca="false">IF(I19589=0,0,I19590/ABS(I19589))</f>
        <v>-0.509502156645902</v>
      </c>
      <c r="J19591" s="21" t="n">
        <f aca="false">IF(J19589=0,0,J19590/ABS(J19589))</f>
        <v>-0.54532521379747</v>
      </c>
      <c r="K19591" s="21" t="n">
        <f aca="false">IF(K19589=0,0,K19590/ABS(K19589))</f>
        <v>-0.572605700969622</v>
      </c>
    </row>
    <row r="19592" customFormat="false" ht="15" hidden="false" customHeight="false" outlineLevel="0" collapsed="false">
      <c r="A19592" s="3" t="s">
        <v>377</v>
      </c>
      <c r="G19592" s="20" t="n">
        <f aca="false">IF(G19590&lt;0,1,0)</f>
        <v>1</v>
      </c>
      <c r="H19592" s="20" t="n">
        <f aca="false">IF(H19590&lt;0,1,0)</f>
        <v>1</v>
      </c>
      <c r="I19592" s="20" t="n">
        <f aca="false">IF(I19590&lt;0,1,0)</f>
        <v>1</v>
      </c>
      <c r="J19592" s="20" t="n">
        <f aca="false">IF(J19590&lt;0,1,0)</f>
        <v>1</v>
      </c>
      <c r="K19592" s="20" t="n">
        <f aca="false">IF(K19590&lt;0,1,0)</f>
        <v>1</v>
      </c>
    </row>
    <row r="19593" customFormat="false" ht="15" hidden="false" customHeight="false" outlineLevel="0" collapsed="false">
      <c r="A19593" s="3" t="s">
        <v>378</v>
      </c>
      <c r="C19593" s="20" t="n">
        <f aca="false">IFERROR(INDEX($G$19453:$K$19453,MATCH(1,$G$19592:$K$19592,0)),0)</f>
        <v>2027</v>
      </c>
    </row>
    <row r="19594" customFormat="false" ht="15" hidden="false" customHeight="false" outlineLevel="0" collapsed="false">
      <c r="A19594" s="3" t="s">
        <v>379</v>
      </c>
      <c r="C19594" s="21" t="n">
        <f aca="false">MIN($G$19591:$K$19591)</f>
        <v>-0.572605700969622</v>
      </c>
    </row>
    <row r="19595" customFormat="false" ht="15" hidden="false" customHeight="false" outlineLevel="0" collapsed="false">
      <c r="A19595" s="23" t="s">
        <v>381</v>
      </c>
      <c r="B19595" s="24"/>
      <c r="C19595" s="24"/>
      <c r="D19595" s="24"/>
      <c r="E19595" s="24"/>
      <c r="F19595" s="24"/>
      <c r="G19595" s="24"/>
      <c r="H19595" s="24"/>
      <c r="I19595" s="24"/>
      <c r="J19595" s="24"/>
      <c r="K19595" s="24"/>
    </row>
    <row r="19596" customFormat="false" ht="15" hidden="false" customHeight="false" outlineLevel="0" collapsed="false">
      <c r="A19596" s="3" t="s">
        <v>373</v>
      </c>
      <c r="G19596" s="25" t="n">
        <f aca="false">G19574</f>
        <v>431.67030664</v>
      </c>
      <c r="H19596" s="25" t="n">
        <f aca="false">H19574</f>
        <v>359.0106596512</v>
      </c>
      <c r="I19596" s="25" t="n">
        <f aca="false">I19574</f>
        <v>0</v>
      </c>
      <c r="J19596" s="25" t="n">
        <f aca="false">J19574</f>
        <v>0</v>
      </c>
      <c r="K19596" s="25" t="n">
        <f aca="false">K19574</f>
        <v>0</v>
      </c>
    </row>
    <row r="19597" customFormat="false" ht="15" hidden="false" customHeight="false" outlineLevel="0" collapsed="false">
      <c r="A19597" s="3" t="s">
        <v>374</v>
      </c>
      <c r="G19597" s="29" t="n">
        <f aca="false">Assumptions!$G$67</f>
        <v>200</v>
      </c>
      <c r="H19597" s="29" t="n">
        <f aca="false">Assumptions!$H$67</f>
        <v>200</v>
      </c>
      <c r="I19597" s="29" t="n">
        <f aca="false">Assumptions!$I$67</f>
        <v>200</v>
      </c>
      <c r="J19597" s="29" t="n">
        <f aca="false">Assumptions!$J$67</f>
        <v>200</v>
      </c>
      <c r="K19597" s="29" t="n">
        <f aca="false">Assumptions!$K$67</f>
        <v>200</v>
      </c>
    </row>
    <row r="19598" customFormat="false" ht="15" hidden="false" customHeight="false" outlineLevel="0" collapsed="false">
      <c r="A19598" s="3" t="s">
        <v>375</v>
      </c>
      <c r="G19598" s="25" t="n">
        <f aca="false">G19596-G19597</f>
        <v>231.67030664</v>
      </c>
      <c r="H19598" s="25" t="n">
        <f aca="false">H19596-H19597</f>
        <v>159.0106596512</v>
      </c>
      <c r="I19598" s="25" t="n">
        <f aca="false">I19596-I19597</f>
        <v>-200</v>
      </c>
      <c r="J19598" s="25" t="n">
        <f aca="false">J19596-J19597</f>
        <v>-200</v>
      </c>
      <c r="K19598" s="25" t="n">
        <f aca="false">K19596-K19597</f>
        <v>-200</v>
      </c>
    </row>
    <row r="19599" customFormat="false" ht="15" hidden="false" customHeight="false" outlineLevel="0" collapsed="false">
      <c r="A19599" s="3" t="s">
        <v>376</v>
      </c>
      <c r="G19599" s="21" t="n">
        <f aca="false">IF(G19597=0,0,G19598/ABS(G19597))</f>
        <v>1.1583515332</v>
      </c>
      <c r="H19599" s="21" t="n">
        <f aca="false">IF(H19597=0,0,H19598/ABS(H19597))</f>
        <v>0.795053298256</v>
      </c>
      <c r="I19599" s="21" t="n">
        <f aca="false">IF(I19597=0,0,I19598/ABS(I19597))</f>
        <v>-1</v>
      </c>
      <c r="J19599" s="21" t="n">
        <f aca="false">IF(J19597=0,0,J19598/ABS(J19597))</f>
        <v>-1</v>
      </c>
      <c r="K19599" s="21" t="n">
        <f aca="false">IF(K19597=0,0,K19598/ABS(K19597))</f>
        <v>-1</v>
      </c>
    </row>
    <row r="19600" customFormat="false" ht="15" hidden="false" customHeight="false" outlineLevel="0" collapsed="false">
      <c r="A19600" s="3" t="s">
        <v>377</v>
      </c>
      <c r="G19600" s="20" t="n">
        <f aca="false">IF(G19598&lt;0,1,0)</f>
        <v>0</v>
      </c>
      <c r="H19600" s="20" t="n">
        <f aca="false">IF(H19598&lt;0,1,0)</f>
        <v>0</v>
      </c>
      <c r="I19600" s="20" t="n">
        <f aca="false">IF(I19598&lt;0,1,0)</f>
        <v>1</v>
      </c>
      <c r="J19600" s="20" t="n">
        <f aca="false">IF(J19598&lt;0,1,0)</f>
        <v>1</v>
      </c>
      <c r="K19600" s="20" t="n">
        <f aca="false">IF(K19598&lt;0,1,0)</f>
        <v>1</v>
      </c>
    </row>
    <row r="19601" customFormat="false" ht="15" hidden="false" customHeight="false" outlineLevel="0" collapsed="false">
      <c r="A19601" s="3" t="s">
        <v>378</v>
      </c>
      <c r="C19601" s="20" t="n">
        <f aca="false">IFERROR(INDEX($G$19453:$K$19453,MATCH(1,$G$19600:$K$19600,0)),0)</f>
        <v>2029</v>
      </c>
    </row>
    <row r="19602" customFormat="false" ht="15" hidden="false" customHeight="false" outlineLevel="0" collapsed="false">
      <c r="A19602" s="3" t="s">
        <v>379</v>
      </c>
      <c r="C19602" s="21" t="n">
        <f aca="false">MIN($G$19599:$K$19599)</f>
        <v>-1</v>
      </c>
    </row>
    <row r="19603" customFormat="false" ht="15" hidden="false" customHeight="false" outlineLevel="0" collapsed="false">
      <c r="A19603" s="3" t="s">
        <v>382</v>
      </c>
      <c r="G19603" s="20" t="n">
        <f aca="false">G19584+G19592+G19600</f>
        <v>2</v>
      </c>
      <c r="H19603" s="20" t="n">
        <f aca="false">H19584+H19592+H19600</f>
        <v>2</v>
      </c>
      <c r="I19603" s="20" t="n">
        <f aca="false">I19584+I19592+I19600</f>
        <v>3</v>
      </c>
      <c r="J19603" s="20" t="n">
        <f aca="false">J19584+J19592+J19600</f>
        <v>3</v>
      </c>
      <c r="K19603" s="20" t="n">
        <f aca="false">K19584+K19592+K19600</f>
        <v>3</v>
      </c>
    </row>
    <row r="19604" customFormat="false" ht="15" hidden="false" customHeight="false" outlineLevel="0" collapsed="false">
      <c r="A19604" s="3" t="s">
        <v>383</v>
      </c>
      <c r="C19604" s="20" t="n">
        <f aca="false">SUM($G$19603:$K$19603)</f>
        <v>13</v>
      </c>
    </row>
    <row r="19605" customFormat="false" ht="15" hidden="false" customHeight="false" outlineLevel="0" collapsed="false">
      <c r="A19605" s="3" t="s">
        <v>384</v>
      </c>
      <c r="C19605" s="21" t="n">
        <f aca="false">MIN(C19586,C19594,C19602)</f>
        <v>-2.52852605986897</v>
      </c>
    </row>
    <row r="19607" customFormat="false" ht="15" hidden="false" customHeight="false" outlineLevel="0" collapsed="false">
      <c r="A19607" s="23" t="s">
        <v>486</v>
      </c>
      <c r="B19607" s="24"/>
      <c r="C19607" s="24"/>
      <c r="D19607" s="24"/>
      <c r="E19607" s="24"/>
      <c r="F19607" s="24"/>
      <c r="G19607" s="24"/>
      <c r="H19607" s="24"/>
      <c r="I19607" s="24"/>
      <c r="J19607" s="24"/>
      <c r="K19607" s="24"/>
    </row>
    <row r="19608" customFormat="false" ht="15" hidden="false" customHeight="false" outlineLevel="0" collapsed="false">
      <c r="A19608" s="3" t="s">
        <v>487</v>
      </c>
      <c r="G19608" s="20" t="n">
        <f aca="false">IF($C$19609=1,G19561,IF(G19463=MIN($G$19463:$K$19463),1,0))</f>
        <v>0</v>
      </c>
      <c r="H19608" s="20" t="n">
        <f aca="false">IF($C$19609=1,H19561,IF(AND(H19463=MIN($G$19463:$K$19463),SUM($G$19608:G19608)=0),1,0))</f>
        <v>0</v>
      </c>
      <c r="I19608" s="20" t="n">
        <f aca="false">IF($C$19609=1,I19561,IF(AND(I19463=MIN($G$19463:$K$19463),SUM($G$19608:H19608)=0),1,0))</f>
        <v>1</v>
      </c>
      <c r="J19608" s="20" t="n">
        <f aca="false">IF($C$19609=1,J19561,IF(AND(J19463=MIN($G$19463:$K$19463),SUM($G$19608:I19608)=0),1,0))</f>
        <v>0</v>
      </c>
      <c r="K19608" s="20" t="n">
        <f aca="false">IF($C$19609=1,K19561,IF(AND(K19463=MIN($G$19463:$K$19463),SUM($G$19608:J19608)=0),1,0))</f>
        <v>0</v>
      </c>
    </row>
    <row r="19609" customFormat="false" ht="15" hidden="false" customHeight="false" outlineLevel="0" collapsed="false">
      <c r="A19609" s="3" t="s">
        <v>488</v>
      </c>
      <c r="C19609" s="20" t="n">
        <f aca="false">IF(SUM($G$19561:$K$19561)&gt;0,1,0)</f>
        <v>1</v>
      </c>
    </row>
    <row r="19610" customFormat="false" ht="15" hidden="false" customHeight="false" outlineLevel="0" collapsed="false">
      <c r="A19610" s="3" t="s">
        <v>489</v>
      </c>
      <c r="C19610" s="20" t="n">
        <f aca="false">SUMPRODUCT($G$19608:$K$19608,$G$19453:$K$19453)</f>
        <v>2029</v>
      </c>
    </row>
    <row r="19611" customFormat="false" ht="15" hidden="false" customHeight="false" outlineLevel="0" collapsed="false">
      <c r="A19611" s="3" t="s">
        <v>490</v>
      </c>
      <c r="C19611" s="25" t="n">
        <f aca="false">SUMPRODUCT($G$19608:$K$19608,$G$19463:$K$19463)</f>
        <v>107.0936010144</v>
      </c>
    </row>
    <row r="19612" customFormat="false" ht="15" hidden="false" customHeight="false" outlineLevel="0" collapsed="false">
      <c r="A19612" s="3" t="s">
        <v>491</v>
      </c>
      <c r="C19612" s="25" t="n">
        <f aca="false">MAX(0,SUMPRODUCT($G$19608:$K$19608,$G$19558:$K$19558))</f>
        <v>0</v>
      </c>
    </row>
    <row r="19613" customFormat="false" ht="15" hidden="false" customHeight="false" outlineLevel="0" collapsed="false">
      <c r="A19613" s="3" t="s">
        <v>492</v>
      </c>
      <c r="C19613" s="25" t="n">
        <f aca="false">(CHOOSE($C$19446,Assumptions!$C$84,Assumptions!$C$103,Assumptions!$C$122)+$C$19450)*C19611</f>
        <v>428.3744040576</v>
      </c>
    </row>
    <row r="19614" customFormat="false" ht="15" hidden="false" customHeight="false" outlineLevel="0" collapsed="false">
      <c r="A19614" s="3" t="s">
        <v>493</v>
      </c>
      <c r="C19614" s="25" t="n">
        <f aca="false">Assumptions!$C$30*(1-CHOOSE($C$19446,Assumptions!$C$85,Assumptions!$C$104,Assumptions!$C$123))*CHOOSE($C$19446,Assumptions!$C$86,Assumptions!$C$105,Assumptions!$C$124)</f>
        <v>478.719345</v>
      </c>
    </row>
    <row r="19615" customFormat="false" ht="15" hidden="false" customHeight="false" outlineLevel="0" collapsed="false">
      <c r="A19615" s="3" t="s">
        <v>494</v>
      </c>
      <c r="C19615" s="25" t="n">
        <f aca="false">MAX(C19613,C19614)+C19612</f>
        <v>478.719345</v>
      </c>
    </row>
    <row r="19616" customFormat="false" ht="15" hidden="false" customHeight="false" outlineLevel="0" collapsed="false">
      <c r="A19616" s="2" t="s">
        <v>495</v>
      </c>
      <c r="C19616" s="16" t="n">
        <f aca="false">IF(ISNUMBER(Assumptions!$C$14),Assumptions!$C$14,C19615)</f>
        <v>478.719345</v>
      </c>
    </row>
    <row r="19617" customFormat="false" ht="15" hidden="false" customHeight="false" outlineLevel="0" collapsed="false">
      <c r="A19617" s="3" t="s">
        <v>496</v>
      </c>
      <c r="C19617" s="25" t="n">
        <f aca="false">C19616*Assumptions!$C$15</f>
        <v>19.1487738</v>
      </c>
    </row>
    <row r="19618" customFormat="false" ht="15" hidden="false" customHeight="false" outlineLevel="0" collapsed="false">
      <c r="A19618" s="2" t="s">
        <v>497</v>
      </c>
      <c r="C19618" s="16" t="n">
        <f aca="false">C19616-C19617</f>
        <v>459.5705712</v>
      </c>
    </row>
    <row r="19619" customFormat="false" ht="15" hidden="false" customHeight="false" outlineLevel="0" collapsed="false">
      <c r="A19619" s="23" t="s">
        <v>498</v>
      </c>
      <c r="B19619" s="24"/>
      <c r="C19619" s="24"/>
      <c r="D19619" s="24"/>
      <c r="E19619" s="24"/>
      <c r="F19619" s="24"/>
      <c r="G19619" s="24"/>
      <c r="H19619" s="24"/>
      <c r="I19619" s="24"/>
      <c r="J19619" s="24"/>
      <c r="K19619" s="24"/>
    </row>
    <row r="19620" customFormat="false" ht="15" hidden="false" customHeight="false" outlineLevel="0" collapsed="false">
      <c r="A19620" s="3" t="s">
        <v>499</v>
      </c>
      <c r="C19620" s="25" t="n">
        <f aca="false">SUMPRODUCT($G$19608:$K$19608,$G$19500:$K$19500)*(1+SUMPRODUCT($G$19608:$K$19608,$G$19492:$K$19492)*Assumptions!$C$16/12)</f>
        <v>1349.6193225</v>
      </c>
    </row>
    <row r="19621" customFormat="false" ht="15" hidden="false" customHeight="false" outlineLevel="0" collapsed="false">
      <c r="A19621" s="3" t="s">
        <v>500</v>
      </c>
      <c r="C19621" s="25" t="n">
        <f aca="false">SUMPRODUCT($G$19608:$K$19608,$G$19513:$K$19513)*(1+SUMPRODUCT($G$19608:$K$19608,$G$19505:$K$19505)*Assumptions!$C$16/12)</f>
        <v>6.40133166435848</v>
      </c>
    </row>
    <row r="19622" customFormat="false" ht="15" hidden="false" customHeight="false" outlineLevel="0" collapsed="false">
      <c r="A19622" s="3" t="s">
        <v>501</v>
      </c>
      <c r="C19622" s="25" t="n">
        <f aca="false">SUMPRODUCT($G$19608:$K$19608,$G$19526:$K$19526)*(1+SUMPRODUCT($G$19608:$K$19608,$G$19518:$K$19518)*Assumptions!$C$16/12)</f>
        <v>145.27734375</v>
      </c>
    </row>
    <row r="19623" customFormat="false" ht="15" hidden="false" customHeight="false" outlineLevel="0" collapsed="false">
      <c r="A19623" s="23" t="s">
        <v>502</v>
      </c>
      <c r="B19623" s="24"/>
      <c r="C19623" s="24"/>
      <c r="D19623" s="24"/>
      <c r="E19623" s="24"/>
      <c r="F19623" s="24"/>
      <c r="G19623" s="24"/>
      <c r="H19623" s="24"/>
      <c r="I19623" s="24"/>
      <c r="J19623" s="24"/>
      <c r="K19623" s="24"/>
    </row>
    <row r="19624" customFormat="false" ht="15" hidden="false" customHeight="false" outlineLevel="0" collapsed="false">
      <c r="A19624" s="3" t="s">
        <v>499</v>
      </c>
      <c r="C19624" s="27" t="n">
        <f aca="false">Assumptions!$M$56</f>
        <v>1</v>
      </c>
    </row>
    <row r="19625" customFormat="false" ht="15" hidden="false" customHeight="false" outlineLevel="0" collapsed="false">
      <c r="A19625" s="3" t="s">
        <v>500</v>
      </c>
      <c r="C19625" s="27" t="n">
        <f aca="false">Assumptions!$M$57</f>
        <v>2</v>
      </c>
    </row>
    <row r="19626" customFormat="false" ht="15" hidden="false" customHeight="false" outlineLevel="0" collapsed="false">
      <c r="A19626" s="3" t="s">
        <v>501</v>
      </c>
      <c r="C19626" s="27" t="n">
        <f aca="false">Assumptions!$M$58</f>
        <v>2</v>
      </c>
    </row>
    <row r="19627" customFormat="false" ht="15" hidden="false" customHeight="false" outlineLevel="0" collapsed="false">
      <c r="A19627" s="23" t="s">
        <v>503</v>
      </c>
      <c r="B19627" s="24"/>
      <c r="C19627" s="24"/>
      <c r="D19627" s="24"/>
      <c r="E19627" s="24"/>
      <c r="F19627" s="24"/>
      <c r="G19627" s="24"/>
      <c r="H19627" s="24"/>
      <c r="I19627" s="24"/>
      <c r="J19627" s="24"/>
      <c r="K19627" s="24"/>
    </row>
    <row r="19628" customFormat="false" ht="15" hidden="false" customHeight="false" outlineLevel="0" collapsed="false">
      <c r="A19628" s="3" t="s">
        <v>499</v>
      </c>
      <c r="C19628" s="35" t="n">
        <f aca="false">Assumptions!$Q$56</f>
        <v>0</v>
      </c>
    </row>
    <row r="19629" customFormat="false" ht="15" hidden="false" customHeight="false" outlineLevel="0" collapsed="false">
      <c r="A19629" s="3" t="s">
        <v>500</v>
      </c>
      <c r="C19629" s="35" t="n">
        <f aca="false">Assumptions!$Q$57</f>
        <v>0</v>
      </c>
    </row>
    <row r="19630" customFormat="false" ht="15" hidden="false" customHeight="false" outlineLevel="0" collapsed="false">
      <c r="A19630" s="3" t="s">
        <v>501</v>
      </c>
      <c r="C19630" s="35" t="n">
        <f aca="false">Assumptions!$Q$58</f>
        <v>0</v>
      </c>
    </row>
    <row r="19631" customFormat="false" ht="15" hidden="false" customHeight="false" outlineLevel="0" collapsed="false">
      <c r="A19631" s="23" t="s">
        <v>504</v>
      </c>
      <c r="B19631" s="24"/>
      <c r="C19631" s="24"/>
      <c r="D19631" s="24"/>
      <c r="E19631" s="24"/>
      <c r="F19631" s="24"/>
      <c r="G19631" s="24"/>
      <c r="H19631" s="24"/>
      <c r="I19631" s="24"/>
      <c r="J19631" s="24"/>
      <c r="K19631" s="24"/>
    </row>
    <row r="19632" customFormat="false" ht="15" hidden="false" customHeight="false" outlineLevel="0" collapsed="false">
      <c r="A19632" s="3" t="s">
        <v>499</v>
      </c>
      <c r="C19632" s="25" t="n">
        <f aca="false">IF(C19628&gt;0,MIN(C19620,C19628*$C$19618),0)</f>
        <v>0</v>
      </c>
    </row>
    <row r="19633" customFormat="false" ht="15" hidden="false" customHeight="false" outlineLevel="0" collapsed="false">
      <c r="A19633" s="3" t="s">
        <v>500</v>
      </c>
      <c r="C19633" s="25" t="n">
        <f aca="false">IF(C19629&gt;0,MIN(C19621,C19629*$C$19618),0)</f>
        <v>0</v>
      </c>
    </row>
    <row r="19634" customFormat="false" ht="15" hidden="false" customHeight="false" outlineLevel="0" collapsed="false">
      <c r="A19634" s="3" t="s">
        <v>501</v>
      </c>
      <c r="C19634" s="25" t="n">
        <f aca="false">IF(C19630&gt;0,MIN(C19622,C19630*$C$19618),0)</f>
        <v>0</v>
      </c>
    </row>
    <row r="19635" customFormat="false" ht="15" hidden="false" customHeight="false" outlineLevel="0" collapsed="false">
      <c r="A19635" s="23" t="s">
        <v>505</v>
      </c>
      <c r="B19635" s="24"/>
      <c r="C19635" s="24"/>
      <c r="D19635" s="24"/>
      <c r="E19635" s="24"/>
      <c r="F19635" s="24"/>
      <c r="G19635" s="24"/>
      <c r="H19635" s="24"/>
      <c r="I19635" s="24"/>
      <c r="J19635" s="24"/>
      <c r="K19635" s="24"/>
    </row>
    <row r="19636" customFormat="false" ht="15" hidden="false" customHeight="false" outlineLevel="0" collapsed="false">
      <c r="A19636" s="3" t="s">
        <v>499</v>
      </c>
      <c r="C19636" s="25" t="n">
        <f aca="false">IF(C19628&gt;0,C19620-C19632,0)</f>
        <v>0</v>
      </c>
      <c r="G19636" s="20" t="n">
        <f aca="false">IF(AND(G19490=1,G19487=1),1,0)</f>
        <v>0</v>
      </c>
      <c r="H19636" s="20" t="n">
        <f aca="false">IF(G19636=1,1,IF(AND(H19490=1,H19487=1),1,0))</f>
        <v>0</v>
      </c>
      <c r="I19636" s="20" t="n">
        <f aca="false">IF(H19636=1,1,IF(AND(I19490=1,I19487=1),1,0))</f>
        <v>0</v>
      </c>
      <c r="J19636" s="20" t="n">
        <f aca="false">IF(I19636=1,1,IF(AND(J19490=1,J19487=1),1,0))</f>
        <v>0</v>
      </c>
      <c r="K19636" s="20" t="n">
        <f aca="false">IF(J19636=1,1,IF(AND(K19490=1,K19487=1),1,0))</f>
        <v>0</v>
      </c>
    </row>
    <row r="19637" customFormat="false" ht="15" hidden="false" customHeight="false" outlineLevel="0" collapsed="false">
      <c r="A19637" s="3" t="s">
        <v>500</v>
      </c>
      <c r="C19637" s="25" t="n">
        <f aca="false">IF(C19629&gt;0,C19621-C19633,0)</f>
        <v>0</v>
      </c>
      <c r="G19637" s="20" t="n">
        <f aca="false">IF(AND(G19503=1,G19487=1),1,0)</f>
        <v>0</v>
      </c>
      <c r="H19637" s="20" t="n">
        <f aca="false">IF(G19637=1,1,IF(AND(H19503=1,H19487=1),1,0))</f>
        <v>0</v>
      </c>
      <c r="I19637" s="20" t="n">
        <f aca="false">IF(H19637=1,1,IF(AND(I19503=1,I19487=1),1,0))</f>
        <v>0</v>
      </c>
      <c r="J19637" s="20" t="n">
        <f aca="false">IF(I19637=1,1,IF(AND(J19503=1,J19487=1),1,0))</f>
        <v>0</v>
      </c>
      <c r="K19637" s="20" t="n">
        <f aca="false">IF(J19637=1,1,IF(AND(K19503=1,K19487=1),1,0))</f>
        <v>0</v>
      </c>
    </row>
    <row r="19638" customFormat="false" ht="15" hidden="false" customHeight="false" outlineLevel="0" collapsed="false">
      <c r="A19638" s="3" t="s">
        <v>501</v>
      </c>
      <c r="C19638" s="25" t="n">
        <f aca="false">IF(C19630&gt;0,C19622-C19634,0)</f>
        <v>0</v>
      </c>
      <c r="G19638" s="20" t="n">
        <f aca="false">IF(AND(G19516=1,G19487=1),1,0)</f>
        <v>0</v>
      </c>
      <c r="H19638" s="20" t="n">
        <f aca="false">IF(G19638=1,1,IF(AND(H19516=1,H19487=1),1,0))</f>
        <v>0</v>
      </c>
      <c r="I19638" s="20" t="n">
        <f aca="false">IF(H19638=1,1,IF(AND(I19516=1,I19487=1),1,0))</f>
        <v>0</v>
      </c>
      <c r="J19638" s="20" t="n">
        <f aca="false">IF(I19638=1,1,IF(AND(J19516=1,J19487=1),1,0))</f>
        <v>0</v>
      </c>
      <c r="K19638" s="20" t="n">
        <f aca="false">IF(J19638=1,1,IF(AND(K19516=1,K19487=1),1,0))</f>
        <v>0</v>
      </c>
    </row>
    <row r="19639" customFormat="false" ht="15" hidden="false" customHeight="false" outlineLevel="0" collapsed="false">
      <c r="A19639" s="23" t="s">
        <v>506</v>
      </c>
      <c r="B19639" s="24"/>
      <c r="C19639" s="24"/>
      <c r="D19639" s="24"/>
      <c r="E19639" s="24"/>
      <c r="F19639" s="24"/>
      <c r="G19639" s="24"/>
      <c r="H19639" s="24"/>
      <c r="I19639" s="24"/>
      <c r="J19639" s="24"/>
      <c r="K19639" s="24"/>
    </row>
    <row r="19640" customFormat="false" ht="15" hidden="false" customHeight="false" outlineLevel="0" collapsed="false">
      <c r="A19640" s="3" t="s">
        <v>499</v>
      </c>
      <c r="C19640" s="25" t="n">
        <f aca="false">IF(C19628&gt;0,C19636,C19620)</f>
        <v>1349.6193225</v>
      </c>
    </row>
    <row r="19641" customFormat="false" ht="15" hidden="false" customHeight="false" outlineLevel="0" collapsed="false">
      <c r="A19641" s="3" t="s">
        <v>500</v>
      </c>
      <c r="C19641" s="25" t="n">
        <f aca="false">IF(C19629&gt;0,C19637,C19621)</f>
        <v>6.40133166435848</v>
      </c>
    </row>
    <row r="19642" customFormat="false" ht="15" hidden="false" customHeight="false" outlineLevel="0" collapsed="false">
      <c r="A19642" s="3" t="s">
        <v>501</v>
      </c>
      <c r="C19642" s="25" t="n">
        <f aca="false">IF(C19630&gt;0,C19638,C19622)</f>
        <v>145.27734375</v>
      </c>
    </row>
    <row r="19643" customFormat="false" ht="15" hidden="false" customHeight="false" outlineLevel="0" collapsed="false">
      <c r="A19643" s="23" t="s">
        <v>507</v>
      </c>
      <c r="B19643" s="24"/>
      <c r="C19643" s="24"/>
      <c r="D19643" s="24"/>
      <c r="E19643" s="24"/>
      <c r="F19643" s="24"/>
      <c r="G19643" s="24"/>
      <c r="H19643" s="24"/>
      <c r="I19643" s="24"/>
      <c r="J19643" s="24"/>
      <c r="K19643" s="24"/>
    </row>
    <row r="19644" customFormat="false" ht="15" hidden="false" customHeight="false" outlineLevel="0" collapsed="false">
      <c r="A19644" s="3" t="s">
        <v>499</v>
      </c>
      <c r="C19644" s="20" t="n">
        <f aca="false">IF(C19628&gt;0,Assumptions!$C$17,C19624)</f>
        <v>1</v>
      </c>
    </row>
    <row r="19645" customFormat="false" ht="15" hidden="false" customHeight="false" outlineLevel="0" collapsed="false">
      <c r="A19645" s="3" t="s">
        <v>500</v>
      </c>
      <c r="C19645" s="20" t="n">
        <f aca="false">IF(C19629&gt;0,Assumptions!$C$17,C19625)</f>
        <v>2</v>
      </c>
    </row>
    <row r="19646" customFormat="false" ht="15" hidden="false" customHeight="false" outlineLevel="0" collapsed="false">
      <c r="A19646" s="3" t="s">
        <v>501</v>
      </c>
      <c r="C19646" s="20" t="n">
        <f aca="false">IF(C19630&gt;0,Assumptions!$C$17,C19626)</f>
        <v>2</v>
      </c>
    </row>
    <row r="19647" customFormat="false" ht="15" hidden="false" customHeight="false" outlineLevel="0" collapsed="false">
      <c r="A19647" s="23" t="s">
        <v>508</v>
      </c>
      <c r="B19647" s="24"/>
      <c r="C19647" s="24"/>
      <c r="D19647" s="24"/>
      <c r="E19647" s="24"/>
      <c r="F19647" s="24"/>
      <c r="G19647" s="24"/>
      <c r="H19647" s="24"/>
      <c r="I19647" s="24"/>
      <c r="J19647" s="24"/>
      <c r="K19647" s="24"/>
    </row>
    <row r="19648" customFormat="false" ht="15" hidden="false" customHeight="false" outlineLevel="0" collapsed="false">
      <c r="A19648" s="3" t="s">
        <v>499</v>
      </c>
      <c r="C19648" s="25" t="n">
        <f aca="false">SUMPRODUCT(($C$19644:$C$19646&lt;C19644)*$C$19640:$C$19642)</f>
        <v>0</v>
      </c>
    </row>
    <row r="19649" customFormat="false" ht="15" hidden="false" customHeight="false" outlineLevel="0" collapsed="false">
      <c r="A19649" s="3" t="s">
        <v>500</v>
      </c>
      <c r="C19649" s="25" t="n">
        <f aca="false">SUMPRODUCT(($C$19644:$C$19646&lt;C19645)*$C$19640:$C$19642)</f>
        <v>1349.6193225</v>
      </c>
    </row>
    <row r="19650" customFormat="false" ht="15" hidden="false" customHeight="false" outlineLevel="0" collapsed="false">
      <c r="A19650" s="3" t="s">
        <v>501</v>
      </c>
      <c r="C19650" s="25" t="n">
        <f aca="false">SUMPRODUCT(($C$19644:$C$19646&lt;C19646)*$C$19640:$C$19642)</f>
        <v>1349.6193225</v>
      </c>
    </row>
    <row r="19651" customFormat="false" ht="15" hidden="false" customHeight="false" outlineLevel="0" collapsed="false">
      <c r="A19651" s="23" t="s">
        <v>509</v>
      </c>
      <c r="B19651" s="24"/>
      <c r="C19651" s="24"/>
      <c r="D19651" s="24"/>
      <c r="E19651" s="24"/>
      <c r="F19651" s="24"/>
      <c r="G19651" s="24"/>
      <c r="H19651" s="24"/>
      <c r="I19651" s="24"/>
      <c r="J19651" s="24"/>
      <c r="K19651" s="24"/>
    </row>
    <row r="19652" customFormat="false" ht="15" hidden="false" customHeight="false" outlineLevel="0" collapsed="false">
      <c r="A19652" s="3" t="s">
        <v>499</v>
      </c>
      <c r="C19652" s="25" t="n">
        <f aca="false">SUMPRODUCT(($C$19644:$C$19646=C19644)*$C$19640:$C$19642)</f>
        <v>1349.6193225</v>
      </c>
    </row>
    <row r="19653" customFormat="false" ht="15" hidden="false" customHeight="false" outlineLevel="0" collapsed="false">
      <c r="A19653" s="3" t="s">
        <v>500</v>
      </c>
      <c r="C19653" s="25" t="n">
        <f aca="false">SUMPRODUCT(($C$19644:$C$19646=C19645)*$C$19640:$C$19642)</f>
        <v>151.678675414359</v>
      </c>
    </row>
    <row r="19654" customFormat="false" ht="15" hidden="false" customHeight="false" outlineLevel="0" collapsed="false">
      <c r="A19654" s="3" t="s">
        <v>501</v>
      </c>
      <c r="C19654" s="25" t="n">
        <f aca="false">SUMPRODUCT(($C$19644:$C$19646=C19646)*$C$19640:$C$19642)</f>
        <v>151.678675414359</v>
      </c>
    </row>
    <row r="19655" customFormat="false" ht="15" hidden="false" customHeight="false" outlineLevel="0" collapsed="false">
      <c r="A19655" s="23" t="s">
        <v>510</v>
      </c>
      <c r="B19655" s="24"/>
      <c r="C19655" s="24"/>
      <c r="D19655" s="24"/>
      <c r="E19655" s="24"/>
      <c r="F19655" s="24"/>
      <c r="G19655" s="24"/>
      <c r="H19655" s="24"/>
      <c r="I19655" s="24"/>
      <c r="J19655" s="24"/>
      <c r="K19655" s="24"/>
    </row>
    <row r="19656" customFormat="false" ht="15" hidden="false" customHeight="false" outlineLevel="0" collapsed="false">
      <c r="A19656" s="3" t="s">
        <v>499</v>
      </c>
      <c r="C19656" s="25" t="n">
        <f aca="false">IF(C19652=0,0,C19640/C19652*MAX(0,MIN(C19652,$C$19618-SUM($C$19632:$C$19634)-C19648)))</f>
        <v>459.5705712</v>
      </c>
    </row>
    <row r="19657" customFormat="false" ht="15" hidden="false" customHeight="false" outlineLevel="0" collapsed="false">
      <c r="A19657" s="3" t="s">
        <v>500</v>
      </c>
      <c r="C19657" s="25" t="n">
        <f aca="false">IF(C19653=0,0,C19641/C19653*MAX(0,MIN(C19653,$C$19618-SUM($C$19632:$C$19634)-C19649)))</f>
        <v>0</v>
      </c>
    </row>
    <row r="19658" customFormat="false" ht="15" hidden="false" customHeight="false" outlineLevel="0" collapsed="false">
      <c r="A19658" s="3" t="s">
        <v>501</v>
      </c>
      <c r="C19658" s="25" t="n">
        <f aca="false">IF(C19654=0,0,C19642/C19654*MAX(0,MIN(C19654,$C$19618-SUM($C$19632:$C$19634)-C19650)))</f>
        <v>0</v>
      </c>
    </row>
    <row r="19659" customFormat="false" ht="15" hidden="false" customHeight="false" outlineLevel="0" collapsed="false">
      <c r="A19659" s="23" t="s">
        <v>511</v>
      </c>
      <c r="B19659" s="24"/>
      <c r="C19659" s="24"/>
      <c r="D19659" s="24"/>
      <c r="E19659" s="24"/>
      <c r="F19659" s="24"/>
      <c r="G19659" s="24"/>
      <c r="H19659" s="24"/>
      <c r="I19659" s="24"/>
      <c r="J19659" s="24"/>
      <c r="K19659" s="24"/>
    </row>
    <row r="19660" customFormat="false" ht="15" hidden="false" customHeight="false" outlineLevel="0" collapsed="false">
      <c r="A19660" s="2" t="s">
        <v>499</v>
      </c>
      <c r="C19660" s="16" t="n">
        <f aca="false">C19632+C19656</f>
        <v>459.5705712</v>
      </c>
    </row>
    <row r="19661" customFormat="false" ht="15" hidden="false" customHeight="false" outlineLevel="0" collapsed="false">
      <c r="A19661" s="2" t="s">
        <v>500</v>
      </c>
      <c r="C19661" s="16" t="n">
        <f aca="false">C19633+C19657</f>
        <v>0</v>
      </c>
    </row>
    <row r="19662" customFormat="false" ht="15" hidden="false" customHeight="false" outlineLevel="0" collapsed="false">
      <c r="A19662" s="2" t="s">
        <v>501</v>
      </c>
      <c r="C19662" s="16" t="n">
        <f aca="false">C19634+C19658</f>
        <v>0</v>
      </c>
    </row>
    <row r="19663" customFormat="false" ht="15" hidden="false" customHeight="false" outlineLevel="0" collapsed="false">
      <c r="A19663" s="23" t="s">
        <v>512</v>
      </c>
      <c r="B19663" s="24"/>
      <c r="C19663" s="24"/>
      <c r="D19663" s="24"/>
      <c r="E19663" s="24"/>
      <c r="F19663" s="24"/>
      <c r="G19663" s="24"/>
      <c r="H19663" s="24"/>
      <c r="I19663" s="24"/>
      <c r="J19663" s="24"/>
      <c r="K19663" s="24"/>
    </row>
    <row r="19664" customFormat="false" ht="15" hidden="false" customHeight="false" outlineLevel="0" collapsed="false">
      <c r="A19664" s="3" t="s">
        <v>499</v>
      </c>
      <c r="C19664" s="21" t="n">
        <f aca="false">IF(C19620=0,1,C19660/C19620)</f>
        <v>0.340518665921812</v>
      </c>
    </row>
    <row r="19665" customFormat="false" ht="15" hidden="false" customHeight="false" outlineLevel="0" collapsed="false">
      <c r="A19665" s="3" t="s">
        <v>500</v>
      </c>
      <c r="C19665" s="21" t="n">
        <f aca="false">IF(C19621=0,1,C19661/C19621)</f>
        <v>0</v>
      </c>
    </row>
    <row r="19666" customFormat="false" ht="15" hidden="false" customHeight="false" outlineLevel="0" collapsed="false">
      <c r="A19666" s="3" t="s">
        <v>501</v>
      </c>
      <c r="C19666" s="21" t="n">
        <f aca="false">IF(C19622=0,1,C19662/C19622)</f>
        <v>0</v>
      </c>
    </row>
    <row r="19667" customFormat="false" ht="15" hidden="false" customHeight="false" outlineLevel="0" collapsed="false">
      <c r="A19667" s="23" t="s">
        <v>513</v>
      </c>
      <c r="B19667" s="24"/>
      <c r="C19667" s="24"/>
      <c r="D19667" s="24"/>
      <c r="E19667" s="24"/>
      <c r="F19667" s="24"/>
      <c r="G19667" s="24"/>
      <c r="H19667" s="24"/>
      <c r="I19667" s="24"/>
      <c r="J19667" s="24"/>
      <c r="K19667" s="24"/>
    </row>
    <row r="19668" customFormat="false" ht="15" hidden="false" customHeight="false" outlineLevel="0" collapsed="false">
      <c r="A19668" s="3" t="s">
        <v>499</v>
      </c>
      <c r="C19668" s="25" t="n">
        <f aca="false">C19620-C19660</f>
        <v>890.0487513</v>
      </c>
    </row>
    <row r="19669" customFormat="false" ht="15" hidden="false" customHeight="false" outlineLevel="0" collapsed="false">
      <c r="A19669" s="3" t="s">
        <v>500</v>
      </c>
      <c r="C19669" s="25" t="n">
        <f aca="false">C19621-C19661</f>
        <v>6.40133166435848</v>
      </c>
    </row>
    <row r="19670" customFormat="false" ht="15" hidden="false" customHeight="false" outlineLevel="0" collapsed="false">
      <c r="A19670" s="3" t="s">
        <v>501</v>
      </c>
      <c r="C19670" s="25" t="n">
        <f aca="false">C19622-C19662</f>
        <v>145.27734375</v>
      </c>
    </row>
    <row r="19671" customFormat="false" ht="15" hidden="false" customHeight="false" outlineLevel="0" collapsed="false">
      <c r="A19671" s="23" t="s">
        <v>514</v>
      </c>
      <c r="B19671" s="24"/>
      <c r="C19671" s="24"/>
      <c r="D19671" s="24"/>
      <c r="E19671" s="24"/>
      <c r="F19671" s="24"/>
      <c r="G19671" s="24"/>
      <c r="H19671" s="24"/>
      <c r="I19671" s="24"/>
      <c r="J19671" s="24"/>
      <c r="K19671" s="24"/>
    </row>
    <row r="19672" customFormat="false" ht="15" hidden="false" customHeight="false" outlineLevel="0" collapsed="false">
      <c r="A19672" s="3" t="s">
        <v>499</v>
      </c>
      <c r="C19672" s="21" t="n">
        <f aca="false">IF(C19620=0,0,C19668/C19620)</f>
        <v>0.659481334078188</v>
      </c>
    </row>
    <row r="19673" customFormat="false" ht="15" hidden="false" customHeight="false" outlineLevel="0" collapsed="false">
      <c r="A19673" s="3" t="s">
        <v>500</v>
      </c>
      <c r="C19673" s="21" t="n">
        <f aca="false">IF(C19621=0,0,C19669/C19621)</f>
        <v>1</v>
      </c>
    </row>
    <row r="19674" customFormat="false" ht="15" hidden="false" customHeight="false" outlineLevel="0" collapsed="false">
      <c r="A19674" s="3" t="s">
        <v>501</v>
      </c>
      <c r="C19674" s="21" t="n">
        <f aca="false">IF(C19622=0,0,C19670/C19622)</f>
        <v>1</v>
      </c>
    </row>
    <row r="19675" customFormat="false" ht="15" hidden="false" customHeight="false" outlineLevel="0" collapsed="false">
      <c r="A19675" s="2" t="s">
        <v>515</v>
      </c>
      <c r="C19675" s="16" t="n">
        <f aca="false">MAX(0,$C$19618-SUM($C$19632:$C$19634)-SUM($C$19640:$C$19642))</f>
        <v>0</v>
      </c>
    </row>
    <row r="19676" customFormat="false" ht="15" hidden="false" customHeight="false" outlineLevel="0" collapsed="false">
      <c r="A19676" s="3" t="s">
        <v>516</v>
      </c>
      <c r="C19676" s="25" t="n">
        <f aca="false">SUM($C$19660:$C$19662)+C19675+C19617-C19616</f>
        <v>0</v>
      </c>
    </row>
    <row r="19678" customFormat="false" ht="15" hidden="false" customHeight="false" outlineLevel="0" collapsed="false">
      <c r="A19678" s="23" t="s">
        <v>519</v>
      </c>
      <c r="B19678" s="24"/>
      <c r="C19678" s="24"/>
      <c r="D19678" s="24"/>
      <c r="E19678" s="24"/>
      <c r="F19678" s="24"/>
      <c r="G19678" s="24"/>
      <c r="H19678" s="24"/>
      <c r="I19678" s="24"/>
      <c r="J19678" s="24"/>
      <c r="K19678" s="24"/>
    </row>
    <row r="19679" customFormat="false" ht="15" hidden="false" customHeight="false" outlineLevel="0" collapsed="false">
      <c r="A19679" s="3" t="s">
        <v>520</v>
      </c>
      <c r="C19679" s="27" t="n">
        <f aca="false">Assumptions!$C$33</f>
        <v>1</v>
      </c>
    </row>
    <row r="19680" customFormat="false" ht="15" hidden="false" customHeight="false" outlineLevel="0" collapsed="false">
      <c r="A19680" s="3" t="s">
        <v>521</v>
      </c>
      <c r="C19680" s="29" t="n">
        <f aca="false">Assumptions!$C$34</f>
        <v>100</v>
      </c>
    </row>
    <row r="19681" customFormat="false" ht="15" hidden="false" customHeight="false" outlineLevel="0" collapsed="false">
      <c r="A19681" s="3" t="s">
        <v>522</v>
      </c>
      <c r="C19681" s="40" t="n">
        <f aca="false">Assumptions!$C$35</f>
        <v>95</v>
      </c>
    </row>
    <row r="19682" customFormat="false" ht="15" hidden="false" customHeight="false" outlineLevel="0" collapsed="false">
      <c r="A19682" s="3" t="s">
        <v>523</v>
      </c>
      <c r="C19682" s="25" t="n">
        <f aca="false">C19680*C19681/100*(1+Assumptions!$C$36)</f>
        <v>95</v>
      </c>
    </row>
    <row r="19683" customFormat="false" ht="15" hidden="false" customHeight="false" outlineLevel="0" collapsed="false">
      <c r="A19683" s="3" t="s">
        <v>524</v>
      </c>
      <c r="C19683" s="27" t="n">
        <f aca="false">Assumptions!$C$37</f>
        <v>3</v>
      </c>
    </row>
    <row r="19684" customFormat="false" ht="15" hidden="false" customHeight="false" outlineLevel="0" collapsed="false">
      <c r="A19684" s="3" t="s">
        <v>525</v>
      </c>
      <c r="C19684" s="20" t="n">
        <f aca="false">IF(C19609=1,SUMPRODUCT($G$19561:$K$19561,$G$19454:$K$19454),0)</f>
        <v>3</v>
      </c>
    </row>
    <row r="19685" customFormat="false" ht="15" hidden="false" customHeight="false" outlineLevel="0" collapsed="false">
      <c r="A19685" s="3" t="s">
        <v>526</v>
      </c>
      <c r="C19685" s="21" t="n">
        <f aca="false">IFERROR(C19680/CHOOSE(C19679,SUMPRODUCT($G$19608:$K$19608,$G$19500:$K$19500),SUMPRODUCT($G$19608:$K$19608,$G$19513:$K$19513),SUMPRODUCT($G$19608:$K$19608,$G$19526:$K$19526)),0)</f>
        <v>0.0760399605200525</v>
      </c>
    </row>
    <row r="19686" customFormat="false" ht="15" hidden="false" customHeight="false" outlineLevel="0" collapsed="false">
      <c r="A19686" s="3" t="s">
        <v>527</v>
      </c>
      <c r="C19686" s="25" t="n">
        <f aca="false">CHOOSE(C19679,C19660,C19661,C19662)*C19685</f>
        <v>34.945728090226</v>
      </c>
    </row>
    <row r="19687" customFormat="false" ht="15" hidden="false" customHeight="false" outlineLevel="0" collapsed="false">
      <c r="A19687" s="3" t="s">
        <v>528</v>
      </c>
      <c r="C19687" s="21" t="n">
        <f aca="false">CHOOSE(C19679,C19664,C19665,C19666)</f>
        <v>0.340518665921812</v>
      </c>
    </row>
    <row r="19688" customFormat="false" ht="15" hidden="false" customHeight="false" outlineLevel="0" collapsed="false">
      <c r="A19688" s="3" t="s">
        <v>529</v>
      </c>
      <c r="C19688" s="20" t="n">
        <f aca="false">IF(C19609=1,C19684,C19683)</f>
        <v>3</v>
      </c>
    </row>
    <row r="19689" customFormat="false" ht="15" hidden="false" customHeight="false" outlineLevel="0" collapsed="false">
      <c r="A19689" s="3" t="s">
        <v>530</v>
      </c>
      <c r="C19689" s="34" t="n">
        <f aca="false">CHOOSE($C$19446,Assumptions!$C$83,Assumptions!$C$102,Assumptions!$C$121)</f>
        <v>80</v>
      </c>
    </row>
    <row r="19690" customFormat="false" ht="15" hidden="false" customHeight="false" outlineLevel="0" collapsed="false">
      <c r="A19690" s="3" t="s">
        <v>531</v>
      </c>
      <c r="C19690" s="25" t="n">
        <f aca="false">INDEX($G$19463:$K$19463,C19683)*CHOOSE($C$19446,Assumptions!$C$82,Assumptions!$C$101,Assumptions!$C$120)+MAX(0,INDEX($G$19558:$K$19558,C19683))</f>
        <v>428.3744040576</v>
      </c>
    </row>
    <row r="19691" customFormat="false" ht="15" hidden="false" customHeight="false" outlineLevel="0" collapsed="false">
      <c r="A19691" s="23" t="s">
        <v>532</v>
      </c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</row>
    <row r="19692" customFormat="false" ht="15" hidden="false" customHeight="false" outlineLevel="0" collapsed="false">
      <c r="A19692" s="3" t="s">
        <v>499</v>
      </c>
      <c r="C19692" s="25" t="n">
        <f aca="false">INDEX($G$19500:$K$19500,C19683)</f>
        <v>1315.098</v>
      </c>
    </row>
    <row r="19693" customFormat="false" ht="15" hidden="false" customHeight="false" outlineLevel="0" collapsed="false">
      <c r="A19693" s="3" t="s">
        <v>500</v>
      </c>
      <c r="C19693" s="25" t="n">
        <f aca="false">INDEX($G$19513:$K$19513,C19683)</f>
        <v>6.33403256832008</v>
      </c>
    </row>
    <row r="19694" customFormat="false" ht="15" hidden="false" customHeight="false" outlineLevel="0" collapsed="false">
      <c r="A19694" s="3" t="s">
        <v>501</v>
      </c>
      <c r="C19694" s="25" t="n">
        <f aca="false">INDEX($G$19526:$K$19526,C19683)</f>
        <v>143.75</v>
      </c>
    </row>
    <row r="19695" customFormat="false" ht="15" hidden="false" customHeight="false" outlineLevel="0" collapsed="false">
      <c r="A19695" s="23" t="s">
        <v>502</v>
      </c>
      <c r="B19695" s="24"/>
      <c r="C19695" s="24"/>
      <c r="D19695" s="24"/>
      <c r="E19695" s="24"/>
      <c r="F19695" s="24"/>
      <c r="G19695" s="24"/>
      <c r="H19695" s="24"/>
      <c r="I19695" s="24"/>
      <c r="J19695" s="24"/>
      <c r="K19695" s="24"/>
    </row>
    <row r="19696" customFormat="false" ht="15" hidden="false" customHeight="false" outlineLevel="0" collapsed="false">
      <c r="A19696" s="3" t="s">
        <v>499</v>
      </c>
      <c r="C19696" s="27" t="n">
        <f aca="false">Assumptions!$M$56</f>
        <v>1</v>
      </c>
    </row>
    <row r="19697" customFormat="false" ht="15" hidden="false" customHeight="false" outlineLevel="0" collapsed="false">
      <c r="A19697" s="3" t="s">
        <v>500</v>
      </c>
      <c r="C19697" s="27" t="n">
        <f aca="false">Assumptions!$M$57</f>
        <v>2</v>
      </c>
    </row>
    <row r="19698" customFormat="false" ht="15" hidden="false" customHeight="false" outlineLevel="0" collapsed="false">
      <c r="A19698" s="3" t="s">
        <v>501</v>
      </c>
      <c r="C19698" s="27" t="n">
        <f aca="false">Assumptions!$M$58</f>
        <v>2</v>
      </c>
    </row>
    <row r="19699" customFormat="false" ht="15" hidden="false" customHeight="false" outlineLevel="0" collapsed="false">
      <c r="A19699" s="23" t="s">
        <v>503</v>
      </c>
      <c r="B19699" s="24"/>
      <c r="C19699" s="24"/>
      <c r="D19699" s="24"/>
      <c r="E19699" s="24"/>
      <c r="F19699" s="24"/>
      <c r="G19699" s="24"/>
      <c r="H19699" s="24"/>
      <c r="I19699" s="24"/>
      <c r="J19699" s="24"/>
      <c r="K19699" s="24"/>
    </row>
    <row r="19700" customFormat="false" ht="15" hidden="false" customHeight="false" outlineLevel="0" collapsed="false">
      <c r="A19700" s="3" t="s">
        <v>499</v>
      </c>
      <c r="C19700" s="35" t="n">
        <f aca="false">Assumptions!$Q$56</f>
        <v>0</v>
      </c>
    </row>
    <row r="19701" customFormat="false" ht="15" hidden="false" customHeight="false" outlineLevel="0" collapsed="false">
      <c r="A19701" s="3" t="s">
        <v>500</v>
      </c>
      <c r="C19701" s="35" t="n">
        <f aca="false">Assumptions!$Q$57</f>
        <v>0</v>
      </c>
    </row>
    <row r="19702" customFormat="false" ht="15" hidden="false" customHeight="false" outlineLevel="0" collapsed="false">
      <c r="A19702" s="3" t="s">
        <v>501</v>
      </c>
      <c r="C19702" s="35" t="n">
        <f aca="false">Assumptions!$Q$58</f>
        <v>0</v>
      </c>
    </row>
    <row r="19703" customFormat="false" ht="15" hidden="false" customHeight="false" outlineLevel="0" collapsed="false">
      <c r="A19703" s="23" t="s">
        <v>504</v>
      </c>
      <c r="B19703" s="24"/>
      <c r="C19703" s="24"/>
      <c r="D19703" s="24"/>
      <c r="E19703" s="24"/>
      <c r="F19703" s="24"/>
      <c r="G19703" s="24"/>
      <c r="H19703" s="24"/>
      <c r="I19703" s="24"/>
      <c r="J19703" s="24"/>
      <c r="K19703" s="24"/>
    </row>
    <row r="19704" customFormat="false" ht="15" hidden="false" customHeight="false" outlineLevel="0" collapsed="false">
      <c r="A19704" s="3" t="s">
        <v>499</v>
      </c>
      <c r="C19704" s="25" t="n">
        <f aca="false">IF(C19700&gt;0,MIN(C19692,C19700*$C$19690),0)</f>
        <v>0</v>
      </c>
    </row>
    <row r="19705" customFormat="false" ht="15" hidden="false" customHeight="false" outlineLevel="0" collapsed="false">
      <c r="A19705" s="3" t="s">
        <v>500</v>
      </c>
      <c r="C19705" s="25" t="n">
        <f aca="false">IF(C19701&gt;0,MIN(C19693,C19701*$C$19690),0)</f>
        <v>0</v>
      </c>
    </row>
    <row r="19706" customFormat="false" ht="15" hidden="false" customHeight="false" outlineLevel="0" collapsed="false">
      <c r="A19706" s="3" t="s">
        <v>501</v>
      </c>
      <c r="C19706" s="25" t="n">
        <f aca="false">IF(C19702&gt;0,MIN(C19694,C19702*$C$19690),0)</f>
        <v>0</v>
      </c>
    </row>
    <row r="19707" customFormat="false" ht="15" hidden="false" customHeight="false" outlineLevel="0" collapsed="false">
      <c r="A19707" s="23" t="s">
        <v>505</v>
      </c>
      <c r="B19707" s="24"/>
      <c r="C19707" s="24"/>
      <c r="D19707" s="24"/>
      <c r="E19707" s="24"/>
      <c r="F19707" s="24"/>
      <c r="G19707" s="24"/>
      <c r="H19707" s="24"/>
      <c r="I19707" s="24"/>
      <c r="J19707" s="24"/>
      <c r="K19707" s="24"/>
    </row>
    <row r="19708" customFormat="false" ht="15" hidden="false" customHeight="false" outlineLevel="0" collapsed="false">
      <c r="A19708" s="3" t="s">
        <v>499</v>
      </c>
      <c r="C19708" s="25" t="n">
        <f aca="false">IF(C19700&gt;0,C19692-C19704,0)</f>
        <v>0</v>
      </c>
    </row>
    <row r="19709" customFormat="false" ht="15" hidden="false" customHeight="false" outlineLevel="0" collapsed="false">
      <c r="A19709" s="3" t="s">
        <v>500</v>
      </c>
      <c r="C19709" s="25" t="n">
        <f aca="false">IF(C19701&gt;0,C19693-C19705,0)</f>
        <v>0</v>
      </c>
    </row>
    <row r="19710" customFormat="false" ht="15" hidden="false" customHeight="false" outlineLevel="0" collapsed="false">
      <c r="A19710" s="3" t="s">
        <v>501</v>
      </c>
      <c r="C19710" s="25" t="n">
        <f aca="false">IF(C19702&gt;0,C19694-C19706,0)</f>
        <v>0</v>
      </c>
    </row>
    <row r="19711" customFormat="false" ht="15" hidden="false" customHeight="false" outlineLevel="0" collapsed="false">
      <c r="A19711" s="23" t="s">
        <v>506</v>
      </c>
      <c r="B19711" s="24"/>
      <c r="C19711" s="24"/>
      <c r="D19711" s="24"/>
      <c r="E19711" s="24"/>
      <c r="F19711" s="24"/>
      <c r="G19711" s="24"/>
      <c r="H19711" s="24"/>
      <c r="I19711" s="24"/>
      <c r="J19711" s="24"/>
      <c r="K19711" s="24"/>
    </row>
    <row r="19712" customFormat="false" ht="15" hidden="false" customHeight="false" outlineLevel="0" collapsed="false">
      <c r="A19712" s="3" t="s">
        <v>499</v>
      </c>
      <c r="C19712" s="25" t="n">
        <f aca="false">IF(C19700&gt;0,C19708,C19692)</f>
        <v>1315.098</v>
      </c>
    </row>
    <row r="19713" customFormat="false" ht="15" hidden="false" customHeight="false" outlineLevel="0" collapsed="false">
      <c r="A19713" s="3" t="s">
        <v>500</v>
      </c>
      <c r="C19713" s="25" t="n">
        <f aca="false">IF(C19701&gt;0,C19709,C19693)</f>
        <v>6.33403256832008</v>
      </c>
    </row>
    <row r="19714" customFormat="false" ht="15" hidden="false" customHeight="false" outlineLevel="0" collapsed="false">
      <c r="A19714" s="3" t="s">
        <v>501</v>
      </c>
      <c r="C19714" s="25" t="n">
        <f aca="false">IF(C19702&gt;0,C19710,C19694)</f>
        <v>143.75</v>
      </c>
    </row>
    <row r="19715" customFormat="false" ht="15" hidden="false" customHeight="false" outlineLevel="0" collapsed="false">
      <c r="A19715" s="23" t="s">
        <v>507</v>
      </c>
      <c r="B19715" s="24"/>
      <c r="C19715" s="24"/>
      <c r="D19715" s="24"/>
      <c r="E19715" s="24"/>
      <c r="F19715" s="24"/>
      <c r="G19715" s="24"/>
      <c r="H19715" s="24"/>
      <c r="I19715" s="24"/>
      <c r="J19715" s="24"/>
      <c r="K19715" s="24"/>
    </row>
    <row r="19716" customFormat="false" ht="15" hidden="false" customHeight="false" outlineLevel="0" collapsed="false">
      <c r="A19716" s="3" t="s">
        <v>499</v>
      </c>
      <c r="C19716" s="20" t="n">
        <f aca="false">IF(C19700&gt;0,Assumptions!$C$17,C19696)</f>
        <v>1</v>
      </c>
    </row>
    <row r="19717" customFormat="false" ht="15" hidden="false" customHeight="false" outlineLevel="0" collapsed="false">
      <c r="A19717" s="3" t="s">
        <v>500</v>
      </c>
      <c r="C19717" s="20" t="n">
        <f aca="false">IF(C19701&gt;0,Assumptions!$C$17,C19697)</f>
        <v>2</v>
      </c>
    </row>
    <row r="19718" customFormat="false" ht="15" hidden="false" customHeight="false" outlineLevel="0" collapsed="false">
      <c r="A19718" s="3" t="s">
        <v>501</v>
      </c>
      <c r="C19718" s="20" t="n">
        <f aca="false">IF(C19702&gt;0,Assumptions!$C$17,C19698)</f>
        <v>2</v>
      </c>
    </row>
    <row r="19719" customFormat="false" ht="15" hidden="false" customHeight="false" outlineLevel="0" collapsed="false">
      <c r="A19719" s="23" t="s">
        <v>508</v>
      </c>
      <c r="B19719" s="24"/>
      <c r="C19719" s="24"/>
      <c r="D19719" s="24"/>
      <c r="E19719" s="24"/>
      <c r="F19719" s="24"/>
      <c r="G19719" s="24"/>
      <c r="H19719" s="24"/>
      <c r="I19719" s="24"/>
      <c r="J19719" s="24"/>
      <c r="K19719" s="24"/>
    </row>
    <row r="19720" customFormat="false" ht="15" hidden="false" customHeight="false" outlineLevel="0" collapsed="false">
      <c r="A19720" s="3" t="s">
        <v>499</v>
      </c>
      <c r="C19720" s="25" t="n">
        <f aca="false">SUMPRODUCT(($C$19716:$C$19718&lt;C19716)*$C$19712:$C$19714)</f>
        <v>0</v>
      </c>
    </row>
    <row r="19721" customFormat="false" ht="15" hidden="false" customHeight="false" outlineLevel="0" collapsed="false">
      <c r="A19721" s="3" t="s">
        <v>500</v>
      </c>
      <c r="C19721" s="25" t="n">
        <f aca="false">SUMPRODUCT(($C$19716:$C$19718&lt;C19717)*$C$19712:$C$19714)</f>
        <v>1315.098</v>
      </c>
    </row>
    <row r="19722" customFormat="false" ht="15" hidden="false" customHeight="false" outlineLevel="0" collapsed="false">
      <c r="A19722" s="3" t="s">
        <v>501</v>
      </c>
      <c r="C19722" s="25" t="n">
        <f aca="false">SUMPRODUCT(($C$19716:$C$19718&lt;C19718)*$C$19712:$C$19714)</f>
        <v>1315.098</v>
      </c>
    </row>
    <row r="19723" customFormat="false" ht="15" hidden="false" customHeight="false" outlineLevel="0" collapsed="false">
      <c r="A19723" s="23" t="s">
        <v>509</v>
      </c>
      <c r="B19723" s="24"/>
      <c r="C19723" s="24"/>
      <c r="D19723" s="24"/>
      <c r="E19723" s="24"/>
      <c r="F19723" s="24"/>
      <c r="G19723" s="24"/>
      <c r="H19723" s="24"/>
      <c r="I19723" s="24"/>
      <c r="J19723" s="24"/>
      <c r="K19723" s="24"/>
    </row>
    <row r="19724" customFormat="false" ht="15" hidden="false" customHeight="false" outlineLevel="0" collapsed="false">
      <c r="A19724" s="3" t="s">
        <v>499</v>
      </c>
      <c r="C19724" s="25" t="n">
        <f aca="false">SUMPRODUCT(($C$19716:$C$19718=C19716)*$C$19712:$C$19714)</f>
        <v>1315.098</v>
      </c>
    </row>
    <row r="19725" customFormat="false" ht="15" hidden="false" customHeight="false" outlineLevel="0" collapsed="false">
      <c r="A19725" s="3" t="s">
        <v>500</v>
      </c>
      <c r="C19725" s="25" t="n">
        <f aca="false">SUMPRODUCT(($C$19716:$C$19718=C19717)*$C$19712:$C$19714)</f>
        <v>150.08403256832</v>
      </c>
    </row>
    <row r="19726" customFormat="false" ht="15" hidden="false" customHeight="false" outlineLevel="0" collapsed="false">
      <c r="A19726" s="3" t="s">
        <v>501</v>
      </c>
      <c r="C19726" s="25" t="n">
        <f aca="false">SUMPRODUCT(($C$19716:$C$19718=C19718)*$C$19712:$C$19714)</f>
        <v>150.08403256832</v>
      </c>
    </row>
    <row r="19727" customFormat="false" ht="15" hidden="false" customHeight="false" outlineLevel="0" collapsed="false">
      <c r="A19727" s="23" t="s">
        <v>510</v>
      </c>
      <c r="B19727" s="24"/>
      <c r="C19727" s="24"/>
      <c r="D19727" s="24"/>
      <c r="E19727" s="24"/>
      <c r="F19727" s="24"/>
      <c r="G19727" s="24"/>
      <c r="H19727" s="24"/>
      <c r="I19727" s="24"/>
      <c r="J19727" s="24"/>
      <c r="K19727" s="24"/>
    </row>
    <row r="19728" customFormat="false" ht="15" hidden="false" customHeight="false" outlineLevel="0" collapsed="false">
      <c r="A19728" s="3" t="s">
        <v>499</v>
      </c>
      <c r="C19728" s="25" t="n">
        <f aca="false">IF(C19724=0,0,C19712/C19724*MAX(0,MIN(C19724,$C$19690-SUM($C$19704:$C$19706)-C19720)))</f>
        <v>428.3744040576</v>
      </c>
    </row>
    <row r="19729" customFormat="false" ht="15" hidden="false" customHeight="false" outlineLevel="0" collapsed="false">
      <c r="A19729" s="3" t="s">
        <v>500</v>
      </c>
      <c r="C19729" s="25" t="n">
        <f aca="false">IF(C19725=0,0,C19713/C19725*MAX(0,MIN(C19725,$C$19690-SUM($C$19704:$C$19706)-C19721)))</f>
        <v>0</v>
      </c>
    </row>
    <row r="19730" customFormat="false" ht="15" hidden="false" customHeight="false" outlineLevel="0" collapsed="false">
      <c r="A19730" s="3" t="s">
        <v>501</v>
      </c>
      <c r="C19730" s="25" t="n">
        <f aca="false">IF(C19726=0,0,C19714/C19726*MAX(0,MIN(C19726,$C$19690-SUM($C$19704:$C$19706)-C19722)))</f>
        <v>0</v>
      </c>
    </row>
    <row r="19731" customFormat="false" ht="15" hidden="false" customHeight="false" outlineLevel="0" collapsed="false">
      <c r="A19731" s="23" t="s">
        <v>511</v>
      </c>
      <c r="B19731" s="24"/>
      <c r="C19731" s="24"/>
      <c r="D19731" s="24"/>
      <c r="E19731" s="24"/>
      <c r="F19731" s="24"/>
      <c r="G19731" s="24"/>
      <c r="H19731" s="24"/>
      <c r="I19731" s="24"/>
      <c r="J19731" s="24"/>
      <c r="K19731" s="24"/>
    </row>
    <row r="19732" customFormat="false" ht="15" hidden="false" customHeight="false" outlineLevel="0" collapsed="false">
      <c r="A19732" s="2" t="s">
        <v>499</v>
      </c>
      <c r="C19732" s="16" t="n">
        <f aca="false">C19704+C19728</f>
        <v>428.3744040576</v>
      </c>
    </row>
    <row r="19733" customFormat="false" ht="15" hidden="false" customHeight="false" outlineLevel="0" collapsed="false">
      <c r="A19733" s="2" t="s">
        <v>500</v>
      </c>
      <c r="C19733" s="16" t="n">
        <f aca="false">C19705+C19729</f>
        <v>0</v>
      </c>
    </row>
    <row r="19734" customFormat="false" ht="15" hidden="false" customHeight="false" outlineLevel="0" collapsed="false">
      <c r="A19734" s="2" t="s">
        <v>501</v>
      </c>
      <c r="C19734" s="16" t="n">
        <f aca="false">C19706+C19730</f>
        <v>0</v>
      </c>
    </row>
    <row r="19735" customFormat="false" ht="15" hidden="false" customHeight="false" outlineLevel="0" collapsed="false">
      <c r="A19735" s="23" t="s">
        <v>512</v>
      </c>
      <c r="B19735" s="24"/>
      <c r="C19735" s="24"/>
      <c r="D19735" s="24"/>
      <c r="E19735" s="24"/>
      <c r="F19735" s="24"/>
      <c r="G19735" s="24"/>
      <c r="H19735" s="24"/>
      <c r="I19735" s="24"/>
      <c r="J19735" s="24"/>
      <c r="K19735" s="24"/>
    </row>
    <row r="19736" customFormat="false" ht="15" hidden="false" customHeight="false" outlineLevel="0" collapsed="false">
      <c r="A19736" s="3" t="s">
        <v>499</v>
      </c>
      <c r="C19736" s="21" t="n">
        <f aca="false">IF(C19692=0,1,C19732/C19692)</f>
        <v>0.325735727723409</v>
      </c>
    </row>
    <row r="19737" customFormat="false" ht="15" hidden="false" customHeight="false" outlineLevel="0" collapsed="false">
      <c r="A19737" s="3" t="s">
        <v>500</v>
      </c>
      <c r="C19737" s="21" t="n">
        <f aca="false">IF(C19693=0,1,C19733/C19693)</f>
        <v>0</v>
      </c>
    </row>
    <row r="19738" customFormat="false" ht="15" hidden="false" customHeight="false" outlineLevel="0" collapsed="false">
      <c r="A19738" s="3" t="s">
        <v>501</v>
      </c>
      <c r="C19738" s="21" t="n">
        <f aca="false">IF(C19694=0,1,C19734/C19694)</f>
        <v>0</v>
      </c>
    </row>
    <row r="19739" customFormat="false" ht="15" hidden="false" customHeight="false" outlineLevel="0" collapsed="false">
      <c r="A19739" s="23" t="s">
        <v>513</v>
      </c>
      <c r="B19739" s="24"/>
      <c r="C19739" s="24"/>
      <c r="D19739" s="24"/>
      <c r="E19739" s="24"/>
      <c r="F19739" s="24"/>
      <c r="G19739" s="24"/>
      <c r="H19739" s="24"/>
      <c r="I19739" s="24"/>
      <c r="J19739" s="24"/>
      <c r="K19739" s="24"/>
    </row>
    <row r="19740" customFormat="false" ht="15" hidden="false" customHeight="false" outlineLevel="0" collapsed="false">
      <c r="A19740" s="3" t="s">
        <v>499</v>
      </c>
      <c r="C19740" s="25" t="n">
        <f aca="false">C19692-C19732</f>
        <v>886.7235959424</v>
      </c>
    </row>
    <row r="19741" customFormat="false" ht="15" hidden="false" customHeight="false" outlineLevel="0" collapsed="false">
      <c r="A19741" s="3" t="s">
        <v>500</v>
      </c>
      <c r="C19741" s="25" t="n">
        <f aca="false">C19693-C19733</f>
        <v>6.33403256832008</v>
      </c>
    </row>
    <row r="19742" customFormat="false" ht="15" hidden="false" customHeight="false" outlineLevel="0" collapsed="false">
      <c r="A19742" s="3" t="s">
        <v>501</v>
      </c>
      <c r="C19742" s="25" t="n">
        <f aca="false">C19694-C19734</f>
        <v>143.75</v>
      </c>
    </row>
    <row r="19743" customFormat="false" ht="15" hidden="false" customHeight="false" outlineLevel="0" collapsed="false">
      <c r="A19743" s="23" t="s">
        <v>514</v>
      </c>
      <c r="B19743" s="24"/>
      <c r="C19743" s="24"/>
      <c r="D19743" s="24"/>
      <c r="E19743" s="24"/>
      <c r="F19743" s="24"/>
      <c r="G19743" s="24"/>
      <c r="H19743" s="24"/>
      <c r="I19743" s="24"/>
      <c r="J19743" s="24"/>
      <c r="K19743" s="24"/>
    </row>
    <row r="19744" customFormat="false" ht="15" hidden="false" customHeight="false" outlineLevel="0" collapsed="false">
      <c r="A19744" s="3" t="s">
        <v>499</v>
      </c>
      <c r="C19744" s="21" t="n">
        <f aca="false">IF(C19692=0,0,C19740/C19692)</f>
        <v>0.674264272276591</v>
      </c>
    </row>
    <row r="19745" customFormat="false" ht="15" hidden="false" customHeight="false" outlineLevel="0" collapsed="false">
      <c r="A19745" s="3" t="s">
        <v>500</v>
      </c>
      <c r="C19745" s="21" t="n">
        <f aca="false">IF(C19693=0,0,C19741/C19693)</f>
        <v>1</v>
      </c>
    </row>
    <row r="19746" customFormat="false" ht="15" hidden="false" customHeight="false" outlineLevel="0" collapsed="false">
      <c r="A19746" s="3" t="s">
        <v>501</v>
      </c>
      <c r="C19746" s="21" t="n">
        <f aca="false">IF(C19694=0,0,C19742/C19694)</f>
        <v>1</v>
      </c>
    </row>
    <row r="19747" customFormat="false" ht="15" hidden="false" customHeight="false" outlineLevel="0" collapsed="false">
      <c r="A19747" s="2" t="s">
        <v>515</v>
      </c>
      <c r="C19747" s="16" t="n">
        <f aca="false">MAX(0,$C$19690-SUM($C$19704:$C$19706)-SUM($C$19712:$C$19714))</f>
        <v>0</v>
      </c>
    </row>
    <row r="19748" customFormat="false" ht="15" hidden="false" customHeight="false" outlineLevel="0" collapsed="false">
      <c r="A19748" s="3" t="s">
        <v>533</v>
      </c>
      <c r="C19748" s="34" t="n">
        <f aca="false">MIN(C19689,100*CHOOSE(C19679,C19736,C19737,C19738))</f>
        <v>32.5735727723409</v>
      </c>
    </row>
    <row r="19749" customFormat="false" ht="15" hidden="false" customHeight="false" outlineLevel="0" collapsed="false">
      <c r="A19749" s="3" t="s">
        <v>534</v>
      </c>
      <c r="C19749" s="20" t="n">
        <f aca="false">IF(C19609=1,C19684+Assumptions!$C$39,C19683)</f>
        <v>4</v>
      </c>
    </row>
    <row r="19750" customFormat="false" ht="15" hidden="false" customHeight="false" outlineLevel="0" collapsed="false">
      <c r="A19750" s="23" t="s">
        <v>535</v>
      </c>
      <c r="B19750" s="24"/>
      <c r="C19750" s="24"/>
      <c r="D19750" s="24"/>
      <c r="E19750" s="24"/>
      <c r="F19750" s="24"/>
      <c r="G19750" s="24"/>
      <c r="H19750" s="24"/>
      <c r="I19750" s="24"/>
      <c r="J19750" s="24"/>
      <c r="K19750" s="24"/>
    </row>
    <row r="19751" customFormat="false" ht="15" hidden="false" customHeight="false" outlineLevel="0" collapsed="false">
      <c r="A19751" s="3" t="s">
        <v>536</v>
      </c>
      <c r="C19751" s="20" t="n">
        <f aca="false">COLUMN()-COLUMN($C$1)</f>
        <v>0</v>
      </c>
      <c r="D19751" s="20" t="n">
        <f aca="false">COLUMN()-COLUMN($C$1)</f>
        <v>1</v>
      </c>
      <c r="E19751" s="20" t="n">
        <f aca="false">COLUMN()-COLUMN($C$1)</f>
        <v>2</v>
      </c>
      <c r="F19751" s="20" t="n">
        <f aca="false">COLUMN()-COLUMN($C$1)</f>
        <v>3</v>
      </c>
      <c r="G19751" s="20" t="n">
        <f aca="false">COLUMN()-COLUMN($C$1)</f>
        <v>4</v>
      </c>
      <c r="H19751" s="20" t="n">
        <f aca="false">COLUMN()-COLUMN($C$1)</f>
        <v>5</v>
      </c>
      <c r="I19751" s="20" t="n">
        <f aca="false">COLUMN()-COLUMN($C$1)</f>
        <v>6</v>
      </c>
    </row>
    <row r="19752" customFormat="false" ht="15" hidden="false" customHeight="false" outlineLevel="0" collapsed="false">
      <c r="A19752" s="3" t="s">
        <v>537</v>
      </c>
      <c r="D19752" s="31" t="n">
        <f aca="false">CHOOSE($C$19679,G19492,G19505,G19518)</f>
        <v>0.105</v>
      </c>
      <c r="E19752" s="31" t="n">
        <f aca="false">CHOOSE($C$19679,H19492,H19505,H19518)</f>
        <v>0.105</v>
      </c>
      <c r="F19752" s="31" t="n">
        <f aca="false">CHOOSE($C$19679,I19492,I19505,I19518)</f>
        <v>0.105</v>
      </c>
      <c r="G19752" s="31" t="n">
        <f aca="false">CHOOSE($C$19679,J19492,J19505,J19518)</f>
        <v>0.105</v>
      </c>
      <c r="H19752" s="31" t="n">
        <f aca="false">CHOOSE($C$19679,K19492,K19505,K19518)</f>
        <v>0.105</v>
      </c>
    </row>
    <row r="19753" customFormat="false" ht="15" hidden="false" customHeight="false" outlineLevel="0" collapsed="false">
      <c r="A19753" s="3" t="s">
        <v>538</v>
      </c>
      <c r="D19753" s="25" t="n">
        <f aca="false">IF(D19751&lt;=$C$19688,$C$19680*D19752,0)</f>
        <v>10.5</v>
      </c>
      <c r="E19753" s="25" t="n">
        <f aca="false">IF(E19751&lt;=$C$19688,$C$19680*E19752,0)</f>
        <v>10.5</v>
      </c>
      <c r="F19753" s="25" t="n">
        <f aca="false">IF(F19751&lt;=$C$19688,$C$19680*F19752,0)</f>
        <v>10.5</v>
      </c>
      <c r="G19753" s="25" t="n">
        <f aca="false">IF(G19751&lt;=$C$19688,$C$19680*G19752,0)</f>
        <v>0</v>
      </c>
      <c r="H19753" s="25" t="n">
        <f aca="false">IF(H19751&lt;=$C$19688,$C$19680*H19752,0)</f>
        <v>0</v>
      </c>
    </row>
    <row r="19754" customFormat="false" ht="15" hidden="false" customHeight="false" outlineLevel="0" collapsed="false">
      <c r="A19754" s="3" t="s">
        <v>539</v>
      </c>
      <c r="D19754" s="25" t="n">
        <f aca="false">IF(AND($C$19609=0,D19751=$C$19683),$C$19680*$C$19748/100,0)+IF(AND($C$19609=1,D19751=$C$19749),$C$19686,0)</f>
        <v>0</v>
      </c>
      <c r="E19754" s="25" t="n">
        <f aca="false">IF(AND($C$19609=0,E19751=$C$19683),$C$19680*$C$19748/100,0)+IF(AND($C$19609=1,E19751=$C$19749),$C$19686,0)</f>
        <v>0</v>
      </c>
      <c r="F19754" s="25" t="n">
        <f aca="false">IF(AND($C$19609=0,F19751=$C$19683),$C$19680*$C$19748/100,0)+IF(AND($C$19609=1,F19751=$C$19749),$C$19686,0)</f>
        <v>0</v>
      </c>
      <c r="G19754" s="25" t="n">
        <f aca="false">IF(AND($C$19609=0,G19751=$C$19683),$C$19680*$C$19748/100,0)+IF(AND($C$19609=1,G19751=$C$19749),$C$19686,0)</f>
        <v>34.945728090226</v>
      </c>
      <c r="H19754" s="25" t="n">
        <f aca="false">IF(AND($C$19609=0,H19751=$C$19683),$C$19680*$C$19748/100,0)+IF(AND($C$19609=1,H19751=$C$19749),$C$19686,0)</f>
        <v>0</v>
      </c>
      <c r="I19754" s="25" t="n">
        <f aca="false">IF(AND($C$19609=0,I19751=$C$19683),$C$19680*$C$19748/100,0)+IF(AND($C$19609=1,I19751=$C$19749),$C$19686,0)</f>
        <v>0</v>
      </c>
    </row>
    <row r="19755" customFormat="false" ht="15" hidden="false" customHeight="false" outlineLevel="0" collapsed="false">
      <c r="A19755" s="2" t="s">
        <v>540</v>
      </c>
      <c r="C19755" s="16" t="n">
        <f aca="false">-$C$19682</f>
        <v>-95</v>
      </c>
      <c r="D19755" s="16" t="n">
        <f aca="false">D19753+D19754</f>
        <v>10.5</v>
      </c>
      <c r="E19755" s="16" t="n">
        <f aca="false">E19753+E19754</f>
        <v>10.5</v>
      </c>
      <c r="F19755" s="16" t="n">
        <f aca="false">F19753+F19754</f>
        <v>10.5</v>
      </c>
      <c r="G19755" s="16" t="n">
        <f aca="false">G19753+G19754</f>
        <v>34.945728090226</v>
      </c>
      <c r="H19755" s="16" t="n">
        <f aca="false">H19753+H19754</f>
        <v>0</v>
      </c>
      <c r="I19755" s="16" t="n">
        <f aca="false">I19753+I19754</f>
        <v>0</v>
      </c>
    </row>
    <row r="19756" customFormat="false" ht="15" hidden="false" customHeight="false" outlineLevel="0" collapsed="false">
      <c r="A19756" s="3" t="s">
        <v>541</v>
      </c>
      <c r="C19756" s="25" t="n">
        <f aca="false">SUM($C$19753:$I$19753)</f>
        <v>31.5</v>
      </c>
    </row>
    <row r="19757" customFormat="false" ht="15" hidden="false" customHeight="false" outlineLevel="0" collapsed="false">
      <c r="A19757" s="3" t="s">
        <v>542</v>
      </c>
      <c r="C19757" s="25" t="n">
        <f aca="false">SUM($C$19754:$I$19754)</f>
        <v>34.945728090226</v>
      </c>
    </row>
    <row r="19758" customFormat="false" ht="15" hidden="false" customHeight="false" outlineLevel="0" collapsed="false">
      <c r="A19758" s="3" t="s">
        <v>543</v>
      </c>
      <c r="C19758" s="25" t="n">
        <f aca="false">C19756+C19757</f>
        <v>66.445728090226</v>
      </c>
    </row>
    <row r="19759" customFormat="false" ht="15" hidden="false" customHeight="false" outlineLevel="0" collapsed="false">
      <c r="A19759" s="3" t="s">
        <v>544</v>
      </c>
      <c r="C19759" s="25" t="n">
        <f aca="false">C19757-C19680*C19681/100</f>
        <v>-60.054271909774</v>
      </c>
    </row>
    <row r="19760" customFormat="false" ht="15" hidden="false" customHeight="false" outlineLevel="0" collapsed="false">
      <c r="A19760" s="3" t="s">
        <v>545</v>
      </c>
      <c r="C19760" s="25" t="n">
        <f aca="false">C19758-C19682</f>
        <v>-28.554271909774</v>
      </c>
    </row>
    <row r="19761" customFormat="false" ht="15" hidden="false" customHeight="false" outlineLevel="0" collapsed="false">
      <c r="A19761" s="2" t="s">
        <v>427</v>
      </c>
      <c r="C19761" s="44" t="n">
        <f aca="false">C19758/C19682</f>
        <v>0.699428716739221</v>
      </c>
    </row>
    <row r="19762" customFormat="false" ht="15" hidden="false" customHeight="false" outlineLevel="0" collapsed="false">
      <c r="A19762" s="2" t="s">
        <v>426</v>
      </c>
      <c r="C19762" s="42" t="n">
        <f aca="false">IF(C19758&lt;=0,-1,IFERROR(IRR($C$19755:$I$19755,MAX(-0.9,C19761^(1/C19749)-1)),IRR($C$19755:$I$19755,0.1)))</f>
        <v>-0.10811295237651</v>
      </c>
    </row>
    <row r="19763" customFormat="false" ht="15" hidden="false" customHeight="false" outlineLevel="0" collapsed="false">
      <c r="A19763" s="3" t="s">
        <v>546</v>
      </c>
      <c r="C19763" s="32" t="n">
        <f aca="false">MAX($G$19569:$K$19569)</f>
        <v>17.6426302993449</v>
      </c>
    </row>
    <row r="19764" customFormat="false" ht="15" hidden="false" customHeight="false" outlineLevel="0" collapsed="false">
      <c r="A19764" s="3" t="s">
        <v>547</v>
      </c>
      <c r="C19764" s="32" t="n">
        <f aca="false">MIN($G$19570:$K$19570)</f>
        <v>0.641091448545568</v>
      </c>
    </row>
    <row r="19765" customFormat="false" ht="15" hidden="false" customHeight="false" outlineLevel="0" collapsed="false">
      <c r="A19765" s="3" t="s">
        <v>548</v>
      </c>
      <c r="C19765" s="25" t="n">
        <f aca="false">SUM($G$19476:$K$19476)</f>
        <v>-362.406198194027</v>
      </c>
    </row>
    <row r="19769" customFormat="false" ht="15" hidden="false" customHeight="false" outlineLevel="0" collapsed="false">
      <c r="A19769" s="9" t="s">
        <v>1075</v>
      </c>
      <c r="B19769" s="10"/>
      <c r="C19769" s="10"/>
      <c r="D19769" s="10"/>
      <c r="E19769" s="10"/>
      <c r="F19769" s="10"/>
      <c r="G19769" s="10"/>
      <c r="H19769" s="10"/>
      <c r="I19769" s="10"/>
      <c r="J19769" s="10"/>
      <c r="K19769" s="10"/>
    </row>
    <row r="19770" customFormat="false" ht="15" hidden="false" customHeight="false" outlineLevel="0" collapsed="false">
      <c r="A19770" s="3" t="s">
        <v>1010</v>
      </c>
      <c r="C19770" s="11" t="n">
        <v>3</v>
      </c>
    </row>
    <row r="19771" customFormat="false" ht="15" hidden="false" customHeight="false" outlineLevel="0" collapsed="false">
      <c r="A19771" s="3" t="s">
        <v>1011</v>
      </c>
      <c r="C19771" s="18" t="n">
        <v>0</v>
      </c>
    </row>
    <row r="19772" customFormat="false" ht="15" hidden="false" customHeight="false" outlineLevel="0" collapsed="false">
      <c r="A19772" s="3" t="s">
        <v>1012</v>
      </c>
      <c r="C19772" s="18" t="n">
        <v>0</v>
      </c>
    </row>
    <row r="19773" customFormat="false" ht="15" hidden="false" customHeight="false" outlineLevel="0" collapsed="false">
      <c r="A19773" s="3" t="s">
        <v>1013</v>
      </c>
      <c r="C19773" s="18" t="n">
        <v>0</v>
      </c>
    </row>
    <row r="19774" customFormat="false" ht="15" hidden="false" customHeight="false" outlineLevel="0" collapsed="false">
      <c r="A19774" s="3" t="s">
        <v>1014</v>
      </c>
      <c r="C19774" s="33" t="n">
        <f aca="false">Sensitivities!$A$63</f>
        <v>1</v>
      </c>
    </row>
    <row r="19776" customFormat="false" ht="15" hidden="false" customHeight="false" outlineLevel="0" collapsed="false">
      <c r="A19776" s="23" t="s">
        <v>281</v>
      </c>
      <c r="B19776" s="24"/>
      <c r="C19776" s="24"/>
      <c r="D19776" s="24"/>
      <c r="E19776" s="24"/>
      <c r="F19776" s="24"/>
      <c r="G19776" s="24"/>
      <c r="H19776" s="24"/>
      <c r="I19776" s="24"/>
      <c r="J19776" s="24"/>
      <c r="K19776" s="24"/>
    </row>
    <row r="19777" customFormat="false" ht="15" hidden="false" customHeight="false" outlineLevel="0" collapsed="false">
      <c r="A19777" s="3" t="s">
        <v>282</v>
      </c>
      <c r="F19777" s="27" t="n">
        <f aca="false">Assumptions!$C$6</f>
        <v>2026</v>
      </c>
      <c r="G19777" s="20" t="n">
        <f aca="false">F19777+1</f>
        <v>2027</v>
      </c>
      <c r="H19777" s="20" t="n">
        <f aca="false">G19777+1</f>
        <v>2028</v>
      </c>
      <c r="I19777" s="20" t="n">
        <f aca="false">H19777+1</f>
        <v>2029</v>
      </c>
      <c r="J19777" s="20" t="n">
        <f aca="false">I19777+1</f>
        <v>2030</v>
      </c>
      <c r="K19777" s="20" t="n">
        <f aca="false">J19777+1</f>
        <v>2031</v>
      </c>
    </row>
    <row r="19778" customFormat="false" ht="15" hidden="false" customHeight="false" outlineLevel="0" collapsed="false">
      <c r="A19778" s="3" t="s">
        <v>283</v>
      </c>
      <c r="G19778" s="20" t="n">
        <f aca="false">G19777-Assumptions!$C$6</f>
        <v>1</v>
      </c>
      <c r="H19778" s="20" t="n">
        <f aca="false">H19777-Assumptions!$C$6</f>
        <v>2</v>
      </c>
      <c r="I19778" s="20" t="n">
        <f aca="false">I19777-Assumptions!$C$6</f>
        <v>3</v>
      </c>
      <c r="J19778" s="20" t="n">
        <f aca="false">J19777-Assumptions!$C$6</f>
        <v>4</v>
      </c>
      <c r="K19778" s="20" t="n">
        <f aca="false">K19777-Assumptions!$C$6</f>
        <v>5</v>
      </c>
    </row>
    <row r="19779" customFormat="false" ht="15" hidden="false" customHeight="false" outlineLevel="0" collapsed="false">
      <c r="A19779" s="3" t="s">
        <v>165</v>
      </c>
      <c r="G19779" s="21" t="n">
        <f aca="false">CHOOSE($C$19770,Assumptions!$G$71,Assumptions!$G$90,Assumptions!$G$109)+$C$19771</f>
        <v>-0.14</v>
      </c>
      <c r="H19779" s="21" t="n">
        <f aca="false">CHOOSE($C$19770,Assumptions!$H$71,Assumptions!$H$90,Assumptions!$H$109)+$C$19771</f>
        <v>-0.12</v>
      </c>
      <c r="I19779" s="21" t="n">
        <f aca="false">CHOOSE($C$19770,Assumptions!$I$71,Assumptions!$I$90,Assumptions!$I$109)+$C$19771</f>
        <v>-0.1</v>
      </c>
      <c r="J19779" s="21" t="n">
        <f aca="false">CHOOSE($C$19770,Assumptions!$J$71,Assumptions!$J$90,Assumptions!$J$109)+$C$19771</f>
        <v>-0.08</v>
      </c>
      <c r="K19779" s="21" t="n">
        <f aca="false">CHOOSE($C$19770,Assumptions!$K$71,Assumptions!$K$90,Assumptions!$K$109)+$C$19771</f>
        <v>-0.06</v>
      </c>
    </row>
    <row r="19780" customFormat="false" ht="15" hidden="false" customHeight="false" outlineLevel="0" collapsed="false">
      <c r="A19780" s="3" t="s">
        <v>166</v>
      </c>
      <c r="G19780" s="21" t="n">
        <f aca="false">CHOOSE($C$19770,Assumptions!$G$72,Assumptions!$G$91,Assumptions!$G$110)</f>
        <v>0.433246670103635</v>
      </c>
      <c r="H19780" s="21" t="n">
        <f aca="false">CHOOSE($C$19770,Assumptions!$H$72,Assumptions!$H$91,Assumptions!$H$110)</f>
        <v>0.418246670103635</v>
      </c>
      <c r="I19780" s="21" t="n">
        <f aca="false">CHOOSE($C$19770,Assumptions!$I$72,Assumptions!$I$91,Assumptions!$I$110)</f>
        <v>0.413246670103635</v>
      </c>
      <c r="J19780" s="21" t="n">
        <f aca="false">CHOOSE($C$19770,Assumptions!$J$72,Assumptions!$J$91,Assumptions!$J$110)</f>
        <v>0.413246670103635</v>
      </c>
      <c r="K19780" s="21" t="n">
        <f aca="false">CHOOSE($C$19770,Assumptions!$K$72,Assumptions!$K$91,Assumptions!$K$110)</f>
        <v>0.413246670103635</v>
      </c>
    </row>
    <row r="19781" customFormat="false" ht="15" hidden="false" customHeight="false" outlineLevel="0" collapsed="false">
      <c r="A19781" s="3" t="s">
        <v>167</v>
      </c>
      <c r="G19781" s="21" t="n">
        <f aca="false">CHOOSE($C$19770,Assumptions!$G$73,Assumptions!$G$92,Assumptions!$G$111)+$C$19772</f>
        <v>0.09</v>
      </c>
      <c r="H19781" s="21" t="n">
        <f aca="false">CHOOSE($C$19770,Assumptions!$H$73,Assumptions!$H$92,Assumptions!$H$111)+$C$19772</f>
        <v>0.075</v>
      </c>
      <c r="I19781" s="21" t="n">
        <f aca="false">CHOOSE($C$19770,Assumptions!$I$73,Assumptions!$I$92,Assumptions!$I$111)+$C$19772</f>
        <v>0.07</v>
      </c>
      <c r="J19781" s="21" t="n">
        <f aca="false">CHOOSE($C$19770,Assumptions!$J$73,Assumptions!$J$92,Assumptions!$J$111)+$C$19772</f>
        <v>0.07</v>
      </c>
      <c r="K19781" s="21" t="n">
        <f aca="false">CHOOSE($C$19770,Assumptions!$K$73,Assumptions!$K$92,Assumptions!$K$111)+$C$19772</f>
        <v>0.07</v>
      </c>
    </row>
    <row r="19782" customFormat="false" ht="15" hidden="false" customHeight="false" outlineLevel="0" collapsed="false">
      <c r="A19782" s="23" t="s">
        <v>284</v>
      </c>
      <c r="B19782" s="24"/>
      <c r="C19782" s="24"/>
      <c r="D19782" s="24"/>
      <c r="E19782" s="24"/>
      <c r="F19782" s="24"/>
      <c r="G19782" s="24"/>
      <c r="H19782" s="24"/>
      <c r="I19782" s="24"/>
      <c r="J19782" s="24"/>
      <c r="K19782" s="24"/>
    </row>
    <row r="19783" customFormat="false" ht="15" hidden="false" customHeight="false" outlineLevel="0" collapsed="false">
      <c r="A19783" s="2" t="s">
        <v>256</v>
      </c>
      <c r="F19783" s="28" t="n">
        <f aca="false">'Historical Financials'!G23</f>
        <v>2246.166</v>
      </c>
      <c r="G19783" s="16" t="n">
        <f aca="false">F19783*(1+G19779)</f>
        <v>1931.70276</v>
      </c>
      <c r="H19783" s="16" t="n">
        <f aca="false">G19783*(1+H19779)</f>
        <v>1699.8984288</v>
      </c>
      <c r="I19783" s="16" t="n">
        <f aca="false">H19783*(1+I19779)</f>
        <v>1529.90858592</v>
      </c>
      <c r="J19783" s="16" t="n">
        <f aca="false">I19783*(1+J19779)</f>
        <v>1407.5158990464</v>
      </c>
      <c r="K19783" s="16" t="n">
        <f aca="false">J19783*(1+K19779)</f>
        <v>1323.06494510362</v>
      </c>
    </row>
    <row r="19784" customFormat="false" ht="15" hidden="false" customHeight="false" outlineLevel="0" collapsed="false">
      <c r="A19784" s="3" t="s">
        <v>257</v>
      </c>
      <c r="G19784" s="25" t="n">
        <f aca="false">G19783*(1-G19780)</f>
        <v>1094.7989716</v>
      </c>
      <c r="H19784" s="25" t="n">
        <f aca="false">H19783*(1-H19780)</f>
        <v>988.92157144</v>
      </c>
      <c r="I19784" s="25" t="n">
        <f aca="false">I19783*(1-I19780)</f>
        <v>897.6789572256</v>
      </c>
      <c r="J19784" s="25" t="n">
        <f aca="false">J19783*(1-J19780)</f>
        <v>825.864640647552</v>
      </c>
      <c r="K19784" s="25" t="n">
        <f aca="false">K19783*(1-K19780)</f>
        <v>776.312762208699</v>
      </c>
    </row>
    <row r="19785" customFormat="false" ht="15" hidden="false" customHeight="false" outlineLevel="0" collapsed="false">
      <c r="A19785" s="2" t="s">
        <v>258</v>
      </c>
      <c r="G19785" s="16" t="n">
        <f aca="false">G19783-G19784</f>
        <v>836.9037884</v>
      </c>
      <c r="H19785" s="16" t="n">
        <f aca="false">H19783-H19784</f>
        <v>710.97685736</v>
      </c>
      <c r="I19785" s="16" t="n">
        <f aca="false">I19783-I19784</f>
        <v>632.2296286944</v>
      </c>
      <c r="J19785" s="16" t="n">
        <f aca="false">J19783-J19784</f>
        <v>581.651258398848</v>
      </c>
      <c r="K19785" s="16" t="n">
        <f aca="false">K19783-K19784</f>
        <v>546.752182894917</v>
      </c>
    </row>
    <row r="19786" customFormat="false" ht="15" hidden="false" customHeight="false" outlineLevel="0" collapsed="false">
      <c r="A19786" s="3" t="s">
        <v>285</v>
      </c>
      <c r="G19786" s="25" t="n">
        <f aca="false">G19785-G19787</f>
        <v>663.05054</v>
      </c>
      <c r="H19786" s="25" t="n">
        <f aca="false">H19785-H19787</f>
        <v>583.4844752</v>
      </c>
      <c r="I19786" s="25" t="n">
        <f aca="false">I19785-I19787</f>
        <v>525.13602768</v>
      </c>
      <c r="J19786" s="25" t="n">
        <f aca="false">J19785-J19787</f>
        <v>483.1251454656</v>
      </c>
      <c r="K19786" s="25" t="n">
        <f aca="false">K19785-K19787</f>
        <v>454.137636737664</v>
      </c>
    </row>
    <row r="19787" customFormat="false" ht="15" hidden="false" customHeight="false" outlineLevel="0" collapsed="false">
      <c r="A19787" s="2" t="s">
        <v>286</v>
      </c>
      <c r="G19787" s="16" t="n">
        <f aca="false">G19783*G19781</f>
        <v>173.8532484</v>
      </c>
      <c r="H19787" s="16" t="n">
        <f aca="false">H19783*H19781</f>
        <v>127.49238216</v>
      </c>
      <c r="I19787" s="16" t="n">
        <f aca="false">I19783*I19781</f>
        <v>107.0936010144</v>
      </c>
      <c r="J19787" s="16" t="n">
        <f aca="false">J19783*J19781</f>
        <v>98.526112933248</v>
      </c>
      <c r="K19787" s="16" t="n">
        <f aca="false">K19783*K19781</f>
        <v>92.6145461572531</v>
      </c>
    </row>
    <row r="19788" customFormat="false" ht="15" hidden="false" customHeight="false" outlineLevel="0" collapsed="false">
      <c r="A19788" s="3" t="s">
        <v>287</v>
      </c>
      <c r="G19788" s="25" t="n">
        <f aca="false">G19783*'Historical Financials'!G28/'Historical Financials'!G23</f>
        <v>73.35456</v>
      </c>
      <c r="H19788" s="25" t="n">
        <f aca="false">H19783*'Historical Financials'!G28/'Historical Financials'!G23</f>
        <v>64.5520128</v>
      </c>
      <c r="I19788" s="25" t="n">
        <f aca="false">I19783*'Historical Financials'!G28/'Historical Financials'!G23</f>
        <v>58.09681152</v>
      </c>
      <c r="J19788" s="25" t="n">
        <f aca="false">J19783*'Historical Financials'!G28/'Historical Financials'!G23</f>
        <v>53.4490665984</v>
      </c>
      <c r="K19788" s="25" t="n">
        <f aca="false">K19783*'Historical Financials'!G28/'Historical Financials'!G23</f>
        <v>50.242122602496</v>
      </c>
    </row>
    <row r="19789" customFormat="false" ht="15" hidden="false" customHeight="false" outlineLevel="0" collapsed="false">
      <c r="A19789" s="3" t="s">
        <v>288</v>
      </c>
      <c r="G19789" s="25" t="n">
        <f aca="false">G19783*'Historical Financials'!G29/'Historical Financials'!G23</f>
        <v>20.94616</v>
      </c>
      <c r="H19789" s="25" t="n">
        <f aca="false">H19783*'Historical Financials'!G29/'Historical Financials'!G23</f>
        <v>18.4326208</v>
      </c>
      <c r="I19789" s="25" t="n">
        <f aca="false">I19783*'Historical Financials'!G29/'Historical Financials'!G23</f>
        <v>16.58935872</v>
      </c>
      <c r="J19789" s="25" t="n">
        <f aca="false">J19783*'Historical Financials'!G29/'Historical Financials'!G23</f>
        <v>15.2622100224</v>
      </c>
      <c r="K19789" s="25" t="n">
        <f aca="false">K19783*'Historical Financials'!G29/'Historical Financials'!G23</f>
        <v>14.346477421056</v>
      </c>
    </row>
    <row r="19790" customFormat="false" ht="15" hidden="false" customHeight="false" outlineLevel="0" collapsed="false">
      <c r="A19790" s="2" t="s">
        <v>289</v>
      </c>
      <c r="G19790" s="16" t="n">
        <f aca="false">G19787-G19788-G19789</f>
        <v>79.5525284</v>
      </c>
      <c r="H19790" s="16" t="n">
        <f aca="false">H19787-H19788-H19789</f>
        <v>44.50774856</v>
      </c>
      <c r="I19790" s="16" t="n">
        <f aca="false">I19787-I19788-I19789</f>
        <v>32.4074307744</v>
      </c>
      <c r="J19790" s="16" t="n">
        <f aca="false">J19787-J19788-J19789</f>
        <v>29.814836312448</v>
      </c>
      <c r="K19790" s="16" t="n">
        <f aca="false">K19787-K19788-K19789</f>
        <v>28.0259461337011</v>
      </c>
    </row>
    <row r="19791" customFormat="false" ht="15" hidden="false" customHeight="false" outlineLevel="0" collapsed="false">
      <c r="A19791" s="3" t="s">
        <v>290</v>
      </c>
      <c r="G19791" s="25" t="n">
        <f aca="false">G19817+G19830+G19843</f>
        <v>155.95467</v>
      </c>
      <c r="H19791" s="25" t="n">
        <f aca="false">H19817+H19830+H19843</f>
        <v>155.95467</v>
      </c>
      <c r="I19791" s="25" t="n">
        <f aca="false">I19817+I19830+I19843</f>
        <v>155.95467</v>
      </c>
      <c r="J19791" s="25" t="n">
        <f aca="false">J19817+J19830+J19843</f>
        <v>144.463861384154</v>
      </c>
      <c r="K19791" s="25" t="n">
        <f aca="false">K19817+K19830+K19843</f>
        <v>144.463861384154</v>
      </c>
    </row>
    <row r="19792" customFormat="false" ht="15" hidden="false" customHeight="false" outlineLevel="0" collapsed="false">
      <c r="A19792" s="3" t="s">
        <v>291</v>
      </c>
      <c r="G19792" s="25" t="n">
        <f aca="false">G19818+G19831+G19844</f>
        <v>0</v>
      </c>
      <c r="H19792" s="25" t="n">
        <f aca="false">H19818+H19831+H19844</f>
        <v>0</v>
      </c>
      <c r="I19792" s="25" t="n">
        <f aca="false">I19818+I19831+I19844</f>
        <v>0</v>
      </c>
      <c r="J19792" s="25" t="n">
        <f aca="false">J19818+J19831+J19844</f>
        <v>0</v>
      </c>
      <c r="K19792" s="25" t="n">
        <f aca="false">K19818+K19831+K19844</f>
        <v>0</v>
      </c>
    </row>
    <row r="19793" customFormat="false" ht="15" hidden="false" customHeight="false" outlineLevel="0" collapsed="false">
      <c r="A19793" s="3" t="s">
        <v>239</v>
      </c>
      <c r="G19793" s="25" t="n">
        <f aca="false">G19791+G19792</f>
        <v>155.95467</v>
      </c>
      <c r="H19793" s="25" t="n">
        <f aca="false">H19791+H19792</f>
        <v>155.95467</v>
      </c>
      <c r="I19793" s="25" t="n">
        <f aca="false">I19791+I19792</f>
        <v>155.95467</v>
      </c>
      <c r="J19793" s="25" t="n">
        <f aca="false">J19791+J19792</f>
        <v>144.463861384154</v>
      </c>
      <c r="K19793" s="25" t="n">
        <f aca="false">K19791+K19792</f>
        <v>144.463861384154</v>
      </c>
    </row>
    <row r="19794" customFormat="false" ht="15" hidden="false" customHeight="false" outlineLevel="0" collapsed="false">
      <c r="A19794" s="2" t="s">
        <v>264</v>
      </c>
      <c r="G19794" s="16" t="n">
        <f aca="false">G19790-G19793</f>
        <v>-76.4021416</v>
      </c>
      <c r="H19794" s="16" t="n">
        <f aca="false">H19790-H19793</f>
        <v>-111.44692144</v>
      </c>
      <c r="I19794" s="16" t="n">
        <f aca="false">I19790-I19793</f>
        <v>-123.5472392256</v>
      </c>
      <c r="J19794" s="16" t="n">
        <f aca="false">J19790-J19793</f>
        <v>-114.649025071706</v>
      </c>
      <c r="K19794" s="16" t="n">
        <f aca="false">K19790-K19793</f>
        <v>-116.437915250452</v>
      </c>
    </row>
    <row r="19795" customFormat="false" ht="15" hidden="false" customHeight="false" outlineLevel="0" collapsed="false">
      <c r="A19795" s="3" t="s">
        <v>292</v>
      </c>
      <c r="G19795" s="25" t="n">
        <f aca="false">MAX(0,G19794)*Assumptions!$C$9</f>
        <v>0</v>
      </c>
      <c r="H19795" s="25" t="n">
        <f aca="false">MAX(0,H19794)*Assumptions!$C$9</f>
        <v>0</v>
      </c>
      <c r="I19795" s="25" t="n">
        <f aca="false">MAX(0,I19794)*Assumptions!$C$9</f>
        <v>0</v>
      </c>
      <c r="J19795" s="25" t="n">
        <f aca="false">MAX(0,J19794)*Assumptions!$C$9</f>
        <v>0</v>
      </c>
      <c r="K19795" s="25" t="n">
        <f aca="false">MAX(0,K19794)*Assumptions!$C$9</f>
        <v>0</v>
      </c>
    </row>
    <row r="19796" customFormat="false" ht="15" hidden="false" customHeight="false" outlineLevel="0" collapsed="false">
      <c r="A19796" s="2" t="s">
        <v>293</v>
      </c>
      <c r="G19796" s="16" t="n">
        <f aca="false">G19794-G19795</f>
        <v>-76.4021416</v>
      </c>
      <c r="H19796" s="16" t="n">
        <f aca="false">H19794-H19795</f>
        <v>-111.44692144</v>
      </c>
      <c r="I19796" s="16" t="n">
        <f aca="false">I19794-I19795</f>
        <v>-123.5472392256</v>
      </c>
      <c r="J19796" s="16" t="n">
        <f aca="false">J19794-J19795</f>
        <v>-114.649025071706</v>
      </c>
      <c r="K19796" s="16" t="n">
        <f aca="false">K19794-K19795</f>
        <v>-116.437915250452</v>
      </c>
    </row>
    <row r="19797" customFormat="false" ht="15" hidden="false" customHeight="false" outlineLevel="0" collapsed="false">
      <c r="A19797" s="23" t="s">
        <v>294</v>
      </c>
      <c r="B19797" s="24"/>
      <c r="C19797" s="24"/>
      <c r="D19797" s="24"/>
      <c r="E19797" s="24"/>
      <c r="F19797" s="24"/>
      <c r="G19797" s="24"/>
      <c r="H19797" s="24"/>
      <c r="I19797" s="24"/>
      <c r="J19797" s="24"/>
      <c r="K19797" s="24"/>
    </row>
    <row r="19798" customFormat="false" ht="15" hidden="false" customHeight="false" outlineLevel="0" collapsed="false">
      <c r="A19798" s="3" t="s">
        <v>169</v>
      </c>
      <c r="G19798" s="25" t="n">
        <f aca="false">G19783*CHOOSE($C$19770,Assumptions!$C$75,Assumptions!$C$94,Assumptions!$C$113)</f>
        <v>21.24873036</v>
      </c>
      <c r="H19798" s="25" t="n">
        <f aca="false">H19783*CHOOSE($C$19770,Assumptions!$C$75,Assumptions!$C$94,Assumptions!$C$113)</f>
        <v>18.6988827168</v>
      </c>
      <c r="I19798" s="25" t="n">
        <f aca="false">I19783*CHOOSE($C$19770,Assumptions!$C$75,Assumptions!$C$94,Assumptions!$C$113)</f>
        <v>16.82899444512</v>
      </c>
      <c r="J19798" s="25" t="n">
        <f aca="false">J19783*CHOOSE($C$19770,Assumptions!$C$75,Assumptions!$C$94,Assumptions!$C$113)</f>
        <v>15.4826748895104</v>
      </c>
      <c r="K19798" s="25" t="n">
        <f aca="false">K19783*CHOOSE($C$19770,Assumptions!$C$75,Assumptions!$C$94,Assumptions!$C$113)</f>
        <v>14.5537143961398</v>
      </c>
    </row>
    <row r="19799" customFormat="false" ht="15" hidden="false" customHeight="false" outlineLevel="0" collapsed="false">
      <c r="A19799" s="3" t="s">
        <v>295</v>
      </c>
      <c r="G19799" s="25" t="n">
        <f aca="false">CHOOSE($C$19770,Assumptions!$C$76,Assumptions!$C$95,Assumptions!$C$114)*(G19783-F19783)+CHOOSE($C$19770,Assumptions!$C$77,Assumptions!$C$96,Assumptions!$C$115)*G19783</f>
        <v>28.9755414</v>
      </c>
      <c r="H19799" s="25" t="n">
        <f aca="false">CHOOSE($C$19770,Assumptions!$C$76,Assumptions!$C$95,Assumptions!$C$114)*(H19783-G19783)+CHOOSE($C$19770,Assumptions!$C$77,Assumptions!$C$96,Assumptions!$C$115)*H19783</f>
        <v>25.498476432</v>
      </c>
      <c r="I19799" s="25" t="n">
        <f aca="false">CHOOSE($C$19770,Assumptions!$C$76,Assumptions!$C$95,Assumptions!$C$114)*(I19783-H19783)+CHOOSE($C$19770,Assumptions!$C$77,Assumptions!$C$96,Assumptions!$C$115)*I19783</f>
        <v>22.9486287888</v>
      </c>
      <c r="J19799" s="25" t="n">
        <f aca="false">CHOOSE($C$19770,Assumptions!$C$76,Assumptions!$C$95,Assumptions!$C$114)*(J19783-I19783)+CHOOSE($C$19770,Assumptions!$C$77,Assumptions!$C$96,Assumptions!$C$115)*J19783</f>
        <v>21.112738485696</v>
      </c>
      <c r="K19799" s="25" t="n">
        <f aca="false">CHOOSE($C$19770,Assumptions!$C$76,Assumptions!$C$95,Assumptions!$C$114)*(K19783-J19783)+CHOOSE($C$19770,Assumptions!$C$77,Assumptions!$C$96,Assumptions!$C$115)*K19783</f>
        <v>19.8459741765542</v>
      </c>
    </row>
    <row r="19800" customFormat="false" ht="15" hidden="false" customHeight="false" outlineLevel="0" collapsed="false">
      <c r="A19800" s="2" t="s">
        <v>296</v>
      </c>
      <c r="G19800" s="16" t="n">
        <f aca="false">G19796+G19788+G19789+G19792-G19798-G19799</f>
        <v>-32.32569336</v>
      </c>
      <c r="H19800" s="16" t="n">
        <f aca="false">H19796+H19788+H19789+H19792-H19798-H19799</f>
        <v>-72.6596469888</v>
      </c>
      <c r="I19800" s="16" t="n">
        <f aca="false">I19796+I19788+I19789+I19792-I19798-I19799</f>
        <v>-88.63869221952</v>
      </c>
      <c r="J19800" s="16" t="n">
        <f aca="false">J19796+J19788+J19789+J19792-J19798-J19799</f>
        <v>-82.533161826112</v>
      </c>
      <c r="K19800" s="16" t="n">
        <f aca="false">K19796+K19788+K19789+K19792-K19798-K19799</f>
        <v>-86.2490037995945</v>
      </c>
    </row>
    <row r="19802" customFormat="false" ht="15" hidden="false" customHeight="false" outlineLevel="0" collapsed="false">
      <c r="A19802" s="23" t="s">
        <v>298</v>
      </c>
      <c r="B19802" s="24"/>
      <c r="C19802" s="24"/>
      <c r="D19802" s="24"/>
      <c r="E19802" s="24"/>
      <c r="F19802" s="24"/>
      <c r="G19802" s="24"/>
      <c r="H19802" s="24"/>
      <c r="I19802" s="24"/>
      <c r="J19802" s="24"/>
      <c r="K19802" s="24"/>
    </row>
    <row r="19803" customFormat="false" ht="15" hidden="false" customHeight="false" outlineLevel="0" collapsed="false">
      <c r="A19803" s="3" t="s">
        <v>299</v>
      </c>
      <c r="G19803" s="30" t="n">
        <f aca="false">Assumptions!$G$52</f>
        <v>0.039</v>
      </c>
      <c r="H19803" s="30" t="n">
        <f aca="false">Assumptions!$H$52</f>
        <v>0.0375</v>
      </c>
      <c r="I19803" s="30" t="n">
        <f aca="false">Assumptions!$I$52</f>
        <v>0.035</v>
      </c>
      <c r="J19803" s="30" t="n">
        <f aca="false">Assumptions!$J$52</f>
        <v>0.035</v>
      </c>
      <c r="K19803" s="30" t="n">
        <f aca="false">Assumptions!$K$52</f>
        <v>0.035</v>
      </c>
    </row>
    <row r="19804" customFormat="false" ht="15" hidden="false" customHeight="false" outlineLevel="0" collapsed="false">
      <c r="A19804" s="3" t="s">
        <v>300</v>
      </c>
      <c r="C19804" s="31" t="n">
        <f aca="false">CHOOSE($C$19770,Assumptions!$C$78,Assumptions!$C$97,Assumptions!$C$116)+$C$19773</f>
        <v>0.03</v>
      </c>
    </row>
    <row r="19805" customFormat="false" ht="15" hidden="false" customHeight="false" outlineLevel="0" collapsed="false">
      <c r="A19805" s="3" t="s">
        <v>301</v>
      </c>
      <c r="C19805" s="31" t="n">
        <f aca="false">CHOOSE($C$19770,Assumptions!$C$79,Assumptions!$C$98,Assumptions!$C$117)</f>
        <v>0.15</v>
      </c>
    </row>
    <row r="19806" customFormat="false" ht="15" hidden="false" customHeight="false" outlineLevel="0" collapsed="false">
      <c r="A19806" s="3" t="s">
        <v>302</v>
      </c>
      <c r="C19806" s="32" t="n">
        <f aca="false">CHOOSE($C$19770,Assumptions!$C$80,Assumptions!$C$99,Assumptions!$C$118)</f>
        <v>5</v>
      </c>
    </row>
    <row r="19807" customFormat="false" ht="15" hidden="false" customHeight="false" outlineLevel="0" collapsed="false">
      <c r="A19807" s="3" t="s">
        <v>303</v>
      </c>
      <c r="C19807" s="32" t="n">
        <f aca="false">CHOOSE($C$19770,Assumptions!$C$81,Assumptions!$C$100,Assumptions!$C$119)</f>
        <v>1.75</v>
      </c>
    </row>
    <row r="19808" customFormat="false" ht="15" hidden="false" customHeight="false" outlineLevel="0" collapsed="false">
      <c r="A19808" s="3" t="s">
        <v>304</v>
      </c>
      <c r="G19808" s="25" t="n">
        <f aca="false">G19813+G19826+G19839</f>
        <v>1735.554</v>
      </c>
      <c r="H19808" s="25" t="n">
        <f aca="false">H19813+H19826+H19839</f>
        <v>1735.554</v>
      </c>
      <c r="I19808" s="25" t="n">
        <f aca="false">I19813+I19826+I19839</f>
        <v>1735.554</v>
      </c>
      <c r="J19808" s="25" t="n">
        <f aca="false">J19813+J19826+J19839</f>
        <v>1465.18203256832</v>
      </c>
      <c r="K19808" s="25" t="n">
        <f aca="false">K19813+K19826+K19839</f>
        <v>1465.18203256832</v>
      </c>
    </row>
    <row r="19809" customFormat="false" ht="15" hidden="false" customHeight="false" outlineLevel="0" collapsed="false">
      <c r="A19809" s="3" t="s">
        <v>305</v>
      </c>
      <c r="G19809" s="25" t="n">
        <f aca="false">F19882</f>
        <v>463.996</v>
      </c>
      <c r="H19809" s="25" t="n">
        <f aca="false">G19882</f>
        <v>431.67030664</v>
      </c>
      <c r="I19809" s="25" t="n">
        <f aca="false">H19882</f>
        <v>359.0106596512</v>
      </c>
      <c r="J19809" s="25" t="n">
        <f aca="false">I19882</f>
        <v>0</v>
      </c>
      <c r="K19809" s="25" t="n">
        <f aca="false">J19882</f>
        <v>-82.533161826112</v>
      </c>
    </row>
    <row r="19810" customFormat="false" ht="15" hidden="false" customHeight="false" outlineLevel="0" collapsed="false">
      <c r="A19810" s="3" t="s">
        <v>306</v>
      </c>
      <c r="G19810" s="25" t="n">
        <f aca="false">G19813*IF(G19814=1,$C$19805,IF(Assumptions!$I$56=1,MAX(G19803,Assumptions!$G$56)+Assumptions!$F$56+$C$19804,Assumptions!$E$56))+G19826*IF(G19827=1,$C$19805,IF(Assumptions!$I$57=1,MAX(G19803,Assumptions!$G$57)+Assumptions!$F$57+$C$19804,Assumptions!$E$57))+G19839*IF(G19840=1,$C$19805,IF(Assumptions!$I$58=1,MAX(G19803,Assumptions!$G$58)+Assumptions!$F$58+$C$19804,Assumptions!$E$58))</f>
        <v>155.95467</v>
      </c>
      <c r="H19810" s="25" t="n">
        <f aca="false">H19813*IF(OR(H19814=1,G19960=1),$C$19805,IF(Assumptions!$I$56=1,MAX(H19803,Assumptions!$G$56)+Assumptions!$F$56+$C$19804,Assumptions!$E$56))+H19826*IF(OR(H19827=1,G19961=1),$C$19805,IF(Assumptions!$I$57=1,MAX(H19803,Assumptions!$G$57)+Assumptions!$F$57+$C$19804,Assumptions!$E$57))+H19839*IF(OR(H19840=1,G19962=1),$C$19805,IF(Assumptions!$I$58=1,MAX(H19803,Assumptions!$G$58)+Assumptions!$F$58+$C$19804,Assumptions!$E$58))</f>
        <v>155.95467</v>
      </c>
      <c r="I19810" s="25" t="n">
        <f aca="false">I19813*IF(OR(I19814=1,H19960=1),$C$19805,IF(Assumptions!$I$56=1,MAX(I19803,Assumptions!$G$56)+Assumptions!$F$56+$C$19804,Assumptions!$E$56))+I19826*IF(OR(I19827=1,H19961=1),$C$19805,IF(Assumptions!$I$57=1,MAX(I19803,Assumptions!$G$57)+Assumptions!$F$57+$C$19804,Assumptions!$E$57))+I19839*IF(OR(I19840=1,H19962=1),$C$19805,IF(Assumptions!$I$58=1,MAX(I19803,Assumptions!$G$58)+Assumptions!$F$58+$C$19804,Assumptions!$E$58))</f>
        <v>201.15369</v>
      </c>
      <c r="J19810" s="25" t="n">
        <f aca="false">J19813*IF(OR(J19814=1,I19960=1),$C$19805,IF(Assumptions!$I$56=1,MAX(J19803,Assumptions!$G$56)+Assumptions!$F$56+$C$19804,Assumptions!$E$56))+J19826*IF(OR(J19827=1,I19961=1),$C$19805,IF(Assumptions!$I$57=1,MAX(J19803,Assumptions!$G$57)+Assumptions!$F$57+$C$19804,Assumptions!$E$57))+J19839*IF(OR(J19840=1,I19962=1),$C$19805,IF(Assumptions!$I$58=1,MAX(J19803,Assumptions!$G$58)+Assumptions!$F$58+$C$19804,Assumptions!$E$58))</f>
        <v>144.463861384154</v>
      </c>
      <c r="K19810" s="25" t="n">
        <f aca="false">K19813*IF(OR(K19814=1,J19960=1),$C$19805,IF(Assumptions!$I$56=1,MAX(K19803,Assumptions!$G$56)+Assumptions!$F$56+$C$19804,Assumptions!$E$56))+K19826*IF(OR(K19827=1,J19961=1),$C$19805,IF(Assumptions!$I$57=1,MAX(K19803,Assumptions!$G$57)+Assumptions!$F$57+$C$19804,Assumptions!$E$57))+K19839*IF(OR(K19840=1,J19962=1),$C$19805,IF(Assumptions!$I$58=1,MAX(K19803,Assumptions!$G$58)+Assumptions!$F$58+$C$19804,Assumptions!$E$58))</f>
        <v>144.463861384154</v>
      </c>
    </row>
    <row r="19811" customFormat="false" ht="15" hidden="false" customHeight="false" outlineLevel="0" collapsed="false">
      <c r="A19811" s="3" t="s">
        <v>307</v>
      </c>
      <c r="G19811" s="20" t="n">
        <f aca="false">IF(G19787&lt;=0,0,IF(AND((G19808-G19809)/G19787&lt;=$C$19806,G19787/G19810&gt;=$C$19807),1,0))</f>
        <v>0</v>
      </c>
      <c r="H19811" s="20" t="n">
        <f aca="false">IF(H19787&lt;=0,0,IF(AND((H19808-H19809)/H19787&lt;=$C$19806,H19787/H19810&gt;=$C$19807),1,0))</f>
        <v>0</v>
      </c>
      <c r="I19811" s="20" t="n">
        <f aca="false">IF(I19787&lt;=0,0,IF(AND((I19808-I19809)/I19787&lt;=$C$19806,I19787/I19810&gt;=$C$19807),1,0))</f>
        <v>0</v>
      </c>
      <c r="J19811" s="20" t="n">
        <f aca="false">IF(J19787&lt;=0,0,IF(AND((J19808-J19809)/J19787&lt;=$C$19806,J19787/J19810&gt;=$C$19807),1,0))</f>
        <v>0</v>
      </c>
      <c r="K19811" s="20" t="n">
        <f aca="false">IF(K19787&lt;=0,0,IF(AND((K19808-K19809)/K19787&lt;=$C$19806,K19787/K19810&gt;=$C$19807),1,0))</f>
        <v>0</v>
      </c>
    </row>
    <row r="19812" customFormat="false" ht="15" hidden="false" customHeight="false" outlineLevel="0" collapsed="false">
      <c r="A19812" s="23" t="s">
        <v>308</v>
      </c>
      <c r="B19812" s="24"/>
      <c r="C19812" s="24"/>
      <c r="D19812" s="24"/>
      <c r="E19812" s="24"/>
      <c r="F19812" s="24"/>
      <c r="G19812" s="24"/>
      <c r="H19812" s="24"/>
      <c r="I19812" s="24"/>
      <c r="J19812" s="24"/>
      <c r="K19812" s="24"/>
    </row>
    <row r="19813" customFormat="false" ht="15" hidden="false" customHeight="false" outlineLevel="0" collapsed="false">
      <c r="A19813" s="3" t="s">
        <v>309</v>
      </c>
      <c r="G19813" s="25" t="n">
        <f aca="false">F19824</f>
        <v>1315.098</v>
      </c>
      <c r="H19813" s="25" t="n">
        <f aca="false">G19824</f>
        <v>1315.098</v>
      </c>
      <c r="I19813" s="25" t="n">
        <f aca="false">H19824</f>
        <v>1315.098</v>
      </c>
      <c r="J19813" s="25" t="n">
        <f aca="false">I19824</f>
        <v>1315.098</v>
      </c>
      <c r="K19813" s="25" t="n">
        <f aca="false">J19824</f>
        <v>1315.098</v>
      </c>
    </row>
    <row r="19814" customFormat="false" ht="15" hidden="false" customHeight="false" outlineLevel="0" collapsed="false">
      <c r="A19814" s="3" t="s">
        <v>310</v>
      </c>
      <c r="G19814" s="20" t="n">
        <f aca="false">IF(G19777=Assumptions!$K$56,1,0)</f>
        <v>0</v>
      </c>
      <c r="H19814" s="20" t="n">
        <f aca="false">IF(H19777=Assumptions!$K$56,1,0)</f>
        <v>0</v>
      </c>
      <c r="I19814" s="20" t="n">
        <f aca="false">IF(I19777=Assumptions!$K$56,1,0)</f>
        <v>0</v>
      </c>
      <c r="J19814" s="20" t="n">
        <f aca="false">IF(J19777=Assumptions!$K$56,1,0)</f>
        <v>0</v>
      </c>
      <c r="K19814" s="20" t="n">
        <f aca="false">IF(K19777=Assumptions!$K$56,1,0)</f>
        <v>0</v>
      </c>
    </row>
    <row r="19816" customFormat="false" ht="15" hidden="false" customHeight="false" outlineLevel="0" collapsed="false">
      <c r="A19816" s="3" t="s">
        <v>311</v>
      </c>
      <c r="G19816" s="31" t="n">
        <f aca="false">IF(Assumptions!$I$56=1,MAX(G19803,Assumptions!$G$56)+Assumptions!$F$56+$C$19804,Assumptions!$E$56)</f>
        <v>0.105</v>
      </c>
      <c r="H19816" s="31" t="n">
        <f aca="false">IF(G19960=1,$C$19805,IF(Assumptions!$I$56=1,MAX(H19803,Assumptions!$G$56)+Assumptions!$F$56+$C$19804,Assumptions!$E$56))</f>
        <v>0.105</v>
      </c>
      <c r="I19816" s="31" t="n">
        <f aca="false">IF(H19960=1,$C$19805,IF(Assumptions!$I$56=1,MAX(I19803,Assumptions!$G$56)+Assumptions!$F$56+$C$19804,Assumptions!$E$56))</f>
        <v>0.105</v>
      </c>
      <c r="J19816" s="31" t="n">
        <f aca="false">IF(I19960=1,$C$19805,IF(Assumptions!$I$56=1,MAX(J19803,Assumptions!$G$56)+Assumptions!$F$56+$C$19804,Assumptions!$E$56))</f>
        <v>0.105</v>
      </c>
      <c r="K19816" s="31" t="n">
        <f aca="false">IF(J19960=1,$C$19805,IF(Assumptions!$I$56=1,MAX(K19803,Assumptions!$G$56)+Assumptions!$F$56+$C$19804,Assumptions!$E$56))</f>
        <v>0.105</v>
      </c>
    </row>
    <row r="19817" customFormat="false" ht="15" hidden="false" customHeight="false" outlineLevel="0" collapsed="false">
      <c r="A19817" s="3" t="s">
        <v>312</v>
      </c>
      <c r="G19817" s="25" t="n">
        <f aca="false">G19813*G19816</f>
        <v>138.08529</v>
      </c>
      <c r="H19817" s="25" t="n">
        <f aca="false">H19813*H19816</f>
        <v>138.08529</v>
      </c>
      <c r="I19817" s="25" t="n">
        <f aca="false">I19813*I19816</f>
        <v>138.08529</v>
      </c>
      <c r="J19817" s="25" t="n">
        <f aca="false">J19813*J19816</f>
        <v>138.08529</v>
      </c>
      <c r="K19817" s="25" t="n">
        <f aca="false">K19813*K19816</f>
        <v>138.08529</v>
      </c>
    </row>
    <row r="19818" customFormat="false" ht="15" hidden="false" customHeight="false" outlineLevel="0" collapsed="false">
      <c r="A19818" s="3" t="s">
        <v>313</v>
      </c>
      <c r="G19818" s="25" t="n">
        <f aca="false">G19813*Assumptions!$H$56</f>
        <v>0</v>
      </c>
      <c r="H19818" s="25" t="n">
        <f aca="false">H19813*Assumptions!$H$56</f>
        <v>0</v>
      </c>
      <c r="I19818" s="25" t="n">
        <f aca="false">I19813*Assumptions!$H$56</f>
        <v>0</v>
      </c>
      <c r="J19818" s="25" t="n">
        <f aca="false">J19813*Assumptions!$H$56</f>
        <v>0</v>
      </c>
      <c r="K19818" s="25" t="n">
        <f aca="false">K19813*Assumptions!$H$56</f>
        <v>0</v>
      </c>
    </row>
    <row r="19819" customFormat="false" ht="15" hidden="false" customHeight="false" outlineLevel="0" collapsed="false">
      <c r="A19819" s="3" t="s">
        <v>314</v>
      </c>
      <c r="G19819" s="25" t="n">
        <f aca="false">MIN(G19813,Assumptions!$L$56*Assumptions!$C$56)</f>
        <v>0</v>
      </c>
      <c r="H19819" s="25" t="n">
        <f aca="false">MIN(H19813,Assumptions!$L$56*Assumptions!$C$56)</f>
        <v>0</v>
      </c>
      <c r="I19819" s="25" t="n">
        <f aca="false">MIN(I19813,Assumptions!$L$56*Assumptions!$C$56)</f>
        <v>0</v>
      </c>
      <c r="J19819" s="25" t="n">
        <f aca="false">MIN(J19813,Assumptions!$L$56*Assumptions!$C$56)</f>
        <v>0</v>
      </c>
      <c r="K19819" s="25" t="n">
        <f aca="false">MIN(K19813,Assumptions!$L$56*Assumptions!$C$56)</f>
        <v>0</v>
      </c>
    </row>
    <row r="19820" customFormat="false" ht="15" hidden="false" customHeight="false" outlineLevel="0" collapsed="false">
      <c r="A19820" s="3" t="s">
        <v>315</v>
      </c>
      <c r="G19820" s="25" t="n">
        <f aca="false">IF(AND(Assumptions!$P$56=1,G19777&lt;Assumptions!$K$56),MIN(MAX(0,-G19874),MAX(0,Assumptions!$D$56-G19813)),0)</f>
        <v>0</v>
      </c>
      <c r="H19820" s="25" t="n">
        <f aca="false">IF(AND(Assumptions!$P$56=1,OR(H19777&lt;Assumptions!$K$56,G19960=1)),MIN(MAX(0,-H19874),MAX(0,Assumptions!$D$56-H19813)),0)</f>
        <v>0</v>
      </c>
      <c r="I19820" s="25" t="n">
        <f aca="false">IF(AND(Assumptions!$P$56=1,OR(I19777&lt;Assumptions!$K$56,H19960=1)),MIN(MAX(0,-I19874),MAX(0,Assumptions!$D$56-I19813)),0)</f>
        <v>0</v>
      </c>
      <c r="J19820" s="25" t="n">
        <f aca="false">IF(AND(Assumptions!$P$56=1,OR(J19777&lt;Assumptions!$K$56,I19960=1)),MIN(MAX(0,-J19874),MAX(0,Assumptions!$D$56-J19813)),0)</f>
        <v>0</v>
      </c>
      <c r="K19820" s="25" t="n">
        <f aca="false">IF(AND(Assumptions!$P$56=1,OR(K19777&lt;Assumptions!$K$56,J19960=1)),MIN(MAX(0,-K19874),MAX(0,Assumptions!$D$56-K19813)),0)</f>
        <v>0</v>
      </c>
    </row>
    <row r="19821" customFormat="false" ht="15" hidden="false" customHeight="false" outlineLevel="0" collapsed="false">
      <c r="A19821" s="3" t="s">
        <v>316</v>
      </c>
      <c r="G19821" s="25" t="n">
        <f aca="false">G19814*MIN(G19813-G19819+G19818,MAX(0,G19876-Assumptions!$C$12*G19811))</f>
        <v>0</v>
      </c>
      <c r="H19821" s="25" t="n">
        <f aca="false">H19814*MIN(H19813-H19819+H19818,MAX(0,H19876-Assumptions!$C$12*H19811))</f>
        <v>0</v>
      </c>
      <c r="I19821" s="25" t="n">
        <f aca="false">I19814*MIN(I19813-I19819+I19818,MAX(0,I19876-Assumptions!$C$12*I19811))</f>
        <v>0</v>
      </c>
      <c r="J19821" s="25" t="n">
        <f aca="false">J19814*MIN(J19813-J19819+J19818,MAX(0,J19876-Assumptions!$C$12*J19811))</f>
        <v>0</v>
      </c>
      <c r="K19821" s="25" t="n">
        <f aca="false">K19814*MIN(K19813-K19819+K19818,MAX(0,K19876-Assumptions!$C$12*K19811))</f>
        <v>0</v>
      </c>
    </row>
    <row r="19822" customFormat="false" ht="15" hidden="false" customHeight="false" outlineLevel="0" collapsed="false">
      <c r="A19822" s="3" t="s">
        <v>317</v>
      </c>
      <c r="G19822" s="25" t="n">
        <f aca="false">Assumptions!$N$56*MIN(G19813+G19820+G19818-G19819-G19821,MAX(0,G19880))</f>
        <v>0</v>
      </c>
      <c r="H19822" s="25" t="n">
        <f aca="false">Assumptions!$N$56*MIN(H19813+H19820+H19818-H19819-H19821,MAX(0,H19880))</f>
        <v>0</v>
      </c>
      <c r="I19822" s="25" t="n">
        <f aca="false">Assumptions!$N$56*MIN(I19813+I19820+I19818-I19819-I19821,MAX(0,I19880))</f>
        <v>0</v>
      </c>
      <c r="J19822" s="25" t="n">
        <f aca="false">Assumptions!$N$56*MIN(J19813+J19820+J19818-J19819-J19821,MAX(0,J19880))</f>
        <v>0</v>
      </c>
      <c r="K19822" s="25" t="n">
        <f aca="false">Assumptions!$N$56*MIN(K19813+K19820+K19818-K19819-K19821,MAX(0,K19880))</f>
        <v>0</v>
      </c>
    </row>
    <row r="19823" customFormat="false" ht="15" hidden="false" customHeight="false" outlineLevel="0" collapsed="false">
      <c r="A19823" s="3" t="s">
        <v>318</v>
      </c>
      <c r="G19823" s="25" t="n">
        <f aca="false">G19814*(1-G19811)*(G19813-G19819+G19818-G19821)</f>
        <v>0</v>
      </c>
      <c r="H19823" s="25" t="n">
        <f aca="false">H19814*(1-H19811)*(H19813-H19819+H19818-H19821)</f>
        <v>0</v>
      </c>
      <c r="I19823" s="25" t="n">
        <f aca="false">I19814*(1-I19811)*(I19813-I19819+I19818-I19821)</f>
        <v>0</v>
      </c>
      <c r="J19823" s="25" t="n">
        <f aca="false">J19814*(1-J19811)*(J19813-J19819+J19818-J19821)</f>
        <v>0</v>
      </c>
      <c r="K19823" s="25" t="n">
        <f aca="false">K19814*(1-K19811)*(K19813-K19819+K19818-K19821)</f>
        <v>0</v>
      </c>
    </row>
    <row r="19824" customFormat="false" ht="15" hidden="false" customHeight="false" outlineLevel="0" collapsed="false">
      <c r="A19824" s="2" t="s">
        <v>319</v>
      </c>
      <c r="F19824" s="28" t="n">
        <f aca="false">Assumptions!$C$56</f>
        <v>1315.098</v>
      </c>
      <c r="G19824" s="16" t="n">
        <f aca="false">G19813+G19820+G19818-G19819-G19821-G19822</f>
        <v>1315.098</v>
      </c>
      <c r="H19824" s="16" t="n">
        <f aca="false">H19813+H19820+H19818-H19819-H19821-H19822</f>
        <v>1315.098</v>
      </c>
      <c r="I19824" s="16" t="n">
        <f aca="false">I19813+I19820+I19818-I19819-I19821-I19822</f>
        <v>1315.098</v>
      </c>
      <c r="J19824" s="16" t="n">
        <f aca="false">J19813+J19820+J19818-J19819-J19821-J19822</f>
        <v>1315.098</v>
      </c>
      <c r="K19824" s="16" t="n">
        <f aca="false">K19813+K19820+K19818-K19819-K19821-K19822</f>
        <v>1315.098</v>
      </c>
    </row>
    <row r="19825" customFormat="false" ht="15" hidden="false" customHeight="false" outlineLevel="0" collapsed="false">
      <c r="A19825" s="23" t="s">
        <v>320</v>
      </c>
      <c r="B19825" s="24"/>
      <c r="C19825" s="24"/>
      <c r="D19825" s="24"/>
      <c r="E19825" s="24"/>
      <c r="F19825" s="24"/>
      <c r="G19825" s="24"/>
      <c r="H19825" s="24"/>
      <c r="I19825" s="24"/>
      <c r="J19825" s="24"/>
      <c r="K19825" s="24"/>
    </row>
    <row r="19826" customFormat="false" ht="15" hidden="false" customHeight="false" outlineLevel="0" collapsed="false">
      <c r="A19826" s="3" t="s">
        <v>309</v>
      </c>
      <c r="G19826" s="25" t="n">
        <f aca="false">F19837</f>
        <v>276.706</v>
      </c>
      <c r="H19826" s="25" t="n">
        <f aca="false">G19837</f>
        <v>276.706</v>
      </c>
      <c r="I19826" s="25" t="n">
        <f aca="false">H19837</f>
        <v>276.706</v>
      </c>
      <c r="J19826" s="25" t="n">
        <f aca="false">I19837</f>
        <v>6.33403256832008</v>
      </c>
      <c r="K19826" s="25" t="n">
        <f aca="false">J19837</f>
        <v>6.33403256832008</v>
      </c>
    </row>
    <row r="19827" customFormat="false" ht="15" hidden="false" customHeight="false" outlineLevel="0" collapsed="false">
      <c r="A19827" s="3" t="s">
        <v>310</v>
      </c>
      <c r="G19827" s="20" t="n">
        <f aca="false">IF(G19777=Assumptions!$K$57,1,0)</f>
        <v>0</v>
      </c>
      <c r="H19827" s="20" t="n">
        <f aca="false">IF(H19777=Assumptions!$K$57,1,0)</f>
        <v>0</v>
      </c>
      <c r="I19827" s="20" t="n">
        <f aca="false">IF(I19777=Assumptions!$K$57,1,0)</f>
        <v>1</v>
      </c>
      <c r="J19827" s="20" t="n">
        <f aca="false">IF(J19777=Assumptions!$K$57,1,0)</f>
        <v>0</v>
      </c>
      <c r="K19827" s="20" t="n">
        <f aca="false">IF(K19777=Assumptions!$K$57,1,0)</f>
        <v>0</v>
      </c>
    </row>
    <row r="19829" customFormat="false" ht="15" hidden="false" customHeight="false" outlineLevel="0" collapsed="false">
      <c r="A19829" s="3" t="s">
        <v>311</v>
      </c>
      <c r="G19829" s="31" t="n">
        <f aca="false">IF(Assumptions!$I$57=1,MAX(G19803,Assumptions!$G$57)+Assumptions!$F$57+$C$19804,Assumptions!$E$57)</f>
        <v>0.0425</v>
      </c>
      <c r="H19829" s="31" t="n">
        <f aca="false">IF(G19961=1,$C$19805,IF(Assumptions!$I$57=1,MAX(H19803,Assumptions!$G$57)+Assumptions!$F$57+$C$19804,Assumptions!$E$57))</f>
        <v>0.0425</v>
      </c>
      <c r="I19829" s="31" t="n">
        <f aca="false">IF(H19961=1,$C$19805,IF(Assumptions!$I$57=1,MAX(I19803,Assumptions!$G$57)+Assumptions!$F$57+$C$19804,Assumptions!$E$57))</f>
        <v>0.0425</v>
      </c>
      <c r="J19829" s="31" t="n">
        <f aca="false">IF(I19961=1,$C$19805,IF(Assumptions!$I$57=1,MAX(J19803,Assumptions!$G$57)+Assumptions!$F$57+$C$19804,Assumptions!$E$57))</f>
        <v>0.0425</v>
      </c>
      <c r="K19829" s="31" t="n">
        <f aca="false">IF(J19961=1,$C$19805,IF(Assumptions!$I$57=1,MAX(K19803,Assumptions!$G$57)+Assumptions!$F$57+$C$19804,Assumptions!$E$57))</f>
        <v>0.0425</v>
      </c>
    </row>
    <row r="19830" customFormat="false" ht="15" hidden="false" customHeight="false" outlineLevel="0" collapsed="false">
      <c r="A19830" s="3" t="s">
        <v>312</v>
      </c>
      <c r="G19830" s="25" t="n">
        <f aca="false">G19826*G19829</f>
        <v>11.760005</v>
      </c>
      <c r="H19830" s="25" t="n">
        <f aca="false">H19826*H19829</f>
        <v>11.760005</v>
      </c>
      <c r="I19830" s="25" t="n">
        <f aca="false">I19826*I19829</f>
        <v>11.760005</v>
      </c>
      <c r="J19830" s="25" t="n">
        <f aca="false">J19826*J19829</f>
        <v>0.269196384153604</v>
      </c>
      <c r="K19830" s="25" t="n">
        <f aca="false">K19826*K19829</f>
        <v>0.269196384153604</v>
      </c>
    </row>
    <row r="19831" customFormat="false" ht="15" hidden="false" customHeight="false" outlineLevel="0" collapsed="false">
      <c r="A19831" s="3" t="s">
        <v>313</v>
      </c>
      <c r="G19831" s="25" t="n">
        <f aca="false">G19826*Assumptions!$H$57</f>
        <v>0</v>
      </c>
      <c r="H19831" s="25" t="n">
        <f aca="false">H19826*Assumptions!$H$57</f>
        <v>0</v>
      </c>
      <c r="I19831" s="25" t="n">
        <f aca="false">I19826*Assumptions!$H$57</f>
        <v>0</v>
      </c>
      <c r="J19831" s="25" t="n">
        <f aca="false">J19826*Assumptions!$H$57</f>
        <v>0</v>
      </c>
      <c r="K19831" s="25" t="n">
        <f aca="false">K19826*Assumptions!$H$57</f>
        <v>0</v>
      </c>
    </row>
    <row r="19832" customFormat="false" ht="15" hidden="false" customHeight="false" outlineLevel="0" collapsed="false">
      <c r="A19832" s="3" t="s">
        <v>314</v>
      </c>
      <c r="G19832" s="25" t="n">
        <f aca="false">MIN(G19826,Assumptions!$L$57*Assumptions!$C$57)</f>
        <v>0</v>
      </c>
      <c r="H19832" s="25" t="n">
        <f aca="false">MIN(H19826,Assumptions!$L$57*Assumptions!$C$57)</f>
        <v>0</v>
      </c>
      <c r="I19832" s="25" t="n">
        <f aca="false">MIN(I19826,Assumptions!$L$57*Assumptions!$C$57)</f>
        <v>0</v>
      </c>
      <c r="J19832" s="25" t="n">
        <f aca="false">MIN(J19826,Assumptions!$L$57*Assumptions!$C$57)</f>
        <v>0</v>
      </c>
      <c r="K19832" s="25" t="n">
        <f aca="false">MIN(K19826,Assumptions!$L$57*Assumptions!$C$57)</f>
        <v>0</v>
      </c>
    </row>
    <row r="19833" customFormat="false" ht="15" hidden="false" customHeight="false" outlineLevel="0" collapsed="false">
      <c r="A19833" s="3" t="s">
        <v>315</v>
      </c>
      <c r="G19833" s="25" t="n">
        <f aca="false">IF(AND(Assumptions!$P$57=1,G19777&lt;Assumptions!$K$57),MIN(MAX(0,-G19874),MAX(0,Assumptions!$D$57-G19826)),0)</f>
        <v>0</v>
      </c>
      <c r="H19833" s="25" t="n">
        <f aca="false">IF(AND(Assumptions!$P$57=1,OR(H19777&lt;Assumptions!$K$57,G19961=1)),MIN(MAX(0,-H19874),MAX(0,Assumptions!$D$57-H19826)),0)</f>
        <v>0</v>
      </c>
      <c r="I19833" s="25" t="n">
        <f aca="false">IF(AND(Assumptions!$P$57=1,OR(I19777&lt;Assumptions!$K$57,H19961=1)),MIN(MAX(0,-I19874),MAX(0,Assumptions!$D$57-I19826)),0)</f>
        <v>0</v>
      </c>
      <c r="J19833" s="25" t="n">
        <f aca="false">IF(AND(Assumptions!$P$57=1,OR(J19777&lt;Assumptions!$K$57,I19961=1)),MIN(MAX(0,-J19874),MAX(0,Assumptions!$D$57-J19826)),0)</f>
        <v>0</v>
      </c>
      <c r="K19833" s="25" t="n">
        <f aca="false">IF(AND(Assumptions!$P$57=1,OR(K19777&lt;Assumptions!$K$57,J19961=1)),MIN(MAX(0,-K19874),MAX(0,Assumptions!$D$57-K19826)),0)</f>
        <v>0</v>
      </c>
    </row>
    <row r="19834" customFormat="false" ht="15" hidden="false" customHeight="false" outlineLevel="0" collapsed="false">
      <c r="A19834" s="3" t="s">
        <v>316</v>
      </c>
      <c r="G19834" s="25" t="n">
        <f aca="false">G19827*MIN(G19826-G19832+G19831,MAX(0,G19876-Assumptions!$C$12*G19811-G19821))</f>
        <v>0</v>
      </c>
      <c r="H19834" s="25" t="n">
        <f aca="false">H19827*MIN(H19826-H19832+H19831,MAX(0,H19876-Assumptions!$C$12*H19811-H19821))</f>
        <v>0</v>
      </c>
      <c r="I19834" s="25" t="n">
        <f aca="false">I19827*MIN(I19826-I19832+I19831,MAX(0,I19876-Assumptions!$C$12*I19811-I19821))</f>
        <v>270.37196743168</v>
      </c>
      <c r="J19834" s="25" t="n">
        <f aca="false">J19827*MIN(J19826-J19832+J19831,MAX(0,J19876-Assumptions!$C$12*J19811-J19821))</f>
        <v>0</v>
      </c>
      <c r="K19834" s="25" t="n">
        <f aca="false">K19827*MIN(K19826-K19832+K19831,MAX(0,K19876-Assumptions!$C$12*K19811-K19821))</f>
        <v>0</v>
      </c>
    </row>
    <row r="19835" customFormat="false" ht="15" hidden="false" customHeight="false" outlineLevel="0" collapsed="false">
      <c r="A19835" s="3" t="s">
        <v>317</v>
      </c>
      <c r="G19835" s="25" t="n">
        <f aca="false">Assumptions!$N$57*MIN(G19826+G19833+G19831-G19832-G19834,MAX(0,G19880-G19822))</f>
        <v>0</v>
      </c>
      <c r="H19835" s="25" t="n">
        <f aca="false">Assumptions!$N$57*MIN(H19826+H19833+H19831-H19832-H19834,MAX(0,H19880-H19822))</f>
        <v>0</v>
      </c>
      <c r="I19835" s="25" t="n">
        <f aca="false">Assumptions!$N$57*MIN(I19826+I19833+I19831-I19832-I19834,MAX(0,I19880-I19822))</f>
        <v>0</v>
      </c>
      <c r="J19835" s="25" t="n">
        <f aca="false">Assumptions!$N$57*MIN(J19826+J19833+J19831-J19832-J19834,MAX(0,J19880-J19822))</f>
        <v>0</v>
      </c>
      <c r="K19835" s="25" t="n">
        <f aca="false">Assumptions!$N$57*MIN(K19826+K19833+K19831-K19832-K19834,MAX(0,K19880-K19822))</f>
        <v>0</v>
      </c>
    </row>
    <row r="19836" customFormat="false" ht="15" hidden="false" customHeight="false" outlineLevel="0" collapsed="false">
      <c r="A19836" s="3" t="s">
        <v>318</v>
      </c>
      <c r="G19836" s="25" t="n">
        <f aca="false">G19827*(1-G19811)*(G19826-G19832+G19831-G19834)</f>
        <v>0</v>
      </c>
      <c r="H19836" s="25" t="n">
        <f aca="false">H19827*(1-H19811)*(H19826-H19832+H19831-H19834)</f>
        <v>0</v>
      </c>
      <c r="I19836" s="25" t="n">
        <f aca="false">I19827*(1-I19811)*(I19826-I19832+I19831-I19834)</f>
        <v>6.33403256832008</v>
      </c>
      <c r="J19836" s="25" t="n">
        <f aca="false">J19827*(1-J19811)*(J19826-J19832+J19831-J19834)</f>
        <v>0</v>
      </c>
      <c r="K19836" s="25" t="n">
        <f aca="false">K19827*(1-K19811)*(K19826-K19832+K19831-K19834)</f>
        <v>0</v>
      </c>
    </row>
    <row r="19837" customFormat="false" ht="15" hidden="false" customHeight="false" outlineLevel="0" collapsed="false">
      <c r="A19837" s="2" t="s">
        <v>319</v>
      </c>
      <c r="F19837" s="28" t="n">
        <f aca="false">Assumptions!$C$57</f>
        <v>276.706</v>
      </c>
      <c r="G19837" s="16" t="n">
        <f aca="false">G19826+G19833+G19831-G19832-G19834-G19835</f>
        <v>276.706</v>
      </c>
      <c r="H19837" s="16" t="n">
        <f aca="false">H19826+H19833+H19831-H19832-H19834-H19835</f>
        <v>276.706</v>
      </c>
      <c r="I19837" s="16" t="n">
        <f aca="false">I19826+I19833+I19831-I19832-I19834-I19835</f>
        <v>6.33403256832008</v>
      </c>
      <c r="J19837" s="16" t="n">
        <f aca="false">J19826+J19833+J19831-J19832-J19834-J19835</f>
        <v>6.33403256832008</v>
      </c>
      <c r="K19837" s="16" t="n">
        <f aca="false">K19826+K19833+K19831-K19832-K19834-K19835</f>
        <v>6.33403256832008</v>
      </c>
    </row>
    <row r="19838" customFormat="false" ht="15" hidden="false" customHeight="false" outlineLevel="0" collapsed="false">
      <c r="A19838" s="23" t="s">
        <v>321</v>
      </c>
      <c r="B19838" s="24"/>
      <c r="C19838" s="24"/>
      <c r="D19838" s="24"/>
      <c r="E19838" s="24"/>
      <c r="F19838" s="24"/>
      <c r="G19838" s="24"/>
      <c r="H19838" s="24"/>
      <c r="I19838" s="24"/>
      <c r="J19838" s="24"/>
      <c r="K19838" s="24"/>
    </row>
    <row r="19839" customFormat="false" ht="15" hidden="false" customHeight="false" outlineLevel="0" collapsed="false">
      <c r="A19839" s="3" t="s">
        <v>309</v>
      </c>
      <c r="G19839" s="25" t="n">
        <f aca="false">F19850</f>
        <v>143.75</v>
      </c>
      <c r="H19839" s="25" t="n">
        <f aca="false">G19850</f>
        <v>143.75</v>
      </c>
      <c r="I19839" s="25" t="n">
        <f aca="false">H19850</f>
        <v>143.75</v>
      </c>
      <c r="J19839" s="25" t="n">
        <f aca="false">I19850</f>
        <v>143.75</v>
      </c>
      <c r="K19839" s="25" t="n">
        <f aca="false">J19850</f>
        <v>143.75</v>
      </c>
    </row>
    <row r="19840" customFormat="false" ht="15" hidden="false" customHeight="false" outlineLevel="0" collapsed="false">
      <c r="A19840" s="3" t="s">
        <v>310</v>
      </c>
      <c r="G19840" s="20" t="n">
        <f aca="false">IF(G19777=Assumptions!$K$58,1,0)</f>
        <v>0</v>
      </c>
      <c r="H19840" s="20" t="n">
        <f aca="false">IF(H19777=Assumptions!$K$58,1,0)</f>
        <v>0</v>
      </c>
      <c r="I19840" s="20" t="n">
        <f aca="false">IF(I19777=Assumptions!$K$58,1,0)</f>
        <v>1</v>
      </c>
      <c r="J19840" s="20" t="n">
        <f aca="false">IF(J19777=Assumptions!$K$58,1,0)</f>
        <v>0</v>
      </c>
      <c r="K19840" s="20" t="n">
        <f aca="false">IF(K19777=Assumptions!$K$58,1,0)</f>
        <v>0</v>
      </c>
    </row>
    <row r="19842" customFormat="false" ht="15" hidden="false" customHeight="false" outlineLevel="0" collapsed="false">
      <c r="A19842" s="3" t="s">
        <v>311</v>
      </c>
      <c r="G19842" s="31" t="n">
        <f aca="false">IF(Assumptions!$I$58=1,MAX(G19803,Assumptions!$G$58)+Assumptions!$F$58+$C$19804,Assumptions!$E$58)</f>
        <v>0.0425</v>
      </c>
      <c r="H19842" s="31" t="n">
        <f aca="false">IF(G19962=1,$C$19805,IF(Assumptions!$I$58=1,MAX(H19803,Assumptions!$G$58)+Assumptions!$F$58+$C$19804,Assumptions!$E$58))</f>
        <v>0.0425</v>
      </c>
      <c r="I19842" s="31" t="n">
        <f aca="false">IF(H19962=1,$C$19805,IF(Assumptions!$I$58=1,MAX(I19803,Assumptions!$G$58)+Assumptions!$F$58+$C$19804,Assumptions!$E$58))</f>
        <v>0.0425</v>
      </c>
      <c r="J19842" s="31" t="n">
        <f aca="false">IF(I19962=1,$C$19805,IF(Assumptions!$I$58=1,MAX(J19803,Assumptions!$G$58)+Assumptions!$F$58+$C$19804,Assumptions!$E$58))</f>
        <v>0.0425</v>
      </c>
      <c r="K19842" s="31" t="n">
        <f aca="false">IF(J19962=1,$C$19805,IF(Assumptions!$I$58=1,MAX(K19803,Assumptions!$G$58)+Assumptions!$F$58+$C$19804,Assumptions!$E$58))</f>
        <v>0.0425</v>
      </c>
    </row>
    <row r="19843" customFormat="false" ht="15" hidden="false" customHeight="false" outlineLevel="0" collapsed="false">
      <c r="A19843" s="3" t="s">
        <v>312</v>
      </c>
      <c r="G19843" s="25" t="n">
        <f aca="false">G19839*G19842</f>
        <v>6.109375</v>
      </c>
      <c r="H19843" s="25" t="n">
        <f aca="false">H19839*H19842</f>
        <v>6.109375</v>
      </c>
      <c r="I19843" s="25" t="n">
        <f aca="false">I19839*I19842</f>
        <v>6.109375</v>
      </c>
      <c r="J19843" s="25" t="n">
        <f aca="false">J19839*J19842</f>
        <v>6.109375</v>
      </c>
      <c r="K19843" s="25" t="n">
        <f aca="false">K19839*K19842</f>
        <v>6.109375</v>
      </c>
    </row>
    <row r="19844" customFormat="false" ht="15" hidden="false" customHeight="false" outlineLevel="0" collapsed="false">
      <c r="A19844" s="3" t="s">
        <v>313</v>
      </c>
      <c r="G19844" s="25" t="n">
        <f aca="false">G19839*Assumptions!$H$58</f>
        <v>0</v>
      </c>
      <c r="H19844" s="25" t="n">
        <f aca="false">H19839*Assumptions!$H$58</f>
        <v>0</v>
      </c>
      <c r="I19844" s="25" t="n">
        <f aca="false">I19839*Assumptions!$H$58</f>
        <v>0</v>
      </c>
      <c r="J19844" s="25" t="n">
        <f aca="false">J19839*Assumptions!$H$58</f>
        <v>0</v>
      </c>
      <c r="K19844" s="25" t="n">
        <f aca="false">K19839*Assumptions!$H$58</f>
        <v>0</v>
      </c>
    </row>
    <row r="19845" customFormat="false" ht="15" hidden="false" customHeight="false" outlineLevel="0" collapsed="false">
      <c r="A19845" s="3" t="s">
        <v>314</v>
      </c>
      <c r="G19845" s="25" t="n">
        <f aca="false">MIN(G19839,Assumptions!$L$58*Assumptions!$C$58)</f>
        <v>0</v>
      </c>
      <c r="H19845" s="25" t="n">
        <f aca="false">MIN(H19839,Assumptions!$L$58*Assumptions!$C$58)</f>
        <v>0</v>
      </c>
      <c r="I19845" s="25" t="n">
        <f aca="false">MIN(I19839,Assumptions!$L$58*Assumptions!$C$58)</f>
        <v>0</v>
      </c>
      <c r="J19845" s="25" t="n">
        <f aca="false">MIN(J19839,Assumptions!$L$58*Assumptions!$C$58)</f>
        <v>0</v>
      </c>
      <c r="K19845" s="25" t="n">
        <f aca="false">MIN(K19839,Assumptions!$L$58*Assumptions!$C$58)</f>
        <v>0</v>
      </c>
    </row>
    <row r="19846" customFormat="false" ht="15" hidden="false" customHeight="false" outlineLevel="0" collapsed="false">
      <c r="A19846" s="3" t="s">
        <v>315</v>
      </c>
      <c r="G19846" s="25" t="n">
        <f aca="false">IF(AND(Assumptions!$P$58=1,G19777&lt;Assumptions!$K$58),MIN(MAX(0,-G19874),MAX(0,Assumptions!$D$58-G19839)),0)</f>
        <v>0</v>
      </c>
      <c r="H19846" s="25" t="n">
        <f aca="false">IF(AND(Assumptions!$P$58=1,OR(H19777&lt;Assumptions!$K$58,G19962=1)),MIN(MAX(0,-H19874),MAX(0,Assumptions!$D$58-H19839)),0)</f>
        <v>0</v>
      </c>
      <c r="I19846" s="25" t="n">
        <f aca="false">IF(AND(Assumptions!$P$58=1,OR(I19777&lt;Assumptions!$K$58,H19962=1)),MIN(MAX(0,-I19874),MAX(0,Assumptions!$D$58-I19839)),0)</f>
        <v>0</v>
      </c>
      <c r="J19846" s="25" t="n">
        <f aca="false">IF(AND(Assumptions!$P$58=1,OR(J19777&lt;Assumptions!$K$58,I19962=1)),MIN(MAX(0,-J19874),MAX(0,Assumptions!$D$58-J19839)),0)</f>
        <v>0</v>
      </c>
      <c r="K19846" s="25" t="n">
        <f aca="false">IF(AND(Assumptions!$P$58=1,OR(K19777&lt;Assumptions!$K$58,J19962=1)),MIN(MAX(0,-K19874),MAX(0,Assumptions!$D$58-K19839)),0)</f>
        <v>0</v>
      </c>
    </row>
    <row r="19847" customFormat="false" ht="15" hidden="false" customHeight="false" outlineLevel="0" collapsed="false">
      <c r="A19847" s="3" t="s">
        <v>316</v>
      </c>
      <c r="G19847" s="25" t="n">
        <f aca="false">G19840*MIN(G19839-G19845+G19844,MAX(0,G19876-Assumptions!$C$12*G19811-G19821-G19834))</f>
        <v>0</v>
      </c>
      <c r="H19847" s="25" t="n">
        <f aca="false">H19840*MIN(H19839-H19845+H19844,MAX(0,H19876-Assumptions!$C$12*H19811-H19821-H19834))</f>
        <v>0</v>
      </c>
      <c r="I19847" s="25" t="n">
        <f aca="false">I19840*MIN(I19839-I19845+I19844,MAX(0,I19876-Assumptions!$C$12*I19811-I19821-I19834))</f>
        <v>0</v>
      </c>
      <c r="J19847" s="25" t="n">
        <f aca="false">J19840*MIN(J19839-J19845+J19844,MAX(0,J19876-Assumptions!$C$12*J19811-J19821-J19834))</f>
        <v>0</v>
      </c>
      <c r="K19847" s="25" t="n">
        <f aca="false">K19840*MIN(K19839-K19845+K19844,MAX(0,K19876-Assumptions!$C$12*K19811-K19821-K19834))</f>
        <v>0</v>
      </c>
    </row>
    <row r="19848" customFormat="false" ht="15" hidden="false" customHeight="false" outlineLevel="0" collapsed="false">
      <c r="A19848" s="3" t="s">
        <v>317</v>
      </c>
      <c r="G19848" s="25" t="n">
        <f aca="false">Assumptions!$N$58*MIN(G19839+G19846+G19844-G19845-G19847,MAX(0,G19880-G19822-G19835))</f>
        <v>0</v>
      </c>
      <c r="H19848" s="25" t="n">
        <f aca="false">Assumptions!$N$58*MIN(H19839+H19846+H19844-H19845-H19847,MAX(0,H19880-H19822-H19835))</f>
        <v>0</v>
      </c>
      <c r="I19848" s="25" t="n">
        <f aca="false">Assumptions!$N$58*MIN(I19839+I19846+I19844-I19845-I19847,MAX(0,I19880-I19822-I19835))</f>
        <v>0</v>
      </c>
      <c r="J19848" s="25" t="n">
        <f aca="false">Assumptions!$N$58*MIN(J19839+J19846+J19844-J19845-J19847,MAX(0,J19880-J19822-J19835))</f>
        <v>0</v>
      </c>
      <c r="K19848" s="25" t="n">
        <f aca="false">Assumptions!$N$58*MIN(K19839+K19846+K19844-K19845-K19847,MAX(0,K19880-K19822-K19835))</f>
        <v>0</v>
      </c>
    </row>
    <row r="19849" customFormat="false" ht="15" hidden="false" customHeight="false" outlineLevel="0" collapsed="false">
      <c r="A19849" s="3" t="s">
        <v>318</v>
      </c>
      <c r="G19849" s="25" t="n">
        <f aca="false">G19840*(1-G19811)*(G19839-G19845+G19844-G19847)</f>
        <v>0</v>
      </c>
      <c r="H19849" s="25" t="n">
        <f aca="false">H19840*(1-H19811)*(H19839-H19845+H19844-H19847)</f>
        <v>0</v>
      </c>
      <c r="I19849" s="25" t="n">
        <f aca="false">I19840*(1-I19811)*(I19839-I19845+I19844-I19847)</f>
        <v>143.75</v>
      </c>
      <c r="J19849" s="25" t="n">
        <f aca="false">J19840*(1-J19811)*(J19839-J19845+J19844-J19847)</f>
        <v>0</v>
      </c>
      <c r="K19849" s="25" t="n">
        <f aca="false">K19840*(1-K19811)*(K19839-K19845+K19844-K19847)</f>
        <v>0</v>
      </c>
    </row>
    <row r="19850" customFormat="false" ht="15" hidden="false" customHeight="false" outlineLevel="0" collapsed="false">
      <c r="A19850" s="2" t="s">
        <v>319</v>
      </c>
      <c r="F19850" s="28" t="n">
        <f aca="false">Assumptions!$C$58</f>
        <v>143.75</v>
      </c>
      <c r="G19850" s="16" t="n">
        <f aca="false">G19839+G19846+G19844-G19845-G19847-G19848</f>
        <v>143.75</v>
      </c>
      <c r="H19850" s="16" t="n">
        <f aca="false">H19839+H19846+H19844-H19845-H19847-H19848</f>
        <v>143.75</v>
      </c>
      <c r="I19850" s="16" t="n">
        <f aca="false">I19839+I19846+I19844-I19845-I19847-I19848</f>
        <v>143.75</v>
      </c>
      <c r="J19850" s="16" t="n">
        <f aca="false">J19839+J19846+J19844-J19845-J19847-J19848</f>
        <v>143.75</v>
      </c>
      <c r="K19850" s="16" t="n">
        <f aca="false">K19839+K19846+K19844-K19845-K19847-K19848</f>
        <v>143.75</v>
      </c>
    </row>
    <row r="19851" customFormat="false" ht="15" hidden="false" customHeight="false" outlineLevel="0" collapsed="false">
      <c r="A19851" s="23" t="s">
        <v>322</v>
      </c>
      <c r="B19851" s="24"/>
      <c r="C19851" s="24"/>
      <c r="D19851" s="24"/>
      <c r="E19851" s="24"/>
      <c r="F19851" s="24"/>
      <c r="G19851" s="24"/>
      <c r="H19851" s="24"/>
      <c r="I19851" s="24"/>
      <c r="J19851" s="24"/>
      <c r="K19851" s="24"/>
    </row>
    <row r="19852" customFormat="false" ht="15" hidden="false" customHeight="false" outlineLevel="0" collapsed="false">
      <c r="A19852" s="2" t="s">
        <v>323</v>
      </c>
      <c r="F19852" s="16" t="n">
        <f aca="false">F19824+F19837+F19850</f>
        <v>1735.554</v>
      </c>
      <c r="G19852" s="16" t="n">
        <f aca="false">G19824+G19837+G19850</f>
        <v>1735.554</v>
      </c>
      <c r="H19852" s="16" t="n">
        <f aca="false">H19824+H19837+H19850</f>
        <v>1735.554</v>
      </c>
      <c r="I19852" s="16" t="n">
        <f aca="false">I19824+I19837+I19850</f>
        <v>1465.18203256832</v>
      </c>
      <c r="J19852" s="16" t="n">
        <f aca="false">J19824+J19837+J19850</f>
        <v>1465.18203256832</v>
      </c>
      <c r="K19852" s="16" t="n">
        <f aca="false">K19824+K19837+K19850</f>
        <v>1465.18203256832</v>
      </c>
    </row>
    <row r="19853" customFormat="false" ht="15" hidden="false" customHeight="false" outlineLevel="0" collapsed="false">
      <c r="A19853" s="3" t="s">
        <v>324</v>
      </c>
      <c r="G19853" s="25" t="n">
        <f aca="false">G19814*Assumptions!$C$56+G19827*Assumptions!$C$57+G19840*Assumptions!$C$58</f>
        <v>0</v>
      </c>
      <c r="H19853" s="25" t="n">
        <f aca="false">H19814*Assumptions!$C$56+H19827*Assumptions!$C$57+H19840*Assumptions!$C$58</f>
        <v>0</v>
      </c>
      <c r="I19853" s="25" t="n">
        <f aca="false">I19814*Assumptions!$C$56+I19827*Assumptions!$C$57+I19840*Assumptions!$C$58</f>
        <v>420.456</v>
      </c>
      <c r="J19853" s="25" t="n">
        <f aca="false">J19814*Assumptions!$C$56+J19827*Assumptions!$C$57+J19840*Assumptions!$C$58</f>
        <v>0</v>
      </c>
      <c r="K19853" s="25" t="n">
        <f aca="false">K19814*Assumptions!$C$56+K19827*Assumptions!$C$57+K19840*Assumptions!$C$58</f>
        <v>0</v>
      </c>
    </row>
    <row r="19854" customFormat="false" ht="15" hidden="false" customHeight="false" outlineLevel="0" collapsed="false">
      <c r="A19854" s="23" t="s">
        <v>325</v>
      </c>
      <c r="B19854" s="24"/>
      <c r="C19854" s="24"/>
      <c r="D19854" s="24"/>
      <c r="E19854" s="24"/>
      <c r="F19854" s="24"/>
      <c r="G19854" s="24"/>
      <c r="H19854" s="24"/>
      <c r="I19854" s="24"/>
      <c r="J19854" s="24"/>
      <c r="K19854" s="24"/>
    </row>
    <row r="19855" customFormat="false" ht="15" hidden="false" customHeight="false" outlineLevel="0" collapsed="false">
      <c r="A19855" s="3" t="s">
        <v>326</v>
      </c>
      <c r="C19855" s="25" t="n">
        <f aca="false">SUMPRODUCT($G$19814:$K$19814,$G$19813:$K$19813-$G$19819:$K$19819+$G$19818:$K$19818)</f>
        <v>0</v>
      </c>
    </row>
    <row r="19856" customFormat="false" ht="15" hidden="false" customHeight="false" outlineLevel="0" collapsed="false">
      <c r="A19856" s="3" t="s">
        <v>327</v>
      </c>
      <c r="C19856" s="25" t="n">
        <f aca="false">SUMPRODUCT($G$19814:$K$19814,$G$19821:$K$19821)</f>
        <v>0</v>
      </c>
    </row>
    <row r="19857" customFormat="false" ht="15" hidden="false" customHeight="false" outlineLevel="0" collapsed="false">
      <c r="A19857" s="3" t="s">
        <v>328</v>
      </c>
      <c r="C19857" s="3" t="str">
        <f aca="false">IF(SUM($G$19814:$K$19814)=0,"n/a (beyond horizon)",IF(SUMPRODUCT($G$19814:$K$19814,$G$19811:$K$19811)&gt;0,"REFINANCING PASS","REFINANCING FAILURE"))</f>
        <v>n/a (beyond horizon)</v>
      </c>
    </row>
    <row r="19858" customFormat="false" ht="15" hidden="false" customHeight="false" outlineLevel="0" collapsed="false">
      <c r="A19858" s="3" t="s">
        <v>329</v>
      </c>
      <c r="C19858" s="3" t="str">
        <f aca="false">IF(SUM($G$19814:$K$19814)=0,"n/a",IF(C19856&gt;=C19855-0.001,"Repaid from cash",IF(SUMPRODUCT($G$19814:$K$19814,$G$19811:$K$19811)&gt;0,IF(C19856&gt;0,"Partly repaid; remainder refinanced","Refinanced"),IF(SUM($G$19823:$K$19823)&gt;0.001,IF(C19856&gt;0,"Partial repayment; PAYMENT DEFAULT","PAYMENT DEFAULT"),"Repaid from cash"))))</f>
        <v>n/a</v>
      </c>
    </row>
    <row r="19859" customFormat="false" ht="15" hidden="false" customHeight="false" outlineLevel="0" collapsed="false">
      <c r="A19859" s="3" t="s">
        <v>330</v>
      </c>
      <c r="C19859" s="25" t="n">
        <f aca="false">SUMPRODUCT($G$19827:$K$19827,$G$19826:$K$19826-$G$19832:$K$19832+$G$19831:$K$19831)</f>
        <v>276.706</v>
      </c>
    </row>
    <row r="19860" customFormat="false" ht="15" hidden="false" customHeight="false" outlineLevel="0" collapsed="false">
      <c r="A19860" s="3" t="s">
        <v>331</v>
      </c>
      <c r="C19860" s="25" t="n">
        <f aca="false">SUMPRODUCT($G$19827:$K$19827,$G$19834:$K$19834)</f>
        <v>270.37196743168</v>
      </c>
    </row>
    <row r="19861" customFormat="false" ht="15" hidden="false" customHeight="false" outlineLevel="0" collapsed="false">
      <c r="A19861" s="3" t="s">
        <v>332</v>
      </c>
      <c r="C19861" s="3" t="str">
        <f aca="false">IF(SUM($G$19827:$K$19827)=0,"n/a (beyond horizon)",IF(SUMPRODUCT($G$19827:$K$19827,$G$19811:$K$19811)&gt;0,"REFINANCING PASS","REFINANCING FAILURE"))</f>
        <v>REFINANCING FAILURE</v>
      </c>
    </row>
    <row r="19862" customFormat="false" ht="15" hidden="false" customHeight="false" outlineLevel="0" collapsed="false">
      <c r="A19862" s="3" t="s">
        <v>333</v>
      </c>
      <c r="C19862" s="3" t="str">
        <f aca="false">IF(SUM($G$19827:$K$19827)=0,"n/a",IF(C19860&gt;=C19859-0.001,"Repaid from cash",IF(SUMPRODUCT($G$19827:$K$19827,$G$19811:$K$19811)&gt;0,IF(C19860&gt;0,"Partly repaid; remainder refinanced","Refinanced"),IF(SUM($G$19836:$K$19836)&gt;0.001,IF(C19860&gt;0,"Partial repayment; PAYMENT DEFAULT","PAYMENT DEFAULT"),"Repaid from cash"))))</f>
        <v>Partial repayment; PAYMENT DEFAULT</v>
      </c>
    </row>
    <row r="19863" customFormat="false" ht="15" hidden="false" customHeight="false" outlineLevel="0" collapsed="false">
      <c r="A19863" s="3" t="s">
        <v>334</v>
      </c>
      <c r="C19863" s="25" t="n">
        <f aca="false">SUMPRODUCT($G$19840:$K$19840,$G$19839:$K$19839-$G$19845:$K$19845+$G$19844:$K$19844)</f>
        <v>143.75</v>
      </c>
    </row>
    <row r="19864" customFormat="false" ht="15" hidden="false" customHeight="false" outlineLevel="0" collapsed="false">
      <c r="A19864" s="3" t="s">
        <v>335</v>
      </c>
      <c r="C19864" s="25" t="n">
        <f aca="false">SUMPRODUCT($G$19840:$K$19840,$G$19847:$K$19847)</f>
        <v>0</v>
      </c>
    </row>
    <row r="19865" customFormat="false" ht="15" hidden="false" customHeight="false" outlineLevel="0" collapsed="false">
      <c r="A19865" s="3" t="s">
        <v>336</v>
      </c>
      <c r="C19865" s="3" t="str">
        <f aca="false">IF(SUM($G$19840:$K$19840)=0,"n/a (beyond horizon)",IF(SUMPRODUCT($G$19840:$K$19840,$G$19811:$K$19811)&gt;0,"REFINANCING PASS","REFINANCING FAILURE"))</f>
        <v>REFINANCING FAILURE</v>
      </c>
    </row>
    <row r="19866" customFormat="false" ht="15" hidden="false" customHeight="false" outlineLevel="0" collapsed="false">
      <c r="A19866" s="3" t="s">
        <v>337</v>
      </c>
      <c r="C19866" s="3" t="str">
        <f aca="false">IF(SUM($G$19840:$K$19840)=0,"n/a",IF(C19864&gt;=C19863-0.001,"Repaid from cash",IF(SUMPRODUCT($G$19840:$K$19840,$G$19811:$K$19811)&gt;0,IF(C19864&gt;0,"Partly repaid; remainder refinanced","Refinanced"),IF(SUM($G$19849:$K$19849)&gt;0.001,IF(C19864&gt;0,"Partial repayment; PAYMENT DEFAULT","PAYMENT DEFAULT"),"Repaid from cash"))))</f>
        <v>PAYMENT DEFAULT</v>
      </c>
    </row>
    <row r="19867" customFormat="false" ht="15" hidden="false" customHeight="false" outlineLevel="0" collapsed="false">
      <c r="A19867" s="3" t="s">
        <v>338</v>
      </c>
      <c r="C19867" s="20" t="n">
        <f aca="false">IF(C19857="REFINANCING FAILURE",1,0)+IF(C19861="REFINANCING FAILURE",1,0)+IF(C19865="REFINANCING FAILURE",1,0)</f>
        <v>2</v>
      </c>
    </row>
    <row r="19869" customFormat="false" ht="15" hidden="false" customHeight="false" outlineLevel="0" collapsed="false">
      <c r="A19869" s="23" t="s">
        <v>340</v>
      </c>
      <c r="B19869" s="24"/>
      <c r="C19869" s="24"/>
      <c r="D19869" s="24"/>
      <c r="E19869" s="24"/>
      <c r="F19869" s="24"/>
      <c r="G19869" s="24"/>
      <c r="H19869" s="24"/>
      <c r="I19869" s="24"/>
      <c r="J19869" s="24"/>
      <c r="K19869" s="24"/>
    </row>
    <row r="19870" customFormat="false" ht="15" hidden="false" customHeight="false" outlineLevel="0" collapsed="false">
      <c r="A19870" s="3" t="s">
        <v>305</v>
      </c>
      <c r="G19870" s="25" t="n">
        <f aca="false">F19882</f>
        <v>463.996</v>
      </c>
      <c r="H19870" s="25" t="n">
        <f aca="false">G19882</f>
        <v>431.67030664</v>
      </c>
      <c r="I19870" s="25" t="n">
        <f aca="false">H19882</f>
        <v>359.0106596512</v>
      </c>
      <c r="J19870" s="25" t="n">
        <f aca="false">I19882</f>
        <v>0</v>
      </c>
      <c r="K19870" s="25" t="n">
        <f aca="false">J19882</f>
        <v>-82.533161826112</v>
      </c>
    </row>
    <row r="19871" customFormat="false" ht="15" hidden="false" customHeight="false" outlineLevel="0" collapsed="false">
      <c r="A19871" s="3" t="s">
        <v>341</v>
      </c>
      <c r="G19871" s="25" t="n">
        <f aca="false">G19800</f>
        <v>-32.32569336</v>
      </c>
      <c r="H19871" s="25" t="n">
        <f aca="false">H19800</f>
        <v>-72.6596469888</v>
      </c>
      <c r="I19871" s="25" t="n">
        <f aca="false">I19800</f>
        <v>-88.63869221952</v>
      </c>
      <c r="J19871" s="25" t="n">
        <f aca="false">J19800</f>
        <v>-82.533161826112</v>
      </c>
      <c r="K19871" s="25" t="n">
        <f aca="false">K19800</f>
        <v>-86.2490037995945</v>
      </c>
    </row>
    <row r="19872" customFormat="false" ht="15" hidden="false" customHeight="false" outlineLevel="0" collapsed="false">
      <c r="A19872" s="3" t="s">
        <v>342</v>
      </c>
      <c r="G19872" s="25" t="n">
        <f aca="false">CHOOSE($C$19770,Assumptions!$G$74,Assumptions!$G$93,Assumptions!$G$112)</f>
        <v>0</v>
      </c>
      <c r="H19872" s="25" t="n">
        <f aca="false">CHOOSE($C$19770,Assumptions!$H$74,Assumptions!$H$93,Assumptions!$H$112)</f>
        <v>0</v>
      </c>
      <c r="I19872" s="25" t="n">
        <f aca="false">CHOOSE($C$19770,Assumptions!$I$74,Assumptions!$I$93,Assumptions!$I$112)</f>
        <v>0</v>
      </c>
      <c r="J19872" s="25" t="n">
        <f aca="false">CHOOSE($C$19770,Assumptions!$J$74,Assumptions!$J$93,Assumptions!$J$112)</f>
        <v>0</v>
      </c>
      <c r="K19872" s="25" t="n">
        <f aca="false">CHOOSE($C$19770,Assumptions!$K$74,Assumptions!$K$93,Assumptions!$K$112)</f>
        <v>0</v>
      </c>
    </row>
    <row r="19873" customFormat="false" ht="15" hidden="false" customHeight="false" outlineLevel="0" collapsed="false">
      <c r="A19873" s="3" t="s">
        <v>343</v>
      </c>
      <c r="G19873" s="25" t="n">
        <f aca="false">G19819+G19832+G19845</f>
        <v>0</v>
      </c>
      <c r="H19873" s="25" t="n">
        <f aca="false">H19819+H19832+H19845</f>
        <v>0</v>
      </c>
      <c r="I19873" s="25" t="n">
        <f aca="false">I19819+I19832+I19845</f>
        <v>0</v>
      </c>
      <c r="J19873" s="25" t="n">
        <f aca="false">J19819+J19832+J19845</f>
        <v>0</v>
      </c>
      <c r="K19873" s="25" t="n">
        <f aca="false">K19819+K19832+K19845</f>
        <v>0</v>
      </c>
    </row>
    <row r="19874" customFormat="false" ht="15" hidden="false" customHeight="false" outlineLevel="0" collapsed="false">
      <c r="A19874" s="2" t="s">
        <v>344</v>
      </c>
      <c r="G19874" s="16" t="n">
        <f aca="false">G19870+G19871+G19872-G19873</f>
        <v>431.67030664</v>
      </c>
      <c r="H19874" s="16" t="n">
        <f aca="false">H19870+H19871+H19872-H19873</f>
        <v>359.0106596512</v>
      </c>
      <c r="I19874" s="16" t="n">
        <f aca="false">I19870+I19871+I19872-I19873</f>
        <v>270.37196743168</v>
      </c>
      <c r="J19874" s="16" t="n">
        <f aca="false">J19870+J19871+J19872-J19873</f>
        <v>-82.533161826112</v>
      </c>
      <c r="K19874" s="16" t="n">
        <f aca="false">K19870+K19871+K19872-K19873</f>
        <v>-168.782165625707</v>
      </c>
    </row>
    <row r="19875" customFormat="false" ht="15" hidden="false" customHeight="false" outlineLevel="0" collapsed="false">
      <c r="A19875" s="3" t="s">
        <v>345</v>
      </c>
      <c r="G19875" s="25" t="n">
        <f aca="false">G19820+G19833+G19846</f>
        <v>0</v>
      </c>
      <c r="H19875" s="25" t="n">
        <f aca="false">H19820+H19833+H19846</f>
        <v>0</v>
      </c>
      <c r="I19875" s="25" t="n">
        <f aca="false">I19820+I19833+I19846</f>
        <v>0</v>
      </c>
      <c r="J19875" s="25" t="n">
        <f aca="false">J19820+J19833+J19846</f>
        <v>0</v>
      </c>
      <c r="K19875" s="25" t="n">
        <f aca="false">K19820+K19833+K19846</f>
        <v>0</v>
      </c>
    </row>
    <row r="19876" customFormat="false" ht="15" hidden="false" customHeight="false" outlineLevel="0" collapsed="false">
      <c r="A19876" s="2" t="s">
        <v>346</v>
      </c>
      <c r="G19876" s="16" t="n">
        <f aca="false">G19874+G19875</f>
        <v>431.67030664</v>
      </c>
      <c r="H19876" s="16" t="n">
        <f aca="false">H19874+H19875</f>
        <v>359.0106596512</v>
      </c>
      <c r="I19876" s="16" t="n">
        <f aca="false">I19874+I19875</f>
        <v>270.37196743168</v>
      </c>
      <c r="J19876" s="16" t="n">
        <f aca="false">J19874+J19875</f>
        <v>-82.533161826112</v>
      </c>
      <c r="K19876" s="16" t="n">
        <f aca="false">K19874+K19875</f>
        <v>-168.782165625707</v>
      </c>
    </row>
    <row r="19877" customFormat="false" ht="15" hidden="false" customHeight="false" outlineLevel="0" collapsed="false">
      <c r="A19877" s="3" t="s">
        <v>347</v>
      </c>
      <c r="G19877" s="25" t="n">
        <f aca="false">G19821+G19834+G19847</f>
        <v>0</v>
      </c>
      <c r="H19877" s="25" t="n">
        <f aca="false">H19821+H19834+H19847</f>
        <v>0</v>
      </c>
      <c r="I19877" s="25" t="n">
        <f aca="false">I19821+I19834+I19847</f>
        <v>270.37196743168</v>
      </c>
      <c r="J19877" s="25" t="n">
        <f aca="false">J19821+J19834+J19847</f>
        <v>0</v>
      </c>
      <c r="K19877" s="25" t="n">
        <f aca="false">K19821+K19834+K19847</f>
        <v>0</v>
      </c>
    </row>
    <row r="19878" customFormat="false" ht="15" hidden="false" customHeight="false" outlineLevel="0" collapsed="false">
      <c r="A19878" s="2" t="s">
        <v>348</v>
      </c>
      <c r="G19878" s="16" t="n">
        <f aca="false">G19876-G19877</f>
        <v>431.67030664</v>
      </c>
      <c r="H19878" s="16" t="n">
        <f aca="false">H19876-H19877</f>
        <v>359.0106596512</v>
      </c>
      <c r="I19878" s="16" t="n">
        <f aca="false">I19876-I19877</f>
        <v>0</v>
      </c>
      <c r="J19878" s="16" t="n">
        <f aca="false">J19876-J19877</f>
        <v>-82.533161826112</v>
      </c>
      <c r="K19878" s="16" t="n">
        <f aca="false">K19876-K19877</f>
        <v>-168.782165625707</v>
      </c>
    </row>
    <row r="19879" customFormat="false" ht="15" hidden="false" customHeight="false" outlineLevel="0" collapsed="false">
      <c r="A19879" s="3" t="s">
        <v>349</v>
      </c>
      <c r="G19879" s="25" t="n">
        <f aca="false">MAX(0,-G19878)</f>
        <v>0</v>
      </c>
      <c r="H19879" s="25" t="n">
        <f aca="false">MAX(0,-H19878)</f>
        <v>0</v>
      </c>
      <c r="I19879" s="25" t="n">
        <f aca="false">MAX(0,-I19878)</f>
        <v>-0</v>
      </c>
      <c r="J19879" s="25" t="n">
        <f aca="false">MAX(0,-J19878)</f>
        <v>82.533161826112</v>
      </c>
      <c r="K19879" s="25" t="n">
        <f aca="false">MAX(0,-K19878)</f>
        <v>168.782165625707</v>
      </c>
    </row>
    <row r="19880" customFormat="false" ht="15" hidden="false" customHeight="false" outlineLevel="0" collapsed="false">
      <c r="A19880" s="3" t="s">
        <v>350</v>
      </c>
      <c r="G19880" s="25" t="n">
        <f aca="false">MAX(0,G19878-Assumptions!$C$12)*Assumptions!$C$13</f>
        <v>0</v>
      </c>
      <c r="H19880" s="25" t="n">
        <f aca="false">MAX(0,H19878-Assumptions!$C$12)*Assumptions!$C$13</f>
        <v>0</v>
      </c>
      <c r="I19880" s="25" t="n">
        <f aca="false">MAX(0,I19878-Assumptions!$C$12)*Assumptions!$C$13</f>
        <v>0</v>
      </c>
      <c r="J19880" s="25" t="n">
        <f aca="false">MAX(0,J19878-Assumptions!$C$12)*Assumptions!$C$13</f>
        <v>0</v>
      </c>
      <c r="K19880" s="25" t="n">
        <f aca="false">MAX(0,K19878-Assumptions!$C$12)*Assumptions!$C$13</f>
        <v>0</v>
      </c>
    </row>
    <row r="19881" customFormat="false" ht="15" hidden="false" customHeight="false" outlineLevel="0" collapsed="false">
      <c r="A19881" s="3" t="s">
        <v>351</v>
      </c>
      <c r="G19881" s="25" t="n">
        <f aca="false">G19822+G19835+G19848</f>
        <v>0</v>
      </c>
      <c r="H19881" s="25" t="n">
        <f aca="false">H19822+H19835+H19848</f>
        <v>0</v>
      </c>
      <c r="I19881" s="25" t="n">
        <f aca="false">I19822+I19835+I19848</f>
        <v>0</v>
      </c>
      <c r="J19881" s="25" t="n">
        <f aca="false">J19822+J19835+J19848</f>
        <v>0</v>
      </c>
      <c r="K19881" s="25" t="n">
        <f aca="false">K19822+K19835+K19848</f>
        <v>0</v>
      </c>
    </row>
    <row r="19882" customFormat="false" ht="15" hidden="false" customHeight="false" outlineLevel="0" collapsed="false">
      <c r="A19882" s="2" t="s">
        <v>352</v>
      </c>
      <c r="F19882" s="28" t="n">
        <f aca="false">Assumptions!$C$11</f>
        <v>463.996</v>
      </c>
      <c r="G19882" s="16" t="n">
        <f aca="false">G19878-G19881</f>
        <v>431.67030664</v>
      </c>
      <c r="H19882" s="16" t="n">
        <f aca="false">H19878-H19881</f>
        <v>359.0106596512</v>
      </c>
      <c r="I19882" s="16" t="n">
        <f aca="false">I19878-I19881</f>
        <v>0</v>
      </c>
      <c r="J19882" s="16" t="n">
        <f aca="false">J19878-J19881</f>
        <v>-82.533161826112</v>
      </c>
      <c r="K19882" s="16" t="n">
        <f aca="false">K19878-K19881</f>
        <v>-168.782165625707</v>
      </c>
    </row>
    <row r="19883" customFormat="false" ht="15" hidden="false" customHeight="false" outlineLevel="0" collapsed="false">
      <c r="A19883" s="3" t="s">
        <v>353</v>
      </c>
      <c r="G19883" s="25" t="n">
        <f aca="false">G19823+G19836+G19849</f>
        <v>0</v>
      </c>
      <c r="H19883" s="25" t="n">
        <f aca="false">H19823+H19836+H19849</f>
        <v>0</v>
      </c>
      <c r="I19883" s="25" t="n">
        <f aca="false">I19823+I19836+I19849</f>
        <v>150.08403256832</v>
      </c>
      <c r="J19883" s="25" t="n">
        <f aca="false">J19823+J19836+J19849</f>
        <v>0</v>
      </c>
      <c r="K19883" s="25" t="n">
        <f aca="false">K19823+K19836+K19849</f>
        <v>0</v>
      </c>
    </row>
    <row r="19884" customFormat="false" ht="15" hidden="false" customHeight="false" outlineLevel="0" collapsed="false">
      <c r="A19884" s="3" t="s">
        <v>354</v>
      </c>
      <c r="G19884" s="20" t="n">
        <f aca="false">IF(OR(G19879&gt;0.001,G19883&gt;0.001),1,0)</f>
        <v>0</v>
      </c>
      <c r="H19884" s="20" t="n">
        <f aca="false">IF(OR(H19879&gt;0.001,H19883&gt;0.001),1,0)</f>
        <v>0</v>
      </c>
      <c r="I19884" s="20" t="n">
        <f aca="false">IF(OR(I19879&gt;0.001,I19883&gt;0.001),1,0)</f>
        <v>1</v>
      </c>
      <c r="J19884" s="20" t="n">
        <f aca="false">IF(OR(J19879&gt;0.001,J19883&gt;0.001),1,0)</f>
        <v>1</v>
      </c>
      <c r="K19884" s="20" t="n">
        <f aca="false">IF(OR(K19879&gt;0.001,K19883&gt;0.001),1,0)</f>
        <v>1</v>
      </c>
    </row>
    <row r="19885" customFormat="false" ht="15" hidden="false" customHeight="false" outlineLevel="0" collapsed="false">
      <c r="A19885" s="3" t="s">
        <v>355</v>
      </c>
      <c r="G19885" s="20" t="n">
        <f aca="false">IF(G19884=1,1,0)</f>
        <v>0</v>
      </c>
      <c r="H19885" s="20" t="n">
        <f aca="false">IF(AND(H19884=1,SUM($G$19884:G19884)=0),1,0)</f>
        <v>0</v>
      </c>
      <c r="I19885" s="20" t="n">
        <f aca="false">IF(AND(I19884=1,SUM($G$19884:H19884)=0),1,0)</f>
        <v>1</v>
      </c>
      <c r="J19885" s="20" t="n">
        <f aca="false">IF(AND(J19884=1,SUM($G$19884:I19884)=0),1,0)</f>
        <v>0</v>
      </c>
      <c r="K19885" s="20" t="n">
        <f aca="false">IF(AND(K19884=1,SUM($G$19884:J19884)=0),1,0)</f>
        <v>0</v>
      </c>
    </row>
    <row r="19886" customFormat="false" ht="15" hidden="false" customHeight="false" outlineLevel="0" collapsed="false">
      <c r="A19886" s="3" t="s">
        <v>356</v>
      </c>
      <c r="G19886" s="25" t="n">
        <f aca="false">(G19852-F19852)-(G19875+G19792-G19873-G19877-G19881)</f>
        <v>0</v>
      </c>
      <c r="H19886" s="25" t="n">
        <f aca="false">(H19852-G19852)-(H19875+H19792-H19873-H19877-H19881)</f>
        <v>0</v>
      </c>
      <c r="I19886" s="25" t="n">
        <f aca="false">(I19852-H19852)-(I19875+I19792-I19873-I19877-I19881)</f>
        <v>0</v>
      </c>
      <c r="J19886" s="25" t="n">
        <f aca="false">(J19852-I19852)-(J19875+J19792-J19873-J19877-J19881)</f>
        <v>0</v>
      </c>
      <c r="K19886" s="25" t="n">
        <f aca="false">(K19852-J19852)-(K19875+K19792-K19873-K19877-K19881)</f>
        <v>0</v>
      </c>
    </row>
    <row r="19888" customFormat="false" ht="15" hidden="false" customHeight="false" outlineLevel="0" collapsed="false">
      <c r="A19888" s="23" t="s">
        <v>358</v>
      </c>
      <c r="B19888" s="24"/>
      <c r="C19888" s="24"/>
      <c r="D19888" s="24"/>
      <c r="E19888" s="24"/>
      <c r="F19888" s="24"/>
      <c r="G19888" s="24"/>
      <c r="H19888" s="24"/>
      <c r="I19888" s="24"/>
      <c r="J19888" s="24"/>
      <c r="K19888" s="24"/>
    </row>
    <row r="19889" customFormat="false" ht="15" hidden="false" customHeight="false" outlineLevel="0" collapsed="false">
      <c r="A19889" s="3" t="s">
        <v>359</v>
      </c>
      <c r="G19889" s="25" t="n">
        <f aca="false">G19852</f>
        <v>1735.554</v>
      </c>
      <c r="H19889" s="25" t="n">
        <f aca="false">H19852</f>
        <v>1735.554</v>
      </c>
      <c r="I19889" s="25" t="n">
        <f aca="false">I19852</f>
        <v>1465.18203256832</v>
      </c>
      <c r="J19889" s="25" t="n">
        <f aca="false">J19852</f>
        <v>1465.18203256832</v>
      </c>
      <c r="K19889" s="25" t="n">
        <f aca="false">K19852</f>
        <v>1465.18203256832</v>
      </c>
    </row>
    <row r="19890" customFormat="false" ht="15" hidden="false" customHeight="false" outlineLevel="0" collapsed="false">
      <c r="A19890" s="3" t="s">
        <v>360</v>
      </c>
      <c r="G19890" s="25" t="n">
        <f aca="false">Assumptions!$O$56*G19824+Assumptions!$O$57*G19837+Assumptions!$O$58*G19850</f>
        <v>1315.098</v>
      </c>
      <c r="H19890" s="25" t="n">
        <f aca="false">Assumptions!$O$56*H19824+Assumptions!$O$57*H19837+Assumptions!$O$58*H19850</f>
        <v>1315.098</v>
      </c>
      <c r="I19890" s="25" t="n">
        <f aca="false">Assumptions!$O$56*I19824+Assumptions!$O$57*I19837+Assumptions!$O$58*I19850</f>
        <v>1315.098</v>
      </c>
      <c r="J19890" s="25" t="n">
        <f aca="false">Assumptions!$O$56*J19824+Assumptions!$O$57*J19837+Assumptions!$O$58*J19850</f>
        <v>1315.098</v>
      </c>
      <c r="K19890" s="25" t="n">
        <f aca="false">Assumptions!$O$56*K19824+Assumptions!$O$57*K19837+Assumptions!$O$58*K19850</f>
        <v>1315.098</v>
      </c>
    </row>
    <row r="19891" customFormat="false" ht="15" hidden="false" customHeight="false" outlineLevel="0" collapsed="false">
      <c r="A19891" s="3" t="s">
        <v>361</v>
      </c>
      <c r="G19891" s="25" t="n">
        <f aca="false">G19889-G19882</f>
        <v>1303.88369336</v>
      </c>
      <c r="H19891" s="25" t="n">
        <f aca="false">H19889-H19882</f>
        <v>1376.5433403488</v>
      </c>
      <c r="I19891" s="25" t="n">
        <f aca="false">I19889-I19882</f>
        <v>1465.18203256832</v>
      </c>
      <c r="J19891" s="25" t="n">
        <f aca="false">J19889-J19882</f>
        <v>1547.71519439443</v>
      </c>
      <c r="K19891" s="25" t="n">
        <f aca="false">K19889-K19882</f>
        <v>1633.96419819403</v>
      </c>
    </row>
    <row r="19892" customFormat="false" ht="15" hidden="false" customHeight="false" outlineLevel="0" collapsed="false">
      <c r="A19892" s="3" t="s">
        <v>362</v>
      </c>
      <c r="G19892" s="32" t="n">
        <f aca="false">IF(G19787&gt;0,G19889/G19787,0)</f>
        <v>9.98286782658702</v>
      </c>
      <c r="H19892" s="32" t="n">
        <f aca="false">IF(H19787&gt;0,H19889/H19787,0)</f>
        <v>13.6130015817096</v>
      </c>
      <c r="I19892" s="32" t="n">
        <f aca="false">IF(I19787&gt;0,I19889/I19787,0)</f>
        <v>13.6813219341771</v>
      </c>
      <c r="J19892" s="32" t="n">
        <f aca="false">IF(J19787&gt;0,J19889/J19787,0)</f>
        <v>14.8710021023664</v>
      </c>
      <c r="K19892" s="32" t="n">
        <f aca="false">IF(K19787&gt;0,K19889/K19787,0)</f>
        <v>15.8202150025174</v>
      </c>
    </row>
    <row r="19893" customFormat="false" ht="15" hidden="false" customHeight="false" outlineLevel="0" collapsed="false">
      <c r="A19893" s="3" t="s">
        <v>363</v>
      </c>
      <c r="G19893" s="32" t="n">
        <f aca="false">IF(G19787&gt;0,G19891/G19787,0)</f>
        <v>7.49990986858087</v>
      </c>
      <c r="H19893" s="32" t="n">
        <f aca="false">IF(H19787&gt;0,H19891/H19787,0)</f>
        <v>10.7970634560838</v>
      </c>
      <c r="I19893" s="32" t="n">
        <f aca="false">IF(I19787&gt;0,I19891/I19787,0)</f>
        <v>13.6813219341771</v>
      </c>
      <c r="J19893" s="32" t="n">
        <f aca="false">IF(J19787&gt;0,J19891/J19787,0)</f>
        <v>15.7086801490181</v>
      </c>
      <c r="K19893" s="32" t="n">
        <f aca="false">IF(K19787&gt;0,K19891/K19787,0)</f>
        <v>17.6426302993449</v>
      </c>
    </row>
    <row r="19894" customFormat="false" ht="15" hidden="false" customHeight="false" outlineLevel="0" collapsed="false">
      <c r="A19894" s="3" t="s">
        <v>364</v>
      </c>
      <c r="G19894" s="32" t="n">
        <f aca="false">IF(G19791&gt;0,G19787/G19791,0)</f>
        <v>1.11476782580477</v>
      </c>
      <c r="H19894" s="32" t="n">
        <f aca="false">IF(H19791&gt;0,H19787/H19791,0)</f>
        <v>0.817496405590163</v>
      </c>
      <c r="I19894" s="32" t="n">
        <f aca="false">IF(I19791&gt;0,I19787/I19791,0)</f>
        <v>0.686696980695737</v>
      </c>
      <c r="J19894" s="32" t="n">
        <f aca="false">IF(J19791&gt;0,J19787/J19791,0)</f>
        <v>0.682012179303795</v>
      </c>
      <c r="K19894" s="32" t="n">
        <f aca="false">IF(K19791&gt;0,K19787/K19791,0)</f>
        <v>0.641091448545568</v>
      </c>
    </row>
    <row r="19895" customFormat="false" ht="15" hidden="false" customHeight="false" outlineLevel="0" collapsed="false">
      <c r="A19895" s="3" t="s">
        <v>365</v>
      </c>
      <c r="G19895" s="32" t="n">
        <f aca="false">IF(G19791&gt;0,G19790/G19791,0)</f>
        <v>0.510100328512125</v>
      </c>
      <c r="H19895" s="32" t="n">
        <f aca="false">IF(H19791&gt;0,H19790/H19791,0)</f>
        <v>0.285389007972637</v>
      </c>
      <c r="I19895" s="32" t="n">
        <f aca="false">IF(I19791&gt;0,I19790/I19791,0)</f>
        <v>0.207800322839964</v>
      </c>
      <c r="J19895" s="32" t="n">
        <f aca="false">IF(J19791&gt;0,J19790/J19791,0)</f>
        <v>0.206382662257416</v>
      </c>
      <c r="K19895" s="32" t="n">
        <f aca="false">IF(K19791&gt;0,K19790/K19791,0)</f>
        <v>0.193999702521971</v>
      </c>
    </row>
    <row r="19896" customFormat="false" ht="15" hidden="false" customHeight="false" outlineLevel="0" collapsed="false">
      <c r="A19896" s="3" t="s">
        <v>198</v>
      </c>
      <c r="G19896" s="21" t="n">
        <f aca="false">IF(G19889&gt;0,G19800/G19889,0)</f>
        <v>-0.0186255762482758</v>
      </c>
      <c r="H19896" s="21" t="n">
        <f aca="false">IF(H19889&gt;0,H19800/H19889,0)</f>
        <v>-0.0418653911020919</v>
      </c>
      <c r="I19896" s="21" t="n">
        <f aca="false">IF(I19889&gt;0,I19800/I19889,0)</f>
        <v>-0.0604967097938985</v>
      </c>
      <c r="J19896" s="21" t="n">
        <f aca="false">IF(J19889&gt;0,J19800/J19889,0)</f>
        <v>-0.0563296300333683</v>
      </c>
      <c r="K19896" s="21" t="n">
        <f aca="false">IF(K19889&gt;0,K19800/K19889,0)</f>
        <v>-0.0588657258159305</v>
      </c>
    </row>
    <row r="19897" customFormat="false" ht="15" hidden="false" customHeight="false" outlineLevel="0" collapsed="false">
      <c r="A19897" s="3" t="s">
        <v>366</v>
      </c>
      <c r="G19897" s="32" t="n">
        <f aca="false">IF(G19791+G19873&gt;0,(G19787-G19798-G19795)/(G19791+G19873),0)</f>
        <v>0.978518424873074</v>
      </c>
      <c r="H19897" s="32" t="n">
        <f aca="false">IF(H19791+H19873&gt;0,(H19787-H19798-H19795)/(H19791+H19873),0)</f>
        <v>0.697596932770272</v>
      </c>
      <c r="I19897" s="32" t="n">
        <f aca="false">IF(I19791+I19873&gt;0,(I19787-I19798-I19795)/(I19791+I19873),0)</f>
        <v>0.578787455157835</v>
      </c>
      <c r="J19897" s="32" t="n">
        <f aca="false">IF(J19791+J19873&gt;0,(J19787-J19798-J19795)/(J19791+J19873),0)</f>
        <v>0.57483883684177</v>
      </c>
      <c r="K19897" s="32" t="n">
        <f aca="false">IF(K19791+K19873&gt;0,(K19787-K19798-K19795)/(K19791+K19873),0)</f>
        <v>0.540348506631264</v>
      </c>
    </row>
    <row r="19898" customFormat="false" ht="15" hidden="false" customHeight="false" outlineLevel="0" collapsed="false">
      <c r="A19898" s="3" t="s">
        <v>367</v>
      </c>
      <c r="G19898" s="25" t="n">
        <f aca="false">MAX(0,G19882)+Assumptions!$P$56*MAX(0,Assumptions!$D$56-G19824)+Assumptions!$P$57*MAX(0,Assumptions!$D$57-G19837)+Assumptions!$P$58*MAX(0,Assumptions!$D$58-G19850)</f>
        <v>431.67030664</v>
      </c>
      <c r="H19898" s="25" t="n">
        <f aca="false">MAX(0,H19882)+Assumptions!$P$56*MAX(0,Assumptions!$D$56-H19824)+Assumptions!$P$57*MAX(0,Assumptions!$D$57-H19837)+Assumptions!$P$58*MAX(0,Assumptions!$D$58-H19850)</f>
        <v>359.0106596512</v>
      </c>
      <c r="I19898" s="25" t="n">
        <f aca="false">MAX(0,I19882)+Assumptions!$P$56*MAX(0,Assumptions!$D$56-I19824)+Assumptions!$P$57*MAX(0,Assumptions!$D$57-I19837)+Assumptions!$P$58*MAX(0,Assumptions!$D$58-I19850)</f>
        <v>0</v>
      </c>
      <c r="J19898" s="25" t="n">
        <f aca="false">MAX(0,J19882)+Assumptions!$P$56*MAX(0,Assumptions!$D$56-J19824)+Assumptions!$P$57*MAX(0,Assumptions!$D$57-J19837)+Assumptions!$P$58*MAX(0,Assumptions!$D$58-J19850)</f>
        <v>0</v>
      </c>
      <c r="K19898" s="25" t="n">
        <f aca="false">MAX(0,K19882)+Assumptions!$P$56*MAX(0,Assumptions!$D$56-K19824)+Assumptions!$P$57*MAX(0,Assumptions!$D$57-K19837)+Assumptions!$P$58*MAX(0,Assumptions!$D$58-K19850)</f>
        <v>0</v>
      </c>
    </row>
    <row r="19899" customFormat="false" ht="15" hidden="false" customHeight="false" outlineLevel="0" collapsed="false">
      <c r="A19899" s="3" t="s">
        <v>368</v>
      </c>
      <c r="G19899" s="21" t="n">
        <f aca="false">IF(G19889&gt;0,G19889/(G19889+MAX(0,G19787*CHOOSE($C$19770,Assumptions!$C$82,Assumptions!$C$101,Assumptions!$C$120)-G19891)),0)</f>
        <v>1</v>
      </c>
      <c r="H19899" s="21" t="n">
        <f aca="false">IF(H19889&gt;0,H19889/(H19889+MAX(0,H19787*CHOOSE($C$19770,Assumptions!$C$82,Assumptions!$C$101,Assumptions!$C$120)-H19891)),0)</f>
        <v>1</v>
      </c>
      <c r="I19899" s="21" t="n">
        <f aca="false">IF(I19889&gt;0,I19889/(I19889+MAX(0,I19787*CHOOSE($C$19770,Assumptions!$C$82,Assumptions!$C$101,Assumptions!$C$120)-I19891)),0)</f>
        <v>1</v>
      </c>
      <c r="J19899" s="21" t="n">
        <f aca="false">IF(J19889&gt;0,J19889/(J19889+MAX(0,J19787*CHOOSE($C$19770,Assumptions!$C$82,Assumptions!$C$101,Assumptions!$C$120)-J19891)),0)</f>
        <v>1</v>
      </c>
      <c r="K19899" s="21" t="n">
        <f aca="false">IF(K19889&gt;0,K19889/(K19889+MAX(0,K19787*CHOOSE($C$19770,Assumptions!$C$82,Assumptions!$C$101,Assumptions!$C$120)-K19891)),0)</f>
        <v>1</v>
      </c>
    </row>
    <row r="19900" customFormat="false" ht="15" hidden="false" customHeight="false" outlineLevel="0" collapsed="false">
      <c r="A19900" s="3" t="s">
        <v>369</v>
      </c>
      <c r="G19900" s="21" t="n">
        <f aca="false">IF(G19889&gt;0,MAX(0,G19882)/G19889,0)</f>
        <v>0.248721910490829</v>
      </c>
      <c r="H19900" s="21" t="n">
        <f aca="false">IF(H19889&gt;0,MAX(0,H19882)/H19889,0)</f>
        <v>0.206856519388737</v>
      </c>
      <c r="I19900" s="21" t="n">
        <f aca="false">IF(I19889&gt;0,MAX(0,I19882)/I19889,0)</f>
        <v>0</v>
      </c>
      <c r="J19900" s="21" t="n">
        <f aca="false">IF(J19889&gt;0,MAX(0,J19882)/J19889,0)</f>
        <v>0</v>
      </c>
      <c r="K19900" s="21" t="n">
        <f aca="false">IF(K19889&gt;0,MAX(0,K19882)/K19889,0)</f>
        <v>0</v>
      </c>
    </row>
    <row r="19901" customFormat="false" ht="15" hidden="false" customHeight="false" outlineLevel="0" collapsed="false">
      <c r="A19901" s="3" t="s">
        <v>370</v>
      </c>
      <c r="G19901" s="25" t="n">
        <f aca="false">Assumptions!$C$30*(1-CHOOSE($C$19770,Assumptions!$C$85,Assumptions!$C$104,Assumptions!$C$123))</f>
        <v>1595.73115</v>
      </c>
      <c r="H19901" s="25" t="n">
        <f aca="false">Assumptions!$C$30*(1-CHOOSE($C$19770,Assumptions!$C$85,Assumptions!$C$104,Assumptions!$C$123))</f>
        <v>1595.73115</v>
      </c>
      <c r="I19901" s="25" t="n">
        <f aca="false">Assumptions!$C$30*(1-CHOOSE($C$19770,Assumptions!$C$85,Assumptions!$C$104,Assumptions!$C$123))</f>
        <v>1595.73115</v>
      </c>
      <c r="J19901" s="25" t="n">
        <f aca="false">Assumptions!$C$30*(1-CHOOSE($C$19770,Assumptions!$C$85,Assumptions!$C$104,Assumptions!$C$123))</f>
        <v>1595.73115</v>
      </c>
      <c r="K19901" s="25" t="n">
        <f aca="false">Assumptions!$C$30*(1-CHOOSE($C$19770,Assumptions!$C$85,Assumptions!$C$104,Assumptions!$C$123))</f>
        <v>1595.73115</v>
      </c>
    </row>
    <row r="19902" customFormat="false" ht="15" hidden="false" customHeight="false" outlineLevel="0" collapsed="false">
      <c r="A19902" s="23" t="s">
        <v>371</v>
      </c>
      <c r="B19902" s="24"/>
      <c r="C19902" s="24"/>
      <c r="D19902" s="24"/>
      <c r="E19902" s="24"/>
      <c r="F19902" s="24"/>
      <c r="G19902" s="24"/>
      <c r="H19902" s="24"/>
      <c r="I19902" s="24"/>
      <c r="J19902" s="24"/>
      <c r="K19902" s="24"/>
    </row>
    <row r="19903" customFormat="false" ht="15" hidden="false" customHeight="false" outlineLevel="0" collapsed="false">
      <c r="A19903" s="23" t="s">
        <v>372</v>
      </c>
      <c r="B19903" s="24"/>
      <c r="C19903" s="24"/>
      <c r="D19903" s="24"/>
      <c r="E19903" s="24"/>
      <c r="F19903" s="24"/>
      <c r="G19903" s="24"/>
      <c r="H19903" s="24"/>
      <c r="I19903" s="24"/>
      <c r="J19903" s="24"/>
      <c r="K19903" s="24"/>
    </row>
    <row r="19904" customFormat="false" ht="15" hidden="false" customHeight="false" outlineLevel="0" collapsed="false">
      <c r="A19904" s="3" t="s">
        <v>373</v>
      </c>
      <c r="G19904" s="32" t="n">
        <f aca="false">IF(G19787&gt;0,G19891/G19787,99)</f>
        <v>7.49990986858087</v>
      </c>
      <c r="H19904" s="32" t="n">
        <f aca="false">IF(H19787&gt;0,H19891/H19787,99)</f>
        <v>10.7970634560838</v>
      </c>
      <c r="I19904" s="32" t="n">
        <f aca="false">IF(I19787&gt;0,I19891/I19787,99)</f>
        <v>13.6813219341771</v>
      </c>
      <c r="J19904" s="32" t="n">
        <f aca="false">IF(J19787&gt;0,J19891/J19787,99)</f>
        <v>15.7086801490181</v>
      </c>
      <c r="K19904" s="32" t="n">
        <f aca="false">IF(K19787&gt;0,K19891/K19787,99)</f>
        <v>17.6426302993449</v>
      </c>
    </row>
    <row r="19905" customFormat="false" ht="15" hidden="false" customHeight="false" outlineLevel="0" collapsed="false">
      <c r="A19905" s="3" t="s">
        <v>374</v>
      </c>
      <c r="G19905" s="33" t="n">
        <f aca="false">Assumptions!$G$65</f>
        <v>5.25</v>
      </c>
      <c r="H19905" s="33" t="n">
        <f aca="false">Assumptions!$H$65</f>
        <v>5.25</v>
      </c>
      <c r="I19905" s="33" t="n">
        <f aca="false">Assumptions!$I$65</f>
        <v>5</v>
      </c>
      <c r="J19905" s="33" t="n">
        <f aca="false">Assumptions!$J$65</f>
        <v>5</v>
      </c>
      <c r="K19905" s="33" t="n">
        <f aca="false">Assumptions!$K$65</f>
        <v>5</v>
      </c>
    </row>
    <row r="19906" customFormat="false" ht="15" hidden="false" customHeight="false" outlineLevel="0" collapsed="false">
      <c r="A19906" s="3" t="s">
        <v>375</v>
      </c>
      <c r="G19906" s="32" t="n">
        <f aca="false">G19905-G19904</f>
        <v>-2.24990986858086</v>
      </c>
      <c r="H19906" s="32" t="n">
        <f aca="false">H19905-H19904</f>
        <v>-5.54706345608375</v>
      </c>
      <c r="I19906" s="32" t="n">
        <f aca="false">I19905-I19904</f>
        <v>-8.68132193417709</v>
      </c>
      <c r="J19906" s="32" t="n">
        <f aca="false">J19905-J19904</f>
        <v>-10.7086801490181</v>
      </c>
      <c r="K19906" s="32" t="n">
        <f aca="false">K19905-K19904</f>
        <v>-12.6426302993449</v>
      </c>
    </row>
    <row r="19907" customFormat="false" ht="15" hidden="false" customHeight="false" outlineLevel="0" collapsed="false">
      <c r="A19907" s="3" t="s">
        <v>376</v>
      </c>
      <c r="G19907" s="21" t="n">
        <f aca="false">IF(G19905=0,0,G19906/ABS(G19905))</f>
        <v>-0.42855426068207</v>
      </c>
      <c r="H19907" s="21" t="n">
        <f aca="false">IF(H19905=0,0,H19906/ABS(H19905))</f>
        <v>-1.05658351544452</v>
      </c>
      <c r="I19907" s="21" t="n">
        <f aca="false">IF(I19905=0,0,I19906/ABS(I19905))</f>
        <v>-1.73626438683542</v>
      </c>
      <c r="J19907" s="21" t="n">
        <f aca="false">IF(J19905=0,0,J19906/ABS(J19905))</f>
        <v>-2.14173602980363</v>
      </c>
      <c r="K19907" s="21" t="n">
        <f aca="false">IF(K19905=0,0,K19906/ABS(K19905))</f>
        <v>-2.52852605986897</v>
      </c>
    </row>
    <row r="19908" customFormat="false" ht="15" hidden="false" customHeight="false" outlineLevel="0" collapsed="false">
      <c r="A19908" s="3" t="s">
        <v>377</v>
      </c>
      <c r="G19908" s="20" t="n">
        <f aca="false">IF(G19906&lt;0,1,0)</f>
        <v>1</v>
      </c>
      <c r="H19908" s="20" t="n">
        <f aca="false">IF(H19906&lt;0,1,0)</f>
        <v>1</v>
      </c>
      <c r="I19908" s="20" t="n">
        <f aca="false">IF(I19906&lt;0,1,0)</f>
        <v>1</v>
      </c>
      <c r="J19908" s="20" t="n">
        <f aca="false">IF(J19906&lt;0,1,0)</f>
        <v>1</v>
      </c>
      <c r="K19908" s="20" t="n">
        <f aca="false">IF(K19906&lt;0,1,0)</f>
        <v>1</v>
      </c>
    </row>
    <row r="19909" customFormat="false" ht="15" hidden="false" customHeight="false" outlineLevel="0" collapsed="false">
      <c r="A19909" s="3" t="s">
        <v>378</v>
      </c>
      <c r="C19909" s="20" t="n">
        <f aca="false">IFERROR(INDEX($G$19777:$K$19777,MATCH(1,$G$19908:$K$19908,0)),0)</f>
        <v>2027</v>
      </c>
    </row>
    <row r="19910" customFormat="false" ht="15" hidden="false" customHeight="false" outlineLevel="0" collapsed="false">
      <c r="A19910" s="3" t="s">
        <v>379</v>
      </c>
      <c r="C19910" s="21" t="n">
        <f aca="false">MIN($G$19907:$K$19907)</f>
        <v>-2.52852605986897</v>
      </c>
    </row>
    <row r="19911" customFormat="false" ht="15" hidden="false" customHeight="false" outlineLevel="0" collapsed="false">
      <c r="A19911" s="23" t="s">
        <v>380</v>
      </c>
      <c r="B19911" s="24"/>
      <c r="C19911" s="24"/>
      <c r="D19911" s="24"/>
      <c r="E19911" s="24"/>
      <c r="F19911" s="24"/>
      <c r="G19911" s="24"/>
      <c r="H19911" s="24"/>
      <c r="I19911" s="24"/>
      <c r="J19911" s="24"/>
      <c r="K19911" s="24"/>
    </row>
    <row r="19912" customFormat="false" ht="15" hidden="false" customHeight="false" outlineLevel="0" collapsed="false">
      <c r="A19912" s="3" t="s">
        <v>373</v>
      </c>
      <c r="G19912" s="32" t="n">
        <f aca="false">IF(G19791&gt;0,G19787/G19791,99)</f>
        <v>1.11476782580477</v>
      </c>
      <c r="H19912" s="32" t="n">
        <f aca="false">IF(H19791&gt;0,H19787/H19791,99)</f>
        <v>0.817496405590163</v>
      </c>
      <c r="I19912" s="32" t="n">
        <f aca="false">IF(I19791&gt;0,I19787/I19791,99)</f>
        <v>0.686696980695737</v>
      </c>
      <c r="J19912" s="32" t="n">
        <f aca="false">IF(J19791&gt;0,J19787/J19791,99)</f>
        <v>0.682012179303795</v>
      </c>
      <c r="K19912" s="32" t="n">
        <f aca="false">IF(K19791&gt;0,K19787/K19791,99)</f>
        <v>0.641091448545568</v>
      </c>
    </row>
    <row r="19913" customFormat="false" ht="15" hidden="false" customHeight="false" outlineLevel="0" collapsed="false">
      <c r="A19913" s="3" t="s">
        <v>374</v>
      </c>
      <c r="G19913" s="33" t="n">
        <f aca="false">Assumptions!$G$66</f>
        <v>1.4</v>
      </c>
      <c r="H19913" s="33" t="n">
        <f aca="false">Assumptions!$H$66</f>
        <v>1.4</v>
      </c>
      <c r="I19913" s="33" t="n">
        <f aca="false">Assumptions!$I$66</f>
        <v>1.4</v>
      </c>
      <c r="J19913" s="33" t="n">
        <f aca="false">Assumptions!$J$66</f>
        <v>1.5</v>
      </c>
      <c r="K19913" s="33" t="n">
        <f aca="false">Assumptions!$K$66</f>
        <v>1.5</v>
      </c>
    </row>
    <row r="19914" customFormat="false" ht="15" hidden="false" customHeight="false" outlineLevel="0" collapsed="false">
      <c r="A19914" s="3" t="s">
        <v>375</v>
      </c>
      <c r="G19914" s="32" t="n">
        <f aca="false">G19912-G19913</f>
        <v>-0.285232174195233</v>
      </c>
      <c r="H19914" s="32" t="n">
        <f aca="false">H19912-H19913</f>
        <v>-0.582503594409837</v>
      </c>
      <c r="I19914" s="32" t="n">
        <f aca="false">I19912-I19913</f>
        <v>-0.713303019304263</v>
      </c>
      <c r="J19914" s="32" t="n">
        <f aca="false">J19912-J19913</f>
        <v>-0.817987820696205</v>
      </c>
      <c r="K19914" s="32" t="n">
        <f aca="false">K19912-K19913</f>
        <v>-0.858908551454433</v>
      </c>
    </row>
    <row r="19915" customFormat="false" ht="15" hidden="false" customHeight="false" outlineLevel="0" collapsed="false">
      <c r="A19915" s="3" t="s">
        <v>376</v>
      </c>
      <c r="G19915" s="21" t="n">
        <f aca="false">IF(G19913=0,0,G19914/ABS(G19913))</f>
        <v>-0.203737267282309</v>
      </c>
      <c r="H19915" s="21" t="n">
        <f aca="false">IF(H19913=0,0,H19914/ABS(H19913))</f>
        <v>-0.416073996007027</v>
      </c>
      <c r="I19915" s="21" t="n">
        <f aca="false">IF(I19913=0,0,I19914/ABS(I19913))</f>
        <v>-0.509502156645902</v>
      </c>
      <c r="J19915" s="21" t="n">
        <f aca="false">IF(J19913=0,0,J19914/ABS(J19913))</f>
        <v>-0.54532521379747</v>
      </c>
      <c r="K19915" s="21" t="n">
        <f aca="false">IF(K19913=0,0,K19914/ABS(K19913))</f>
        <v>-0.572605700969622</v>
      </c>
    </row>
    <row r="19916" customFormat="false" ht="15" hidden="false" customHeight="false" outlineLevel="0" collapsed="false">
      <c r="A19916" s="3" t="s">
        <v>377</v>
      </c>
      <c r="G19916" s="20" t="n">
        <f aca="false">IF(G19914&lt;0,1,0)</f>
        <v>1</v>
      </c>
      <c r="H19916" s="20" t="n">
        <f aca="false">IF(H19914&lt;0,1,0)</f>
        <v>1</v>
      </c>
      <c r="I19916" s="20" t="n">
        <f aca="false">IF(I19914&lt;0,1,0)</f>
        <v>1</v>
      </c>
      <c r="J19916" s="20" t="n">
        <f aca="false">IF(J19914&lt;0,1,0)</f>
        <v>1</v>
      </c>
      <c r="K19916" s="20" t="n">
        <f aca="false">IF(K19914&lt;0,1,0)</f>
        <v>1</v>
      </c>
    </row>
    <row r="19917" customFormat="false" ht="15" hidden="false" customHeight="false" outlineLevel="0" collapsed="false">
      <c r="A19917" s="3" t="s">
        <v>378</v>
      </c>
      <c r="C19917" s="20" t="n">
        <f aca="false">IFERROR(INDEX($G$19777:$K$19777,MATCH(1,$G$19916:$K$19916,0)),0)</f>
        <v>2027</v>
      </c>
    </row>
    <row r="19918" customFormat="false" ht="15" hidden="false" customHeight="false" outlineLevel="0" collapsed="false">
      <c r="A19918" s="3" t="s">
        <v>379</v>
      </c>
      <c r="C19918" s="21" t="n">
        <f aca="false">MIN($G$19915:$K$19915)</f>
        <v>-0.572605700969622</v>
      </c>
    </row>
    <row r="19919" customFormat="false" ht="15" hidden="false" customHeight="false" outlineLevel="0" collapsed="false">
      <c r="A19919" s="23" t="s">
        <v>381</v>
      </c>
      <c r="B19919" s="24"/>
      <c r="C19919" s="24"/>
      <c r="D19919" s="24"/>
      <c r="E19919" s="24"/>
      <c r="F19919" s="24"/>
      <c r="G19919" s="24"/>
      <c r="H19919" s="24"/>
      <c r="I19919" s="24"/>
      <c r="J19919" s="24"/>
      <c r="K19919" s="24"/>
    </row>
    <row r="19920" customFormat="false" ht="15" hidden="false" customHeight="false" outlineLevel="0" collapsed="false">
      <c r="A19920" s="3" t="s">
        <v>373</v>
      </c>
      <c r="G19920" s="25" t="n">
        <f aca="false">G19898</f>
        <v>431.67030664</v>
      </c>
      <c r="H19920" s="25" t="n">
        <f aca="false">H19898</f>
        <v>359.0106596512</v>
      </c>
      <c r="I19920" s="25" t="n">
        <f aca="false">I19898</f>
        <v>0</v>
      </c>
      <c r="J19920" s="25" t="n">
        <f aca="false">J19898</f>
        <v>0</v>
      </c>
      <c r="K19920" s="25" t="n">
        <f aca="false">K19898</f>
        <v>0</v>
      </c>
    </row>
    <row r="19921" customFormat="false" ht="15" hidden="false" customHeight="false" outlineLevel="0" collapsed="false">
      <c r="A19921" s="3" t="s">
        <v>374</v>
      </c>
      <c r="G19921" s="29" t="n">
        <f aca="false">Assumptions!$G$67</f>
        <v>200</v>
      </c>
      <c r="H19921" s="29" t="n">
        <f aca="false">Assumptions!$H$67</f>
        <v>200</v>
      </c>
      <c r="I19921" s="29" t="n">
        <f aca="false">Assumptions!$I$67</f>
        <v>200</v>
      </c>
      <c r="J19921" s="29" t="n">
        <f aca="false">Assumptions!$J$67</f>
        <v>200</v>
      </c>
      <c r="K19921" s="29" t="n">
        <f aca="false">Assumptions!$K$67</f>
        <v>200</v>
      </c>
    </row>
    <row r="19922" customFormat="false" ht="15" hidden="false" customHeight="false" outlineLevel="0" collapsed="false">
      <c r="A19922" s="3" t="s">
        <v>375</v>
      </c>
      <c r="G19922" s="25" t="n">
        <f aca="false">G19920-G19921</f>
        <v>231.67030664</v>
      </c>
      <c r="H19922" s="25" t="n">
        <f aca="false">H19920-H19921</f>
        <v>159.0106596512</v>
      </c>
      <c r="I19922" s="25" t="n">
        <f aca="false">I19920-I19921</f>
        <v>-200</v>
      </c>
      <c r="J19922" s="25" t="n">
        <f aca="false">J19920-J19921</f>
        <v>-200</v>
      </c>
      <c r="K19922" s="25" t="n">
        <f aca="false">K19920-K19921</f>
        <v>-200</v>
      </c>
    </row>
    <row r="19923" customFormat="false" ht="15" hidden="false" customHeight="false" outlineLevel="0" collapsed="false">
      <c r="A19923" s="3" t="s">
        <v>376</v>
      </c>
      <c r="G19923" s="21" t="n">
        <f aca="false">IF(G19921=0,0,G19922/ABS(G19921))</f>
        <v>1.1583515332</v>
      </c>
      <c r="H19923" s="21" t="n">
        <f aca="false">IF(H19921=0,0,H19922/ABS(H19921))</f>
        <v>0.795053298256</v>
      </c>
      <c r="I19923" s="21" t="n">
        <f aca="false">IF(I19921=0,0,I19922/ABS(I19921))</f>
        <v>-1</v>
      </c>
      <c r="J19923" s="21" t="n">
        <f aca="false">IF(J19921=0,0,J19922/ABS(J19921))</f>
        <v>-1</v>
      </c>
      <c r="K19923" s="21" t="n">
        <f aca="false">IF(K19921=0,0,K19922/ABS(K19921))</f>
        <v>-1</v>
      </c>
    </row>
    <row r="19924" customFormat="false" ht="15" hidden="false" customHeight="false" outlineLevel="0" collapsed="false">
      <c r="A19924" s="3" t="s">
        <v>377</v>
      </c>
      <c r="G19924" s="20" t="n">
        <f aca="false">IF(G19922&lt;0,1,0)</f>
        <v>0</v>
      </c>
      <c r="H19924" s="20" t="n">
        <f aca="false">IF(H19922&lt;0,1,0)</f>
        <v>0</v>
      </c>
      <c r="I19924" s="20" t="n">
        <f aca="false">IF(I19922&lt;0,1,0)</f>
        <v>1</v>
      </c>
      <c r="J19924" s="20" t="n">
        <f aca="false">IF(J19922&lt;0,1,0)</f>
        <v>1</v>
      </c>
      <c r="K19924" s="20" t="n">
        <f aca="false">IF(K19922&lt;0,1,0)</f>
        <v>1</v>
      </c>
    </row>
    <row r="19925" customFormat="false" ht="15" hidden="false" customHeight="false" outlineLevel="0" collapsed="false">
      <c r="A19925" s="3" t="s">
        <v>378</v>
      </c>
      <c r="C19925" s="20" t="n">
        <f aca="false">IFERROR(INDEX($G$19777:$K$19777,MATCH(1,$G$19924:$K$19924,0)),0)</f>
        <v>2029</v>
      </c>
    </row>
    <row r="19926" customFormat="false" ht="15" hidden="false" customHeight="false" outlineLevel="0" collapsed="false">
      <c r="A19926" s="3" t="s">
        <v>379</v>
      </c>
      <c r="C19926" s="21" t="n">
        <f aca="false">MIN($G$19923:$K$19923)</f>
        <v>-1</v>
      </c>
    </row>
    <row r="19927" customFormat="false" ht="15" hidden="false" customHeight="false" outlineLevel="0" collapsed="false">
      <c r="A19927" s="3" t="s">
        <v>382</v>
      </c>
      <c r="G19927" s="20" t="n">
        <f aca="false">G19908+G19916+G19924</f>
        <v>2</v>
      </c>
      <c r="H19927" s="20" t="n">
        <f aca="false">H19908+H19916+H19924</f>
        <v>2</v>
      </c>
      <c r="I19927" s="20" t="n">
        <f aca="false">I19908+I19916+I19924</f>
        <v>3</v>
      </c>
      <c r="J19927" s="20" t="n">
        <f aca="false">J19908+J19916+J19924</f>
        <v>3</v>
      </c>
      <c r="K19927" s="20" t="n">
        <f aca="false">K19908+K19916+K19924</f>
        <v>3</v>
      </c>
    </row>
    <row r="19928" customFormat="false" ht="15" hidden="false" customHeight="false" outlineLevel="0" collapsed="false">
      <c r="A19928" s="3" t="s">
        <v>383</v>
      </c>
      <c r="C19928" s="20" t="n">
        <f aca="false">SUM($G$19927:$K$19927)</f>
        <v>13</v>
      </c>
    </row>
    <row r="19929" customFormat="false" ht="15" hidden="false" customHeight="false" outlineLevel="0" collapsed="false">
      <c r="A19929" s="3" t="s">
        <v>384</v>
      </c>
      <c r="C19929" s="21" t="n">
        <f aca="false">MIN(C19910,C19918,C19926)</f>
        <v>-2.52852605986897</v>
      </c>
    </row>
    <row r="19931" customFormat="false" ht="15" hidden="false" customHeight="false" outlineLevel="0" collapsed="false">
      <c r="A19931" s="23" t="s">
        <v>486</v>
      </c>
      <c r="B19931" s="24"/>
      <c r="C19931" s="24"/>
      <c r="D19931" s="24"/>
      <c r="E19931" s="24"/>
      <c r="F19931" s="24"/>
      <c r="G19931" s="24"/>
      <c r="H19931" s="24"/>
      <c r="I19931" s="24"/>
      <c r="J19931" s="24"/>
      <c r="K19931" s="24"/>
    </row>
    <row r="19932" customFormat="false" ht="15" hidden="false" customHeight="false" outlineLevel="0" collapsed="false">
      <c r="A19932" s="3" t="s">
        <v>487</v>
      </c>
      <c r="G19932" s="20" t="n">
        <f aca="false">IF($C$19933=1,G19885,IF(G19787=MIN($G$19787:$K$19787),1,0))</f>
        <v>0</v>
      </c>
      <c r="H19932" s="20" t="n">
        <f aca="false">IF($C$19933=1,H19885,IF(AND(H19787=MIN($G$19787:$K$19787),SUM($G$19932:G19932)=0),1,0))</f>
        <v>0</v>
      </c>
      <c r="I19932" s="20" t="n">
        <f aca="false">IF($C$19933=1,I19885,IF(AND(I19787=MIN($G$19787:$K$19787),SUM($G$19932:H19932)=0),1,0))</f>
        <v>1</v>
      </c>
      <c r="J19932" s="20" t="n">
        <f aca="false">IF($C$19933=1,J19885,IF(AND(J19787=MIN($G$19787:$K$19787),SUM($G$19932:I19932)=0),1,0))</f>
        <v>0</v>
      </c>
      <c r="K19932" s="20" t="n">
        <f aca="false">IF($C$19933=1,K19885,IF(AND(K19787=MIN($G$19787:$K$19787),SUM($G$19932:J19932)=0),1,0))</f>
        <v>0</v>
      </c>
    </row>
    <row r="19933" customFormat="false" ht="15" hidden="false" customHeight="false" outlineLevel="0" collapsed="false">
      <c r="A19933" s="3" t="s">
        <v>488</v>
      </c>
      <c r="C19933" s="20" t="n">
        <f aca="false">IF(SUM($G$19885:$K$19885)&gt;0,1,0)</f>
        <v>1</v>
      </c>
    </row>
    <row r="19934" customFormat="false" ht="15" hidden="false" customHeight="false" outlineLevel="0" collapsed="false">
      <c r="A19934" s="3" t="s">
        <v>489</v>
      </c>
      <c r="C19934" s="20" t="n">
        <f aca="false">SUMPRODUCT($G$19932:$K$19932,$G$19777:$K$19777)</f>
        <v>2029</v>
      </c>
    </row>
    <row r="19935" customFormat="false" ht="15" hidden="false" customHeight="false" outlineLevel="0" collapsed="false">
      <c r="A19935" s="3" t="s">
        <v>490</v>
      </c>
      <c r="C19935" s="25" t="n">
        <f aca="false">SUMPRODUCT($G$19932:$K$19932,$G$19787:$K$19787)</f>
        <v>107.0936010144</v>
      </c>
    </row>
    <row r="19936" customFormat="false" ht="15" hidden="false" customHeight="false" outlineLevel="0" collapsed="false">
      <c r="A19936" s="3" t="s">
        <v>491</v>
      </c>
      <c r="C19936" s="25" t="n">
        <f aca="false">MAX(0,SUMPRODUCT($G$19932:$K$19932,$G$19882:$K$19882))</f>
        <v>0</v>
      </c>
    </row>
    <row r="19937" customFormat="false" ht="15" hidden="false" customHeight="false" outlineLevel="0" collapsed="false">
      <c r="A19937" s="3" t="s">
        <v>492</v>
      </c>
      <c r="C19937" s="25" t="n">
        <f aca="false">(CHOOSE($C$19770,Assumptions!$C$84,Assumptions!$C$103,Assumptions!$C$122)+$C$19774)*C19935</f>
        <v>535.468005072</v>
      </c>
    </row>
    <row r="19938" customFormat="false" ht="15" hidden="false" customHeight="false" outlineLevel="0" collapsed="false">
      <c r="A19938" s="3" t="s">
        <v>493</v>
      </c>
      <c r="C19938" s="25" t="n">
        <f aca="false">Assumptions!$C$30*(1-CHOOSE($C$19770,Assumptions!$C$85,Assumptions!$C$104,Assumptions!$C$123))*CHOOSE($C$19770,Assumptions!$C$86,Assumptions!$C$105,Assumptions!$C$124)</f>
        <v>478.719345</v>
      </c>
    </row>
    <row r="19939" customFormat="false" ht="15" hidden="false" customHeight="false" outlineLevel="0" collapsed="false">
      <c r="A19939" s="3" t="s">
        <v>494</v>
      </c>
      <c r="C19939" s="25" t="n">
        <f aca="false">MAX(C19937,C19938)+C19936</f>
        <v>535.468005072</v>
      </c>
    </row>
    <row r="19940" customFormat="false" ht="15" hidden="false" customHeight="false" outlineLevel="0" collapsed="false">
      <c r="A19940" s="2" t="s">
        <v>495</v>
      </c>
      <c r="C19940" s="16" t="n">
        <f aca="false">IF(ISNUMBER(Assumptions!$C$14),Assumptions!$C$14,C19939)</f>
        <v>535.468005072</v>
      </c>
    </row>
    <row r="19941" customFormat="false" ht="15" hidden="false" customHeight="false" outlineLevel="0" collapsed="false">
      <c r="A19941" s="3" t="s">
        <v>496</v>
      </c>
      <c r="C19941" s="25" t="n">
        <f aca="false">C19940*Assumptions!$C$15</f>
        <v>21.41872020288</v>
      </c>
    </row>
    <row r="19942" customFormat="false" ht="15" hidden="false" customHeight="false" outlineLevel="0" collapsed="false">
      <c r="A19942" s="2" t="s">
        <v>497</v>
      </c>
      <c r="C19942" s="16" t="n">
        <f aca="false">C19940-C19941</f>
        <v>514.04928486912</v>
      </c>
    </row>
    <row r="19943" customFormat="false" ht="15" hidden="false" customHeight="false" outlineLevel="0" collapsed="false">
      <c r="A19943" s="23" t="s">
        <v>498</v>
      </c>
      <c r="B19943" s="24"/>
      <c r="C19943" s="24"/>
      <c r="D19943" s="24"/>
      <c r="E19943" s="24"/>
      <c r="F19943" s="24"/>
      <c r="G19943" s="24"/>
      <c r="H19943" s="24"/>
      <c r="I19943" s="24"/>
      <c r="J19943" s="24"/>
      <c r="K19943" s="24"/>
    </row>
    <row r="19944" customFormat="false" ht="15" hidden="false" customHeight="false" outlineLevel="0" collapsed="false">
      <c r="A19944" s="3" t="s">
        <v>499</v>
      </c>
      <c r="C19944" s="25" t="n">
        <f aca="false">SUMPRODUCT($G$19932:$K$19932,$G$19824:$K$19824)*(1+SUMPRODUCT($G$19932:$K$19932,$G$19816:$K$19816)*Assumptions!$C$16/12)</f>
        <v>1349.6193225</v>
      </c>
    </row>
    <row r="19945" customFormat="false" ht="15" hidden="false" customHeight="false" outlineLevel="0" collapsed="false">
      <c r="A19945" s="3" t="s">
        <v>500</v>
      </c>
      <c r="C19945" s="25" t="n">
        <f aca="false">SUMPRODUCT($G$19932:$K$19932,$G$19837:$K$19837)*(1+SUMPRODUCT($G$19932:$K$19932,$G$19829:$K$19829)*Assumptions!$C$16/12)</f>
        <v>6.40133166435848</v>
      </c>
    </row>
    <row r="19946" customFormat="false" ht="15" hidden="false" customHeight="false" outlineLevel="0" collapsed="false">
      <c r="A19946" s="3" t="s">
        <v>501</v>
      </c>
      <c r="C19946" s="25" t="n">
        <f aca="false">SUMPRODUCT($G$19932:$K$19932,$G$19850:$K$19850)*(1+SUMPRODUCT($G$19932:$K$19932,$G$19842:$K$19842)*Assumptions!$C$16/12)</f>
        <v>145.27734375</v>
      </c>
    </row>
    <row r="19947" customFormat="false" ht="15" hidden="false" customHeight="false" outlineLevel="0" collapsed="false">
      <c r="A19947" s="23" t="s">
        <v>502</v>
      </c>
      <c r="B19947" s="24"/>
      <c r="C19947" s="24"/>
      <c r="D19947" s="24"/>
      <c r="E19947" s="24"/>
      <c r="F19947" s="24"/>
      <c r="G19947" s="24"/>
      <c r="H19947" s="24"/>
      <c r="I19947" s="24"/>
      <c r="J19947" s="24"/>
      <c r="K19947" s="24"/>
    </row>
    <row r="19948" customFormat="false" ht="15" hidden="false" customHeight="false" outlineLevel="0" collapsed="false">
      <c r="A19948" s="3" t="s">
        <v>499</v>
      </c>
      <c r="C19948" s="27" t="n">
        <f aca="false">Assumptions!$M$56</f>
        <v>1</v>
      </c>
    </row>
    <row r="19949" customFormat="false" ht="15" hidden="false" customHeight="false" outlineLevel="0" collapsed="false">
      <c r="A19949" s="3" t="s">
        <v>500</v>
      </c>
      <c r="C19949" s="27" t="n">
        <f aca="false">Assumptions!$M$57</f>
        <v>2</v>
      </c>
    </row>
    <row r="19950" customFormat="false" ht="15" hidden="false" customHeight="false" outlineLevel="0" collapsed="false">
      <c r="A19950" s="3" t="s">
        <v>501</v>
      </c>
      <c r="C19950" s="27" t="n">
        <f aca="false">Assumptions!$M$58</f>
        <v>2</v>
      </c>
    </row>
    <row r="19951" customFormat="false" ht="15" hidden="false" customHeight="false" outlineLevel="0" collapsed="false">
      <c r="A19951" s="23" t="s">
        <v>503</v>
      </c>
      <c r="B19951" s="24"/>
      <c r="C19951" s="24"/>
      <c r="D19951" s="24"/>
      <c r="E19951" s="24"/>
      <c r="F19951" s="24"/>
      <c r="G19951" s="24"/>
      <c r="H19951" s="24"/>
      <c r="I19951" s="24"/>
      <c r="J19951" s="24"/>
      <c r="K19951" s="24"/>
    </row>
    <row r="19952" customFormat="false" ht="15" hidden="false" customHeight="false" outlineLevel="0" collapsed="false">
      <c r="A19952" s="3" t="s">
        <v>499</v>
      </c>
      <c r="C19952" s="35" t="n">
        <f aca="false">Assumptions!$Q$56</f>
        <v>0</v>
      </c>
    </row>
    <row r="19953" customFormat="false" ht="15" hidden="false" customHeight="false" outlineLevel="0" collapsed="false">
      <c r="A19953" s="3" t="s">
        <v>500</v>
      </c>
      <c r="C19953" s="35" t="n">
        <f aca="false">Assumptions!$Q$57</f>
        <v>0</v>
      </c>
    </row>
    <row r="19954" customFormat="false" ht="15" hidden="false" customHeight="false" outlineLevel="0" collapsed="false">
      <c r="A19954" s="3" t="s">
        <v>501</v>
      </c>
      <c r="C19954" s="35" t="n">
        <f aca="false">Assumptions!$Q$58</f>
        <v>0</v>
      </c>
    </row>
    <row r="19955" customFormat="false" ht="15" hidden="false" customHeight="false" outlineLevel="0" collapsed="false">
      <c r="A19955" s="23" t="s">
        <v>504</v>
      </c>
      <c r="B19955" s="24"/>
      <c r="C19955" s="24"/>
      <c r="D19955" s="24"/>
      <c r="E19955" s="24"/>
      <c r="F19955" s="24"/>
      <c r="G19955" s="24"/>
      <c r="H19955" s="24"/>
      <c r="I19955" s="24"/>
      <c r="J19955" s="24"/>
      <c r="K19955" s="24"/>
    </row>
    <row r="19956" customFormat="false" ht="15" hidden="false" customHeight="false" outlineLevel="0" collapsed="false">
      <c r="A19956" s="3" t="s">
        <v>499</v>
      </c>
      <c r="C19956" s="25" t="n">
        <f aca="false">IF(C19952&gt;0,MIN(C19944,C19952*$C$19942),0)</f>
        <v>0</v>
      </c>
    </row>
    <row r="19957" customFormat="false" ht="15" hidden="false" customHeight="false" outlineLevel="0" collapsed="false">
      <c r="A19957" s="3" t="s">
        <v>500</v>
      </c>
      <c r="C19957" s="25" t="n">
        <f aca="false">IF(C19953&gt;0,MIN(C19945,C19953*$C$19942),0)</f>
        <v>0</v>
      </c>
    </row>
    <row r="19958" customFormat="false" ht="15" hidden="false" customHeight="false" outlineLevel="0" collapsed="false">
      <c r="A19958" s="3" t="s">
        <v>501</v>
      </c>
      <c r="C19958" s="25" t="n">
        <f aca="false">IF(C19954&gt;0,MIN(C19946,C19954*$C$19942),0)</f>
        <v>0</v>
      </c>
    </row>
    <row r="19959" customFormat="false" ht="15" hidden="false" customHeight="false" outlineLevel="0" collapsed="false">
      <c r="A19959" s="23" t="s">
        <v>505</v>
      </c>
      <c r="B19959" s="24"/>
      <c r="C19959" s="24"/>
      <c r="D19959" s="24"/>
      <c r="E19959" s="24"/>
      <c r="F19959" s="24"/>
      <c r="G19959" s="24"/>
      <c r="H19959" s="24"/>
      <c r="I19959" s="24"/>
      <c r="J19959" s="24"/>
      <c r="K19959" s="24"/>
    </row>
    <row r="19960" customFormat="false" ht="15" hidden="false" customHeight="false" outlineLevel="0" collapsed="false">
      <c r="A19960" s="3" t="s">
        <v>499</v>
      </c>
      <c r="C19960" s="25" t="n">
        <f aca="false">IF(C19952&gt;0,C19944-C19956,0)</f>
        <v>0</v>
      </c>
      <c r="G19960" s="20" t="n">
        <f aca="false">IF(AND(G19814=1,G19811=1),1,0)</f>
        <v>0</v>
      </c>
      <c r="H19960" s="20" t="n">
        <f aca="false">IF(G19960=1,1,IF(AND(H19814=1,H19811=1),1,0))</f>
        <v>0</v>
      </c>
      <c r="I19960" s="20" t="n">
        <f aca="false">IF(H19960=1,1,IF(AND(I19814=1,I19811=1),1,0))</f>
        <v>0</v>
      </c>
      <c r="J19960" s="20" t="n">
        <f aca="false">IF(I19960=1,1,IF(AND(J19814=1,J19811=1),1,0))</f>
        <v>0</v>
      </c>
      <c r="K19960" s="20" t="n">
        <f aca="false">IF(J19960=1,1,IF(AND(K19814=1,K19811=1),1,0))</f>
        <v>0</v>
      </c>
    </row>
    <row r="19961" customFormat="false" ht="15" hidden="false" customHeight="false" outlineLevel="0" collapsed="false">
      <c r="A19961" s="3" t="s">
        <v>500</v>
      </c>
      <c r="C19961" s="25" t="n">
        <f aca="false">IF(C19953&gt;0,C19945-C19957,0)</f>
        <v>0</v>
      </c>
      <c r="G19961" s="20" t="n">
        <f aca="false">IF(AND(G19827=1,G19811=1),1,0)</f>
        <v>0</v>
      </c>
      <c r="H19961" s="20" t="n">
        <f aca="false">IF(G19961=1,1,IF(AND(H19827=1,H19811=1),1,0))</f>
        <v>0</v>
      </c>
      <c r="I19961" s="20" t="n">
        <f aca="false">IF(H19961=1,1,IF(AND(I19827=1,I19811=1),1,0))</f>
        <v>0</v>
      </c>
      <c r="J19961" s="20" t="n">
        <f aca="false">IF(I19961=1,1,IF(AND(J19827=1,J19811=1),1,0))</f>
        <v>0</v>
      </c>
      <c r="K19961" s="20" t="n">
        <f aca="false">IF(J19961=1,1,IF(AND(K19827=1,K19811=1),1,0))</f>
        <v>0</v>
      </c>
    </row>
    <row r="19962" customFormat="false" ht="15" hidden="false" customHeight="false" outlineLevel="0" collapsed="false">
      <c r="A19962" s="3" t="s">
        <v>501</v>
      </c>
      <c r="C19962" s="25" t="n">
        <f aca="false">IF(C19954&gt;0,C19946-C19958,0)</f>
        <v>0</v>
      </c>
      <c r="G19962" s="20" t="n">
        <f aca="false">IF(AND(G19840=1,G19811=1),1,0)</f>
        <v>0</v>
      </c>
      <c r="H19962" s="20" t="n">
        <f aca="false">IF(G19962=1,1,IF(AND(H19840=1,H19811=1),1,0))</f>
        <v>0</v>
      </c>
      <c r="I19962" s="20" t="n">
        <f aca="false">IF(H19962=1,1,IF(AND(I19840=1,I19811=1),1,0))</f>
        <v>0</v>
      </c>
      <c r="J19962" s="20" t="n">
        <f aca="false">IF(I19962=1,1,IF(AND(J19840=1,J19811=1),1,0))</f>
        <v>0</v>
      </c>
      <c r="K19962" s="20" t="n">
        <f aca="false">IF(J19962=1,1,IF(AND(K19840=1,K19811=1),1,0))</f>
        <v>0</v>
      </c>
    </row>
    <row r="19963" customFormat="false" ht="15" hidden="false" customHeight="false" outlineLevel="0" collapsed="false">
      <c r="A19963" s="23" t="s">
        <v>506</v>
      </c>
      <c r="B19963" s="24"/>
      <c r="C19963" s="24"/>
      <c r="D19963" s="24"/>
      <c r="E19963" s="24"/>
      <c r="F19963" s="24"/>
      <c r="G19963" s="24"/>
      <c r="H19963" s="24"/>
      <c r="I19963" s="24"/>
      <c r="J19963" s="24"/>
      <c r="K19963" s="24"/>
    </row>
    <row r="19964" customFormat="false" ht="15" hidden="false" customHeight="false" outlineLevel="0" collapsed="false">
      <c r="A19964" s="3" t="s">
        <v>499</v>
      </c>
      <c r="C19964" s="25" t="n">
        <f aca="false">IF(C19952&gt;0,C19960,C19944)</f>
        <v>1349.6193225</v>
      </c>
    </row>
    <row r="19965" customFormat="false" ht="15" hidden="false" customHeight="false" outlineLevel="0" collapsed="false">
      <c r="A19965" s="3" t="s">
        <v>500</v>
      </c>
      <c r="C19965" s="25" t="n">
        <f aca="false">IF(C19953&gt;0,C19961,C19945)</f>
        <v>6.40133166435848</v>
      </c>
    </row>
    <row r="19966" customFormat="false" ht="15" hidden="false" customHeight="false" outlineLevel="0" collapsed="false">
      <c r="A19966" s="3" t="s">
        <v>501</v>
      </c>
      <c r="C19966" s="25" t="n">
        <f aca="false">IF(C19954&gt;0,C19962,C19946)</f>
        <v>145.27734375</v>
      </c>
    </row>
    <row r="19967" customFormat="false" ht="15" hidden="false" customHeight="false" outlineLevel="0" collapsed="false">
      <c r="A19967" s="23" t="s">
        <v>507</v>
      </c>
      <c r="B19967" s="24"/>
      <c r="C19967" s="24"/>
      <c r="D19967" s="24"/>
      <c r="E19967" s="24"/>
      <c r="F19967" s="24"/>
      <c r="G19967" s="24"/>
      <c r="H19967" s="24"/>
      <c r="I19967" s="24"/>
      <c r="J19967" s="24"/>
      <c r="K19967" s="24"/>
    </row>
    <row r="19968" customFormat="false" ht="15" hidden="false" customHeight="false" outlineLevel="0" collapsed="false">
      <c r="A19968" s="3" t="s">
        <v>499</v>
      </c>
      <c r="C19968" s="20" t="n">
        <f aca="false">IF(C19952&gt;0,Assumptions!$C$17,C19948)</f>
        <v>1</v>
      </c>
    </row>
    <row r="19969" customFormat="false" ht="15" hidden="false" customHeight="false" outlineLevel="0" collapsed="false">
      <c r="A19969" s="3" t="s">
        <v>500</v>
      </c>
      <c r="C19969" s="20" t="n">
        <f aca="false">IF(C19953&gt;0,Assumptions!$C$17,C19949)</f>
        <v>2</v>
      </c>
    </row>
    <row r="19970" customFormat="false" ht="15" hidden="false" customHeight="false" outlineLevel="0" collapsed="false">
      <c r="A19970" s="3" t="s">
        <v>501</v>
      </c>
      <c r="C19970" s="20" t="n">
        <f aca="false">IF(C19954&gt;0,Assumptions!$C$17,C19950)</f>
        <v>2</v>
      </c>
    </row>
    <row r="19971" customFormat="false" ht="15" hidden="false" customHeight="false" outlineLevel="0" collapsed="false">
      <c r="A19971" s="23" t="s">
        <v>508</v>
      </c>
      <c r="B19971" s="24"/>
      <c r="C19971" s="24"/>
      <c r="D19971" s="24"/>
      <c r="E19971" s="24"/>
      <c r="F19971" s="24"/>
      <c r="G19971" s="24"/>
      <c r="H19971" s="24"/>
      <c r="I19971" s="24"/>
      <c r="J19971" s="24"/>
      <c r="K19971" s="24"/>
    </row>
    <row r="19972" customFormat="false" ht="15" hidden="false" customHeight="false" outlineLevel="0" collapsed="false">
      <c r="A19972" s="3" t="s">
        <v>499</v>
      </c>
      <c r="C19972" s="25" t="n">
        <f aca="false">SUMPRODUCT(($C$19968:$C$19970&lt;C19968)*$C$19964:$C$19966)</f>
        <v>0</v>
      </c>
    </row>
    <row r="19973" customFormat="false" ht="15" hidden="false" customHeight="false" outlineLevel="0" collapsed="false">
      <c r="A19973" s="3" t="s">
        <v>500</v>
      </c>
      <c r="C19973" s="25" t="n">
        <f aca="false">SUMPRODUCT(($C$19968:$C$19970&lt;C19969)*$C$19964:$C$19966)</f>
        <v>1349.6193225</v>
      </c>
    </row>
    <row r="19974" customFormat="false" ht="15" hidden="false" customHeight="false" outlineLevel="0" collapsed="false">
      <c r="A19974" s="3" t="s">
        <v>501</v>
      </c>
      <c r="C19974" s="25" t="n">
        <f aca="false">SUMPRODUCT(($C$19968:$C$19970&lt;C19970)*$C$19964:$C$19966)</f>
        <v>1349.6193225</v>
      </c>
    </row>
    <row r="19975" customFormat="false" ht="15" hidden="false" customHeight="false" outlineLevel="0" collapsed="false">
      <c r="A19975" s="23" t="s">
        <v>509</v>
      </c>
      <c r="B19975" s="24"/>
      <c r="C19975" s="24"/>
      <c r="D19975" s="24"/>
      <c r="E19975" s="24"/>
      <c r="F19975" s="24"/>
      <c r="G19975" s="24"/>
      <c r="H19975" s="24"/>
      <c r="I19975" s="24"/>
      <c r="J19975" s="24"/>
      <c r="K19975" s="24"/>
    </row>
    <row r="19976" customFormat="false" ht="15" hidden="false" customHeight="false" outlineLevel="0" collapsed="false">
      <c r="A19976" s="3" t="s">
        <v>499</v>
      </c>
      <c r="C19976" s="25" t="n">
        <f aca="false">SUMPRODUCT(($C$19968:$C$19970=C19968)*$C$19964:$C$19966)</f>
        <v>1349.6193225</v>
      </c>
    </row>
    <row r="19977" customFormat="false" ht="15" hidden="false" customHeight="false" outlineLevel="0" collapsed="false">
      <c r="A19977" s="3" t="s">
        <v>500</v>
      </c>
      <c r="C19977" s="25" t="n">
        <f aca="false">SUMPRODUCT(($C$19968:$C$19970=C19969)*$C$19964:$C$19966)</f>
        <v>151.678675414359</v>
      </c>
    </row>
    <row r="19978" customFormat="false" ht="15" hidden="false" customHeight="false" outlineLevel="0" collapsed="false">
      <c r="A19978" s="3" t="s">
        <v>501</v>
      </c>
      <c r="C19978" s="25" t="n">
        <f aca="false">SUMPRODUCT(($C$19968:$C$19970=C19970)*$C$19964:$C$19966)</f>
        <v>151.678675414359</v>
      </c>
    </row>
    <row r="19979" customFormat="false" ht="15" hidden="false" customHeight="false" outlineLevel="0" collapsed="false">
      <c r="A19979" s="23" t="s">
        <v>510</v>
      </c>
      <c r="B19979" s="24"/>
      <c r="C19979" s="24"/>
      <c r="D19979" s="24"/>
      <c r="E19979" s="24"/>
      <c r="F19979" s="24"/>
      <c r="G19979" s="24"/>
      <c r="H19979" s="24"/>
      <c r="I19979" s="24"/>
      <c r="J19979" s="24"/>
      <c r="K19979" s="24"/>
    </row>
    <row r="19980" customFormat="false" ht="15" hidden="false" customHeight="false" outlineLevel="0" collapsed="false">
      <c r="A19980" s="3" t="s">
        <v>499</v>
      </c>
      <c r="C19980" s="25" t="n">
        <f aca="false">IF(C19976=0,0,C19964/C19976*MAX(0,MIN(C19976,$C$19942-SUM($C$19956:$C$19958)-C19972)))</f>
        <v>514.04928486912</v>
      </c>
    </row>
    <row r="19981" customFormat="false" ht="15" hidden="false" customHeight="false" outlineLevel="0" collapsed="false">
      <c r="A19981" s="3" t="s">
        <v>500</v>
      </c>
      <c r="C19981" s="25" t="n">
        <f aca="false">IF(C19977=0,0,C19965/C19977*MAX(0,MIN(C19977,$C$19942-SUM($C$19956:$C$19958)-C19973)))</f>
        <v>0</v>
      </c>
    </row>
    <row r="19982" customFormat="false" ht="15" hidden="false" customHeight="false" outlineLevel="0" collapsed="false">
      <c r="A19982" s="3" t="s">
        <v>501</v>
      </c>
      <c r="C19982" s="25" t="n">
        <f aca="false">IF(C19978=0,0,C19966/C19978*MAX(0,MIN(C19978,$C$19942-SUM($C$19956:$C$19958)-C19974)))</f>
        <v>0</v>
      </c>
    </row>
    <row r="19983" customFormat="false" ht="15" hidden="false" customHeight="false" outlineLevel="0" collapsed="false">
      <c r="A19983" s="23" t="s">
        <v>511</v>
      </c>
      <c r="B19983" s="24"/>
      <c r="C19983" s="24"/>
      <c r="D19983" s="24"/>
      <c r="E19983" s="24"/>
      <c r="F19983" s="24"/>
      <c r="G19983" s="24"/>
      <c r="H19983" s="24"/>
      <c r="I19983" s="24"/>
      <c r="J19983" s="24"/>
      <c r="K19983" s="24"/>
    </row>
    <row r="19984" customFormat="false" ht="15" hidden="false" customHeight="false" outlineLevel="0" collapsed="false">
      <c r="A19984" s="2" t="s">
        <v>499</v>
      </c>
      <c r="C19984" s="16" t="n">
        <f aca="false">C19956+C19980</f>
        <v>514.04928486912</v>
      </c>
    </row>
    <row r="19985" customFormat="false" ht="15" hidden="false" customHeight="false" outlineLevel="0" collapsed="false">
      <c r="A19985" s="2" t="s">
        <v>500</v>
      </c>
      <c r="C19985" s="16" t="n">
        <f aca="false">C19957+C19981</f>
        <v>0</v>
      </c>
    </row>
    <row r="19986" customFormat="false" ht="15" hidden="false" customHeight="false" outlineLevel="0" collapsed="false">
      <c r="A19986" s="2" t="s">
        <v>501</v>
      </c>
      <c r="C19986" s="16" t="n">
        <f aca="false">C19958+C19982</f>
        <v>0</v>
      </c>
    </row>
    <row r="19987" customFormat="false" ht="15" hidden="false" customHeight="false" outlineLevel="0" collapsed="false">
      <c r="A19987" s="23" t="s">
        <v>512</v>
      </c>
      <c r="B19987" s="24"/>
      <c r="C19987" s="24"/>
      <c r="D19987" s="24"/>
      <c r="E19987" s="24"/>
      <c r="F19987" s="24"/>
      <c r="G19987" s="24"/>
      <c r="H19987" s="24"/>
      <c r="I19987" s="24"/>
      <c r="J19987" s="24"/>
      <c r="K19987" s="24"/>
    </row>
    <row r="19988" customFormat="false" ht="15" hidden="false" customHeight="false" outlineLevel="0" collapsed="false">
      <c r="A19988" s="3" t="s">
        <v>499</v>
      </c>
      <c r="C19988" s="21" t="n">
        <f aca="false">IF(C19944=0,1,C19984/C19944)</f>
        <v>0.380884651174754</v>
      </c>
    </row>
    <row r="19989" customFormat="false" ht="15" hidden="false" customHeight="false" outlineLevel="0" collapsed="false">
      <c r="A19989" s="3" t="s">
        <v>500</v>
      </c>
      <c r="C19989" s="21" t="n">
        <f aca="false">IF(C19945=0,1,C19985/C19945)</f>
        <v>0</v>
      </c>
    </row>
    <row r="19990" customFormat="false" ht="15" hidden="false" customHeight="false" outlineLevel="0" collapsed="false">
      <c r="A19990" s="3" t="s">
        <v>501</v>
      </c>
      <c r="C19990" s="21" t="n">
        <f aca="false">IF(C19946=0,1,C19986/C19946)</f>
        <v>0</v>
      </c>
    </row>
    <row r="19991" customFormat="false" ht="15" hidden="false" customHeight="false" outlineLevel="0" collapsed="false">
      <c r="A19991" s="23" t="s">
        <v>513</v>
      </c>
      <c r="B19991" s="24"/>
      <c r="C19991" s="24"/>
      <c r="D19991" s="24"/>
      <c r="E19991" s="24"/>
      <c r="F19991" s="24"/>
      <c r="G19991" s="24"/>
      <c r="H19991" s="24"/>
      <c r="I19991" s="24"/>
      <c r="J19991" s="24"/>
      <c r="K19991" s="24"/>
    </row>
    <row r="19992" customFormat="false" ht="15" hidden="false" customHeight="false" outlineLevel="0" collapsed="false">
      <c r="A19992" s="3" t="s">
        <v>499</v>
      </c>
      <c r="C19992" s="25" t="n">
        <f aca="false">C19944-C19984</f>
        <v>835.57003763088</v>
      </c>
    </row>
    <row r="19993" customFormat="false" ht="15" hidden="false" customHeight="false" outlineLevel="0" collapsed="false">
      <c r="A19993" s="3" t="s">
        <v>500</v>
      </c>
      <c r="C19993" s="25" t="n">
        <f aca="false">C19945-C19985</f>
        <v>6.40133166435848</v>
      </c>
    </row>
    <row r="19994" customFormat="false" ht="15" hidden="false" customHeight="false" outlineLevel="0" collapsed="false">
      <c r="A19994" s="3" t="s">
        <v>501</v>
      </c>
      <c r="C19994" s="25" t="n">
        <f aca="false">C19946-C19986</f>
        <v>145.27734375</v>
      </c>
    </row>
    <row r="19995" customFormat="false" ht="15" hidden="false" customHeight="false" outlineLevel="0" collapsed="false">
      <c r="A19995" s="23" t="s">
        <v>514</v>
      </c>
      <c r="B19995" s="24"/>
      <c r="C19995" s="24"/>
      <c r="D19995" s="24"/>
      <c r="E19995" s="24"/>
      <c r="F19995" s="24"/>
      <c r="G19995" s="24"/>
      <c r="H19995" s="24"/>
      <c r="I19995" s="24"/>
      <c r="J19995" s="24"/>
      <c r="K19995" s="24"/>
    </row>
    <row r="19996" customFormat="false" ht="15" hidden="false" customHeight="false" outlineLevel="0" collapsed="false">
      <c r="A19996" s="3" t="s">
        <v>499</v>
      </c>
      <c r="C19996" s="21" t="n">
        <f aca="false">IF(C19944=0,0,C19992/C19944)</f>
        <v>0.619115348825246</v>
      </c>
    </row>
    <row r="19997" customFormat="false" ht="15" hidden="false" customHeight="false" outlineLevel="0" collapsed="false">
      <c r="A19997" s="3" t="s">
        <v>500</v>
      </c>
      <c r="C19997" s="21" t="n">
        <f aca="false">IF(C19945=0,0,C19993/C19945)</f>
        <v>1</v>
      </c>
    </row>
    <row r="19998" customFormat="false" ht="15" hidden="false" customHeight="false" outlineLevel="0" collapsed="false">
      <c r="A19998" s="3" t="s">
        <v>501</v>
      </c>
      <c r="C19998" s="21" t="n">
        <f aca="false">IF(C19946=0,0,C19994/C19946)</f>
        <v>1</v>
      </c>
    </row>
    <row r="19999" customFormat="false" ht="15" hidden="false" customHeight="false" outlineLevel="0" collapsed="false">
      <c r="A19999" s="2" t="s">
        <v>515</v>
      </c>
      <c r="C19999" s="16" t="n">
        <f aca="false">MAX(0,$C$19942-SUM($C$19956:$C$19958)-SUM($C$19964:$C$19966))</f>
        <v>0</v>
      </c>
    </row>
    <row r="20000" customFormat="false" ht="15" hidden="false" customHeight="false" outlineLevel="0" collapsed="false">
      <c r="A20000" s="3" t="s">
        <v>516</v>
      </c>
      <c r="C20000" s="25" t="n">
        <f aca="false">SUM($C$19984:$C$19986)+C19999+C19941-C19940</f>
        <v>0</v>
      </c>
    </row>
    <row r="20002" customFormat="false" ht="15" hidden="false" customHeight="false" outlineLevel="0" collapsed="false">
      <c r="A20002" s="23" t="s">
        <v>519</v>
      </c>
      <c r="B20002" s="24"/>
      <c r="C20002" s="24"/>
      <c r="D20002" s="24"/>
      <c r="E20002" s="24"/>
      <c r="F20002" s="24"/>
      <c r="G20002" s="24"/>
      <c r="H20002" s="24"/>
      <c r="I20002" s="24"/>
      <c r="J20002" s="24"/>
      <c r="K20002" s="24"/>
    </row>
    <row r="20003" customFormat="false" ht="15" hidden="false" customHeight="false" outlineLevel="0" collapsed="false">
      <c r="A20003" s="3" t="s">
        <v>520</v>
      </c>
      <c r="C20003" s="27" t="n">
        <f aca="false">Assumptions!$C$33</f>
        <v>1</v>
      </c>
    </row>
    <row r="20004" customFormat="false" ht="15" hidden="false" customHeight="false" outlineLevel="0" collapsed="false">
      <c r="A20004" s="3" t="s">
        <v>521</v>
      </c>
      <c r="C20004" s="29" t="n">
        <f aca="false">Assumptions!$C$34</f>
        <v>100</v>
      </c>
    </row>
    <row r="20005" customFormat="false" ht="15" hidden="false" customHeight="false" outlineLevel="0" collapsed="false">
      <c r="A20005" s="3" t="s">
        <v>522</v>
      </c>
      <c r="C20005" s="40" t="n">
        <f aca="false">Assumptions!$C$35</f>
        <v>95</v>
      </c>
    </row>
    <row r="20006" customFormat="false" ht="15" hidden="false" customHeight="false" outlineLevel="0" collapsed="false">
      <c r="A20006" s="3" t="s">
        <v>523</v>
      </c>
      <c r="C20006" s="25" t="n">
        <f aca="false">C20004*C20005/100*(1+Assumptions!$C$36)</f>
        <v>95</v>
      </c>
    </row>
    <row r="20007" customFormat="false" ht="15" hidden="false" customHeight="false" outlineLevel="0" collapsed="false">
      <c r="A20007" s="3" t="s">
        <v>524</v>
      </c>
      <c r="C20007" s="27" t="n">
        <f aca="false">Assumptions!$C$37</f>
        <v>3</v>
      </c>
    </row>
    <row r="20008" customFormat="false" ht="15" hidden="false" customHeight="false" outlineLevel="0" collapsed="false">
      <c r="A20008" s="3" t="s">
        <v>525</v>
      </c>
      <c r="C20008" s="20" t="n">
        <f aca="false">IF(C19933=1,SUMPRODUCT($G$19885:$K$19885,$G$19778:$K$19778),0)</f>
        <v>3</v>
      </c>
    </row>
    <row r="20009" customFormat="false" ht="15" hidden="false" customHeight="false" outlineLevel="0" collapsed="false">
      <c r="A20009" s="3" t="s">
        <v>526</v>
      </c>
      <c r="C20009" s="21" t="n">
        <f aca="false">IFERROR(C20004/CHOOSE(C20003,SUMPRODUCT($G$19932:$K$19932,$G$19824:$K$19824),SUMPRODUCT($G$19932:$K$19932,$G$19837:$K$19837),SUMPRODUCT($G$19932:$K$19932,$G$19850:$K$19850)),0)</f>
        <v>0.0760399605200525</v>
      </c>
    </row>
    <row r="20010" customFormat="false" ht="15" hidden="false" customHeight="false" outlineLevel="0" collapsed="false">
      <c r="A20010" s="3" t="s">
        <v>527</v>
      </c>
      <c r="C20010" s="25" t="n">
        <f aca="false">CHOOSE(C20003,C19984,C19985,C19986)*C20009</f>
        <v>39.0882873268091</v>
      </c>
    </row>
    <row r="20011" customFormat="false" ht="15" hidden="false" customHeight="false" outlineLevel="0" collapsed="false">
      <c r="A20011" s="3" t="s">
        <v>528</v>
      </c>
      <c r="C20011" s="21" t="n">
        <f aca="false">CHOOSE(C20003,C19988,C19989,C19990)</f>
        <v>0.380884651174754</v>
      </c>
    </row>
    <row r="20012" customFormat="false" ht="15" hidden="false" customHeight="false" outlineLevel="0" collapsed="false">
      <c r="A20012" s="3" t="s">
        <v>529</v>
      </c>
      <c r="C20012" s="20" t="n">
        <f aca="false">IF(C19933=1,C20008,C20007)</f>
        <v>3</v>
      </c>
    </row>
    <row r="20013" customFormat="false" ht="15" hidden="false" customHeight="false" outlineLevel="0" collapsed="false">
      <c r="A20013" s="3" t="s">
        <v>530</v>
      </c>
      <c r="C20013" s="34" t="n">
        <f aca="false">CHOOSE($C$19770,Assumptions!$C$83,Assumptions!$C$102,Assumptions!$C$121)</f>
        <v>80</v>
      </c>
    </row>
    <row r="20014" customFormat="false" ht="15" hidden="false" customHeight="false" outlineLevel="0" collapsed="false">
      <c r="A20014" s="3" t="s">
        <v>531</v>
      </c>
      <c r="C20014" s="25" t="n">
        <f aca="false">INDEX($G$19787:$K$19787,C20007)*CHOOSE($C$19770,Assumptions!$C$82,Assumptions!$C$101,Assumptions!$C$120)+MAX(0,INDEX($G$19882:$K$19882,C20007))</f>
        <v>428.3744040576</v>
      </c>
    </row>
    <row r="20015" customFormat="false" ht="15" hidden="false" customHeight="false" outlineLevel="0" collapsed="false">
      <c r="A20015" s="23" t="s">
        <v>532</v>
      </c>
      <c r="B20015" s="24"/>
      <c r="C20015" s="24"/>
      <c r="D20015" s="24"/>
      <c r="E20015" s="24"/>
      <c r="F20015" s="24"/>
      <c r="G20015" s="24"/>
      <c r="H20015" s="24"/>
      <c r="I20015" s="24"/>
      <c r="J20015" s="24"/>
      <c r="K20015" s="24"/>
    </row>
    <row r="20016" customFormat="false" ht="15" hidden="false" customHeight="false" outlineLevel="0" collapsed="false">
      <c r="A20016" s="3" t="s">
        <v>499</v>
      </c>
      <c r="C20016" s="25" t="n">
        <f aca="false">INDEX($G$19824:$K$19824,C20007)</f>
        <v>1315.098</v>
      </c>
    </row>
    <row r="20017" customFormat="false" ht="15" hidden="false" customHeight="false" outlineLevel="0" collapsed="false">
      <c r="A20017" s="3" t="s">
        <v>500</v>
      </c>
      <c r="C20017" s="25" t="n">
        <f aca="false">INDEX($G$19837:$K$19837,C20007)</f>
        <v>6.33403256832008</v>
      </c>
    </row>
    <row r="20018" customFormat="false" ht="15" hidden="false" customHeight="false" outlineLevel="0" collapsed="false">
      <c r="A20018" s="3" t="s">
        <v>501</v>
      </c>
      <c r="C20018" s="25" t="n">
        <f aca="false">INDEX($G$19850:$K$19850,C20007)</f>
        <v>143.75</v>
      </c>
    </row>
    <row r="20019" customFormat="false" ht="15" hidden="false" customHeight="false" outlineLevel="0" collapsed="false">
      <c r="A20019" s="23" t="s">
        <v>502</v>
      </c>
      <c r="B20019" s="24"/>
      <c r="C20019" s="24"/>
      <c r="D20019" s="24"/>
      <c r="E20019" s="24"/>
      <c r="F20019" s="24"/>
      <c r="G20019" s="24"/>
      <c r="H20019" s="24"/>
      <c r="I20019" s="24"/>
      <c r="J20019" s="24"/>
      <c r="K20019" s="24"/>
    </row>
    <row r="20020" customFormat="false" ht="15" hidden="false" customHeight="false" outlineLevel="0" collapsed="false">
      <c r="A20020" s="3" t="s">
        <v>499</v>
      </c>
      <c r="C20020" s="27" t="n">
        <f aca="false">Assumptions!$M$56</f>
        <v>1</v>
      </c>
    </row>
    <row r="20021" customFormat="false" ht="15" hidden="false" customHeight="false" outlineLevel="0" collapsed="false">
      <c r="A20021" s="3" t="s">
        <v>500</v>
      </c>
      <c r="C20021" s="27" t="n">
        <f aca="false">Assumptions!$M$57</f>
        <v>2</v>
      </c>
    </row>
    <row r="20022" customFormat="false" ht="15" hidden="false" customHeight="false" outlineLevel="0" collapsed="false">
      <c r="A20022" s="3" t="s">
        <v>501</v>
      </c>
      <c r="C20022" s="27" t="n">
        <f aca="false">Assumptions!$M$58</f>
        <v>2</v>
      </c>
    </row>
    <row r="20023" customFormat="false" ht="15" hidden="false" customHeight="false" outlineLevel="0" collapsed="false">
      <c r="A20023" s="23" t="s">
        <v>503</v>
      </c>
      <c r="B20023" s="24"/>
      <c r="C20023" s="24"/>
      <c r="D20023" s="24"/>
      <c r="E20023" s="24"/>
      <c r="F20023" s="24"/>
      <c r="G20023" s="24"/>
      <c r="H20023" s="24"/>
      <c r="I20023" s="24"/>
      <c r="J20023" s="24"/>
      <c r="K20023" s="24"/>
    </row>
    <row r="20024" customFormat="false" ht="15" hidden="false" customHeight="false" outlineLevel="0" collapsed="false">
      <c r="A20024" s="3" t="s">
        <v>499</v>
      </c>
      <c r="C20024" s="35" t="n">
        <f aca="false">Assumptions!$Q$56</f>
        <v>0</v>
      </c>
    </row>
    <row r="20025" customFormat="false" ht="15" hidden="false" customHeight="false" outlineLevel="0" collapsed="false">
      <c r="A20025" s="3" t="s">
        <v>500</v>
      </c>
      <c r="C20025" s="35" t="n">
        <f aca="false">Assumptions!$Q$57</f>
        <v>0</v>
      </c>
    </row>
    <row r="20026" customFormat="false" ht="15" hidden="false" customHeight="false" outlineLevel="0" collapsed="false">
      <c r="A20026" s="3" t="s">
        <v>501</v>
      </c>
      <c r="C20026" s="35" t="n">
        <f aca="false">Assumptions!$Q$58</f>
        <v>0</v>
      </c>
    </row>
    <row r="20027" customFormat="false" ht="15" hidden="false" customHeight="false" outlineLevel="0" collapsed="false">
      <c r="A20027" s="23" t="s">
        <v>504</v>
      </c>
      <c r="B20027" s="24"/>
      <c r="C20027" s="24"/>
      <c r="D20027" s="24"/>
      <c r="E20027" s="24"/>
      <c r="F20027" s="24"/>
      <c r="G20027" s="24"/>
      <c r="H20027" s="24"/>
      <c r="I20027" s="24"/>
      <c r="J20027" s="24"/>
      <c r="K20027" s="24"/>
    </row>
    <row r="20028" customFormat="false" ht="15" hidden="false" customHeight="false" outlineLevel="0" collapsed="false">
      <c r="A20028" s="3" t="s">
        <v>499</v>
      </c>
      <c r="C20028" s="25" t="n">
        <f aca="false">IF(C20024&gt;0,MIN(C20016,C20024*$C$20014),0)</f>
        <v>0</v>
      </c>
    </row>
    <row r="20029" customFormat="false" ht="15" hidden="false" customHeight="false" outlineLevel="0" collapsed="false">
      <c r="A20029" s="3" t="s">
        <v>500</v>
      </c>
      <c r="C20029" s="25" t="n">
        <f aca="false">IF(C20025&gt;0,MIN(C20017,C20025*$C$20014),0)</f>
        <v>0</v>
      </c>
    </row>
    <row r="20030" customFormat="false" ht="15" hidden="false" customHeight="false" outlineLevel="0" collapsed="false">
      <c r="A20030" s="3" t="s">
        <v>501</v>
      </c>
      <c r="C20030" s="25" t="n">
        <f aca="false">IF(C20026&gt;0,MIN(C20018,C20026*$C$20014),0)</f>
        <v>0</v>
      </c>
    </row>
    <row r="20031" customFormat="false" ht="15" hidden="false" customHeight="false" outlineLevel="0" collapsed="false">
      <c r="A20031" s="23" t="s">
        <v>505</v>
      </c>
      <c r="B20031" s="24"/>
      <c r="C20031" s="24"/>
      <c r="D20031" s="24"/>
      <c r="E20031" s="24"/>
      <c r="F20031" s="24"/>
      <c r="G20031" s="24"/>
      <c r="H20031" s="24"/>
      <c r="I20031" s="24"/>
      <c r="J20031" s="24"/>
      <c r="K20031" s="24"/>
    </row>
    <row r="20032" customFormat="false" ht="15" hidden="false" customHeight="false" outlineLevel="0" collapsed="false">
      <c r="A20032" s="3" t="s">
        <v>499</v>
      </c>
      <c r="C20032" s="25" t="n">
        <f aca="false">IF(C20024&gt;0,C20016-C20028,0)</f>
        <v>0</v>
      </c>
    </row>
    <row r="20033" customFormat="false" ht="15" hidden="false" customHeight="false" outlineLevel="0" collapsed="false">
      <c r="A20033" s="3" t="s">
        <v>500</v>
      </c>
      <c r="C20033" s="25" t="n">
        <f aca="false">IF(C20025&gt;0,C20017-C20029,0)</f>
        <v>0</v>
      </c>
    </row>
    <row r="20034" customFormat="false" ht="15" hidden="false" customHeight="false" outlineLevel="0" collapsed="false">
      <c r="A20034" s="3" t="s">
        <v>501</v>
      </c>
      <c r="C20034" s="25" t="n">
        <f aca="false">IF(C20026&gt;0,C20018-C20030,0)</f>
        <v>0</v>
      </c>
    </row>
    <row r="20035" customFormat="false" ht="15" hidden="false" customHeight="false" outlineLevel="0" collapsed="false">
      <c r="A20035" s="23" t="s">
        <v>506</v>
      </c>
      <c r="B20035" s="24"/>
      <c r="C20035" s="24"/>
      <c r="D20035" s="24"/>
      <c r="E20035" s="24"/>
      <c r="F20035" s="24"/>
      <c r="G20035" s="24"/>
      <c r="H20035" s="24"/>
      <c r="I20035" s="24"/>
      <c r="J20035" s="24"/>
      <c r="K20035" s="24"/>
    </row>
    <row r="20036" customFormat="false" ht="15" hidden="false" customHeight="false" outlineLevel="0" collapsed="false">
      <c r="A20036" s="3" t="s">
        <v>499</v>
      </c>
      <c r="C20036" s="25" t="n">
        <f aca="false">IF(C20024&gt;0,C20032,C20016)</f>
        <v>1315.098</v>
      </c>
    </row>
    <row r="20037" customFormat="false" ht="15" hidden="false" customHeight="false" outlineLevel="0" collapsed="false">
      <c r="A20037" s="3" t="s">
        <v>500</v>
      </c>
      <c r="C20037" s="25" t="n">
        <f aca="false">IF(C20025&gt;0,C20033,C20017)</f>
        <v>6.33403256832008</v>
      </c>
    </row>
    <row r="20038" customFormat="false" ht="15" hidden="false" customHeight="false" outlineLevel="0" collapsed="false">
      <c r="A20038" s="3" t="s">
        <v>501</v>
      </c>
      <c r="C20038" s="25" t="n">
        <f aca="false">IF(C20026&gt;0,C20034,C20018)</f>
        <v>143.75</v>
      </c>
    </row>
    <row r="20039" customFormat="false" ht="15" hidden="false" customHeight="false" outlineLevel="0" collapsed="false">
      <c r="A20039" s="23" t="s">
        <v>507</v>
      </c>
      <c r="B20039" s="24"/>
      <c r="C20039" s="24"/>
      <c r="D20039" s="24"/>
      <c r="E20039" s="24"/>
      <c r="F20039" s="24"/>
      <c r="G20039" s="24"/>
      <c r="H20039" s="24"/>
      <c r="I20039" s="24"/>
      <c r="J20039" s="24"/>
      <c r="K20039" s="24"/>
    </row>
    <row r="20040" customFormat="false" ht="15" hidden="false" customHeight="false" outlineLevel="0" collapsed="false">
      <c r="A20040" s="3" t="s">
        <v>499</v>
      </c>
      <c r="C20040" s="20" t="n">
        <f aca="false">IF(C20024&gt;0,Assumptions!$C$17,C20020)</f>
        <v>1</v>
      </c>
    </row>
    <row r="20041" customFormat="false" ht="15" hidden="false" customHeight="false" outlineLevel="0" collapsed="false">
      <c r="A20041" s="3" t="s">
        <v>500</v>
      </c>
      <c r="C20041" s="20" t="n">
        <f aca="false">IF(C20025&gt;0,Assumptions!$C$17,C20021)</f>
        <v>2</v>
      </c>
    </row>
    <row r="20042" customFormat="false" ht="15" hidden="false" customHeight="false" outlineLevel="0" collapsed="false">
      <c r="A20042" s="3" t="s">
        <v>501</v>
      </c>
      <c r="C20042" s="20" t="n">
        <f aca="false">IF(C20026&gt;0,Assumptions!$C$17,C20022)</f>
        <v>2</v>
      </c>
    </row>
    <row r="20043" customFormat="false" ht="15" hidden="false" customHeight="false" outlineLevel="0" collapsed="false">
      <c r="A20043" s="23" t="s">
        <v>508</v>
      </c>
      <c r="B20043" s="24"/>
      <c r="C20043" s="24"/>
      <c r="D20043" s="24"/>
      <c r="E20043" s="24"/>
      <c r="F20043" s="24"/>
      <c r="G20043" s="24"/>
      <c r="H20043" s="24"/>
      <c r="I20043" s="24"/>
      <c r="J20043" s="24"/>
      <c r="K20043" s="24"/>
    </row>
    <row r="20044" customFormat="false" ht="15" hidden="false" customHeight="false" outlineLevel="0" collapsed="false">
      <c r="A20044" s="3" t="s">
        <v>499</v>
      </c>
      <c r="C20044" s="25" t="n">
        <f aca="false">SUMPRODUCT(($C$20040:$C$20042&lt;C20040)*$C$20036:$C$20038)</f>
        <v>0</v>
      </c>
    </row>
    <row r="20045" customFormat="false" ht="15" hidden="false" customHeight="false" outlineLevel="0" collapsed="false">
      <c r="A20045" s="3" t="s">
        <v>500</v>
      </c>
      <c r="C20045" s="25" t="n">
        <f aca="false">SUMPRODUCT(($C$20040:$C$20042&lt;C20041)*$C$20036:$C$20038)</f>
        <v>1315.098</v>
      </c>
    </row>
    <row r="20046" customFormat="false" ht="15" hidden="false" customHeight="false" outlineLevel="0" collapsed="false">
      <c r="A20046" s="3" t="s">
        <v>501</v>
      </c>
      <c r="C20046" s="25" t="n">
        <f aca="false">SUMPRODUCT(($C$20040:$C$20042&lt;C20042)*$C$20036:$C$20038)</f>
        <v>1315.098</v>
      </c>
    </row>
    <row r="20047" customFormat="false" ht="15" hidden="false" customHeight="false" outlineLevel="0" collapsed="false">
      <c r="A20047" s="23" t="s">
        <v>509</v>
      </c>
      <c r="B20047" s="24"/>
      <c r="C20047" s="24"/>
      <c r="D20047" s="24"/>
      <c r="E20047" s="24"/>
      <c r="F20047" s="24"/>
      <c r="G20047" s="24"/>
      <c r="H20047" s="24"/>
      <c r="I20047" s="24"/>
      <c r="J20047" s="24"/>
      <c r="K20047" s="24"/>
    </row>
    <row r="20048" customFormat="false" ht="15" hidden="false" customHeight="false" outlineLevel="0" collapsed="false">
      <c r="A20048" s="3" t="s">
        <v>499</v>
      </c>
      <c r="C20048" s="25" t="n">
        <f aca="false">SUMPRODUCT(($C$20040:$C$20042=C20040)*$C$20036:$C$20038)</f>
        <v>1315.098</v>
      </c>
    </row>
    <row r="20049" customFormat="false" ht="15" hidden="false" customHeight="false" outlineLevel="0" collapsed="false">
      <c r="A20049" s="3" t="s">
        <v>500</v>
      </c>
      <c r="C20049" s="25" t="n">
        <f aca="false">SUMPRODUCT(($C$20040:$C$20042=C20041)*$C$20036:$C$20038)</f>
        <v>150.08403256832</v>
      </c>
    </row>
    <row r="20050" customFormat="false" ht="15" hidden="false" customHeight="false" outlineLevel="0" collapsed="false">
      <c r="A20050" s="3" t="s">
        <v>501</v>
      </c>
      <c r="C20050" s="25" t="n">
        <f aca="false">SUMPRODUCT(($C$20040:$C$20042=C20042)*$C$20036:$C$20038)</f>
        <v>150.08403256832</v>
      </c>
    </row>
    <row r="20051" customFormat="false" ht="15" hidden="false" customHeight="false" outlineLevel="0" collapsed="false">
      <c r="A20051" s="23" t="s">
        <v>510</v>
      </c>
      <c r="B20051" s="24"/>
      <c r="C20051" s="24"/>
      <c r="D20051" s="24"/>
      <c r="E20051" s="24"/>
      <c r="F20051" s="24"/>
      <c r="G20051" s="24"/>
      <c r="H20051" s="24"/>
      <c r="I20051" s="24"/>
      <c r="J20051" s="24"/>
      <c r="K20051" s="24"/>
    </row>
    <row r="20052" customFormat="false" ht="15" hidden="false" customHeight="false" outlineLevel="0" collapsed="false">
      <c r="A20052" s="3" t="s">
        <v>499</v>
      </c>
      <c r="C20052" s="25" t="n">
        <f aca="false">IF(C20048=0,0,C20036/C20048*MAX(0,MIN(C20048,$C$20014-SUM($C$20028:$C$20030)-C20044)))</f>
        <v>428.3744040576</v>
      </c>
    </row>
    <row r="20053" customFormat="false" ht="15" hidden="false" customHeight="false" outlineLevel="0" collapsed="false">
      <c r="A20053" s="3" t="s">
        <v>500</v>
      </c>
      <c r="C20053" s="25" t="n">
        <f aca="false">IF(C20049=0,0,C20037/C20049*MAX(0,MIN(C20049,$C$20014-SUM($C$20028:$C$20030)-C20045)))</f>
        <v>0</v>
      </c>
    </row>
    <row r="20054" customFormat="false" ht="15" hidden="false" customHeight="false" outlineLevel="0" collapsed="false">
      <c r="A20054" s="3" t="s">
        <v>501</v>
      </c>
      <c r="C20054" s="25" t="n">
        <f aca="false">IF(C20050=0,0,C20038/C20050*MAX(0,MIN(C20050,$C$20014-SUM($C$20028:$C$20030)-C20046)))</f>
        <v>0</v>
      </c>
    </row>
    <row r="20055" customFormat="false" ht="15" hidden="false" customHeight="false" outlineLevel="0" collapsed="false">
      <c r="A20055" s="23" t="s">
        <v>511</v>
      </c>
      <c r="B20055" s="24"/>
      <c r="C20055" s="24"/>
      <c r="D20055" s="24"/>
      <c r="E20055" s="24"/>
      <c r="F20055" s="24"/>
      <c r="G20055" s="24"/>
      <c r="H20055" s="24"/>
      <c r="I20055" s="24"/>
      <c r="J20055" s="24"/>
      <c r="K20055" s="24"/>
    </row>
    <row r="20056" customFormat="false" ht="15" hidden="false" customHeight="false" outlineLevel="0" collapsed="false">
      <c r="A20056" s="2" t="s">
        <v>499</v>
      </c>
      <c r="C20056" s="16" t="n">
        <f aca="false">C20028+C20052</f>
        <v>428.3744040576</v>
      </c>
    </row>
    <row r="20057" customFormat="false" ht="15" hidden="false" customHeight="false" outlineLevel="0" collapsed="false">
      <c r="A20057" s="2" t="s">
        <v>500</v>
      </c>
      <c r="C20057" s="16" t="n">
        <f aca="false">C20029+C20053</f>
        <v>0</v>
      </c>
    </row>
    <row r="20058" customFormat="false" ht="15" hidden="false" customHeight="false" outlineLevel="0" collapsed="false">
      <c r="A20058" s="2" t="s">
        <v>501</v>
      </c>
      <c r="C20058" s="16" t="n">
        <f aca="false">C20030+C20054</f>
        <v>0</v>
      </c>
    </row>
    <row r="20059" customFormat="false" ht="15" hidden="false" customHeight="false" outlineLevel="0" collapsed="false">
      <c r="A20059" s="23" t="s">
        <v>512</v>
      </c>
      <c r="B20059" s="24"/>
      <c r="C20059" s="24"/>
      <c r="D20059" s="24"/>
      <c r="E20059" s="24"/>
      <c r="F20059" s="24"/>
      <c r="G20059" s="24"/>
      <c r="H20059" s="24"/>
      <c r="I20059" s="24"/>
      <c r="J20059" s="24"/>
      <c r="K20059" s="24"/>
    </row>
    <row r="20060" customFormat="false" ht="15" hidden="false" customHeight="false" outlineLevel="0" collapsed="false">
      <c r="A20060" s="3" t="s">
        <v>499</v>
      </c>
      <c r="C20060" s="21" t="n">
        <f aca="false">IF(C20016=0,1,C20056/C20016)</f>
        <v>0.325735727723409</v>
      </c>
    </row>
    <row r="20061" customFormat="false" ht="15" hidden="false" customHeight="false" outlineLevel="0" collapsed="false">
      <c r="A20061" s="3" t="s">
        <v>500</v>
      </c>
      <c r="C20061" s="21" t="n">
        <f aca="false">IF(C20017=0,1,C20057/C20017)</f>
        <v>0</v>
      </c>
    </row>
    <row r="20062" customFormat="false" ht="15" hidden="false" customHeight="false" outlineLevel="0" collapsed="false">
      <c r="A20062" s="3" t="s">
        <v>501</v>
      </c>
      <c r="C20062" s="21" t="n">
        <f aca="false">IF(C20018=0,1,C20058/C20018)</f>
        <v>0</v>
      </c>
    </row>
    <row r="20063" customFormat="false" ht="15" hidden="false" customHeight="false" outlineLevel="0" collapsed="false">
      <c r="A20063" s="23" t="s">
        <v>513</v>
      </c>
      <c r="B20063" s="24"/>
      <c r="C20063" s="24"/>
      <c r="D20063" s="24"/>
      <c r="E20063" s="24"/>
      <c r="F20063" s="24"/>
      <c r="G20063" s="24"/>
      <c r="H20063" s="24"/>
      <c r="I20063" s="24"/>
      <c r="J20063" s="24"/>
      <c r="K20063" s="24"/>
    </row>
    <row r="20064" customFormat="false" ht="15" hidden="false" customHeight="false" outlineLevel="0" collapsed="false">
      <c r="A20064" s="3" t="s">
        <v>499</v>
      </c>
      <c r="C20064" s="25" t="n">
        <f aca="false">C20016-C20056</f>
        <v>886.7235959424</v>
      </c>
    </row>
    <row r="20065" customFormat="false" ht="15" hidden="false" customHeight="false" outlineLevel="0" collapsed="false">
      <c r="A20065" s="3" t="s">
        <v>500</v>
      </c>
      <c r="C20065" s="25" t="n">
        <f aca="false">C20017-C20057</f>
        <v>6.33403256832008</v>
      </c>
    </row>
    <row r="20066" customFormat="false" ht="15" hidden="false" customHeight="false" outlineLevel="0" collapsed="false">
      <c r="A20066" s="3" t="s">
        <v>501</v>
      </c>
      <c r="C20066" s="25" t="n">
        <f aca="false">C20018-C20058</f>
        <v>143.75</v>
      </c>
    </row>
    <row r="20067" customFormat="false" ht="15" hidden="false" customHeight="false" outlineLevel="0" collapsed="false">
      <c r="A20067" s="23" t="s">
        <v>514</v>
      </c>
      <c r="B20067" s="24"/>
      <c r="C20067" s="24"/>
      <c r="D20067" s="24"/>
      <c r="E20067" s="24"/>
      <c r="F20067" s="24"/>
      <c r="G20067" s="24"/>
      <c r="H20067" s="24"/>
      <c r="I20067" s="24"/>
      <c r="J20067" s="24"/>
      <c r="K20067" s="24"/>
    </row>
    <row r="20068" customFormat="false" ht="15" hidden="false" customHeight="false" outlineLevel="0" collapsed="false">
      <c r="A20068" s="3" t="s">
        <v>499</v>
      </c>
      <c r="C20068" s="21" t="n">
        <f aca="false">IF(C20016=0,0,C20064/C20016)</f>
        <v>0.674264272276591</v>
      </c>
    </row>
    <row r="20069" customFormat="false" ht="15" hidden="false" customHeight="false" outlineLevel="0" collapsed="false">
      <c r="A20069" s="3" t="s">
        <v>500</v>
      </c>
      <c r="C20069" s="21" t="n">
        <f aca="false">IF(C20017=0,0,C20065/C20017)</f>
        <v>1</v>
      </c>
    </row>
    <row r="20070" customFormat="false" ht="15" hidden="false" customHeight="false" outlineLevel="0" collapsed="false">
      <c r="A20070" s="3" t="s">
        <v>501</v>
      </c>
      <c r="C20070" s="21" t="n">
        <f aca="false">IF(C20018=0,0,C20066/C20018)</f>
        <v>1</v>
      </c>
    </row>
    <row r="20071" customFormat="false" ht="15" hidden="false" customHeight="false" outlineLevel="0" collapsed="false">
      <c r="A20071" s="2" t="s">
        <v>515</v>
      </c>
      <c r="C20071" s="16" t="n">
        <f aca="false">MAX(0,$C$20014-SUM($C$20028:$C$20030)-SUM($C$20036:$C$20038))</f>
        <v>0</v>
      </c>
    </row>
    <row r="20072" customFormat="false" ht="15" hidden="false" customHeight="false" outlineLevel="0" collapsed="false">
      <c r="A20072" s="3" t="s">
        <v>533</v>
      </c>
      <c r="C20072" s="34" t="n">
        <f aca="false">MIN(C20013,100*CHOOSE(C20003,C20060,C20061,C20062))</f>
        <v>32.5735727723409</v>
      </c>
    </row>
    <row r="20073" customFormat="false" ht="15" hidden="false" customHeight="false" outlineLevel="0" collapsed="false">
      <c r="A20073" s="3" t="s">
        <v>534</v>
      </c>
      <c r="C20073" s="20" t="n">
        <f aca="false">IF(C19933=1,C20008+Assumptions!$C$39,C20007)</f>
        <v>4</v>
      </c>
    </row>
    <row r="20074" customFormat="false" ht="15" hidden="false" customHeight="false" outlineLevel="0" collapsed="false">
      <c r="A20074" s="23" t="s">
        <v>535</v>
      </c>
      <c r="B20074" s="24"/>
      <c r="C20074" s="24"/>
      <c r="D20074" s="24"/>
      <c r="E20074" s="24"/>
      <c r="F20074" s="24"/>
      <c r="G20074" s="24"/>
      <c r="H20074" s="24"/>
      <c r="I20074" s="24"/>
      <c r="J20074" s="24"/>
      <c r="K20074" s="24"/>
    </row>
    <row r="20075" customFormat="false" ht="15" hidden="false" customHeight="false" outlineLevel="0" collapsed="false">
      <c r="A20075" s="3" t="s">
        <v>536</v>
      </c>
      <c r="C20075" s="20" t="n">
        <f aca="false">COLUMN()-COLUMN($C$1)</f>
        <v>0</v>
      </c>
      <c r="D20075" s="20" t="n">
        <f aca="false">COLUMN()-COLUMN($C$1)</f>
        <v>1</v>
      </c>
      <c r="E20075" s="20" t="n">
        <f aca="false">COLUMN()-COLUMN($C$1)</f>
        <v>2</v>
      </c>
      <c r="F20075" s="20" t="n">
        <f aca="false">COLUMN()-COLUMN($C$1)</f>
        <v>3</v>
      </c>
      <c r="G20075" s="20" t="n">
        <f aca="false">COLUMN()-COLUMN($C$1)</f>
        <v>4</v>
      </c>
      <c r="H20075" s="20" t="n">
        <f aca="false">COLUMN()-COLUMN($C$1)</f>
        <v>5</v>
      </c>
      <c r="I20075" s="20" t="n">
        <f aca="false">COLUMN()-COLUMN($C$1)</f>
        <v>6</v>
      </c>
    </row>
    <row r="20076" customFormat="false" ht="15" hidden="false" customHeight="false" outlineLevel="0" collapsed="false">
      <c r="A20076" s="3" t="s">
        <v>537</v>
      </c>
      <c r="D20076" s="31" t="n">
        <f aca="false">CHOOSE($C$20003,G19816,G19829,G19842)</f>
        <v>0.105</v>
      </c>
      <c r="E20076" s="31" t="n">
        <f aca="false">CHOOSE($C$20003,H19816,H19829,H19842)</f>
        <v>0.105</v>
      </c>
      <c r="F20076" s="31" t="n">
        <f aca="false">CHOOSE($C$20003,I19816,I19829,I19842)</f>
        <v>0.105</v>
      </c>
      <c r="G20076" s="31" t="n">
        <f aca="false">CHOOSE($C$20003,J19816,J19829,J19842)</f>
        <v>0.105</v>
      </c>
      <c r="H20076" s="31" t="n">
        <f aca="false">CHOOSE($C$20003,K19816,K19829,K19842)</f>
        <v>0.105</v>
      </c>
    </row>
    <row r="20077" customFormat="false" ht="15" hidden="false" customHeight="false" outlineLevel="0" collapsed="false">
      <c r="A20077" s="3" t="s">
        <v>538</v>
      </c>
      <c r="D20077" s="25" t="n">
        <f aca="false">IF(D20075&lt;=$C$20012,$C$20004*D20076,0)</f>
        <v>10.5</v>
      </c>
      <c r="E20077" s="25" t="n">
        <f aca="false">IF(E20075&lt;=$C$20012,$C$20004*E20076,0)</f>
        <v>10.5</v>
      </c>
      <c r="F20077" s="25" t="n">
        <f aca="false">IF(F20075&lt;=$C$20012,$C$20004*F20076,0)</f>
        <v>10.5</v>
      </c>
      <c r="G20077" s="25" t="n">
        <f aca="false">IF(G20075&lt;=$C$20012,$C$20004*G20076,0)</f>
        <v>0</v>
      </c>
      <c r="H20077" s="25" t="n">
        <f aca="false">IF(H20075&lt;=$C$20012,$C$20004*H20076,0)</f>
        <v>0</v>
      </c>
    </row>
    <row r="20078" customFormat="false" ht="15" hidden="false" customHeight="false" outlineLevel="0" collapsed="false">
      <c r="A20078" s="3" t="s">
        <v>539</v>
      </c>
      <c r="D20078" s="25" t="n">
        <f aca="false">IF(AND($C$19933=0,D20075=$C$20007),$C$20004*$C$20072/100,0)+IF(AND($C$19933=1,D20075=$C$20073),$C$20010,0)</f>
        <v>0</v>
      </c>
      <c r="E20078" s="25" t="n">
        <f aca="false">IF(AND($C$19933=0,E20075=$C$20007),$C$20004*$C$20072/100,0)+IF(AND($C$19933=1,E20075=$C$20073),$C$20010,0)</f>
        <v>0</v>
      </c>
      <c r="F20078" s="25" t="n">
        <f aca="false">IF(AND($C$19933=0,F20075=$C$20007),$C$20004*$C$20072/100,0)+IF(AND($C$19933=1,F20075=$C$20073),$C$20010,0)</f>
        <v>0</v>
      </c>
      <c r="G20078" s="25" t="n">
        <f aca="false">IF(AND($C$19933=0,G20075=$C$20007),$C$20004*$C$20072/100,0)+IF(AND($C$19933=1,G20075=$C$20073),$C$20010,0)</f>
        <v>39.0882873268091</v>
      </c>
      <c r="H20078" s="25" t="n">
        <f aca="false">IF(AND($C$19933=0,H20075=$C$20007),$C$20004*$C$20072/100,0)+IF(AND($C$19933=1,H20075=$C$20073),$C$20010,0)</f>
        <v>0</v>
      </c>
      <c r="I20078" s="25" t="n">
        <f aca="false">IF(AND($C$19933=0,I20075=$C$20007),$C$20004*$C$20072/100,0)+IF(AND($C$19933=1,I20075=$C$20073),$C$20010,0)</f>
        <v>0</v>
      </c>
    </row>
    <row r="20079" customFormat="false" ht="15" hidden="false" customHeight="false" outlineLevel="0" collapsed="false">
      <c r="A20079" s="2" t="s">
        <v>540</v>
      </c>
      <c r="C20079" s="16" t="n">
        <f aca="false">-$C$20006</f>
        <v>-95</v>
      </c>
      <c r="D20079" s="16" t="n">
        <f aca="false">D20077+D20078</f>
        <v>10.5</v>
      </c>
      <c r="E20079" s="16" t="n">
        <f aca="false">E20077+E20078</f>
        <v>10.5</v>
      </c>
      <c r="F20079" s="16" t="n">
        <f aca="false">F20077+F20078</f>
        <v>10.5</v>
      </c>
      <c r="G20079" s="16" t="n">
        <f aca="false">G20077+G20078</f>
        <v>39.0882873268091</v>
      </c>
      <c r="H20079" s="16" t="n">
        <f aca="false">H20077+H20078</f>
        <v>0</v>
      </c>
      <c r="I20079" s="16" t="n">
        <f aca="false">I20077+I20078</f>
        <v>0</v>
      </c>
    </row>
    <row r="20080" customFormat="false" ht="15" hidden="false" customHeight="false" outlineLevel="0" collapsed="false">
      <c r="A20080" s="3" t="s">
        <v>541</v>
      </c>
      <c r="C20080" s="25" t="n">
        <f aca="false">SUM($C$20077:$I$20077)</f>
        <v>31.5</v>
      </c>
    </row>
    <row r="20081" customFormat="false" ht="15" hidden="false" customHeight="false" outlineLevel="0" collapsed="false">
      <c r="A20081" s="3" t="s">
        <v>542</v>
      </c>
      <c r="C20081" s="25" t="n">
        <f aca="false">SUM($C$20078:$I$20078)</f>
        <v>39.0882873268091</v>
      </c>
    </row>
    <row r="20082" customFormat="false" ht="15" hidden="false" customHeight="false" outlineLevel="0" collapsed="false">
      <c r="A20082" s="3" t="s">
        <v>543</v>
      </c>
      <c r="C20082" s="25" t="n">
        <f aca="false">C20080+C20081</f>
        <v>70.5882873268091</v>
      </c>
    </row>
    <row r="20083" customFormat="false" ht="15" hidden="false" customHeight="false" outlineLevel="0" collapsed="false">
      <c r="A20083" s="3" t="s">
        <v>544</v>
      </c>
      <c r="C20083" s="25" t="n">
        <f aca="false">C20081-C20004*C20005/100</f>
        <v>-55.9117126731909</v>
      </c>
    </row>
    <row r="20084" customFormat="false" ht="15" hidden="false" customHeight="false" outlineLevel="0" collapsed="false">
      <c r="A20084" s="3" t="s">
        <v>545</v>
      </c>
      <c r="C20084" s="25" t="n">
        <f aca="false">C20082-C20006</f>
        <v>-24.4117126731909</v>
      </c>
    </row>
    <row r="20085" customFormat="false" ht="15" hidden="false" customHeight="false" outlineLevel="0" collapsed="false">
      <c r="A20085" s="2" t="s">
        <v>427</v>
      </c>
      <c r="C20085" s="44" t="n">
        <f aca="false">C20082/C20006</f>
        <v>0.743034603440096</v>
      </c>
    </row>
    <row r="20086" customFormat="false" ht="15" hidden="false" customHeight="false" outlineLevel="0" collapsed="false">
      <c r="A20086" s="2" t="s">
        <v>426</v>
      </c>
      <c r="C20086" s="42" t="n">
        <f aca="false">IF(C20082&lt;=0,-1,IFERROR(IRR($C$20079:$I$20079,MAX(-0.9,C20085^(1/C20073)-1)),IRR($C$20079:$I$20079,0.1)))</f>
        <v>-0.0895468216370626</v>
      </c>
    </row>
    <row r="20087" customFormat="false" ht="15" hidden="false" customHeight="false" outlineLevel="0" collapsed="false">
      <c r="A20087" s="3" t="s">
        <v>546</v>
      </c>
      <c r="C20087" s="32" t="n">
        <f aca="false">MAX($G$19893:$K$19893)</f>
        <v>17.6426302993449</v>
      </c>
    </row>
    <row r="20088" customFormat="false" ht="15" hidden="false" customHeight="false" outlineLevel="0" collapsed="false">
      <c r="A20088" s="3" t="s">
        <v>547</v>
      </c>
      <c r="C20088" s="32" t="n">
        <f aca="false">MIN($G$19894:$K$19894)</f>
        <v>0.641091448545568</v>
      </c>
    </row>
    <row r="20089" customFormat="false" ht="15" hidden="false" customHeight="false" outlineLevel="0" collapsed="false">
      <c r="A20089" s="3" t="s">
        <v>548</v>
      </c>
      <c r="C20089" s="25" t="n">
        <f aca="false">SUM($G$19800:$K$19800)</f>
        <v>-362.406198194027</v>
      </c>
    </row>
    <row r="20093" customFormat="false" ht="15" hidden="false" customHeight="false" outlineLevel="0" collapsed="false">
      <c r="A20093" s="9" t="s">
        <v>1076</v>
      </c>
      <c r="B20093" s="10"/>
      <c r="C20093" s="10"/>
      <c r="D20093" s="10"/>
      <c r="E20093" s="10"/>
      <c r="F20093" s="10"/>
      <c r="G20093" s="10"/>
      <c r="H20093" s="10"/>
      <c r="I20093" s="10"/>
      <c r="J20093" s="10"/>
      <c r="K20093" s="10"/>
    </row>
    <row r="20094" customFormat="false" ht="15" hidden="false" customHeight="false" outlineLevel="0" collapsed="false">
      <c r="A20094" s="3" t="s">
        <v>1010</v>
      </c>
      <c r="C20094" s="11" t="n">
        <v>3</v>
      </c>
    </row>
    <row r="20095" customFormat="false" ht="15" hidden="false" customHeight="false" outlineLevel="0" collapsed="false">
      <c r="A20095" s="3" t="s">
        <v>1011</v>
      </c>
      <c r="C20095" s="18" t="n">
        <v>0</v>
      </c>
    </row>
    <row r="20096" customFormat="false" ht="15" hidden="false" customHeight="false" outlineLevel="0" collapsed="false">
      <c r="A20096" s="3" t="s">
        <v>1012</v>
      </c>
      <c r="C20096" s="18" t="n">
        <v>0</v>
      </c>
    </row>
    <row r="20097" customFormat="false" ht="15" hidden="false" customHeight="false" outlineLevel="0" collapsed="false">
      <c r="A20097" s="3" t="s">
        <v>1013</v>
      </c>
      <c r="C20097" s="18" t="n">
        <v>0</v>
      </c>
    </row>
    <row r="20098" customFormat="false" ht="15" hidden="false" customHeight="false" outlineLevel="0" collapsed="false">
      <c r="A20098" s="3" t="s">
        <v>1014</v>
      </c>
      <c r="C20098" s="33" t="n">
        <f aca="false">Sensitivities!$A$64</f>
        <v>2</v>
      </c>
    </row>
    <row r="20100" customFormat="false" ht="15" hidden="false" customHeight="false" outlineLevel="0" collapsed="false">
      <c r="A20100" s="23" t="s">
        <v>281</v>
      </c>
      <c r="B20100" s="24"/>
      <c r="C20100" s="24"/>
      <c r="D20100" s="24"/>
      <c r="E20100" s="24"/>
      <c r="F20100" s="24"/>
      <c r="G20100" s="24"/>
      <c r="H20100" s="24"/>
      <c r="I20100" s="24"/>
      <c r="J20100" s="24"/>
      <c r="K20100" s="24"/>
    </row>
    <row r="20101" customFormat="false" ht="15" hidden="false" customHeight="false" outlineLevel="0" collapsed="false">
      <c r="A20101" s="3" t="s">
        <v>282</v>
      </c>
      <c r="F20101" s="27" t="n">
        <f aca="false">Assumptions!$C$6</f>
        <v>2026</v>
      </c>
      <c r="G20101" s="20" t="n">
        <f aca="false">F20101+1</f>
        <v>2027</v>
      </c>
      <c r="H20101" s="20" t="n">
        <f aca="false">G20101+1</f>
        <v>2028</v>
      </c>
      <c r="I20101" s="20" t="n">
        <f aca="false">H20101+1</f>
        <v>2029</v>
      </c>
      <c r="J20101" s="20" t="n">
        <f aca="false">I20101+1</f>
        <v>2030</v>
      </c>
      <c r="K20101" s="20" t="n">
        <f aca="false">J20101+1</f>
        <v>2031</v>
      </c>
    </row>
    <row r="20102" customFormat="false" ht="15" hidden="false" customHeight="false" outlineLevel="0" collapsed="false">
      <c r="A20102" s="3" t="s">
        <v>283</v>
      </c>
      <c r="G20102" s="20" t="n">
        <f aca="false">G20101-Assumptions!$C$6</f>
        <v>1</v>
      </c>
      <c r="H20102" s="20" t="n">
        <f aca="false">H20101-Assumptions!$C$6</f>
        <v>2</v>
      </c>
      <c r="I20102" s="20" t="n">
        <f aca="false">I20101-Assumptions!$C$6</f>
        <v>3</v>
      </c>
      <c r="J20102" s="20" t="n">
        <f aca="false">J20101-Assumptions!$C$6</f>
        <v>4</v>
      </c>
      <c r="K20102" s="20" t="n">
        <f aca="false">K20101-Assumptions!$C$6</f>
        <v>5</v>
      </c>
    </row>
    <row r="20103" customFormat="false" ht="15" hidden="false" customHeight="false" outlineLevel="0" collapsed="false">
      <c r="A20103" s="3" t="s">
        <v>165</v>
      </c>
      <c r="G20103" s="21" t="n">
        <f aca="false">CHOOSE($C$20094,Assumptions!$G$71,Assumptions!$G$90,Assumptions!$G$109)+$C$20095</f>
        <v>-0.14</v>
      </c>
      <c r="H20103" s="21" t="n">
        <f aca="false">CHOOSE($C$20094,Assumptions!$H$71,Assumptions!$H$90,Assumptions!$H$109)+$C$20095</f>
        <v>-0.12</v>
      </c>
      <c r="I20103" s="21" t="n">
        <f aca="false">CHOOSE($C$20094,Assumptions!$I$71,Assumptions!$I$90,Assumptions!$I$109)+$C$20095</f>
        <v>-0.1</v>
      </c>
      <c r="J20103" s="21" t="n">
        <f aca="false">CHOOSE($C$20094,Assumptions!$J$71,Assumptions!$J$90,Assumptions!$J$109)+$C$20095</f>
        <v>-0.08</v>
      </c>
      <c r="K20103" s="21" t="n">
        <f aca="false">CHOOSE($C$20094,Assumptions!$K$71,Assumptions!$K$90,Assumptions!$K$109)+$C$20095</f>
        <v>-0.06</v>
      </c>
    </row>
    <row r="20104" customFormat="false" ht="15" hidden="false" customHeight="false" outlineLevel="0" collapsed="false">
      <c r="A20104" s="3" t="s">
        <v>166</v>
      </c>
      <c r="G20104" s="21" t="n">
        <f aca="false">CHOOSE($C$20094,Assumptions!$G$72,Assumptions!$G$91,Assumptions!$G$110)</f>
        <v>0.433246670103635</v>
      </c>
      <c r="H20104" s="21" t="n">
        <f aca="false">CHOOSE($C$20094,Assumptions!$H$72,Assumptions!$H$91,Assumptions!$H$110)</f>
        <v>0.418246670103635</v>
      </c>
      <c r="I20104" s="21" t="n">
        <f aca="false">CHOOSE($C$20094,Assumptions!$I$72,Assumptions!$I$91,Assumptions!$I$110)</f>
        <v>0.413246670103635</v>
      </c>
      <c r="J20104" s="21" t="n">
        <f aca="false">CHOOSE($C$20094,Assumptions!$J$72,Assumptions!$J$91,Assumptions!$J$110)</f>
        <v>0.413246670103635</v>
      </c>
      <c r="K20104" s="21" t="n">
        <f aca="false">CHOOSE($C$20094,Assumptions!$K$72,Assumptions!$K$91,Assumptions!$K$110)</f>
        <v>0.413246670103635</v>
      </c>
    </row>
    <row r="20105" customFormat="false" ht="15" hidden="false" customHeight="false" outlineLevel="0" collapsed="false">
      <c r="A20105" s="3" t="s">
        <v>167</v>
      </c>
      <c r="G20105" s="21" t="n">
        <f aca="false">CHOOSE($C$20094,Assumptions!$G$73,Assumptions!$G$92,Assumptions!$G$111)+$C$20096</f>
        <v>0.09</v>
      </c>
      <c r="H20105" s="21" t="n">
        <f aca="false">CHOOSE($C$20094,Assumptions!$H$73,Assumptions!$H$92,Assumptions!$H$111)+$C$20096</f>
        <v>0.075</v>
      </c>
      <c r="I20105" s="21" t="n">
        <f aca="false">CHOOSE($C$20094,Assumptions!$I$73,Assumptions!$I$92,Assumptions!$I$111)+$C$20096</f>
        <v>0.07</v>
      </c>
      <c r="J20105" s="21" t="n">
        <f aca="false">CHOOSE($C$20094,Assumptions!$J$73,Assumptions!$J$92,Assumptions!$J$111)+$C$20096</f>
        <v>0.07</v>
      </c>
      <c r="K20105" s="21" t="n">
        <f aca="false">CHOOSE($C$20094,Assumptions!$K$73,Assumptions!$K$92,Assumptions!$K$111)+$C$20096</f>
        <v>0.07</v>
      </c>
    </row>
    <row r="20106" customFormat="false" ht="15" hidden="false" customHeight="false" outlineLevel="0" collapsed="false">
      <c r="A20106" s="23" t="s">
        <v>284</v>
      </c>
      <c r="B20106" s="24"/>
      <c r="C20106" s="24"/>
      <c r="D20106" s="24"/>
      <c r="E20106" s="24"/>
      <c r="F20106" s="24"/>
      <c r="G20106" s="24"/>
      <c r="H20106" s="24"/>
      <c r="I20106" s="24"/>
      <c r="J20106" s="24"/>
      <c r="K20106" s="24"/>
    </row>
    <row r="20107" customFormat="false" ht="15" hidden="false" customHeight="false" outlineLevel="0" collapsed="false">
      <c r="A20107" s="2" t="s">
        <v>256</v>
      </c>
      <c r="F20107" s="28" t="n">
        <f aca="false">'Historical Financials'!G23</f>
        <v>2246.166</v>
      </c>
      <c r="G20107" s="16" t="n">
        <f aca="false">F20107*(1+G20103)</f>
        <v>1931.70276</v>
      </c>
      <c r="H20107" s="16" t="n">
        <f aca="false">G20107*(1+H20103)</f>
        <v>1699.8984288</v>
      </c>
      <c r="I20107" s="16" t="n">
        <f aca="false">H20107*(1+I20103)</f>
        <v>1529.90858592</v>
      </c>
      <c r="J20107" s="16" t="n">
        <f aca="false">I20107*(1+J20103)</f>
        <v>1407.5158990464</v>
      </c>
      <c r="K20107" s="16" t="n">
        <f aca="false">J20107*(1+K20103)</f>
        <v>1323.06494510362</v>
      </c>
    </row>
    <row r="20108" customFormat="false" ht="15" hidden="false" customHeight="false" outlineLevel="0" collapsed="false">
      <c r="A20108" s="3" t="s">
        <v>257</v>
      </c>
      <c r="G20108" s="25" t="n">
        <f aca="false">G20107*(1-G20104)</f>
        <v>1094.7989716</v>
      </c>
      <c r="H20108" s="25" t="n">
        <f aca="false">H20107*(1-H20104)</f>
        <v>988.92157144</v>
      </c>
      <c r="I20108" s="25" t="n">
        <f aca="false">I20107*(1-I20104)</f>
        <v>897.6789572256</v>
      </c>
      <c r="J20108" s="25" t="n">
        <f aca="false">J20107*(1-J20104)</f>
        <v>825.864640647552</v>
      </c>
      <c r="K20108" s="25" t="n">
        <f aca="false">K20107*(1-K20104)</f>
        <v>776.312762208699</v>
      </c>
    </row>
    <row r="20109" customFormat="false" ht="15" hidden="false" customHeight="false" outlineLevel="0" collapsed="false">
      <c r="A20109" s="2" t="s">
        <v>258</v>
      </c>
      <c r="G20109" s="16" t="n">
        <f aca="false">G20107-G20108</f>
        <v>836.9037884</v>
      </c>
      <c r="H20109" s="16" t="n">
        <f aca="false">H20107-H20108</f>
        <v>710.97685736</v>
      </c>
      <c r="I20109" s="16" t="n">
        <f aca="false">I20107-I20108</f>
        <v>632.2296286944</v>
      </c>
      <c r="J20109" s="16" t="n">
        <f aca="false">J20107-J20108</f>
        <v>581.651258398848</v>
      </c>
      <c r="K20109" s="16" t="n">
        <f aca="false">K20107-K20108</f>
        <v>546.752182894917</v>
      </c>
    </row>
    <row r="20110" customFormat="false" ht="15" hidden="false" customHeight="false" outlineLevel="0" collapsed="false">
      <c r="A20110" s="3" t="s">
        <v>285</v>
      </c>
      <c r="G20110" s="25" t="n">
        <f aca="false">G20109-G20111</f>
        <v>663.05054</v>
      </c>
      <c r="H20110" s="25" t="n">
        <f aca="false">H20109-H20111</f>
        <v>583.4844752</v>
      </c>
      <c r="I20110" s="25" t="n">
        <f aca="false">I20109-I20111</f>
        <v>525.13602768</v>
      </c>
      <c r="J20110" s="25" t="n">
        <f aca="false">J20109-J20111</f>
        <v>483.1251454656</v>
      </c>
      <c r="K20110" s="25" t="n">
        <f aca="false">K20109-K20111</f>
        <v>454.137636737664</v>
      </c>
    </row>
    <row r="20111" customFormat="false" ht="15" hidden="false" customHeight="false" outlineLevel="0" collapsed="false">
      <c r="A20111" s="2" t="s">
        <v>286</v>
      </c>
      <c r="G20111" s="16" t="n">
        <f aca="false">G20107*G20105</f>
        <v>173.8532484</v>
      </c>
      <c r="H20111" s="16" t="n">
        <f aca="false">H20107*H20105</f>
        <v>127.49238216</v>
      </c>
      <c r="I20111" s="16" t="n">
        <f aca="false">I20107*I20105</f>
        <v>107.0936010144</v>
      </c>
      <c r="J20111" s="16" t="n">
        <f aca="false">J20107*J20105</f>
        <v>98.526112933248</v>
      </c>
      <c r="K20111" s="16" t="n">
        <f aca="false">K20107*K20105</f>
        <v>92.6145461572531</v>
      </c>
    </row>
    <row r="20112" customFormat="false" ht="15" hidden="false" customHeight="false" outlineLevel="0" collapsed="false">
      <c r="A20112" s="3" t="s">
        <v>287</v>
      </c>
      <c r="G20112" s="25" t="n">
        <f aca="false">G20107*'Historical Financials'!G28/'Historical Financials'!G23</f>
        <v>73.35456</v>
      </c>
      <c r="H20112" s="25" t="n">
        <f aca="false">H20107*'Historical Financials'!G28/'Historical Financials'!G23</f>
        <v>64.5520128</v>
      </c>
      <c r="I20112" s="25" t="n">
        <f aca="false">I20107*'Historical Financials'!G28/'Historical Financials'!G23</f>
        <v>58.09681152</v>
      </c>
      <c r="J20112" s="25" t="n">
        <f aca="false">J20107*'Historical Financials'!G28/'Historical Financials'!G23</f>
        <v>53.4490665984</v>
      </c>
      <c r="K20112" s="25" t="n">
        <f aca="false">K20107*'Historical Financials'!G28/'Historical Financials'!G23</f>
        <v>50.242122602496</v>
      </c>
    </row>
    <row r="20113" customFormat="false" ht="15" hidden="false" customHeight="false" outlineLevel="0" collapsed="false">
      <c r="A20113" s="3" t="s">
        <v>288</v>
      </c>
      <c r="G20113" s="25" t="n">
        <f aca="false">G20107*'Historical Financials'!G29/'Historical Financials'!G23</f>
        <v>20.94616</v>
      </c>
      <c r="H20113" s="25" t="n">
        <f aca="false">H20107*'Historical Financials'!G29/'Historical Financials'!G23</f>
        <v>18.4326208</v>
      </c>
      <c r="I20113" s="25" t="n">
        <f aca="false">I20107*'Historical Financials'!G29/'Historical Financials'!G23</f>
        <v>16.58935872</v>
      </c>
      <c r="J20113" s="25" t="n">
        <f aca="false">J20107*'Historical Financials'!G29/'Historical Financials'!G23</f>
        <v>15.2622100224</v>
      </c>
      <c r="K20113" s="25" t="n">
        <f aca="false">K20107*'Historical Financials'!G29/'Historical Financials'!G23</f>
        <v>14.346477421056</v>
      </c>
    </row>
    <row r="20114" customFormat="false" ht="15" hidden="false" customHeight="false" outlineLevel="0" collapsed="false">
      <c r="A20114" s="2" t="s">
        <v>289</v>
      </c>
      <c r="G20114" s="16" t="n">
        <f aca="false">G20111-G20112-G20113</f>
        <v>79.5525284</v>
      </c>
      <c r="H20114" s="16" t="n">
        <f aca="false">H20111-H20112-H20113</f>
        <v>44.50774856</v>
      </c>
      <c r="I20114" s="16" t="n">
        <f aca="false">I20111-I20112-I20113</f>
        <v>32.4074307744</v>
      </c>
      <c r="J20114" s="16" t="n">
        <f aca="false">J20111-J20112-J20113</f>
        <v>29.814836312448</v>
      </c>
      <c r="K20114" s="16" t="n">
        <f aca="false">K20111-K20112-K20113</f>
        <v>28.0259461337011</v>
      </c>
    </row>
    <row r="20115" customFormat="false" ht="15" hidden="false" customHeight="false" outlineLevel="0" collapsed="false">
      <c r="A20115" s="3" t="s">
        <v>290</v>
      </c>
      <c r="G20115" s="25" t="n">
        <f aca="false">G20141+G20154+G20167</f>
        <v>155.95467</v>
      </c>
      <c r="H20115" s="25" t="n">
        <f aca="false">H20141+H20154+H20167</f>
        <v>155.95467</v>
      </c>
      <c r="I20115" s="25" t="n">
        <f aca="false">I20141+I20154+I20167</f>
        <v>155.95467</v>
      </c>
      <c r="J20115" s="25" t="n">
        <f aca="false">J20141+J20154+J20167</f>
        <v>144.463861384154</v>
      </c>
      <c r="K20115" s="25" t="n">
        <f aca="false">K20141+K20154+K20167</f>
        <v>144.463861384154</v>
      </c>
    </row>
    <row r="20116" customFormat="false" ht="15" hidden="false" customHeight="false" outlineLevel="0" collapsed="false">
      <c r="A20116" s="3" t="s">
        <v>291</v>
      </c>
      <c r="G20116" s="25" t="n">
        <f aca="false">G20142+G20155+G20168</f>
        <v>0</v>
      </c>
      <c r="H20116" s="25" t="n">
        <f aca="false">H20142+H20155+H20168</f>
        <v>0</v>
      </c>
      <c r="I20116" s="25" t="n">
        <f aca="false">I20142+I20155+I20168</f>
        <v>0</v>
      </c>
      <c r="J20116" s="25" t="n">
        <f aca="false">J20142+J20155+J20168</f>
        <v>0</v>
      </c>
      <c r="K20116" s="25" t="n">
        <f aca="false">K20142+K20155+K20168</f>
        <v>0</v>
      </c>
    </row>
    <row r="20117" customFormat="false" ht="15" hidden="false" customHeight="false" outlineLevel="0" collapsed="false">
      <c r="A20117" s="3" t="s">
        <v>239</v>
      </c>
      <c r="G20117" s="25" t="n">
        <f aca="false">G20115+G20116</f>
        <v>155.95467</v>
      </c>
      <c r="H20117" s="25" t="n">
        <f aca="false">H20115+H20116</f>
        <v>155.95467</v>
      </c>
      <c r="I20117" s="25" t="n">
        <f aca="false">I20115+I20116</f>
        <v>155.95467</v>
      </c>
      <c r="J20117" s="25" t="n">
        <f aca="false">J20115+J20116</f>
        <v>144.463861384154</v>
      </c>
      <c r="K20117" s="25" t="n">
        <f aca="false">K20115+K20116</f>
        <v>144.463861384154</v>
      </c>
    </row>
    <row r="20118" customFormat="false" ht="15" hidden="false" customHeight="false" outlineLevel="0" collapsed="false">
      <c r="A20118" s="2" t="s">
        <v>264</v>
      </c>
      <c r="G20118" s="16" t="n">
        <f aca="false">G20114-G20117</f>
        <v>-76.4021416</v>
      </c>
      <c r="H20118" s="16" t="n">
        <f aca="false">H20114-H20117</f>
        <v>-111.44692144</v>
      </c>
      <c r="I20118" s="16" t="n">
        <f aca="false">I20114-I20117</f>
        <v>-123.5472392256</v>
      </c>
      <c r="J20118" s="16" t="n">
        <f aca="false">J20114-J20117</f>
        <v>-114.649025071706</v>
      </c>
      <c r="K20118" s="16" t="n">
        <f aca="false">K20114-K20117</f>
        <v>-116.437915250452</v>
      </c>
    </row>
    <row r="20119" customFormat="false" ht="15" hidden="false" customHeight="false" outlineLevel="0" collapsed="false">
      <c r="A20119" s="3" t="s">
        <v>292</v>
      </c>
      <c r="G20119" s="25" t="n">
        <f aca="false">MAX(0,G20118)*Assumptions!$C$9</f>
        <v>0</v>
      </c>
      <c r="H20119" s="25" t="n">
        <f aca="false">MAX(0,H20118)*Assumptions!$C$9</f>
        <v>0</v>
      </c>
      <c r="I20119" s="25" t="n">
        <f aca="false">MAX(0,I20118)*Assumptions!$C$9</f>
        <v>0</v>
      </c>
      <c r="J20119" s="25" t="n">
        <f aca="false">MAX(0,J20118)*Assumptions!$C$9</f>
        <v>0</v>
      </c>
      <c r="K20119" s="25" t="n">
        <f aca="false">MAX(0,K20118)*Assumptions!$C$9</f>
        <v>0</v>
      </c>
    </row>
    <row r="20120" customFormat="false" ht="15" hidden="false" customHeight="false" outlineLevel="0" collapsed="false">
      <c r="A20120" s="2" t="s">
        <v>293</v>
      </c>
      <c r="G20120" s="16" t="n">
        <f aca="false">G20118-G20119</f>
        <v>-76.4021416</v>
      </c>
      <c r="H20120" s="16" t="n">
        <f aca="false">H20118-H20119</f>
        <v>-111.44692144</v>
      </c>
      <c r="I20120" s="16" t="n">
        <f aca="false">I20118-I20119</f>
        <v>-123.5472392256</v>
      </c>
      <c r="J20120" s="16" t="n">
        <f aca="false">J20118-J20119</f>
        <v>-114.649025071706</v>
      </c>
      <c r="K20120" s="16" t="n">
        <f aca="false">K20118-K20119</f>
        <v>-116.437915250452</v>
      </c>
    </row>
    <row r="20121" customFormat="false" ht="15" hidden="false" customHeight="false" outlineLevel="0" collapsed="false">
      <c r="A20121" s="23" t="s">
        <v>294</v>
      </c>
      <c r="B20121" s="24"/>
      <c r="C20121" s="24"/>
      <c r="D20121" s="24"/>
      <c r="E20121" s="24"/>
      <c r="F20121" s="24"/>
      <c r="G20121" s="24"/>
      <c r="H20121" s="24"/>
      <c r="I20121" s="24"/>
      <c r="J20121" s="24"/>
      <c r="K20121" s="24"/>
    </row>
    <row r="20122" customFormat="false" ht="15" hidden="false" customHeight="false" outlineLevel="0" collapsed="false">
      <c r="A20122" s="3" t="s">
        <v>169</v>
      </c>
      <c r="G20122" s="25" t="n">
        <f aca="false">G20107*CHOOSE($C$20094,Assumptions!$C$75,Assumptions!$C$94,Assumptions!$C$113)</f>
        <v>21.24873036</v>
      </c>
      <c r="H20122" s="25" t="n">
        <f aca="false">H20107*CHOOSE($C$20094,Assumptions!$C$75,Assumptions!$C$94,Assumptions!$C$113)</f>
        <v>18.6988827168</v>
      </c>
      <c r="I20122" s="25" t="n">
        <f aca="false">I20107*CHOOSE($C$20094,Assumptions!$C$75,Assumptions!$C$94,Assumptions!$C$113)</f>
        <v>16.82899444512</v>
      </c>
      <c r="J20122" s="25" t="n">
        <f aca="false">J20107*CHOOSE($C$20094,Assumptions!$C$75,Assumptions!$C$94,Assumptions!$C$113)</f>
        <v>15.4826748895104</v>
      </c>
      <c r="K20122" s="25" t="n">
        <f aca="false">K20107*CHOOSE($C$20094,Assumptions!$C$75,Assumptions!$C$94,Assumptions!$C$113)</f>
        <v>14.5537143961398</v>
      </c>
    </row>
    <row r="20123" customFormat="false" ht="15" hidden="false" customHeight="false" outlineLevel="0" collapsed="false">
      <c r="A20123" s="3" t="s">
        <v>295</v>
      </c>
      <c r="G20123" s="25" t="n">
        <f aca="false">CHOOSE($C$20094,Assumptions!$C$76,Assumptions!$C$95,Assumptions!$C$114)*(G20107-F20107)+CHOOSE($C$20094,Assumptions!$C$77,Assumptions!$C$96,Assumptions!$C$115)*G20107</f>
        <v>28.9755414</v>
      </c>
      <c r="H20123" s="25" t="n">
        <f aca="false">CHOOSE($C$20094,Assumptions!$C$76,Assumptions!$C$95,Assumptions!$C$114)*(H20107-G20107)+CHOOSE($C$20094,Assumptions!$C$77,Assumptions!$C$96,Assumptions!$C$115)*H20107</f>
        <v>25.498476432</v>
      </c>
      <c r="I20123" s="25" t="n">
        <f aca="false">CHOOSE($C$20094,Assumptions!$C$76,Assumptions!$C$95,Assumptions!$C$114)*(I20107-H20107)+CHOOSE($C$20094,Assumptions!$C$77,Assumptions!$C$96,Assumptions!$C$115)*I20107</f>
        <v>22.9486287888</v>
      </c>
      <c r="J20123" s="25" t="n">
        <f aca="false">CHOOSE($C$20094,Assumptions!$C$76,Assumptions!$C$95,Assumptions!$C$114)*(J20107-I20107)+CHOOSE($C$20094,Assumptions!$C$77,Assumptions!$C$96,Assumptions!$C$115)*J20107</f>
        <v>21.112738485696</v>
      </c>
      <c r="K20123" s="25" t="n">
        <f aca="false">CHOOSE($C$20094,Assumptions!$C$76,Assumptions!$C$95,Assumptions!$C$114)*(K20107-J20107)+CHOOSE($C$20094,Assumptions!$C$77,Assumptions!$C$96,Assumptions!$C$115)*K20107</f>
        <v>19.8459741765542</v>
      </c>
    </row>
    <row r="20124" customFormat="false" ht="15" hidden="false" customHeight="false" outlineLevel="0" collapsed="false">
      <c r="A20124" s="2" t="s">
        <v>296</v>
      </c>
      <c r="G20124" s="16" t="n">
        <f aca="false">G20120+G20112+G20113+G20116-G20122-G20123</f>
        <v>-32.32569336</v>
      </c>
      <c r="H20124" s="16" t="n">
        <f aca="false">H20120+H20112+H20113+H20116-H20122-H20123</f>
        <v>-72.6596469888</v>
      </c>
      <c r="I20124" s="16" t="n">
        <f aca="false">I20120+I20112+I20113+I20116-I20122-I20123</f>
        <v>-88.63869221952</v>
      </c>
      <c r="J20124" s="16" t="n">
        <f aca="false">J20120+J20112+J20113+J20116-J20122-J20123</f>
        <v>-82.533161826112</v>
      </c>
      <c r="K20124" s="16" t="n">
        <f aca="false">K20120+K20112+K20113+K20116-K20122-K20123</f>
        <v>-86.2490037995945</v>
      </c>
    </row>
    <row r="20126" customFormat="false" ht="15" hidden="false" customHeight="false" outlineLevel="0" collapsed="false">
      <c r="A20126" s="23" t="s">
        <v>298</v>
      </c>
      <c r="B20126" s="24"/>
      <c r="C20126" s="24"/>
      <c r="D20126" s="24"/>
      <c r="E20126" s="24"/>
      <c r="F20126" s="24"/>
      <c r="G20126" s="24"/>
      <c r="H20126" s="24"/>
      <c r="I20126" s="24"/>
      <c r="J20126" s="24"/>
      <c r="K20126" s="24"/>
    </row>
    <row r="20127" customFormat="false" ht="15" hidden="false" customHeight="false" outlineLevel="0" collapsed="false">
      <c r="A20127" s="3" t="s">
        <v>299</v>
      </c>
      <c r="G20127" s="30" t="n">
        <f aca="false">Assumptions!$G$52</f>
        <v>0.039</v>
      </c>
      <c r="H20127" s="30" t="n">
        <f aca="false">Assumptions!$H$52</f>
        <v>0.0375</v>
      </c>
      <c r="I20127" s="30" t="n">
        <f aca="false">Assumptions!$I$52</f>
        <v>0.035</v>
      </c>
      <c r="J20127" s="30" t="n">
        <f aca="false">Assumptions!$J$52</f>
        <v>0.035</v>
      </c>
      <c r="K20127" s="30" t="n">
        <f aca="false">Assumptions!$K$52</f>
        <v>0.035</v>
      </c>
    </row>
    <row r="20128" customFormat="false" ht="15" hidden="false" customHeight="false" outlineLevel="0" collapsed="false">
      <c r="A20128" s="3" t="s">
        <v>300</v>
      </c>
      <c r="C20128" s="31" t="n">
        <f aca="false">CHOOSE($C$20094,Assumptions!$C$78,Assumptions!$C$97,Assumptions!$C$116)+$C$20097</f>
        <v>0.03</v>
      </c>
    </row>
    <row r="20129" customFormat="false" ht="15" hidden="false" customHeight="false" outlineLevel="0" collapsed="false">
      <c r="A20129" s="3" t="s">
        <v>301</v>
      </c>
      <c r="C20129" s="31" t="n">
        <f aca="false">CHOOSE($C$20094,Assumptions!$C$79,Assumptions!$C$98,Assumptions!$C$117)</f>
        <v>0.15</v>
      </c>
    </row>
    <row r="20130" customFormat="false" ht="15" hidden="false" customHeight="false" outlineLevel="0" collapsed="false">
      <c r="A20130" s="3" t="s">
        <v>302</v>
      </c>
      <c r="C20130" s="32" t="n">
        <f aca="false">CHOOSE($C$20094,Assumptions!$C$80,Assumptions!$C$99,Assumptions!$C$118)</f>
        <v>5</v>
      </c>
    </row>
    <row r="20131" customFormat="false" ht="15" hidden="false" customHeight="false" outlineLevel="0" collapsed="false">
      <c r="A20131" s="3" t="s">
        <v>303</v>
      </c>
      <c r="C20131" s="32" t="n">
        <f aca="false">CHOOSE($C$20094,Assumptions!$C$81,Assumptions!$C$100,Assumptions!$C$119)</f>
        <v>1.75</v>
      </c>
    </row>
    <row r="20132" customFormat="false" ht="15" hidden="false" customHeight="false" outlineLevel="0" collapsed="false">
      <c r="A20132" s="3" t="s">
        <v>304</v>
      </c>
      <c r="G20132" s="25" t="n">
        <f aca="false">G20137+G20150+G20163</f>
        <v>1735.554</v>
      </c>
      <c r="H20132" s="25" t="n">
        <f aca="false">H20137+H20150+H20163</f>
        <v>1735.554</v>
      </c>
      <c r="I20132" s="25" t="n">
        <f aca="false">I20137+I20150+I20163</f>
        <v>1735.554</v>
      </c>
      <c r="J20132" s="25" t="n">
        <f aca="false">J20137+J20150+J20163</f>
        <v>1465.18203256832</v>
      </c>
      <c r="K20132" s="25" t="n">
        <f aca="false">K20137+K20150+K20163</f>
        <v>1465.18203256832</v>
      </c>
    </row>
    <row r="20133" customFormat="false" ht="15" hidden="false" customHeight="false" outlineLevel="0" collapsed="false">
      <c r="A20133" s="3" t="s">
        <v>305</v>
      </c>
      <c r="G20133" s="25" t="n">
        <f aca="false">F20206</f>
        <v>463.996</v>
      </c>
      <c r="H20133" s="25" t="n">
        <f aca="false">G20206</f>
        <v>431.67030664</v>
      </c>
      <c r="I20133" s="25" t="n">
        <f aca="false">H20206</f>
        <v>359.0106596512</v>
      </c>
      <c r="J20133" s="25" t="n">
        <f aca="false">I20206</f>
        <v>0</v>
      </c>
      <c r="K20133" s="25" t="n">
        <f aca="false">J20206</f>
        <v>-82.533161826112</v>
      </c>
    </row>
    <row r="20134" customFormat="false" ht="15" hidden="false" customHeight="false" outlineLevel="0" collapsed="false">
      <c r="A20134" s="3" t="s">
        <v>306</v>
      </c>
      <c r="G20134" s="25" t="n">
        <f aca="false">G20137*IF(G20138=1,$C$20129,IF(Assumptions!$I$56=1,MAX(G20127,Assumptions!$G$56)+Assumptions!$F$56+$C$20128,Assumptions!$E$56))+G20150*IF(G20151=1,$C$20129,IF(Assumptions!$I$57=1,MAX(G20127,Assumptions!$G$57)+Assumptions!$F$57+$C$20128,Assumptions!$E$57))+G20163*IF(G20164=1,$C$20129,IF(Assumptions!$I$58=1,MAX(G20127,Assumptions!$G$58)+Assumptions!$F$58+$C$20128,Assumptions!$E$58))</f>
        <v>155.95467</v>
      </c>
      <c r="H20134" s="25" t="n">
        <f aca="false">H20137*IF(OR(H20138=1,G20284=1),$C$20129,IF(Assumptions!$I$56=1,MAX(H20127,Assumptions!$G$56)+Assumptions!$F$56+$C$20128,Assumptions!$E$56))+H20150*IF(OR(H20151=1,G20285=1),$C$20129,IF(Assumptions!$I$57=1,MAX(H20127,Assumptions!$G$57)+Assumptions!$F$57+$C$20128,Assumptions!$E$57))+H20163*IF(OR(H20164=1,G20286=1),$C$20129,IF(Assumptions!$I$58=1,MAX(H20127,Assumptions!$G$58)+Assumptions!$F$58+$C$20128,Assumptions!$E$58))</f>
        <v>155.95467</v>
      </c>
      <c r="I20134" s="25" t="n">
        <f aca="false">I20137*IF(OR(I20138=1,H20284=1),$C$20129,IF(Assumptions!$I$56=1,MAX(I20127,Assumptions!$G$56)+Assumptions!$F$56+$C$20128,Assumptions!$E$56))+I20150*IF(OR(I20151=1,H20285=1),$C$20129,IF(Assumptions!$I$57=1,MAX(I20127,Assumptions!$G$57)+Assumptions!$F$57+$C$20128,Assumptions!$E$57))+I20163*IF(OR(I20164=1,H20286=1),$C$20129,IF(Assumptions!$I$58=1,MAX(I20127,Assumptions!$G$58)+Assumptions!$F$58+$C$20128,Assumptions!$E$58))</f>
        <v>201.15369</v>
      </c>
      <c r="J20134" s="25" t="n">
        <f aca="false">J20137*IF(OR(J20138=1,I20284=1),$C$20129,IF(Assumptions!$I$56=1,MAX(J20127,Assumptions!$G$56)+Assumptions!$F$56+$C$20128,Assumptions!$E$56))+J20150*IF(OR(J20151=1,I20285=1),$C$20129,IF(Assumptions!$I$57=1,MAX(J20127,Assumptions!$G$57)+Assumptions!$F$57+$C$20128,Assumptions!$E$57))+J20163*IF(OR(J20164=1,I20286=1),$C$20129,IF(Assumptions!$I$58=1,MAX(J20127,Assumptions!$G$58)+Assumptions!$F$58+$C$20128,Assumptions!$E$58))</f>
        <v>144.463861384154</v>
      </c>
      <c r="K20134" s="25" t="n">
        <f aca="false">K20137*IF(OR(K20138=1,J20284=1),$C$20129,IF(Assumptions!$I$56=1,MAX(K20127,Assumptions!$G$56)+Assumptions!$F$56+$C$20128,Assumptions!$E$56))+K20150*IF(OR(K20151=1,J20285=1),$C$20129,IF(Assumptions!$I$57=1,MAX(K20127,Assumptions!$G$57)+Assumptions!$F$57+$C$20128,Assumptions!$E$57))+K20163*IF(OR(K20164=1,J20286=1),$C$20129,IF(Assumptions!$I$58=1,MAX(K20127,Assumptions!$G$58)+Assumptions!$F$58+$C$20128,Assumptions!$E$58))</f>
        <v>144.463861384154</v>
      </c>
    </row>
    <row r="20135" customFormat="false" ht="15" hidden="false" customHeight="false" outlineLevel="0" collapsed="false">
      <c r="A20135" s="3" t="s">
        <v>307</v>
      </c>
      <c r="G20135" s="20" t="n">
        <f aca="false">IF(G20111&lt;=0,0,IF(AND((G20132-G20133)/G20111&lt;=$C$20130,G20111/G20134&gt;=$C$20131),1,0))</f>
        <v>0</v>
      </c>
      <c r="H20135" s="20" t="n">
        <f aca="false">IF(H20111&lt;=0,0,IF(AND((H20132-H20133)/H20111&lt;=$C$20130,H20111/H20134&gt;=$C$20131),1,0))</f>
        <v>0</v>
      </c>
      <c r="I20135" s="20" t="n">
        <f aca="false">IF(I20111&lt;=0,0,IF(AND((I20132-I20133)/I20111&lt;=$C$20130,I20111/I20134&gt;=$C$20131),1,0))</f>
        <v>0</v>
      </c>
      <c r="J20135" s="20" t="n">
        <f aca="false">IF(J20111&lt;=0,0,IF(AND((J20132-J20133)/J20111&lt;=$C$20130,J20111/J20134&gt;=$C$20131),1,0))</f>
        <v>0</v>
      </c>
      <c r="K20135" s="20" t="n">
        <f aca="false">IF(K20111&lt;=0,0,IF(AND((K20132-K20133)/K20111&lt;=$C$20130,K20111/K20134&gt;=$C$20131),1,0))</f>
        <v>0</v>
      </c>
    </row>
    <row r="20136" customFormat="false" ht="15" hidden="false" customHeight="false" outlineLevel="0" collapsed="false">
      <c r="A20136" s="23" t="s">
        <v>308</v>
      </c>
      <c r="B20136" s="24"/>
      <c r="C20136" s="24"/>
      <c r="D20136" s="24"/>
      <c r="E20136" s="24"/>
      <c r="F20136" s="24"/>
      <c r="G20136" s="24"/>
      <c r="H20136" s="24"/>
      <c r="I20136" s="24"/>
      <c r="J20136" s="24"/>
      <c r="K20136" s="24"/>
    </row>
    <row r="20137" customFormat="false" ht="15" hidden="false" customHeight="false" outlineLevel="0" collapsed="false">
      <c r="A20137" s="3" t="s">
        <v>309</v>
      </c>
      <c r="G20137" s="25" t="n">
        <f aca="false">F20148</f>
        <v>1315.098</v>
      </c>
      <c r="H20137" s="25" t="n">
        <f aca="false">G20148</f>
        <v>1315.098</v>
      </c>
      <c r="I20137" s="25" t="n">
        <f aca="false">H20148</f>
        <v>1315.098</v>
      </c>
      <c r="J20137" s="25" t="n">
        <f aca="false">I20148</f>
        <v>1315.098</v>
      </c>
      <c r="K20137" s="25" t="n">
        <f aca="false">J20148</f>
        <v>1315.098</v>
      </c>
    </row>
    <row r="20138" customFormat="false" ht="15" hidden="false" customHeight="false" outlineLevel="0" collapsed="false">
      <c r="A20138" s="3" t="s">
        <v>310</v>
      </c>
      <c r="G20138" s="20" t="n">
        <f aca="false">IF(G20101=Assumptions!$K$56,1,0)</f>
        <v>0</v>
      </c>
      <c r="H20138" s="20" t="n">
        <f aca="false">IF(H20101=Assumptions!$K$56,1,0)</f>
        <v>0</v>
      </c>
      <c r="I20138" s="20" t="n">
        <f aca="false">IF(I20101=Assumptions!$K$56,1,0)</f>
        <v>0</v>
      </c>
      <c r="J20138" s="20" t="n">
        <f aca="false">IF(J20101=Assumptions!$K$56,1,0)</f>
        <v>0</v>
      </c>
      <c r="K20138" s="20" t="n">
        <f aca="false">IF(K20101=Assumptions!$K$56,1,0)</f>
        <v>0</v>
      </c>
    </row>
    <row r="20140" customFormat="false" ht="15" hidden="false" customHeight="false" outlineLevel="0" collapsed="false">
      <c r="A20140" s="3" t="s">
        <v>311</v>
      </c>
      <c r="G20140" s="31" t="n">
        <f aca="false">IF(Assumptions!$I$56=1,MAX(G20127,Assumptions!$G$56)+Assumptions!$F$56+$C$20128,Assumptions!$E$56)</f>
        <v>0.105</v>
      </c>
      <c r="H20140" s="31" t="n">
        <f aca="false">IF(G20284=1,$C$20129,IF(Assumptions!$I$56=1,MAX(H20127,Assumptions!$G$56)+Assumptions!$F$56+$C$20128,Assumptions!$E$56))</f>
        <v>0.105</v>
      </c>
      <c r="I20140" s="31" t="n">
        <f aca="false">IF(H20284=1,$C$20129,IF(Assumptions!$I$56=1,MAX(I20127,Assumptions!$G$56)+Assumptions!$F$56+$C$20128,Assumptions!$E$56))</f>
        <v>0.105</v>
      </c>
      <c r="J20140" s="31" t="n">
        <f aca="false">IF(I20284=1,$C$20129,IF(Assumptions!$I$56=1,MAX(J20127,Assumptions!$G$56)+Assumptions!$F$56+$C$20128,Assumptions!$E$56))</f>
        <v>0.105</v>
      </c>
      <c r="K20140" s="31" t="n">
        <f aca="false">IF(J20284=1,$C$20129,IF(Assumptions!$I$56=1,MAX(K20127,Assumptions!$G$56)+Assumptions!$F$56+$C$20128,Assumptions!$E$56))</f>
        <v>0.105</v>
      </c>
    </row>
    <row r="20141" customFormat="false" ht="15" hidden="false" customHeight="false" outlineLevel="0" collapsed="false">
      <c r="A20141" s="3" t="s">
        <v>312</v>
      </c>
      <c r="G20141" s="25" t="n">
        <f aca="false">G20137*G20140</f>
        <v>138.08529</v>
      </c>
      <c r="H20141" s="25" t="n">
        <f aca="false">H20137*H20140</f>
        <v>138.08529</v>
      </c>
      <c r="I20141" s="25" t="n">
        <f aca="false">I20137*I20140</f>
        <v>138.08529</v>
      </c>
      <c r="J20141" s="25" t="n">
        <f aca="false">J20137*J20140</f>
        <v>138.08529</v>
      </c>
      <c r="K20141" s="25" t="n">
        <f aca="false">K20137*K20140</f>
        <v>138.08529</v>
      </c>
    </row>
    <row r="20142" customFormat="false" ht="15" hidden="false" customHeight="false" outlineLevel="0" collapsed="false">
      <c r="A20142" s="3" t="s">
        <v>313</v>
      </c>
      <c r="G20142" s="25" t="n">
        <f aca="false">G20137*Assumptions!$H$56</f>
        <v>0</v>
      </c>
      <c r="H20142" s="25" t="n">
        <f aca="false">H20137*Assumptions!$H$56</f>
        <v>0</v>
      </c>
      <c r="I20142" s="25" t="n">
        <f aca="false">I20137*Assumptions!$H$56</f>
        <v>0</v>
      </c>
      <c r="J20142" s="25" t="n">
        <f aca="false">J20137*Assumptions!$H$56</f>
        <v>0</v>
      </c>
      <c r="K20142" s="25" t="n">
        <f aca="false">K20137*Assumptions!$H$56</f>
        <v>0</v>
      </c>
    </row>
    <row r="20143" customFormat="false" ht="15" hidden="false" customHeight="false" outlineLevel="0" collapsed="false">
      <c r="A20143" s="3" t="s">
        <v>314</v>
      </c>
      <c r="G20143" s="25" t="n">
        <f aca="false">MIN(G20137,Assumptions!$L$56*Assumptions!$C$56)</f>
        <v>0</v>
      </c>
      <c r="H20143" s="25" t="n">
        <f aca="false">MIN(H20137,Assumptions!$L$56*Assumptions!$C$56)</f>
        <v>0</v>
      </c>
      <c r="I20143" s="25" t="n">
        <f aca="false">MIN(I20137,Assumptions!$L$56*Assumptions!$C$56)</f>
        <v>0</v>
      </c>
      <c r="J20143" s="25" t="n">
        <f aca="false">MIN(J20137,Assumptions!$L$56*Assumptions!$C$56)</f>
        <v>0</v>
      </c>
      <c r="K20143" s="25" t="n">
        <f aca="false">MIN(K20137,Assumptions!$L$56*Assumptions!$C$56)</f>
        <v>0</v>
      </c>
    </row>
    <row r="20144" customFormat="false" ht="15" hidden="false" customHeight="false" outlineLevel="0" collapsed="false">
      <c r="A20144" s="3" t="s">
        <v>315</v>
      </c>
      <c r="G20144" s="25" t="n">
        <f aca="false">IF(AND(Assumptions!$P$56=1,G20101&lt;Assumptions!$K$56),MIN(MAX(0,-G20198),MAX(0,Assumptions!$D$56-G20137)),0)</f>
        <v>0</v>
      </c>
      <c r="H20144" s="25" t="n">
        <f aca="false">IF(AND(Assumptions!$P$56=1,OR(H20101&lt;Assumptions!$K$56,G20284=1)),MIN(MAX(0,-H20198),MAX(0,Assumptions!$D$56-H20137)),0)</f>
        <v>0</v>
      </c>
      <c r="I20144" s="25" t="n">
        <f aca="false">IF(AND(Assumptions!$P$56=1,OR(I20101&lt;Assumptions!$K$56,H20284=1)),MIN(MAX(0,-I20198),MAX(0,Assumptions!$D$56-I20137)),0)</f>
        <v>0</v>
      </c>
      <c r="J20144" s="25" t="n">
        <f aca="false">IF(AND(Assumptions!$P$56=1,OR(J20101&lt;Assumptions!$K$56,I20284=1)),MIN(MAX(0,-J20198),MAX(0,Assumptions!$D$56-J20137)),0)</f>
        <v>0</v>
      </c>
      <c r="K20144" s="25" t="n">
        <f aca="false">IF(AND(Assumptions!$P$56=1,OR(K20101&lt;Assumptions!$K$56,J20284=1)),MIN(MAX(0,-K20198),MAX(0,Assumptions!$D$56-K20137)),0)</f>
        <v>0</v>
      </c>
    </row>
    <row r="20145" customFormat="false" ht="15" hidden="false" customHeight="false" outlineLevel="0" collapsed="false">
      <c r="A20145" s="3" t="s">
        <v>316</v>
      </c>
      <c r="G20145" s="25" t="n">
        <f aca="false">G20138*MIN(G20137-G20143+G20142,MAX(0,G20200-Assumptions!$C$12*G20135))</f>
        <v>0</v>
      </c>
      <c r="H20145" s="25" t="n">
        <f aca="false">H20138*MIN(H20137-H20143+H20142,MAX(0,H20200-Assumptions!$C$12*H20135))</f>
        <v>0</v>
      </c>
      <c r="I20145" s="25" t="n">
        <f aca="false">I20138*MIN(I20137-I20143+I20142,MAX(0,I20200-Assumptions!$C$12*I20135))</f>
        <v>0</v>
      </c>
      <c r="J20145" s="25" t="n">
        <f aca="false">J20138*MIN(J20137-J20143+J20142,MAX(0,J20200-Assumptions!$C$12*J20135))</f>
        <v>0</v>
      </c>
      <c r="K20145" s="25" t="n">
        <f aca="false">K20138*MIN(K20137-K20143+K20142,MAX(0,K20200-Assumptions!$C$12*K20135))</f>
        <v>0</v>
      </c>
    </row>
    <row r="20146" customFormat="false" ht="15" hidden="false" customHeight="false" outlineLevel="0" collapsed="false">
      <c r="A20146" s="3" t="s">
        <v>317</v>
      </c>
      <c r="G20146" s="25" t="n">
        <f aca="false">Assumptions!$N$56*MIN(G20137+G20144+G20142-G20143-G20145,MAX(0,G20204))</f>
        <v>0</v>
      </c>
      <c r="H20146" s="25" t="n">
        <f aca="false">Assumptions!$N$56*MIN(H20137+H20144+H20142-H20143-H20145,MAX(0,H20204))</f>
        <v>0</v>
      </c>
      <c r="I20146" s="25" t="n">
        <f aca="false">Assumptions!$N$56*MIN(I20137+I20144+I20142-I20143-I20145,MAX(0,I20204))</f>
        <v>0</v>
      </c>
      <c r="J20146" s="25" t="n">
        <f aca="false">Assumptions!$N$56*MIN(J20137+J20144+J20142-J20143-J20145,MAX(0,J20204))</f>
        <v>0</v>
      </c>
      <c r="K20146" s="25" t="n">
        <f aca="false">Assumptions!$N$56*MIN(K20137+K20144+K20142-K20143-K20145,MAX(0,K20204))</f>
        <v>0</v>
      </c>
    </row>
    <row r="20147" customFormat="false" ht="15" hidden="false" customHeight="false" outlineLevel="0" collapsed="false">
      <c r="A20147" s="3" t="s">
        <v>318</v>
      </c>
      <c r="G20147" s="25" t="n">
        <f aca="false">G20138*(1-G20135)*(G20137-G20143+G20142-G20145)</f>
        <v>0</v>
      </c>
      <c r="H20147" s="25" t="n">
        <f aca="false">H20138*(1-H20135)*(H20137-H20143+H20142-H20145)</f>
        <v>0</v>
      </c>
      <c r="I20147" s="25" t="n">
        <f aca="false">I20138*(1-I20135)*(I20137-I20143+I20142-I20145)</f>
        <v>0</v>
      </c>
      <c r="J20147" s="25" t="n">
        <f aca="false">J20138*(1-J20135)*(J20137-J20143+J20142-J20145)</f>
        <v>0</v>
      </c>
      <c r="K20147" s="25" t="n">
        <f aca="false">K20138*(1-K20135)*(K20137-K20143+K20142-K20145)</f>
        <v>0</v>
      </c>
    </row>
    <row r="20148" customFormat="false" ht="15" hidden="false" customHeight="false" outlineLevel="0" collapsed="false">
      <c r="A20148" s="2" t="s">
        <v>319</v>
      </c>
      <c r="F20148" s="28" t="n">
        <f aca="false">Assumptions!$C$56</f>
        <v>1315.098</v>
      </c>
      <c r="G20148" s="16" t="n">
        <f aca="false">G20137+G20144+G20142-G20143-G20145-G20146</f>
        <v>1315.098</v>
      </c>
      <c r="H20148" s="16" t="n">
        <f aca="false">H20137+H20144+H20142-H20143-H20145-H20146</f>
        <v>1315.098</v>
      </c>
      <c r="I20148" s="16" t="n">
        <f aca="false">I20137+I20144+I20142-I20143-I20145-I20146</f>
        <v>1315.098</v>
      </c>
      <c r="J20148" s="16" t="n">
        <f aca="false">J20137+J20144+J20142-J20143-J20145-J20146</f>
        <v>1315.098</v>
      </c>
      <c r="K20148" s="16" t="n">
        <f aca="false">K20137+K20144+K20142-K20143-K20145-K20146</f>
        <v>1315.098</v>
      </c>
    </row>
    <row r="20149" customFormat="false" ht="15" hidden="false" customHeight="false" outlineLevel="0" collapsed="false">
      <c r="A20149" s="23" t="s">
        <v>320</v>
      </c>
      <c r="B20149" s="24"/>
      <c r="C20149" s="24"/>
      <c r="D20149" s="24"/>
      <c r="E20149" s="24"/>
      <c r="F20149" s="24"/>
      <c r="G20149" s="24"/>
      <c r="H20149" s="24"/>
      <c r="I20149" s="24"/>
      <c r="J20149" s="24"/>
      <c r="K20149" s="24"/>
    </row>
    <row r="20150" customFormat="false" ht="15" hidden="false" customHeight="false" outlineLevel="0" collapsed="false">
      <c r="A20150" s="3" t="s">
        <v>309</v>
      </c>
      <c r="G20150" s="25" t="n">
        <f aca="false">F20161</f>
        <v>276.706</v>
      </c>
      <c r="H20150" s="25" t="n">
        <f aca="false">G20161</f>
        <v>276.706</v>
      </c>
      <c r="I20150" s="25" t="n">
        <f aca="false">H20161</f>
        <v>276.706</v>
      </c>
      <c r="J20150" s="25" t="n">
        <f aca="false">I20161</f>
        <v>6.33403256832008</v>
      </c>
      <c r="K20150" s="25" t="n">
        <f aca="false">J20161</f>
        <v>6.33403256832008</v>
      </c>
    </row>
    <row r="20151" customFormat="false" ht="15" hidden="false" customHeight="false" outlineLevel="0" collapsed="false">
      <c r="A20151" s="3" t="s">
        <v>310</v>
      </c>
      <c r="G20151" s="20" t="n">
        <f aca="false">IF(G20101=Assumptions!$K$57,1,0)</f>
        <v>0</v>
      </c>
      <c r="H20151" s="20" t="n">
        <f aca="false">IF(H20101=Assumptions!$K$57,1,0)</f>
        <v>0</v>
      </c>
      <c r="I20151" s="20" t="n">
        <f aca="false">IF(I20101=Assumptions!$K$57,1,0)</f>
        <v>1</v>
      </c>
      <c r="J20151" s="20" t="n">
        <f aca="false">IF(J20101=Assumptions!$K$57,1,0)</f>
        <v>0</v>
      </c>
      <c r="K20151" s="20" t="n">
        <f aca="false">IF(K20101=Assumptions!$K$57,1,0)</f>
        <v>0</v>
      </c>
    </row>
    <row r="20153" customFormat="false" ht="15" hidden="false" customHeight="false" outlineLevel="0" collapsed="false">
      <c r="A20153" s="3" t="s">
        <v>311</v>
      </c>
      <c r="G20153" s="31" t="n">
        <f aca="false">IF(Assumptions!$I$57=1,MAX(G20127,Assumptions!$G$57)+Assumptions!$F$57+$C$20128,Assumptions!$E$57)</f>
        <v>0.0425</v>
      </c>
      <c r="H20153" s="31" t="n">
        <f aca="false">IF(G20285=1,$C$20129,IF(Assumptions!$I$57=1,MAX(H20127,Assumptions!$G$57)+Assumptions!$F$57+$C$20128,Assumptions!$E$57))</f>
        <v>0.0425</v>
      </c>
      <c r="I20153" s="31" t="n">
        <f aca="false">IF(H20285=1,$C$20129,IF(Assumptions!$I$57=1,MAX(I20127,Assumptions!$G$57)+Assumptions!$F$57+$C$20128,Assumptions!$E$57))</f>
        <v>0.0425</v>
      </c>
      <c r="J20153" s="31" t="n">
        <f aca="false">IF(I20285=1,$C$20129,IF(Assumptions!$I$57=1,MAX(J20127,Assumptions!$G$57)+Assumptions!$F$57+$C$20128,Assumptions!$E$57))</f>
        <v>0.0425</v>
      </c>
      <c r="K20153" s="31" t="n">
        <f aca="false">IF(J20285=1,$C$20129,IF(Assumptions!$I$57=1,MAX(K20127,Assumptions!$G$57)+Assumptions!$F$57+$C$20128,Assumptions!$E$57))</f>
        <v>0.0425</v>
      </c>
    </row>
    <row r="20154" customFormat="false" ht="15" hidden="false" customHeight="false" outlineLevel="0" collapsed="false">
      <c r="A20154" s="3" t="s">
        <v>312</v>
      </c>
      <c r="G20154" s="25" t="n">
        <f aca="false">G20150*G20153</f>
        <v>11.760005</v>
      </c>
      <c r="H20154" s="25" t="n">
        <f aca="false">H20150*H20153</f>
        <v>11.760005</v>
      </c>
      <c r="I20154" s="25" t="n">
        <f aca="false">I20150*I20153</f>
        <v>11.760005</v>
      </c>
      <c r="J20154" s="25" t="n">
        <f aca="false">J20150*J20153</f>
        <v>0.269196384153604</v>
      </c>
      <c r="K20154" s="25" t="n">
        <f aca="false">K20150*K20153</f>
        <v>0.269196384153604</v>
      </c>
    </row>
    <row r="20155" customFormat="false" ht="15" hidden="false" customHeight="false" outlineLevel="0" collapsed="false">
      <c r="A20155" s="3" t="s">
        <v>313</v>
      </c>
      <c r="G20155" s="25" t="n">
        <f aca="false">G20150*Assumptions!$H$57</f>
        <v>0</v>
      </c>
      <c r="H20155" s="25" t="n">
        <f aca="false">H20150*Assumptions!$H$57</f>
        <v>0</v>
      </c>
      <c r="I20155" s="25" t="n">
        <f aca="false">I20150*Assumptions!$H$57</f>
        <v>0</v>
      </c>
      <c r="J20155" s="25" t="n">
        <f aca="false">J20150*Assumptions!$H$57</f>
        <v>0</v>
      </c>
      <c r="K20155" s="25" t="n">
        <f aca="false">K20150*Assumptions!$H$57</f>
        <v>0</v>
      </c>
    </row>
    <row r="20156" customFormat="false" ht="15" hidden="false" customHeight="false" outlineLevel="0" collapsed="false">
      <c r="A20156" s="3" t="s">
        <v>314</v>
      </c>
      <c r="G20156" s="25" t="n">
        <f aca="false">MIN(G20150,Assumptions!$L$57*Assumptions!$C$57)</f>
        <v>0</v>
      </c>
      <c r="H20156" s="25" t="n">
        <f aca="false">MIN(H20150,Assumptions!$L$57*Assumptions!$C$57)</f>
        <v>0</v>
      </c>
      <c r="I20156" s="25" t="n">
        <f aca="false">MIN(I20150,Assumptions!$L$57*Assumptions!$C$57)</f>
        <v>0</v>
      </c>
      <c r="J20156" s="25" t="n">
        <f aca="false">MIN(J20150,Assumptions!$L$57*Assumptions!$C$57)</f>
        <v>0</v>
      </c>
      <c r="K20156" s="25" t="n">
        <f aca="false">MIN(K20150,Assumptions!$L$57*Assumptions!$C$57)</f>
        <v>0</v>
      </c>
    </row>
    <row r="20157" customFormat="false" ht="15" hidden="false" customHeight="false" outlineLevel="0" collapsed="false">
      <c r="A20157" s="3" t="s">
        <v>315</v>
      </c>
      <c r="G20157" s="25" t="n">
        <f aca="false">IF(AND(Assumptions!$P$57=1,G20101&lt;Assumptions!$K$57),MIN(MAX(0,-G20198),MAX(0,Assumptions!$D$57-G20150)),0)</f>
        <v>0</v>
      </c>
      <c r="H20157" s="25" t="n">
        <f aca="false">IF(AND(Assumptions!$P$57=1,OR(H20101&lt;Assumptions!$K$57,G20285=1)),MIN(MAX(0,-H20198),MAX(0,Assumptions!$D$57-H20150)),0)</f>
        <v>0</v>
      </c>
      <c r="I20157" s="25" t="n">
        <f aca="false">IF(AND(Assumptions!$P$57=1,OR(I20101&lt;Assumptions!$K$57,H20285=1)),MIN(MAX(0,-I20198),MAX(0,Assumptions!$D$57-I20150)),0)</f>
        <v>0</v>
      </c>
      <c r="J20157" s="25" t="n">
        <f aca="false">IF(AND(Assumptions!$P$57=1,OR(J20101&lt;Assumptions!$K$57,I20285=1)),MIN(MAX(0,-J20198),MAX(0,Assumptions!$D$57-J20150)),0)</f>
        <v>0</v>
      </c>
      <c r="K20157" s="25" t="n">
        <f aca="false">IF(AND(Assumptions!$P$57=1,OR(K20101&lt;Assumptions!$K$57,J20285=1)),MIN(MAX(0,-K20198),MAX(0,Assumptions!$D$57-K20150)),0)</f>
        <v>0</v>
      </c>
    </row>
    <row r="20158" customFormat="false" ht="15" hidden="false" customHeight="false" outlineLevel="0" collapsed="false">
      <c r="A20158" s="3" t="s">
        <v>316</v>
      </c>
      <c r="G20158" s="25" t="n">
        <f aca="false">G20151*MIN(G20150-G20156+G20155,MAX(0,G20200-Assumptions!$C$12*G20135-G20145))</f>
        <v>0</v>
      </c>
      <c r="H20158" s="25" t="n">
        <f aca="false">H20151*MIN(H20150-H20156+H20155,MAX(0,H20200-Assumptions!$C$12*H20135-H20145))</f>
        <v>0</v>
      </c>
      <c r="I20158" s="25" t="n">
        <f aca="false">I20151*MIN(I20150-I20156+I20155,MAX(0,I20200-Assumptions!$C$12*I20135-I20145))</f>
        <v>270.37196743168</v>
      </c>
      <c r="J20158" s="25" t="n">
        <f aca="false">J20151*MIN(J20150-J20156+J20155,MAX(0,J20200-Assumptions!$C$12*J20135-J20145))</f>
        <v>0</v>
      </c>
      <c r="K20158" s="25" t="n">
        <f aca="false">K20151*MIN(K20150-K20156+K20155,MAX(0,K20200-Assumptions!$C$12*K20135-K20145))</f>
        <v>0</v>
      </c>
    </row>
    <row r="20159" customFormat="false" ht="15" hidden="false" customHeight="false" outlineLevel="0" collapsed="false">
      <c r="A20159" s="3" t="s">
        <v>317</v>
      </c>
      <c r="G20159" s="25" t="n">
        <f aca="false">Assumptions!$N$57*MIN(G20150+G20157+G20155-G20156-G20158,MAX(0,G20204-G20146))</f>
        <v>0</v>
      </c>
      <c r="H20159" s="25" t="n">
        <f aca="false">Assumptions!$N$57*MIN(H20150+H20157+H20155-H20156-H20158,MAX(0,H20204-H20146))</f>
        <v>0</v>
      </c>
      <c r="I20159" s="25" t="n">
        <f aca="false">Assumptions!$N$57*MIN(I20150+I20157+I20155-I20156-I20158,MAX(0,I20204-I20146))</f>
        <v>0</v>
      </c>
      <c r="J20159" s="25" t="n">
        <f aca="false">Assumptions!$N$57*MIN(J20150+J20157+J20155-J20156-J20158,MAX(0,J20204-J20146))</f>
        <v>0</v>
      </c>
      <c r="K20159" s="25" t="n">
        <f aca="false">Assumptions!$N$57*MIN(K20150+K20157+K20155-K20156-K20158,MAX(0,K20204-K20146))</f>
        <v>0</v>
      </c>
    </row>
    <row r="20160" customFormat="false" ht="15" hidden="false" customHeight="false" outlineLevel="0" collapsed="false">
      <c r="A20160" s="3" t="s">
        <v>318</v>
      </c>
      <c r="G20160" s="25" t="n">
        <f aca="false">G20151*(1-G20135)*(G20150-G20156+G20155-G20158)</f>
        <v>0</v>
      </c>
      <c r="H20160" s="25" t="n">
        <f aca="false">H20151*(1-H20135)*(H20150-H20156+H20155-H20158)</f>
        <v>0</v>
      </c>
      <c r="I20160" s="25" t="n">
        <f aca="false">I20151*(1-I20135)*(I20150-I20156+I20155-I20158)</f>
        <v>6.33403256832008</v>
      </c>
      <c r="J20160" s="25" t="n">
        <f aca="false">J20151*(1-J20135)*(J20150-J20156+J20155-J20158)</f>
        <v>0</v>
      </c>
      <c r="K20160" s="25" t="n">
        <f aca="false">K20151*(1-K20135)*(K20150-K20156+K20155-K20158)</f>
        <v>0</v>
      </c>
    </row>
    <row r="20161" customFormat="false" ht="15" hidden="false" customHeight="false" outlineLevel="0" collapsed="false">
      <c r="A20161" s="2" t="s">
        <v>319</v>
      </c>
      <c r="F20161" s="28" t="n">
        <f aca="false">Assumptions!$C$57</f>
        <v>276.706</v>
      </c>
      <c r="G20161" s="16" t="n">
        <f aca="false">G20150+G20157+G20155-G20156-G20158-G20159</f>
        <v>276.706</v>
      </c>
      <c r="H20161" s="16" t="n">
        <f aca="false">H20150+H20157+H20155-H20156-H20158-H20159</f>
        <v>276.706</v>
      </c>
      <c r="I20161" s="16" t="n">
        <f aca="false">I20150+I20157+I20155-I20156-I20158-I20159</f>
        <v>6.33403256832008</v>
      </c>
      <c r="J20161" s="16" t="n">
        <f aca="false">J20150+J20157+J20155-J20156-J20158-J20159</f>
        <v>6.33403256832008</v>
      </c>
      <c r="K20161" s="16" t="n">
        <f aca="false">K20150+K20157+K20155-K20156-K20158-K20159</f>
        <v>6.33403256832008</v>
      </c>
    </row>
    <row r="20162" customFormat="false" ht="15" hidden="false" customHeight="false" outlineLevel="0" collapsed="false">
      <c r="A20162" s="23" t="s">
        <v>321</v>
      </c>
      <c r="B20162" s="24"/>
      <c r="C20162" s="24"/>
      <c r="D20162" s="24"/>
      <c r="E20162" s="24"/>
      <c r="F20162" s="24"/>
      <c r="G20162" s="24"/>
      <c r="H20162" s="24"/>
      <c r="I20162" s="24"/>
      <c r="J20162" s="24"/>
      <c r="K20162" s="24"/>
    </row>
    <row r="20163" customFormat="false" ht="15" hidden="false" customHeight="false" outlineLevel="0" collapsed="false">
      <c r="A20163" s="3" t="s">
        <v>309</v>
      </c>
      <c r="G20163" s="25" t="n">
        <f aca="false">F20174</f>
        <v>143.75</v>
      </c>
      <c r="H20163" s="25" t="n">
        <f aca="false">G20174</f>
        <v>143.75</v>
      </c>
      <c r="I20163" s="25" t="n">
        <f aca="false">H20174</f>
        <v>143.75</v>
      </c>
      <c r="J20163" s="25" t="n">
        <f aca="false">I20174</f>
        <v>143.75</v>
      </c>
      <c r="K20163" s="25" t="n">
        <f aca="false">J20174</f>
        <v>143.75</v>
      </c>
    </row>
    <row r="20164" customFormat="false" ht="15" hidden="false" customHeight="false" outlineLevel="0" collapsed="false">
      <c r="A20164" s="3" t="s">
        <v>310</v>
      </c>
      <c r="G20164" s="20" t="n">
        <f aca="false">IF(G20101=Assumptions!$K$58,1,0)</f>
        <v>0</v>
      </c>
      <c r="H20164" s="20" t="n">
        <f aca="false">IF(H20101=Assumptions!$K$58,1,0)</f>
        <v>0</v>
      </c>
      <c r="I20164" s="20" t="n">
        <f aca="false">IF(I20101=Assumptions!$K$58,1,0)</f>
        <v>1</v>
      </c>
      <c r="J20164" s="20" t="n">
        <f aca="false">IF(J20101=Assumptions!$K$58,1,0)</f>
        <v>0</v>
      </c>
      <c r="K20164" s="20" t="n">
        <f aca="false">IF(K20101=Assumptions!$K$58,1,0)</f>
        <v>0</v>
      </c>
    </row>
    <row r="20166" customFormat="false" ht="15" hidden="false" customHeight="false" outlineLevel="0" collapsed="false">
      <c r="A20166" s="3" t="s">
        <v>311</v>
      </c>
      <c r="G20166" s="31" t="n">
        <f aca="false">IF(Assumptions!$I$58=1,MAX(G20127,Assumptions!$G$58)+Assumptions!$F$58+$C$20128,Assumptions!$E$58)</f>
        <v>0.0425</v>
      </c>
      <c r="H20166" s="31" t="n">
        <f aca="false">IF(G20286=1,$C$20129,IF(Assumptions!$I$58=1,MAX(H20127,Assumptions!$G$58)+Assumptions!$F$58+$C$20128,Assumptions!$E$58))</f>
        <v>0.0425</v>
      </c>
      <c r="I20166" s="31" t="n">
        <f aca="false">IF(H20286=1,$C$20129,IF(Assumptions!$I$58=1,MAX(I20127,Assumptions!$G$58)+Assumptions!$F$58+$C$20128,Assumptions!$E$58))</f>
        <v>0.0425</v>
      </c>
      <c r="J20166" s="31" t="n">
        <f aca="false">IF(I20286=1,$C$20129,IF(Assumptions!$I$58=1,MAX(J20127,Assumptions!$G$58)+Assumptions!$F$58+$C$20128,Assumptions!$E$58))</f>
        <v>0.0425</v>
      </c>
      <c r="K20166" s="31" t="n">
        <f aca="false">IF(J20286=1,$C$20129,IF(Assumptions!$I$58=1,MAX(K20127,Assumptions!$G$58)+Assumptions!$F$58+$C$20128,Assumptions!$E$58))</f>
        <v>0.0425</v>
      </c>
    </row>
    <row r="20167" customFormat="false" ht="15" hidden="false" customHeight="false" outlineLevel="0" collapsed="false">
      <c r="A20167" s="3" t="s">
        <v>312</v>
      </c>
      <c r="G20167" s="25" t="n">
        <f aca="false">G20163*G20166</f>
        <v>6.109375</v>
      </c>
      <c r="H20167" s="25" t="n">
        <f aca="false">H20163*H20166</f>
        <v>6.109375</v>
      </c>
      <c r="I20167" s="25" t="n">
        <f aca="false">I20163*I20166</f>
        <v>6.109375</v>
      </c>
      <c r="J20167" s="25" t="n">
        <f aca="false">J20163*J20166</f>
        <v>6.109375</v>
      </c>
      <c r="K20167" s="25" t="n">
        <f aca="false">K20163*K20166</f>
        <v>6.109375</v>
      </c>
    </row>
    <row r="20168" customFormat="false" ht="15" hidden="false" customHeight="false" outlineLevel="0" collapsed="false">
      <c r="A20168" s="3" t="s">
        <v>313</v>
      </c>
      <c r="G20168" s="25" t="n">
        <f aca="false">G20163*Assumptions!$H$58</f>
        <v>0</v>
      </c>
      <c r="H20168" s="25" t="n">
        <f aca="false">H20163*Assumptions!$H$58</f>
        <v>0</v>
      </c>
      <c r="I20168" s="25" t="n">
        <f aca="false">I20163*Assumptions!$H$58</f>
        <v>0</v>
      </c>
      <c r="J20168" s="25" t="n">
        <f aca="false">J20163*Assumptions!$H$58</f>
        <v>0</v>
      </c>
      <c r="K20168" s="25" t="n">
        <f aca="false">K20163*Assumptions!$H$58</f>
        <v>0</v>
      </c>
    </row>
    <row r="20169" customFormat="false" ht="15" hidden="false" customHeight="false" outlineLevel="0" collapsed="false">
      <c r="A20169" s="3" t="s">
        <v>314</v>
      </c>
      <c r="G20169" s="25" t="n">
        <f aca="false">MIN(G20163,Assumptions!$L$58*Assumptions!$C$58)</f>
        <v>0</v>
      </c>
      <c r="H20169" s="25" t="n">
        <f aca="false">MIN(H20163,Assumptions!$L$58*Assumptions!$C$58)</f>
        <v>0</v>
      </c>
      <c r="I20169" s="25" t="n">
        <f aca="false">MIN(I20163,Assumptions!$L$58*Assumptions!$C$58)</f>
        <v>0</v>
      </c>
      <c r="J20169" s="25" t="n">
        <f aca="false">MIN(J20163,Assumptions!$L$58*Assumptions!$C$58)</f>
        <v>0</v>
      </c>
      <c r="K20169" s="25" t="n">
        <f aca="false">MIN(K20163,Assumptions!$L$58*Assumptions!$C$58)</f>
        <v>0</v>
      </c>
    </row>
    <row r="20170" customFormat="false" ht="15" hidden="false" customHeight="false" outlineLevel="0" collapsed="false">
      <c r="A20170" s="3" t="s">
        <v>315</v>
      </c>
      <c r="G20170" s="25" t="n">
        <f aca="false">IF(AND(Assumptions!$P$58=1,G20101&lt;Assumptions!$K$58),MIN(MAX(0,-G20198),MAX(0,Assumptions!$D$58-G20163)),0)</f>
        <v>0</v>
      </c>
      <c r="H20170" s="25" t="n">
        <f aca="false">IF(AND(Assumptions!$P$58=1,OR(H20101&lt;Assumptions!$K$58,G20286=1)),MIN(MAX(0,-H20198),MAX(0,Assumptions!$D$58-H20163)),0)</f>
        <v>0</v>
      </c>
      <c r="I20170" s="25" t="n">
        <f aca="false">IF(AND(Assumptions!$P$58=1,OR(I20101&lt;Assumptions!$K$58,H20286=1)),MIN(MAX(0,-I20198),MAX(0,Assumptions!$D$58-I20163)),0)</f>
        <v>0</v>
      </c>
      <c r="J20170" s="25" t="n">
        <f aca="false">IF(AND(Assumptions!$P$58=1,OR(J20101&lt;Assumptions!$K$58,I20286=1)),MIN(MAX(0,-J20198),MAX(0,Assumptions!$D$58-J20163)),0)</f>
        <v>0</v>
      </c>
      <c r="K20170" s="25" t="n">
        <f aca="false">IF(AND(Assumptions!$P$58=1,OR(K20101&lt;Assumptions!$K$58,J20286=1)),MIN(MAX(0,-K20198),MAX(0,Assumptions!$D$58-K20163)),0)</f>
        <v>0</v>
      </c>
    </row>
    <row r="20171" customFormat="false" ht="15" hidden="false" customHeight="false" outlineLevel="0" collapsed="false">
      <c r="A20171" s="3" t="s">
        <v>316</v>
      </c>
      <c r="G20171" s="25" t="n">
        <f aca="false">G20164*MIN(G20163-G20169+G20168,MAX(0,G20200-Assumptions!$C$12*G20135-G20145-G20158))</f>
        <v>0</v>
      </c>
      <c r="H20171" s="25" t="n">
        <f aca="false">H20164*MIN(H20163-H20169+H20168,MAX(0,H20200-Assumptions!$C$12*H20135-H20145-H20158))</f>
        <v>0</v>
      </c>
      <c r="I20171" s="25" t="n">
        <f aca="false">I20164*MIN(I20163-I20169+I20168,MAX(0,I20200-Assumptions!$C$12*I20135-I20145-I20158))</f>
        <v>0</v>
      </c>
      <c r="J20171" s="25" t="n">
        <f aca="false">J20164*MIN(J20163-J20169+J20168,MAX(0,J20200-Assumptions!$C$12*J20135-J20145-J20158))</f>
        <v>0</v>
      </c>
      <c r="K20171" s="25" t="n">
        <f aca="false">K20164*MIN(K20163-K20169+K20168,MAX(0,K20200-Assumptions!$C$12*K20135-K20145-K20158))</f>
        <v>0</v>
      </c>
    </row>
    <row r="20172" customFormat="false" ht="15" hidden="false" customHeight="false" outlineLevel="0" collapsed="false">
      <c r="A20172" s="3" t="s">
        <v>317</v>
      </c>
      <c r="G20172" s="25" t="n">
        <f aca="false">Assumptions!$N$58*MIN(G20163+G20170+G20168-G20169-G20171,MAX(0,G20204-G20146-G20159))</f>
        <v>0</v>
      </c>
      <c r="H20172" s="25" t="n">
        <f aca="false">Assumptions!$N$58*MIN(H20163+H20170+H20168-H20169-H20171,MAX(0,H20204-H20146-H20159))</f>
        <v>0</v>
      </c>
      <c r="I20172" s="25" t="n">
        <f aca="false">Assumptions!$N$58*MIN(I20163+I20170+I20168-I20169-I20171,MAX(0,I20204-I20146-I20159))</f>
        <v>0</v>
      </c>
      <c r="J20172" s="25" t="n">
        <f aca="false">Assumptions!$N$58*MIN(J20163+J20170+J20168-J20169-J20171,MAX(0,J20204-J20146-J20159))</f>
        <v>0</v>
      </c>
      <c r="K20172" s="25" t="n">
        <f aca="false">Assumptions!$N$58*MIN(K20163+K20170+K20168-K20169-K20171,MAX(0,K20204-K20146-K20159))</f>
        <v>0</v>
      </c>
    </row>
    <row r="20173" customFormat="false" ht="15" hidden="false" customHeight="false" outlineLevel="0" collapsed="false">
      <c r="A20173" s="3" t="s">
        <v>318</v>
      </c>
      <c r="G20173" s="25" t="n">
        <f aca="false">G20164*(1-G20135)*(G20163-G20169+G20168-G20171)</f>
        <v>0</v>
      </c>
      <c r="H20173" s="25" t="n">
        <f aca="false">H20164*(1-H20135)*(H20163-H20169+H20168-H20171)</f>
        <v>0</v>
      </c>
      <c r="I20173" s="25" t="n">
        <f aca="false">I20164*(1-I20135)*(I20163-I20169+I20168-I20171)</f>
        <v>143.75</v>
      </c>
      <c r="J20173" s="25" t="n">
        <f aca="false">J20164*(1-J20135)*(J20163-J20169+J20168-J20171)</f>
        <v>0</v>
      </c>
      <c r="K20173" s="25" t="n">
        <f aca="false">K20164*(1-K20135)*(K20163-K20169+K20168-K20171)</f>
        <v>0</v>
      </c>
    </row>
    <row r="20174" customFormat="false" ht="15" hidden="false" customHeight="false" outlineLevel="0" collapsed="false">
      <c r="A20174" s="2" t="s">
        <v>319</v>
      </c>
      <c r="F20174" s="28" t="n">
        <f aca="false">Assumptions!$C$58</f>
        <v>143.75</v>
      </c>
      <c r="G20174" s="16" t="n">
        <f aca="false">G20163+G20170+G20168-G20169-G20171-G20172</f>
        <v>143.75</v>
      </c>
      <c r="H20174" s="16" t="n">
        <f aca="false">H20163+H20170+H20168-H20169-H20171-H20172</f>
        <v>143.75</v>
      </c>
      <c r="I20174" s="16" t="n">
        <f aca="false">I20163+I20170+I20168-I20169-I20171-I20172</f>
        <v>143.75</v>
      </c>
      <c r="J20174" s="16" t="n">
        <f aca="false">J20163+J20170+J20168-J20169-J20171-J20172</f>
        <v>143.75</v>
      </c>
      <c r="K20174" s="16" t="n">
        <f aca="false">K20163+K20170+K20168-K20169-K20171-K20172</f>
        <v>143.75</v>
      </c>
    </row>
    <row r="20175" customFormat="false" ht="15" hidden="false" customHeight="false" outlineLevel="0" collapsed="false">
      <c r="A20175" s="23" t="s">
        <v>322</v>
      </c>
      <c r="B20175" s="24"/>
      <c r="C20175" s="24"/>
      <c r="D20175" s="24"/>
      <c r="E20175" s="24"/>
      <c r="F20175" s="24"/>
      <c r="G20175" s="24"/>
      <c r="H20175" s="24"/>
      <c r="I20175" s="24"/>
      <c r="J20175" s="24"/>
      <c r="K20175" s="24"/>
    </row>
    <row r="20176" customFormat="false" ht="15" hidden="false" customHeight="false" outlineLevel="0" collapsed="false">
      <c r="A20176" s="2" t="s">
        <v>323</v>
      </c>
      <c r="F20176" s="16" t="n">
        <f aca="false">F20148+F20161+F20174</f>
        <v>1735.554</v>
      </c>
      <c r="G20176" s="16" t="n">
        <f aca="false">G20148+G20161+G20174</f>
        <v>1735.554</v>
      </c>
      <c r="H20176" s="16" t="n">
        <f aca="false">H20148+H20161+H20174</f>
        <v>1735.554</v>
      </c>
      <c r="I20176" s="16" t="n">
        <f aca="false">I20148+I20161+I20174</f>
        <v>1465.18203256832</v>
      </c>
      <c r="J20176" s="16" t="n">
        <f aca="false">J20148+J20161+J20174</f>
        <v>1465.18203256832</v>
      </c>
      <c r="K20176" s="16" t="n">
        <f aca="false">K20148+K20161+K20174</f>
        <v>1465.18203256832</v>
      </c>
    </row>
    <row r="20177" customFormat="false" ht="15" hidden="false" customHeight="false" outlineLevel="0" collapsed="false">
      <c r="A20177" s="3" t="s">
        <v>324</v>
      </c>
      <c r="G20177" s="25" t="n">
        <f aca="false">G20138*Assumptions!$C$56+G20151*Assumptions!$C$57+G20164*Assumptions!$C$58</f>
        <v>0</v>
      </c>
      <c r="H20177" s="25" t="n">
        <f aca="false">H20138*Assumptions!$C$56+H20151*Assumptions!$C$57+H20164*Assumptions!$C$58</f>
        <v>0</v>
      </c>
      <c r="I20177" s="25" t="n">
        <f aca="false">I20138*Assumptions!$C$56+I20151*Assumptions!$C$57+I20164*Assumptions!$C$58</f>
        <v>420.456</v>
      </c>
      <c r="J20177" s="25" t="n">
        <f aca="false">J20138*Assumptions!$C$56+J20151*Assumptions!$C$57+J20164*Assumptions!$C$58</f>
        <v>0</v>
      </c>
      <c r="K20177" s="25" t="n">
        <f aca="false">K20138*Assumptions!$C$56+K20151*Assumptions!$C$57+K20164*Assumptions!$C$58</f>
        <v>0</v>
      </c>
    </row>
    <row r="20178" customFormat="false" ht="15" hidden="false" customHeight="false" outlineLevel="0" collapsed="false">
      <c r="A20178" s="23" t="s">
        <v>325</v>
      </c>
      <c r="B20178" s="24"/>
      <c r="C20178" s="24"/>
      <c r="D20178" s="24"/>
      <c r="E20178" s="24"/>
      <c r="F20178" s="24"/>
      <c r="G20178" s="24"/>
      <c r="H20178" s="24"/>
      <c r="I20178" s="24"/>
      <c r="J20178" s="24"/>
      <c r="K20178" s="24"/>
    </row>
    <row r="20179" customFormat="false" ht="15" hidden="false" customHeight="false" outlineLevel="0" collapsed="false">
      <c r="A20179" s="3" t="s">
        <v>326</v>
      </c>
      <c r="C20179" s="25" t="n">
        <f aca="false">SUMPRODUCT($G$20138:$K$20138,$G$20137:$K$20137-$G$20143:$K$20143+$G$20142:$K$20142)</f>
        <v>0</v>
      </c>
    </row>
    <row r="20180" customFormat="false" ht="15" hidden="false" customHeight="false" outlineLevel="0" collapsed="false">
      <c r="A20180" s="3" t="s">
        <v>327</v>
      </c>
      <c r="C20180" s="25" t="n">
        <f aca="false">SUMPRODUCT($G$20138:$K$20138,$G$20145:$K$20145)</f>
        <v>0</v>
      </c>
    </row>
    <row r="20181" customFormat="false" ht="15" hidden="false" customHeight="false" outlineLevel="0" collapsed="false">
      <c r="A20181" s="3" t="s">
        <v>328</v>
      </c>
      <c r="C20181" s="3" t="str">
        <f aca="false">IF(SUM($G$20138:$K$20138)=0,"n/a (beyond horizon)",IF(SUMPRODUCT($G$20138:$K$20138,$G$20135:$K$20135)&gt;0,"REFINANCING PASS","REFINANCING FAILURE"))</f>
        <v>n/a (beyond horizon)</v>
      </c>
    </row>
    <row r="20182" customFormat="false" ht="15" hidden="false" customHeight="false" outlineLevel="0" collapsed="false">
      <c r="A20182" s="3" t="s">
        <v>329</v>
      </c>
      <c r="C20182" s="3" t="str">
        <f aca="false">IF(SUM($G$20138:$K$20138)=0,"n/a",IF(C20180&gt;=C20179-0.001,"Repaid from cash",IF(SUMPRODUCT($G$20138:$K$20138,$G$20135:$K$20135)&gt;0,IF(C20180&gt;0,"Partly repaid; remainder refinanced","Refinanced"),IF(SUM($G$20147:$K$20147)&gt;0.001,IF(C20180&gt;0,"Partial repayment; PAYMENT DEFAULT","PAYMENT DEFAULT"),"Repaid from cash"))))</f>
        <v>n/a</v>
      </c>
    </row>
    <row r="20183" customFormat="false" ht="15" hidden="false" customHeight="false" outlineLevel="0" collapsed="false">
      <c r="A20183" s="3" t="s">
        <v>330</v>
      </c>
      <c r="C20183" s="25" t="n">
        <f aca="false">SUMPRODUCT($G$20151:$K$20151,$G$20150:$K$20150-$G$20156:$K$20156+$G$20155:$K$20155)</f>
        <v>276.706</v>
      </c>
    </row>
    <row r="20184" customFormat="false" ht="15" hidden="false" customHeight="false" outlineLevel="0" collapsed="false">
      <c r="A20184" s="3" t="s">
        <v>331</v>
      </c>
      <c r="C20184" s="25" t="n">
        <f aca="false">SUMPRODUCT($G$20151:$K$20151,$G$20158:$K$20158)</f>
        <v>270.37196743168</v>
      </c>
    </row>
    <row r="20185" customFormat="false" ht="15" hidden="false" customHeight="false" outlineLevel="0" collapsed="false">
      <c r="A20185" s="3" t="s">
        <v>332</v>
      </c>
      <c r="C20185" s="3" t="str">
        <f aca="false">IF(SUM($G$20151:$K$20151)=0,"n/a (beyond horizon)",IF(SUMPRODUCT($G$20151:$K$20151,$G$20135:$K$20135)&gt;0,"REFINANCING PASS","REFINANCING FAILURE"))</f>
        <v>REFINANCING FAILURE</v>
      </c>
    </row>
    <row r="20186" customFormat="false" ht="15" hidden="false" customHeight="false" outlineLevel="0" collapsed="false">
      <c r="A20186" s="3" t="s">
        <v>333</v>
      </c>
      <c r="C20186" s="3" t="str">
        <f aca="false">IF(SUM($G$20151:$K$20151)=0,"n/a",IF(C20184&gt;=C20183-0.001,"Repaid from cash",IF(SUMPRODUCT($G$20151:$K$20151,$G$20135:$K$20135)&gt;0,IF(C20184&gt;0,"Partly repaid; remainder refinanced","Refinanced"),IF(SUM($G$20160:$K$20160)&gt;0.001,IF(C20184&gt;0,"Partial repayment; PAYMENT DEFAULT","PAYMENT DEFAULT"),"Repaid from cash"))))</f>
        <v>Partial repayment; PAYMENT DEFAULT</v>
      </c>
    </row>
    <row r="20187" customFormat="false" ht="15" hidden="false" customHeight="false" outlineLevel="0" collapsed="false">
      <c r="A20187" s="3" t="s">
        <v>334</v>
      </c>
      <c r="C20187" s="25" t="n">
        <f aca="false">SUMPRODUCT($G$20164:$K$20164,$G$20163:$K$20163-$G$20169:$K$20169+$G$20168:$K$20168)</f>
        <v>143.75</v>
      </c>
    </row>
    <row r="20188" customFormat="false" ht="15" hidden="false" customHeight="false" outlineLevel="0" collapsed="false">
      <c r="A20188" s="3" t="s">
        <v>335</v>
      </c>
      <c r="C20188" s="25" t="n">
        <f aca="false">SUMPRODUCT($G$20164:$K$20164,$G$20171:$K$20171)</f>
        <v>0</v>
      </c>
    </row>
    <row r="20189" customFormat="false" ht="15" hidden="false" customHeight="false" outlineLevel="0" collapsed="false">
      <c r="A20189" s="3" t="s">
        <v>336</v>
      </c>
      <c r="C20189" s="3" t="str">
        <f aca="false">IF(SUM($G$20164:$K$20164)=0,"n/a (beyond horizon)",IF(SUMPRODUCT($G$20164:$K$20164,$G$20135:$K$20135)&gt;0,"REFINANCING PASS","REFINANCING FAILURE"))</f>
        <v>REFINANCING FAILURE</v>
      </c>
    </row>
    <row r="20190" customFormat="false" ht="15" hidden="false" customHeight="false" outlineLevel="0" collapsed="false">
      <c r="A20190" s="3" t="s">
        <v>337</v>
      </c>
      <c r="C20190" s="3" t="str">
        <f aca="false">IF(SUM($G$20164:$K$20164)=0,"n/a",IF(C20188&gt;=C20187-0.001,"Repaid from cash",IF(SUMPRODUCT($G$20164:$K$20164,$G$20135:$K$20135)&gt;0,IF(C20188&gt;0,"Partly repaid; remainder refinanced","Refinanced"),IF(SUM($G$20173:$K$20173)&gt;0.001,IF(C20188&gt;0,"Partial repayment; PAYMENT DEFAULT","PAYMENT DEFAULT"),"Repaid from cash"))))</f>
        <v>PAYMENT DEFAULT</v>
      </c>
    </row>
    <row r="20191" customFormat="false" ht="15" hidden="false" customHeight="false" outlineLevel="0" collapsed="false">
      <c r="A20191" s="3" t="s">
        <v>338</v>
      </c>
      <c r="C20191" s="20" t="n">
        <f aca="false">IF(C20181="REFINANCING FAILURE",1,0)+IF(C20185="REFINANCING FAILURE",1,0)+IF(C20189="REFINANCING FAILURE",1,0)</f>
        <v>2</v>
      </c>
    </row>
    <row r="20193" customFormat="false" ht="15" hidden="false" customHeight="false" outlineLevel="0" collapsed="false">
      <c r="A20193" s="23" t="s">
        <v>340</v>
      </c>
      <c r="B20193" s="24"/>
      <c r="C20193" s="24"/>
      <c r="D20193" s="24"/>
      <c r="E20193" s="24"/>
      <c r="F20193" s="24"/>
      <c r="G20193" s="24"/>
      <c r="H20193" s="24"/>
      <c r="I20193" s="24"/>
      <c r="J20193" s="24"/>
      <c r="K20193" s="24"/>
    </row>
    <row r="20194" customFormat="false" ht="15" hidden="false" customHeight="false" outlineLevel="0" collapsed="false">
      <c r="A20194" s="3" t="s">
        <v>305</v>
      </c>
      <c r="G20194" s="25" t="n">
        <f aca="false">F20206</f>
        <v>463.996</v>
      </c>
      <c r="H20194" s="25" t="n">
        <f aca="false">G20206</f>
        <v>431.67030664</v>
      </c>
      <c r="I20194" s="25" t="n">
        <f aca="false">H20206</f>
        <v>359.0106596512</v>
      </c>
      <c r="J20194" s="25" t="n">
        <f aca="false">I20206</f>
        <v>0</v>
      </c>
      <c r="K20194" s="25" t="n">
        <f aca="false">J20206</f>
        <v>-82.533161826112</v>
      </c>
    </row>
    <row r="20195" customFormat="false" ht="15" hidden="false" customHeight="false" outlineLevel="0" collapsed="false">
      <c r="A20195" s="3" t="s">
        <v>341</v>
      </c>
      <c r="G20195" s="25" t="n">
        <f aca="false">G20124</f>
        <v>-32.32569336</v>
      </c>
      <c r="H20195" s="25" t="n">
        <f aca="false">H20124</f>
        <v>-72.6596469888</v>
      </c>
      <c r="I20195" s="25" t="n">
        <f aca="false">I20124</f>
        <v>-88.63869221952</v>
      </c>
      <c r="J20195" s="25" t="n">
        <f aca="false">J20124</f>
        <v>-82.533161826112</v>
      </c>
      <c r="K20195" s="25" t="n">
        <f aca="false">K20124</f>
        <v>-86.2490037995945</v>
      </c>
    </row>
    <row r="20196" customFormat="false" ht="15" hidden="false" customHeight="false" outlineLevel="0" collapsed="false">
      <c r="A20196" s="3" t="s">
        <v>342</v>
      </c>
      <c r="G20196" s="25" t="n">
        <f aca="false">CHOOSE($C$20094,Assumptions!$G$74,Assumptions!$G$93,Assumptions!$G$112)</f>
        <v>0</v>
      </c>
      <c r="H20196" s="25" t="n">
        <f aca="false">CHOOSE($C$20094,Assumptions!$H$74,Assumptions!$H$93,Assumptions!$H$112)</f>
        <v>0</v>
      </c>
      <c r="I20196" s="25" t="n">
        <f aca="false">CHOOSE($C$20094,Assumptions!$I$74,Assumptions!$I$93,Assumptions!$I$112)</f>
        <v>0</v>
      </c>
      <c r="J20196" s="25" t="n">
        <f aca="false">CHOOSE($C$20094,Assumptions!$J$74,Assumptions!$J$93,Assumptions!$J$112)</f>
        <v>0</v>
      </c>
      <c r="K20196" s="25" t="n">
        <f aca="false">CHOOSE($C$20094,Assumptions!$K$74,Assumptions!$K$93,Assumptions!$K$112)</f>
        <v>0</v>
      </c>
    </row>
    <row r="20197" customFormat="false" ht="15" hidden="false" customHeight="false" outlineLevel="0" collapsed="false">
      <c r="A20197" s="3" t="s">
        <v>343</v>
      </c>
      <c r="G20197" s="25" t="n">
        <f aca="false">G20143+G20156+G20169</f>
        <v>0</v>
      </c>
      <c r="H20197" s="25" t="n">
        <f aca="false">H20143+H20156+H20169</f>
        <v>0</v>
      </c>
      <c r="I20197" s="25" t="n">
        <f aca="false">I20143+I20156+I20169</f>
        <v>0</v>
      </c>
      <c r="J20197" s="25" t="n">
        <f aca="false">J20143+J20156+J20169</f>
        <v>0</v>
      </c>
      <c r="K20197" s="25" t="n">
        <f aca="false">K20143+K20156+K20169</f>
        <v>0</v>
      </c>
    </row>
    <row r="20198" customFormat="false" ht="15" hidden="false" customHeight="false" outlineLevel="0" collapsed="false">
      <c r="A20198" s="2" t="s">
        <v>344</v>
      </c>
      <c r="G20198" s="16" t="n">
        <f aca="false">G20194+G20195+G20196-G20197</f>
        <v>431.67030664</v>
      </c>
      <c r="H20198" s="16" t="n">
        <f aca="false">H20194+H20195+H20196-H20197</f>
        <v>359.0106596512</v>
      </c>
      <c r="I20198" s="16" t="n">
        <f aca="false">I20194+I20195+I20196-I20197</f>
        <v>270.37196743168</v>
      </c>
      <c r="J20198" s="16" t="n">
        <f aca="false">J20194+J20195+J20196-J20197</f>
        <v>-82.533161826112</v>
      </c>
      <c r="K20198" s="16" t="n">
        <f aca="false">K20194+K20195+K20196-K20197</f>
        <v>-168.782165625707</v>
      </c>
    </row>
    <row r="20199" customFormat="false" ht="15" hidden="false" customHeight="false" outlineLevel="0" collapsed="false">
      <c r="A20199" s="3" t="s">
        <v>345</v>
      </c>
      <c r="G20199" s="25" t="n">
        <f aca="false">G20144+G20157+G20170</f>
        <v>0</v>
      </c>
      <c r="H20199" s="25" t="n">
        <f aca="false">H20144+H20157+H20170</f>
        <v>0</v>
      </c>
      <c r="I20199" s="25" t="n">
        <f aca="false">I20144+I20157+I20170</f>
        <v>0</v>
      </c>
      <c r="J20199" s="25" t="n">
        <f aca="false">J20144+J20157+J20170</f>
        <v>0</v>
      </c>
      <c r="K20199" s="25" t="n">
        <f aca="false">K20144+K20157+K20170</f>
        <v>0</v>
      </c>
    </row>
    <row r="20200" customFormat="false" ht="15" hidden="false" customHeight="false" outlineLevel="0" collapsed="false">
      <c r="A20200" s="2" t="s">
        <v>346</v>
      </c>
      <c r="G20200" s="16" t="n">
        <f aca="false">G20198+G20199</f>
        <v>431.67030664</v>
      </c>
      <c r="H20200" s="16" t="n">
        <f aca="false">H20198+H20199</f>
        <v>359.0106596512</v>
      </c>
      <c r="I20200" s="16" t="n">
        <f aca="false">I20198+I20199</f>
        <v>270.37196743168</v>
      </c>
      <c r="J20200" s="16" t="n">
        <f aca="false">J20198+J20199</f>
        <v>-82.533161826112</v>
      </c>
      <c r="K20200" s="16" t="n">
        <f aca="false">K20198+K20199</f>
        <v>-168.782165625707</v>
      </c>
    </row>
    <row r="20201" customFormat="false" ht="15" hidden="false" customHeight="false" outlineLevel="0" collapsed="false">
      <c r="A20201" s="3" t="s">
        <v>347</v>
      </c>
      <c r="G20201" s="25" t="n">
        <f aca="false">G20145+G20158+G20171</f>
        <v>0</v>
      </c>
      <c r="H20201" s="25" t="n">
        <f aca="false">H20145+H20158+H20171</f>
        <v>0</v>
      </c>
      <c r="I20201" s="25" t="n">
        <f aca="false">I20145+I20158+I20171</f>
        <v>270.37196743168</v>
      </c>
      <c r="J20201" s="25" t="n">
        <f aca="false">J20145+J20158+J20171</f>
        <v>0</v>
      </c>
      <c r="K20201" s="25" t="n">
        <f aca="false">K20145+K20158+K20171</f>
        <v>0</v>
      </c>
    </row>
    <row r="20202" customFormat="false" ht="15" hidden="false" customHeight="false" outlineLevel="0" collapsed="false">
      <c r="A20202" s="2" t="s">
        <v>348</v>
      </c>
      <c r="G20202" s="16" t="n">
        <f aca="false">G20200-G20201</f>
        <v>431.67030664</v>
      </c>
      <c r="H20202" s="16" t="n">
        <f aca="false">H20200-H20201</f>
        <v>359.0106596512</v>
      </c>
      <c r="I20202" s="16" t="n">
        <f aca="false">I20200-I20201</f>
        <v>0</v>
      </c>
      <c r="J20202" s="16" t="n">
        <f aca="false">J20200-J20201</f>
        <v>-82.533161826112</v>
      </c>
      <c r="K20202" s="16" t="n">
        <f aca="false">K20200-K20201</f>
        <v>-168.782165625707</v>
      </c>
    </row>
    <row r="20203" customFormat="false" ht="15" hidden="false" customHeight="false" outlineLevel="0" collapsed="false">
      <c r="A20203" s="3" t="s">
        <v>349</v>
      </c>
      <c r="G20203" s="25" t="n">
        <f aca="false">MAX(0,-G20202)</f>
        <v>0</v>
      </c>
      <c r="H20203" s="25" t="n">
        <f aca="false">MAX(0,-H20202)</f>
        <v>0</v>
      </c>
      <c r="I20203" s="25" t="n">
        <f aca="false">MAX(0,-I20202)</f>
        <v>-0</v>
      </c>
      <c r="J20203" s="25" t="n">
        <f aca="false">MAX(0,-J20202)</f>
        <v>82.533161826112</v>
      </c>
      <c r="K20203" s="25" t="n">
        <f aca="false">MAX(0,-K20202)</f>
        <v>168.782165625707</v>
      </c>
    </row>
    <row r="20204" customFormat="false" ht="15" hidden="false" customHeight="false" outlineLevel="0" collapsed="false">
      <c r="A20204" s="3" t="s">
        <v>350</v>
      </c>
      <c r="G20204" s="25" t="n">
        <f aca="false">MAX(0,G20202-Assumptions!$C$12)*Assumptions!$C$13</f>
        <v>0</v>
      </c>
      <c r="H20204" s="25" t="n">
        <f aca="false">MAX(0,H20202-Assumptions!$C$12)*Assumptions!$C$13</f>
        <v>0</v>
      </c>
      <c r="I20204" s="25" t="n">
        <f aca="false">MAX(0,I20202-Assumptions!$C$12)*Assumptions!$C$13</f>
        <v>0</v>
      </c>
      <c r="J20204" s="25" t="n">
        <f aca="false">MAX(0,J20202-Assumptions!$C$12)*Assumptions!$C$13</f>
        <v>0</v>
      </c>
      <c r="K20204" s="25" t="n">
        <f aca="false">MAX(0,K20202-Assumptions!$C$12)*Assumptions!$C$13</f>
        <v>0</v>
      </c>
    </row>
    <row r="20205" customFormat="false" ht="15" hidden="false" customHeight="false" outlineLevel="0" collapsed="false">
      <c r="A20205" s="3" t="s">
        <v>351</v>
      </c>
      <c r="G20205" s="25" t="n">
        <f aca="false">G20146+G20159+G20172</f>
        <v>0</v>
      </c>
      <c r="H20205" s="25" t="n">
        <f aca="false">H20146+H20159+H20172</f>
        <v>0</v>
      </c>
      <c r="I20205" s="25" t="n">
        <f aca="false">I20146+I20159+I20172</f>
        <v>0</v>
      </c>
      <c r="J20205" s="25" t="n">
        <f aca="false">J20146+J20159+J20172</f>
        <v>0</v>
      </c>
      <c r="K20205" s="25" t="n">
        <f aca="false">K20146+K20159+K20172</f>
        <v>0</v>
      </c>
    </row>
    <row r="20206" customFormat="false" ht="15" hidden="false" customHeight="false" outlineLevel="0" collapsed="false">
      <c r="A20206" s="2" t="s">
        <v>352</v>
      </c>
      <c r="F20206" s="28" t="n">
        <f aca="false">Assumptions!$C$11</f>
        <v>463.996</v>
      </c>
      <c r="G20206" s="16" t="n">
        <f aca="false">G20202-G20205</f>
        <v>431.67030664</v>
      </c>
      <c r="H20206" s="16" t="n">
        <f aca="false">H20202-H20205</f>
        <v>359.0106596512</v>
      </c>
      <c r="I20206" s="16" t="n">
        <f aca="false">I20202-I20205</f>
        <v>0</v>
      </c>
      <c r="J20206" s="16" t="n">
        <f aca="false">J20202-J20205</f>
        <v>-82.533161826112</v>
      </c>
      <c r="K20206" s="16" t="n">
        <f aca="false">K20202-K20205</f>
        <v>-168.782165625707</v>
      </c>
    </row>
    <row r="20207" customFormat="false" ht="15" hidden="false" customHeight="false" outlineLevel="0" collapsed="false">
      <c r="A20207" s="3" t="s">
        <v>353</v>
      </c>
      <c r="G20207" s="25" t="n">
        <f aca="false">G20147+G20160+G20173</f>
        <v>0</v>
      </c>
      <c r="H20207" s="25" t="n">
        <f aca="false">H20147+H20160+H20173</f>
        <v>0</v>
      </c>
      <c r="I20207" s="25" t="n">
        <f aca="false">I20147+I20160+I20173</f>
        <v>150.08403256832</v>
      </c>
      <c r="J20207" s="25" t="n">
        <f aca="false">J20147+J20160+J20173</f>
        <v>0</v>
      </c>
      <c r="K20207" s="25" t="n">
        <f aca="false">K20147+K20160+K20173</f>
        <v>0</v>
      </c>
    </row>
    <row r="20208" customFormat="false" ht="15" hidden="false" customHeight="false" outlineLevel="0" collapsed="false">
      <c r="A20208" s="3" t="s">
        <v>354</v>
      </c>
      <c r="G20208" s="20" t="n">
        <f aca="false">IF(OR(G20203&gt;0.001,G20207&gt;0.001),1,0)</f>
        <v>0</v>
      </c>
      <c r="H20208" s="20" t="n">
        <f aca="false">IF(OR(H20203&gt;0.001,H20207&gt;0.001),1,0)</f>
        <v>0</v>
      </c>
      <c r="I20208" s="20" t="n">
        <f aca="false">IF(OR(I20203&gt;0.001,I20207&gt;0.001),1,0)</f>
        <v>1</v>
      </c>
      <c r="J20208" s="20" t="n">
        <f aca="false">IF(OR(J20203&gt;0.001,J20207&gt;0.001),1,0)</f>
        <v>1</v>
      </c>
      <c r="K20208" s="20" t="n">
        <f aca="false">IF(OR(K20203&gt;0.001,K20207&gt;0.001),1,0)</f>
        <v>1</v>
      </c>
    </row>
    <row r="20209" customFormat="false" ht="15" hidden="false" customHeight="false" outlineLevel="0" collapsed="false">
      <c r="A20209" s="3" t="s">
        <v>355</v>
      </c>
      <c r="G20209" s="20" t="n">
        <f aca="false">IF(G20208=1,1,0)</f>
        <v>0</v>
      </c>
      <c r="H20209" s="20" t="n">
        <f aca="false">IF(AND(H20208=1,SUM($G$20208:G20208)=0),1,0)</f>
        <v>0</v>
      </c>
      <c r="I20209" s="20" t="n">
        <f aca="false">IF(AND(I20208=1,SUM($G$20208:H20208)=0),1,0)</f>
        <v>1</v>
      </c>
      <c r="J20209" s="20" t="n">
        <f aca="false">IF(AND(J20208=1,SUM($G$20208:I20208)=0),1,0)</f>
        <v>0</v>
      </c>
      <c r="K20209" s="20" t="n">
        <f aca="false">IF(AND(K20208=1,SUM($G$20208:J20208)=0),1,0)</f>
        <v>0</v>
      </c>
    </row>
    <row r="20210" customFormat="false" ht="15" hidden="false" customHeight="false" outlineLevel="0" collapsed="false">
      <c r="A20210" s="3" t="s">
        <v>356</v>
      </c>
      <c r="G20210" s="25" t="n">
        <f aca="false">(G20176-F20176)-(G20199+G20116-G20197-G20201-G20205)</f>
        <v>0</v>
      </c>
      <c r="H20210" s="25" t="n">
        <f aca="false">(H20176-G20176)-(H20199+H20116-H20197-H20201-H20205)</f>
        <v>0</v>
      </c>
      <c r="I20210" s="25" t="n">
        <f aca="false">(I20176-H20176)-(I20199+I20116-I20197-I20201-I20205)</f>
        <v>0</v>
      </c>
      <c r="J20210" s="25" t="n">
        <f aca="false">(J20176-I20176)-(J20199+J20116-J20197-J20201-J20205)</f>
        <v>0</v>
      </c>
      <c r="K20210" s="25" t="n">
        <f aca="false">(K20176-J20176)-(K20199+K20116-K20197-K20201-K20205)</f>
        <v>0</v>
      </c>
    </row>
    <row r="20212" customFormat="false" ht="15" hidden="false" customHeight="false" outlineLevel="0" collapsed="false">
      <c r="A20212" s="23" t="s">
        <v>358</v>
      </c>
      <c r="B20212" s="24"/>
      <c r="C20212" s="24"/>
      <c r="D20212" s="24"/>
      <c r="E20212" s="24"/>
      <c r="F20212" s="24"/>
      <c r="G20212" s="24"/>
      <c r="H20212" s="24"/>
      <c r="I20212" s="24"/>
      <c r="J20212" s="24"/>
      <c r="K20212" s="24"/>
    </row>
    <row r="20213" customFormat="false" ht="15" hidden="false" customHeight="false" outlineLevel="0" collapsed="false">
      <c r="A20213" s="3" t="s">
        <v>359</v>
      </c>
      <c r="G20213" s="25" t="n">
        <f aca="false">G20176</f>
        <v>1735.554</v>
      </c>
      <c r="H20213" s="25" t="n">
        <f aca="false">H20176</f>
        <v>1735.554</v>
      </c>
      <c r="I20213" s="25" t="n">
        <f aca="false">I20176</f>
        <v>1465.18203256832</v>
      </c>
      <c r="J20213" s="25" t="n">
        <f aca="false">J20176</f>
        <v>1465.18203256832</v>
      </c>
      <c r="K20213" s="25" t="n">
        <f aca="false">K20176</f>
        <v>1465.18203256832</v>
      </c>
    </row>
    <row r="20214" customFormat="false" ht="15" hidden="false" customHeight="false" outlineLevel="0" collapsed="false">
      <c r="A20214" s="3" t="s">
        <v>360</v>
      </c>
      <c r="G20214" s="25" t="n">
        <f aca="false">Assumptions!$O$56*G20148+Assumptions!$O$57*G20161+Assumptions!$O$58*G20174</f>
        <v>1315.098</v>
      </c>
      <c r="H20214" s="25" t="n">
        <f aca="false">Assumptions!$O$56*H20148+Assumptions!$O$57*H20161+Assumptions!$O$58*H20174</f>
        <v>1315.098</v>
      </c>
      <c r="I20214" s="25" t="n">
        <f aca="false">Assumptions!$O$56*I20148+Assumptions!$O$57*I20161+Assumptions!$O$58*I20174</f>
        <v>1315.098</v>
      </c>
      <c r="J20214" s="25" t="n">
        <f aca="false">Assumptions!$O$56*J20148+Assumptions!$O$57*J20161+Assumptions!$O$58*J20174</f>
        <v>1315.098</v>
      </c>
      <c r="K20214" s="25" t="n">
        <f aca="false">Assumptions!$O$56*K20148+Assumptions!$O$57*K20161+Assumptions!$O$58*K20174</f>
        <v>1315.098</v>
      </c>
    </row>
    <row r="20215" customFormat="false" ht="15" hidden="false" customHeight="false" outlineLevel="0" collapsed="false">
      <c r="A20215" s="3" t="s">
        <v>361</v>
      </c>
      <c r="G20215" s="25" t="n">
        <f aca="false">G20213-G20206</f>
        <v>1303.88369336</v>
      </c>
      <c r="H20215" s="25" t="n">
        <f aca="false">H20213-H20206</f>
        <v>1376.5433403488</v>
      </c>
      <c r="I20215" s="25" t="n">
        <f aca="false">I20213-I20206</f>
        <v>1465.18203256832</v>
      </c>
      <c r="J20215" s="25" t="n">
        <f aca="false">J20213-J20206</f>
        <v>1547.71519439443</v>
      </c>
      <c r="K20215" s="25" t="n">
        <f aca="false">K20213-K20206</f>
        <v>1633.96419819403</v>
      </c>
    </row>
    <row r="20216" customFormat="false" ht="15" hidden="false" customHeight="false" outlineLevel="0" collapsed="false">
      <c r="A20216" s="3" t="s">
        <v>362</v>
      </c>
      <c r="G20216" s="32" t="n">
        <f aca="false">IF(G20111&gt;0,G20213/G20111,0)</f>
        <v>9.98286782658702</v>
      </c>
      <c r="H20216" s="32" t="n">
        <f aca="false">IF(H20111&gt;0,H20213/H20111,0)</f>
        <v>13.6130015817096</v>
      </c>
      <c r="I20216" s="32" t="n">
        <f aca="false">IF(I20111&gt;0,I20213/I20111,0)</f>
        <v>13.6813219341771</v>
      </c>
      <c r="J20216" s="32" t="n">
        <f aca="false">IF(J20111&gt;0,J20213/J20111,0)</f>
        <v>14.8710021023664</v>
      </c>
      <c r="K20216" s="32" t="n">
        <f aca="false">IF(K20111&gt;0,K20213/K20111,0)</f>
        <v>15.8202150025174</v>
      </c>
    </row>
    <row r="20217" customFormat="false" ht="15" hidden="false" customHeight="false" outlineLevel="0" collapsed="false">
      <c r="A20217" s="3" t="s">
        <v>363</v>
      </c>
      <c r="G20217" s="32" t="n">
        <f aca="false">IF(G20111&gt;0,G20215/G20111,0)</f>
        <v>7.49990986858087</v>
      </c>
      <c r="H20217" s="32" t="n">
        <f aca="false">IF(H20111&gt;0,H20215/H20111,0)</f>
        <v>10.7970634560838</v>
      </c>
      <c r="I20217" s="32" t="n">
        <f aca="false">IF(I20111&gt;0,I20215/I20111,0)</f>
        <v>13.6813219341771</v>
      </c>
      <c r="J20217" s="32" t="n">
        <f aca="false">IF(J20111&gt;0,J20215/J20111,0)</f>
        <v>15.7086801490181</v>
      </c>
      <c r="K20217" s="32" t="n">
        <f aca="false">IF(K20111&gt;0,K20215/K20111,0)</f>
        <v>17.6426302993449</v>
      </c>
    </row>
    <row r="20218" customFormat="false" ht="15" hidden="false" customHeight="false" outlineLevel="0" collapsed="false">
      <c r="A20218" s="3" t="s">
        <v>364</v>
      </c>
      <c r="G20218" s="32" t="n">
        <f aca="false">IF(G20115&gt;0,G20111/G20115,0)</f>
        <v>1.11476782580477</v>
      </c>
      <c r="H20218" s="32" t="n">
        <f aca="false">IF(H20115&gt;0,H20111/H20115,0)</f>
        <v>0.817496405590163</v>
      </c>
      <c r="I20218" s="32" t="n">
        <f aca="false">IF(I20115&gt;0,I20111/I20115,0)</f>
        <v>0.686696980695737</v>
      </c>
      <c r="J20218" s="32" t="n">
        <f aca="false">IF(J20115&gt;0,J20111/J20115,0)</f>
        <v>0.682012179303795</v>
      </c>
      <c r="K20218" s="32" t="n">
        <f aca="false">IF(K20115&gt;0,K20111/K20115,0)</f>
        <v>0.641091448545568</v>
      </c>
    </row>
    <row r="20219" customFormat="false" ht="15" hidden="false" customHeight="false" outlineLevel="0" collapsed="false">
      <c r="A20219" s="3" t="s">
        <v>365</v>
      </c>
      <c r="G20219" s="32" t="n">
        <f aca="false">IF(G20115&gt;0,G20114/G20115,0)</f>
        <v>0.510100328512125</v>
      </c>
      <c r="H20219" s="32" t="n">
        <f aca="false">IF(H20115&gt;0,H20114/H20115,0)</f>
        <v>0.285389007972637</v>
      </c>
      <c r="I20219" s="32" t="n">
        <f aca="false">IF(I20115&gt;0,I20114/I20115,0)</f>
        <v>0.207800322839964</v>
      </c>
      <c r="J20219" s="32" t="n">
        <f aca="false">IF(J20115&gt;0,J20114/J20115,0)</f>
        <v>0.206382662257416</v>
      </c>
      <c r="K20219" s="32" t="n">
        <f aca="false">IF(K20115&gt;0,K20114/K20115,0)</f>
        <v>0.193999702521971</v>
      </c>
    </row>
    <row r="20220" customFormat="false" ht="15" hidden="false" customHeight="false" outlineLevel="0" collapsed="false">
      <c r="A20220" s="3" t="s">
        <v>198</v>
      </c>
      <c r="G20220" s="21" t="n">
        <f aca="false">IF(G20213&gt;0,G20124/G20213,0)</f>
        <v>-0.0186255762482758</v>
      </c>
      <c r="H20220" s="21" t="n">
        <f aca="false">IF(H20213&gt;0,H20124/H20213,0)</f>
        <v>-0.0418653911020919</v>
      </c>
      <c r="I20220" s="21" t="n">
        <f aca="false">IF(I20213&gt;0,I20124/I20213,0)</f>
        <v>-0.0604967097938985</v>
      </c>
      <c r="J20220" s="21" t="n">
        <f aca="false">IF(J20213&gt;0,J20124/J20213,0)</f>
        <v>-0.0563296300333683</v>
      </c>
      <c r="K20220" s="21" t="n">
        <f aca="false">IF(K20213&gt;0,K20124/K20213,0)</f>
        <v>-0.0588657258159305</v>
      </c>
    </row>
    <row r="20221" customFormat="false" ht="15" hidden="false" customHeight="false" outlineLevel="0" collapsed="false">
      <c r="A20221" s="3" t="s">
        <v>366</v>
      </c>
      <c r="G20221" s="32" t="n">
        <f aca="false">IF(G20115+G20197&gt;0,(G20111-G20122-G20119)/(G20115+G20197),0)</f>
        <v>0.978518424873074</v>
      </c>
      <c r="H20221" s="32" t="n">
        <f aca="false">IF(H20115+H20197&gt;0,(H20111-H20122-H20119)/(H20115+H20197),0)</f>
        <v>0.697596932770272</v>
      </c>
      <c r="I20221" s="32" t="n">
        <f aca="false">IF(I20115+I20197&gt;0,(I20111-I20122-I20119)/(I20115+I20197),0)</f>
        <v>0.578787455157835</v>
      </c>
      <c r="J20221" s="32" t="n">
        <f aca="false">IF(J20115+J20197&gt;0,(J20111-J20122-J20119)/(J20115+J20197),0)</f>
        <v>0.57483883684177</v>
      </c>
      <c r="K20221" s="32" t="n">
        <f aca="false">IF(K20115+K20197&gt;0,(K20111-K20122-K20119)/(K20115+K20197),0)</f>
        <v>0.540348506631264</v>
      </c>
    </row>
    <row r="20222" customFormat="false" ht="15" hidden="false" customHeight="false" outlineLevel="0" collapsed="false">
      <c r="A20222" s="3" t="s">
        <v>367</v>
      </c>
      <c r="G20222" s="25" t="n">
        <f aca="false">MAX(0,G20206)+Assumptions!$P$56*MAX(0,Assumptions!$D$56-G20148)+Assumptions!$P$57*MAX(0,Assumptions!$D$57-G20161)+Assumptions!$P$58*MAX(0,Assumptions!$D$58-G20174)</f>
        <v>431.67030664</v>
      </c>
      <c r="H20222" s="25" t="n">
        <f aca="false">MAX(0,H20206)+Assumptions!$P$56*MAX(0,Assumptions!$D$56-H20148)+Assumptions!$P$57*MAX(0,Assumptions!$D$57-H20161)+Assumptions!$P$58*MAX(0,Assumptions!$D$58-H20174)</f>
        <v>359.0106596512</v>
      </c>
      <c r="I20222" s="25" t="n">
        <f aca="false">MAX(0,I20206)+Assumptions!$P$56*MAX(0,Assumptions!$D$56-I20148)+Assumptions!$P$57*MAX(0,Assumptions!$D$57-I20161)+Assumptions!$P$58*MAX(0,Assumptions!$D$58-I20174)</f>
        <v>0</v>
      </c>
      <c r="J20222" s="25" t="n">
        <f aca="false">MAX(0,J20206)+Assumptions!$P$56*MAX(0,Assumptions!$D$56-J20148)+Assumptions!$P$57*MAX(0,Assumptions!$D$57-J20161)+Assumptions!$P$58*MAX(0,Assumptions!$D$58-J20174)</f>
        <v>0</v>
      </c>
      <c r="K20222" s="25" t="n">
        <f aca="false">MAX(0,K20206)+Assumptions!$P$56*MAX(0,Assumptions!$D$56-K20148)+Assumptions!$P$57*MAX(0,Assumptions!$D$57-K20161)+Assumptions!$P$58*MAX(0,Assumptions!$D$58-K20174)</f>
        <v>0</v>
      </c>
    </row>
    <row r="20223" customFormat="false" ht="15" hidden="false" customHeight="false" outlineLevel="0" collapsed="false">
      <c r="A20223" s="3" t="s">
        <v>368</v>
      </c>
      <c r="G20223" s="21" t="n">
        <f aca="false">IF(G20213&gt;0,G20213/(G20213+MAX(0,G20111*CHOOSE($C$20094,Assumptions!$C$82,Assumptions!$C$101,Assumptions!$C$120)-G20215)),0)</f>
        <v>1</v>
      </c>
      <c r="H20223" s="21" t="n">
        <f aca="false">IF(H20213&gt;0,H20213/(H20213+MAX(0,H20111*CHOOSE($C$20094,Assumptions!$C$82,Assumptions!$C$101,Assumptions!$C$120)-H20215)),0)</f>
        <v>1</v>
      </c>
      <c r="I20223" s="21" t="n">
        <f aca="false">IF(I20213&gt;0,I20213/(I20213+MAX(0,I20111*CHOOSE($C$20094,Assumptions!$C$82,Assumptions!$C$101,Assumptions!$C$120)-I20215)),0)</f>
        <v>1</v>
      </c>
      <c r="J20223" s="21" t="n">
        <f aca="false">IF(J20213&gt;0,J20213/(J20213+MAX(0,J20111*CHOOSE($C$20094,Assumptions!$C$82,Assumptions!$C$101,Assumptions!$C$120)-J20215)),0)</f>
        <v>1</v>
      </c>
      <c r="K20223" s="21" t="n">
        <f aca="false">IF(K20213&gt;0,K20213/(K20213+MAX(0,K20111*CHOOSE($C$20094,Assumptions!$C$82,Assumptions!$C$101,Assumptions!$C$120)-K20215)),0)</f>
        <v>1</v>
      </c>
    </row>
    <row r="20224" customFormat="false" ht="15" hidden="false" customHeight="false" outlineLevel="0" collapsed="false">
      <c r="A20224" s="3" t="s">
        <v>369</v>
      </c>
      <c r="G20224" s="21" t="n">
        <f aca="false">IF(G20213&gt;0,MAX(0,G20206)/G20213,0)</f>
        <v>0.248721910490829</v>
      </c>
      <c r="H20224" s="21" t="n">
        <f aca="false">IF(H20213&gt;0,MAX(0,H20206)/H20213,0)</f>
        <v>0.206856519388737</v>
      </c>
      <c r="I20224" s="21" t="n">
        <f aca="false">IF(I20213&gt;0,MAX(0,I20206)/I20213,0)</f>
        <v>0</v>
      </c>
      <c r="J20224" s="21" t="n">
        <f aca="false">IF(J20213&gt;0,MAX(0,J20206)/J20213,0)</f>
        <v>0</v>
      </c>
      <c r="K20224" s="21" t="n">
        <f aca="false">IF(K20213&gt;0,MAX(0,K20206)/K20213,0)</f>
        <v>0</v>
      </c>
    </row>
    <row r="20225" customFormat="false" ht="15" hidden="false" customHeight="false" outlineLevel="0" collapsed="false">
      <c r="A20225" s="3" t="s">
        <v>370</v>
      </c>
      <c r="G20225" s="25" t="n">
        <f aca="false">Assumptions!$C$30*(1-CHOOSE($C$20094,Assumptions!$C$85,Assumptions!$C$104,Assumptions!$C$123))</f>
        <v>1595.73115</v>
      </c>
      <c r="H20225" s="25" t="n">
        <f aca="false">Assumptions!$C$30*(1-CHOOSE($C$20094,Assumptions!$C$85,Assumptions!$C$104,Assumptions!$C$123))</f>
        <v>1595.73115</v>
      </c>
      <c r="I20225" s="25" t="n">
        <f aca="false">Assumptions!$C$30*(1-CHOOSE($C$20094,Assumptions!$C$85,Assumptions!$C$104,Assumptions!$C$123))</f>
        <v>1595.73115</v>
      </c>
      <c r="J20225" s="25" t="n">
        <f aca="false">Assumptions!$C$30*(1-CHOOSE($C$20094,Assumptions!$C$85,Assumptions!$C$104,Assumptions!$C$123))</f>
        <v>1595.73115</v>
      </c>
      <c r="K20225" s="25" t="n">
        <f aca="false">Assumptions!$C$30*(1-CHOOSE($C$20094,Assumptions!$C$85,Assumptions!$C$104,Assumptions!$C$123))</f>
        <v>1595.73115</v>
      </c>
    </row>
    <row r="20226" customFormat="false" ht="15" hidden="false" customHeight="false" outlineLevel="0" collapsed="false">
      <c r="A20226" s="23" t="s">
        <v>371</v>
      </c>
      <c r="B20226" s="24"/>
      <c r="C20226" s="24"/>
      <c r="D20226" s="24"/>
      <c r="E20226" s="24"/>
      <c r="F20226" s="24"/>
      <c r="G20226" s="24"/>
      <c r="H20226" s="24"/>
      <c r="I20226" s="24"/>
      <c r="J20226" s="24"/>
      <c r="K20226" s="24"/>
    </row>
    <row r="20227" customFormat="false" ht="15" hidden="false" customHeight="false" outlineLevel="0" collapsed="false">
      <c r="A20227" s="23" t="s">
        <v>372</v>
      </c>
      <c r="B20227" s="24"/>
      <c r="C20227" s="24"/>
      <c r="D20227" s="24"/>
      <c r="E20227" s="24"/>
      <c r="F20227" s="24"/>
      <c r="G20227" s="24"/>
      <c r="H20227" s="24"/>
      <c r="I20227" s="24"/>
      <c r="J20227" s="24"/>
      <c r="K20227" s="24"/>
    </row>
    <row r="20228" customFormat="false" ht="15" hidden="false" customHeight="false" outlineLevel="0" collapsed="false">
      <c r="A20228" s="3" t="s">
        <v>373</v>
      </c>
      <c r="G20228" s="32" t="n">
        <f aca="false">IF(G20111&gt;0,G20215/G20111,99)</f>
        <v>7.49990986858087</v>
      </c>
      <c r="H20228" s="32" t="n">
        <f aca="false">IF(H20111&gt;0,H20215/H20111,99)</f>
        <v>10.7970634560838</v>
      </c>
      <c r="I20228" s="32" t="n">
        <f aca="false">IF(I20111&gt;0,I20215/I20111,99)</f>
        <v>13.6813219341771</v>
      </c>
      <c r="J20228" s="32" t="n">
        <f aca="false">IF(J20111&gt;0,J20215/J20111,99)</f>
        <v>15.7086801490181</v>
      </c>
      <c r="K20228" s="32" t="n">
        <f aca="false">IF(K20111&gt;0,K20215/K20111,99)</f>
        <v>17.6426302993449</v>
      </c>
    </row>
    <row r="20229" customFormat="false" ht="15" hidden="false" customHeight="false" outlineLevel="0" collapsed="false">
      <c r="A20229" s="3" t="s">
        <v>374</v>
      </c>
      <c r="G20229" s="33" t="n">
        <f aca="false">Assumptions!$G$65</f>
        <v>5.25</v>
      </c>
      <c r="H20229" s="33" t="n">
        <f aca="false">Assumptions!$H$65</f>
        <v>5.25</v>
      </c>
      <c r="I20229" s="33" t="n">
        <f aca="false">Assumptions!$I$65</f>
        <v>5</v>
      </c>
      <c r="J20229" s="33" t="n">
        <f aca="false">Assumptions!$J$65</f>
        <v>5</v>
      </c>
      <c r="K20229" s="33" t="n">
        <f aca="false">Assumptions!$K$65</f>
        <v>5</v>
      </c>
    </row>
    <row r="20230" customFormat="false" ht="15" hidden="false" customHeight="false" outlineLevel="0" collapsed="false">
      <c r="A20230" s="3" t="s">
        <v>375</v>
      </c>
      <c r="G20230" s="32" t="n">
        <f aca="false">G20229-G20228</f>
        <v>-2.24990986858086</v>
      </c>
      <c r="H20230" s="32" t="n">
        <f aca="false">H20229-H20228</f>
        <v>-5.54706345608375</v>
      </c>
      <c r="I20230" s="32" t="n">
        <f aca="false">I20229-I20228</f>
        <v>-8.68132193417709</v>
      </c>
      <c r="J20230" s="32" t="n">
        <f aca="false">J20229-J20228</f>
        <v>-10.7086801490181</v>
      </c>
      <c r="K20230" s="32" t="n">
        <f aca="false">K20229-K20228</f>
        <v>-12.6426302993449</v>
      </c>
    </row>
    <row r="20231" customFormat="false" ht="15" hidden="false" customHeight="false" outlineLevel="0" collapsed="false">
      <c r="A20231" s="3" t="s">
        <v>376</v>
      </c>
      <c r="G20231" s="21" t="n">
        <f aca="false">IF(G20229=0,0,G20230/ABS(G20229))</f>
        <v>-0.42855426068207</v>
      </c>
      <c r="H20231" s="21" t="n">
        <f aca="false">IF(H20229=0,0,H20230/ABS(H20229))</f>
        <v>-1.05658351544452</v>
      </c>
      <c r="I20231" s="21" t="n">
        <f aca="false">IF(I20229=0,0,I20230/ABS(I20229))</f>
        <v>-1.73626438683542</v>
      </c>
      <c r="J20231" s="21" t="n">
        <f aca="false">IF(J20229=0,0,J20230/ABS(J20229))</f>
        <v>-2.14173602980363</v>
      </c>
      <c r="K20231" s="21" t="n">
        <f aca="false">IF(K20229=0,0,K20230/ABS(K20229))</f>
        <v>-2.52852605986897</v>
      </c>
    </row>
    <row r="20232" customFormat="false" ht="15" hidden="false" customHeight="false" outlineLevel="0" collapsed="false">
      <c r="A20232" s="3" t="s">
        <v>377</v>
      </c>
      <c r="G20232" s="20" t="n">
        <f aca="false">IF(G20230&lt;0,1,0)</f>
        <v>1</v>
      </c>
      <c r="H20232" s="20" t="n">
        <f aca="false">IF(H20230&lt;0,1,0)</f>
        <v>1</v>
      </c>
      <c r="I20232" s="20" t="n">
        <f aca="false">IF(I20230&lt;0,1,0)</f>
        <v>1</v>
      </c>
      <c r="J20232" s="20" t="n">
        <f aca="false">IF(J20230&lt;0,1,0)</f>
        <v>1</v>
      </c>
      <c r="K20232" s="20" t="n">
        <f aca="false">IF(K20230&lt;0,1,0)</f>
        <v>1</v>
      </c>
    </row>
    <row r="20233" customFormat="false" ht="15" hidden="false" customHeight="false" outlineLevel="0" collapsed="false">
      <c r="A20233" s="3" t="s">
        <v>378</v>
      </c>
      <c r="C20233" s="20" t="n">
        <f aca="false">IFERROR(INDEX($G$20101:$K$20101,MATCH(1,$G$20232:$K$20232,0)),0)</f>
        <v>2027</v>
      </c>
    </row>
    <row r="20234" customFormat="false" ht="15" hidden="false" customHeight="false" outlineLevel="0" collapsed="false">
      <c r="A20234" s="3" t="s">
        <v>379</v>
      </c>
      <c r="C20234" s="21" t="n">
        <f aca="false">MIN($G$20231:$K$20231)</f>
        <v>-2.52852605986897</v>
      </c>
    </row>
    <row r="20235" customFormat="false" ht="15" hidden="false" customHeight="false" outlineLevel="0" collapsed="false">
      <c r="A20235" s="23" t="s">
        <v>380</v>
      </c>
      <c r="B20235" s="24"/>
      <c r="C20235" s="24"/>
      <c r="D20235" s="24"/>
      <c r="E20235" s="24"/>
      <c r="F20235" s="24"/>
      <c r="G20235" s="24"/>
      <c r="H20235" s="24"/>
      <c r="I20235" s="24"/>
      <c r="J20235" s="24"/>
      <c r="K20235" s="24"/>
    </row>
    <row r="20236" customFormat="false" ht="15" hidden="false" customHeight="false" outlineLevel="0" collapsed="false">
      <c r="A20236" s="3" t="s">
        <v>373</v>
      </c>
      <c r="G20236" s="32" t="n">
        <f aca="false">IF(G20115&gt;0,G20111/G20115,99)</f>
        <v>1.11476782580477</v>
      </c>
      <c r="H20236" s="32" t="n">
        <f aca="false">IF(H20115&gt;0,H20111/H20115,99)</f>
        <v>0.817496405590163</v>
      </c>
      <c r="I20236" s="32" t="n">
        <f aca="false">IF(I20115&gt;0,I20111/I20115,99)</f>
        <v>0.686696980695737</v>
      </c>
      <c r="J20236" s="32" t="n">
        <f aca="false">IF(J20115&gt;0,J20111/J20115,99)</f>
        <v>0.682012179303795</v>
      </c>
      <c r="K20236" s="32" t="n">
        <f aca="false">IF(K20115&gt;0,K20111/K20115,99)</f>
        <v>0.641091448545568</v>
      </c>
    </row>
    <row r="20237" customFormat="false" ht="15" hidden="false" customHeight="false" outlineLevel="0" collapsed="false">
      <c r="A20237" s="3" t="s">
        <v>374</v>
      </c>
      <c r="G20237" s="33" t="n">
        <f aca="false">Assumptions!$G$66</f>
        <v>1.4</v>
      </c>
      <c r="H20237" s="33" t="n">
        <f aca="false">Assumptions!$H$66</f>
        <v>1.4</v>
      </c>
      <c r="I20237" s="33" t="n">
        <f aca="false">Assumptions!$I$66</f>
        <v>1.4</v>
      </c>
      <c r="J20237" s="33" t="n">
        <f aca="false">Assumptions!$J$66</f>
        <v>1.5</v>
      </c>
      <c r="K20237" s="33" t="n">
        <f aca="false">Assumptions!$K$66</f>
        <v>1.5</v>
      </c>
    </row>
    <row r="20238" customFormat="false" ht="15" hidden="false" customHeight="false" outlineLevel="0" collapsed="false">
      <c r="A20238" s="3" t="s">
        <v>375</v>
      </c>
      <c r="G20238" s="32" t="n">
        <f aca="false">G20236-G20237</f>
        <v>-0.285232174195233</v>
      </c>
      <c r="H20238" s="32" t="n">
        <f aca="false">H20236-H20237</f>
        <v>-0.582503594409837</v>
      </c>
      <c r="I20238" s="32" t="n">
        <f aca="false">I20236-I20237</f>
        <v>-0.713303019304263</v>
      </c>
      <c r="J20238" s="32" t="n">
        <f aca="false">J20236-J20237</f>
        <v>-0.817987820696205</v>
      </c>
      <c r="K20238" s="32" t="n">
        <f aca="false">K20236-K20237</f>
        <v>-0.858908551454433</v>
      </c>
    </row>
    <row r="20239" customFormat="false" ht="15" hidden="false" customHeight="false" outlineLevel="0" collapsed="false">
      <c r="A20239" s="3" t="s">
        <v>376</v>
      </c>
      <c r="G20239" s="21" t="n">
        <f aca="false">IF(G20237=0,0,G20238/ABS(G20237))</f>
        <v>-0.203737267282309</v>
      </c>
      <c r="H20239" s="21" t="n">
        <f aca="false">IF(H20237=0,0,H20238/ABS(H20237))</f>
        <v>-0.416073996007027</v>
      </c>
      <c r="I20239" s="21" t="n">
        <f aca="false">IF(I20237=0,0,I20238/ABS(I20237))</f>
        <v>-0.509502156645902</v>
      </c>
      <c r="J20239" s="21" t="n">
        <f aca="false">IF(J20237=0,0,J20238/ABS(J20237))</f>
        <v>-0.54532521379747</v>
      </c>
      <c r="K20239" s="21" t="n">
        <f aca="false">IF(K20237=0,0,K20238/ABS(K20237))</f>
        <v>-0.572605700969622</v>
      </c>
    </row>
    <row r="20240" customFormat="false" ht="15" hidden="false" customHeight="false" outlineLevel="0" collapsed="false">
      <c r="A20240" s="3" t="s">
        <v>377</v>
      </c>
      <c r="G20240" s="20" t="n">
        <f aca="false">IF(G20238&lt;0,1,0)</f>
        <v>1</v>
      </c>
      <c r="H20240" s="20" t="n">
        <f aca="false">IF(H20238&lt;0,1,0)</f>
        <v>1</v>
      </c>
      <c r="I20240" s="20" t="n">
        <f aca="false">IF(I20238&lt;0,1,0)</f>
        <v>1</v>
      </c>
      <c r="J20240" s="20" t="n">
        <f aca="false">IF(J20238&lt;0,1,0)</f>
        <v>1</v>
      </c>
      <c r="K20240" s="20" t="n">
        <f aca="false">IF(K20238&lt;0,1,0)</f>
        <v>1</v>
      </c>
    </row>
    <row r="20241" customFormat="false" ht="15" hidden="false" customHeight="false" outlineLevel="0" collapsed="false">
      <c r="A20241" s="3" t="s">
        <v>378</v>
      </c>
      <c r="C20241" s="20" t="n">
        <f aca="false">IFERROR(INDEX($G$20101:$K$20101,MATCH(1,$G$20240:$K$20240,0)),0)</f>
        <v>2027</v>
      </c>
    </row>
    <row r="20242" customFormat="false" ht="15" hidden="false" customHeight="false" outlineLevel="0" collapsed="false">
      <c r="A20242" s="3" t="s">
        <v>379</v>
      </c>
      <c r="C20242" s="21" t="n">
        <f aca="false">MIN($G$20239:$K$20239)</f>
        <v>-0.572605700969622</v>
      </c>
    </row>
    <row r="20243" customFormat="false" ht="15" hidden="false" customHeight="false" outlineLevel="0" collapsed="false">
      <c r="A20243" s="23" t="s">
        <v>381</v>
      </c>
      <c r="B20243" s="24"/>
      <c r="C20243" s="24"/>
      <c r="D20243" s="24"/>
      <c r="E20243" s="24"/>
      <c r="F20243" s="24"/>
      <c r="G20243" s="24"/>
      <c r="H20243" s="24"/>
      <c r="I20243" s="24"/>
      <c r="J20243" s="24"/>
      <c r="K20243" s="24"/>
    </row>
    <row r="20244" customFormat="false" ht="15" hidden="false" customHeight="false" outlineLevel="0" collapsed="false">
      <c r="A20244" s="3" t="s">
        <v>373</v>
      </c>
      <c r="G20244" s="25" t="n">
        <f aca="false">G20222</f>
        <v>431.67030664</v>
      </c>
      <c r="H20244" s="25" t="n">
        <f aca="false">H20222</f>
        <v>359.0106596512</v>
      </c>
      <c r="I20244" s="25" t="n">
        <f aca="false">I20222</f>
        <v>0</v>
      </c>
      <c r="J20244" s="25" t="n">
        <f aca="false">J20222</f>
        <v>0</v>
      </c>
      <c r="K20244" s="25" t="n">
        <f aca="false">K20222</f>
        <v>0</v>
      </c>
    </row>
    <row r="20245" customFormat="false" ht="15" hidden="false" customHeight="false" outlineLevel="0" collapsed="false">
      <c r="A20245" s="3" t="s">
        <v>374</v>
      </c>
      <c r="G20245" s="29" t="n">
        <f aca="false">Assumptions!$G$67</f>
        <v>200</v>
      </c>
      <c r="H20245" s="29" t="n">
        <f aca="false">Assumptions!$H$67</f>
        <v>200</v>
      </c>
      <c r="I20245" s="29" t="n">
        <f aca="false">Assumptions!$I$67</f>
        <v>200</v>
      </c>
      <c r="J20245" s="29" t="n">
        <f aca="false">Assumptions!$J$67</f>
        <v>200</v>
      </c>
      <c r="K20245" s="29" t="n">
        <f aca="false">Assumptions!$K$67</f>
        <v>200</v>
      </c>
    </row>
    <row r="20246" customFormat="false" ht="15" hidden="false" customHeight="false" outlineLevel="0" collapsed="false">
      <c r="A20246" s="3" t="s">
        <v>375</v>
      </c>
      <c r="G20246" s="25" t="n">
        <f aca="false">G20244-G20245</f>
        <v>231.67030664</v>
      </c>
      <c r="H20246" s="25" t="n">
        <f aca="false">H20244-H20245</f>
        <v>159.0106596512</v>
      </c>
      <c r="I20246" s="25" t="n">
        <f aca="false">I20244-I20245</f>
        <v>-200</v>
      </c>
      <c r="J20246" s="25" t="n">
        <f aca="false">J20244-J20245</f>
        <v>-200</v>
      </c>
      <c r="K20246" s="25" t="n">
        <f aca="false">K20244-K20245</f>
        <v>-200</v>
      </c>
    </row>
    <row r="20247" customFormat="false" ht="15" hidden="false" customHeight="false" outlineLevel="0" collapsed="false">
      <c r="A20247" s="3" t="s">
        <v>376</v>
      </c>
      <c r="G20247" s="21" t="n">
        <f aca="false">IF(G20245=0,0,G20246/ABS(G20245))</f>
        <v>1.1583515332</v>
      </c>
      <c r="H20247" s="21" t="n">
        <f aca="false">IF(H20245=0,0,H20246/ABS(H20245))</f>
        <v>0.795053298256</v>
      </c>
      <c r="I20247" s="21" t="n">
        <f aca="false">IF(I20245=0,0,I20246/ABS(I20245))</f>
        <v>-1</v>
      </c>
      <c r="J20247" s="21" t="n">
        <f aca="false">IF(J20245=0,0,J20246/ABS(J20245))</f>
        <v>-1</v>
      </c>
      <c r="K20247" s="21" t="n">
        <f aca="false">IF(K20245=0,0,K20246/ABS(K20245))</f>
        <v>-1</v>
      </c>
    </row>
    <row r="20248" customFormat="false" ht="15" hidden="false" customHeight="false" outlineLevel="0" collapsed="false">
      <c r="A20248" s="3" t="s">
        <v>377</v>
      </c>
      <c r="G20248" s="20" t="n">
        <f aca="false">IF(G20246&lt;0,1,0)</f>
        <v>0</v>
      </c>
      <c r="H20248" s="20" t="n">
        <f aca="false">IF(H20246&lt;0,1,0)</f>
        <v>0</v>
      </c>
      <c r="I20248" s="20" t="n">
        <f aca="false">IF(I20246&lt;0,1,0)</f>
        <v>1</v>
      </c>
      <c r="J20248" s="20" t="n">
        <f aca="false">IF(J20246&lt;0,1,0)</f>
        <v>1</v>
      </c>
      <c r="K20248" s="20" t="n">
        <f aca="false">IF(K20246&lt;0,1,0)</f>
        <v>1</v>
      </c>
    </row>
    <row r="20249" customFormat="false" ht="15" hidden="false" customHeight="false" outlineLevel="0" collapsed="false">
      <c r="A20249" s="3" t="s">
        <v>378</v>
      </c>
      <c r="C20249" s="20" t="n">
        <f aca="false">IFERROR(INDEX($G$20101:$K$20101,MATCH(1,$G$20248:$K$20248,0)),0)</f>
        <v>2029</v>
      </c>
    </row>
    <row r="20250" customFormat="false" ht="15" hidden="false" customHeight="false" outlineLevel="0" collapsed="false">
      <c r="A20250" s="3" t="s">
        <v>379</v>
      </c>
      <c r="C20250" s="21" t="n">
        <f aca="false">MIN($G$20247:$K$20247)</f>
        <v>-1</v>
      </c>
    </row>
    <row r="20251" customFormat="false" ht="15" hidden="false" customHeight="false" outlineLevel="0" collapsed="false">
      <c r="A20251" s="3" t="s">
        <v>382</v>
      </c>
      <c r="G20251" s="20" t="n">
        <f aca="false">G20232+G20240+G20248</f>
        <v>2</v>
      </c>
      <c r="H20251" s="20" t="n">
        <f aca="false">H20232+H20240+H20248</f>
        <v>2</v>
      </c>
      <c r="I20251" s="20" t="n">
        <f aca="false">I20232+I20240+I20248</f>
        <v>3</v>
      </c>
      <c r="J20251" s="20" t="n">
        <f aca="false">J20232+J20240+J20248</f>
        <v>3</v>
      </c>
      <c r="K20251" s="20" t="n">
        <f aca="false">K20232+K20240+K20248</f>
        <v>3</v>
      </c>
    </row>
    <row r="20252" customFormat="false" ht="15" hidden="false" customHeight="false" outlineLevel="0" collapsed="false">
      <c r="A20252" s="3" t="s">
        <v>383</v>
      </c>
      <c r="C20252" s="20" t="n">
        <f aca="false">SUM($G$20251:$K$20251)</f>
        <v>13</v>
      </c>
    </row>
    <row r="20253" customFormat="false" ht="15" hidden="false" customHeight="false" outlineLevel="0" collapsed="false">
      <c r="A20253" s="3" t="s">
        <v>384</v>
      </c>
      <c r="C20253" s="21" t="n">
        <f aca="false">MIN(C20234,C20242,C20250)</f>
        <v>-2.52852605986897</v>
      </c>
    </row>
    <row r="20255" customFormat="false" ht="15" hidden="false" customHeight="false" outlineLevel="0" collapsed="false">
      <c r="A20255" s="23" t="s">
        <v>486</v>
      </c>
      <c r="B20255" s="24"/>
      <c r="C20255" s="24"/>
      <c r="D20255" s="24"/>
      <c r="E20255" s="24"/>
      <c r="F20255" s="24"/>
      <c r="G20255" s="24"/>
      <c r="H20255" s="24"/>
      <c r="I20255" s="24"/>
      <c r="J20255" s="24"/>
      <c r="K20255" s="24"/>
    </row>
    <row r="20256" customFormat="false" ht="15" hidden="false" customHeight="false" outlineLevel="0" collapsed="false">
      <c r="A20256" s="3" t="s">
        <v>487</v>
      </c>
      <c r="G20256" s="20" t="n">
        <f aca="false">IF($C$20257=1,G20209,IF(G20111=MIN($G$20111:$K$20111),1,0))</f>
        <v>0</v>
      </c>
      <c r="H20256" s="20" t="n">
        <f aca="false">IF($C$20257=1,H20209,IF(AND(H20111=MIN($G$20111:$K$20111),SUM($G$20256:G20256)=0),1,0))</f>
        <v>0</v>
      </c>
      <c r="I20256" s="20" t="n">
        <f aca="false">IF($C$20257=1,I20209,IF(AND(I20111=MIN($G$20111:$K$20111),SUM($G$20256:H20256)=0),1,0))</f>
        <v>1</v>
      </c>
      <c r="J20256" s="20" t="n">
        <f aca="false">IF($C$20257=1,J20209,IF(AND(J20111=MIN($G$20111:$K$20111),SUM($G$20256:I20256)=0),1,0))</f>
        <v>0</v>
      </c>
      <c r="K20256" s="20" t="n">
        <f aca="false">IF($C$20257=1,K20209,IF(AND(K20111=MIN($G$20111:$K$20111),SUM($G$20256:J20256)=0),1,0))</f>
        <v>0</v>
      </c>
    </row>
    <row r="20257" customFormat="false" ht="15" hidden="false" customHeight="false" outlineLevel="0" collapsed="false">
      <c r="A20257" s="3" t="s">
        <v>488</v>
      </c>
      <c r="C20257" s="20" t="n">
        <f aca="false">IF(SUM($G$20209:$K$20209)&gt;0,1,0)</f>
        <v>1</v>
      </c>
    </row>
    <row r="20258" customFormat="false" ht="15" hidden="false" customHeight="false" outlineLevel="0" collapsed="false">
      <c r="A20258" s="3" t="s">
        <v>489</v>
      </c>
      <c r="C20258" s="20" t="n">
        <f aca="false">SUMPRODUCT($G$20256:$K$20256,$G$20101:$K$20101)</f>
        <v>2029</v>
      </c>
    </row>
    <row r="20259" customFormat="false" ht="15" hidden="false" customHeight="false" outlineLevel="0" collapsed="false">
      <c r="A20259" s="3" t="s">
        <v>490</v>
      </c>
      <c r="C20259" s="25" t="n">
        <f aca="false">SUMPRODUCT($G$20256:$K$20256,$G$20111:$K$20111)</f>
        <v>107.0936010144</v>
      </c>
    </row>
    <row r="20260" customFormat="false" ht="15" hidden="false" customHeight="false" outlineLevel="0" collapsed="false">
      <c r="A20260" s="3" t="s">
        <v>491</v>
      </c>
      <c r="C20260" s="25" t="n">
        <f aca="false">MAX(0,SUMPRODUCT($G$20256:$K$20256,$G$20206:$K$20206))</f>
        <v>0</v>
      </c>
    </row>
    <row r="20261" customFormat="false" ht="15" hidden="false" customHeight="false" outlineLevel="0" collapsed="false">
      <c r="A20261" s="3" t="s">
        <v>492</v>
      </c>
      <c r="C20261" s="25" t="n">
        <f aca="false">(CHOOSE($C$20094,Assumptions!$C$84,Assumptions!$C$103,Assumptions!$C$122)+$C$20098)*C20259</f>
        <v>642.5616060864</v>
      </c>
    </row>
    <row r="20262" customFormat="false" ht="15" hidden="false" customHeight="false" outlineLevel="0" collapsed="false">
      <c r="A20262" s="3" t="s">
        <v>493</v>
      </c>
      <c r="C20262" s="25" t="n">
        <f aca="false">Assumptions!$C$30*(1-CHOOSE($C$20094,Assumptions!$C$85,Assumptions!$C$104,Assumptions!$C$123))*CHOOSE($C$20094,Assumptions!$C$86,Assumptions!$C$105,Assumptions!$C$124)</f>
        <v>478.719345</v>
      </c>
    </row>
    <row r="20263" customFormat="false" ht="15" hidden="false" customHeight="false" outlineLevel="0" collapsed="false">
      <c r="A20263" s="3" t="s">
        <v>494</v>
      </c>
      <c r="C20263" s="25" t="n">
        <f aca="false">MAX(C20261,C20262)+C20260</f>
        <v>642.5616060864</v>
      </c>
    </row>
    <row r="20264" customFormat="false" ht="15" hidden="false" customHeight="false" outlineLevel="0" collapsed="false">
      <c r="A20264" s="2" t="s">
        <v>495</v>
      </c>
      <c r="C20264" s="16" t="n">
        <f aca="false">IF(ISNUMBER(Assumptions!$C$14),Assumptions!$C$14,C20263)</f>
        <v>642.5616060864</v>
      </c>
    </row>
    <row r="20265" customFormat="false" ht="15" hidden="false" customHeight="false" outlineLevel="0" collapsed="false">
      <c r="A20265" s="3" t="s">
        <v>496</v>
      </c>
      <c r="C20265" s="25" t="n">
        <f aca="false">C20264*Assumptions!$C$15</f>
        <v>25.702464243456</v>
      </c>
    </row>
    <row r="20266" customFormat="false" ht="15" hidden="false" customHeight="false" outlineLevel="0" collapsed="false">
      <c r="A20266" s="2" t="s">
        <v>497</v>
      </c>
      <c r="C20266" s="16" t="n">
        <f aca="false">C20264-C20265</f>
        <v>616.859141842944</v>
      </c>
    </row>
    <row r="20267" customFormat="false" ht="15" hidden="false" customHeight="false" outlineLevel="0" collapsed="false">
      <c r="A20267" s="23" t="s">
        <v>498</v>
      </c>
      <c r="B20267" s="24"/>
      <c r="C20267" s="24"/>
      <c r="D20267" s="24"/>
      <c r="E20267" s="24"/>
      <c r="F20267" s="24"/>
      <c r="G20267" s="24"/>
      <c r="H20267" s="24"/>
      <c r="I20267" s="24"/>
      <c r="J20267" s="24"/>
      <c r="K20267" s="24"/>
    </row>
    <row r="20268" customFormat="false" ht="15" hidden="false" customHeight="false" outlineLevel="0" collapsed="false">
      <c r="A20268" s="3" t="s">
        <v>499</v>
      </c>
      <c r="C20268" s="25" t="n">
        <f aca="false">SUMPRODUCT($G$20256:$K$20256,$G$20148:$K$20148)*(1+SUMPRODUCT($G$20256:$K$20256,$G$20140:$K$20140)*Assumptions!$C$16/12)</f>
        <v>1349.6193225</v>
      </c>
    </row>
    <row r="20269" customFormat="false" ht="15" hidden="false" customHeight="false" outlineLevel="0" collapsed="false">
      <c r="A20269" s="3" t="s">
        <v>500</v>
      </c>
      <c r="C20269" s="25" t="n">
        <f aca="false">SUMPRODUCT($G$20256:$K$20256,$G$20161:$K$20161)*(1+SUMPRODUCT($G$20256:$K$20256,$G$20153:$K$20153)*Assumptions!$C$16/12)</f>
        <v>6.40133166435848</v>
      </c>
    </row>
    <row r="20270" customFormat="false" ht="15" hidden="false" customHeight="false" outlineLevel="0" collapsed="false">
      <c r="A20270" s="3" t="s">
        <v>501</v>
      </c>
      <c r="C20270" s="25" t="n">
        <f aca="false">SUMPRODUCT($G$20256:$K$20256,$G$20174:$K$20174)*(1+SUMPRODUCT($G$20256:$K$20256,$G$20166:$K$20166)*Assumptions!$C$16/12)</f>
        <v>145.27734375</v>
      </c>
    </row>
    <row r="20271" customFormat="false" ht="15" hidden="false" customHeight="false" outlineLevel="0" collapsed="false">
      <c r="A20271" s="23" t="s">
        <v>502</v>
      </c>
      <c r="B20271" s="24"/>
      <c r="C20271" s="24"/>
      <c r="D20271" s="24"/>
      <c r="E20271" s="24"/>
      <c r="F20271" s="24"/>
      <c r="G20271" s="24"/>
      <c r="H20271" s="24"/>
      <c r="I20271" s="24"/>
      <c r="J20271" s="24"/>
      <c r="K20271" s="24"/>
    </row>
    <row r="20272" customFormat="false" ht="15" hidden="false" customHeight="false" outlineLevel="0" collapsed="false">
      <c r="A20272" s="3" t="s">
        <v>499</v>
      </c>
      <c r="C20272" s="27" t="n">
        <f aca="false">Assumptions!$M$56</f>
        <v>1</v>
      </c>
    </row>
    <row r="20273" customFormat="false" ht="15" hidden="false" customHeight="false" outlineLevel="0" collapsed="false">
      <c r="A20273" s="3" t="s">
        <v>500</v>
      </c>
      <c r="C20273" s="27" t="n">
        <f aca="false">Assumptions!$M$57</f>
        <v>2</v>
      </c>
    </row>
    <row r="20274" customFormat="false" ht="15" hidden="false" customHeight="false" outlineLevel="0" collapsed="false">
      <c r="A20274" s="3" t="s">
        <v>501</v>
      </c>
      <c r="C20274" s="27" t="n">
        <f aca="false">Assumptions!$M$58</f>
        <v>2</v>
      </c>
    </row>
    <row r="20275" customFormat="false" ht="15" hidden="false" customHeight="false" outlineLevel="0" collapsed="false">
      <c r="A20275" s="23" t="s">
        <v>503</v>
      </c>
      <c r="B20275" s="24"/>
      <c r="C20275" s="24"/>
      <c r="D20275" s="24"/>
      <c r="E20275" s="24"/>
      <c r="F20275" s="24"/>
      <c r="G20275" s="24"/>
      <c r="H20275" s="24"/>
      <c r="I20275" s="24"/>
      <c r="J20275" s="24"/>
      <c r="K20275" s="24"/>
    </row>
    <row r="20276" customFormat="false" ht="15" hidden="false" customHeight="false" outlineLevel="0" collapsed="false">
      <c r="A20276" s="3" t="s">
        <v>499</v>
      </c>
      <c r="C20276" s="35" t="n">
        <f aca="false">Assumptions!$Q$56</f>
        <v>0</v>
      </c>
    </row>
    <row r="20277" customFormat="false" ht="15" hidden="false" customHeight="false" outlineLevel="0" collapsed="false">
      <c r="A20277" s="3" t="s">
        <v>500</v>
      </c>
      <c r="C20277" s="35" t="n">
        <f aca="false">Assumptions!$Q$57</f>
        <v>0</v>
      </c>
    </row>
    <row r="20278" customFormat="false" ht="15" hidden="false" customHeight="false" outlineLevel="0" collapsed="false">
      <c r="A20278" s="3" t="s">
        <v>501</v>
      </c>
      <c r="C20278" s="35" t="n">
        <f aca="false">Assumptions!$Q$58</f>
        <v>0</v>
      </c>
    </row>
    <row r="20279" customFormat="false" ht="15" hidden="false" customHeight="false" outlineLevel="0" collapsed="false">
      <c r="A20279" s="23" t="s">
        <v>504</v>
      </c>
      <c r="B20279" s="24"/>
      <c r="C20279" s="24"/>
      <c r="D20279" s="24"/>
      <c r="E20279" s="24"/>
      <c r="F20279" s="24"/>
      <c r="G20279" s="24"/>
      <c r="H20279" s="24"/>
      <c r="I20279" s="24"/>
      <c r="J20279" s="24"/>
      <c r="K20279" s="24"/>
    </row>
    <row r="20280" customFormat="false" ht="15" hidden="false" customHeight="false" outlineLevel="0" collapsed="false">
      <c r="A20280" s="3" t="s">
        <v>499</v>
      </c>
      <c r="C20280" s="25" t="n">
        <f aca="false">IF(C20276&gt;0,MIN(C20268,C20276*$C$20266),0)</f>
        <v>0</v>
      </c>
    </row>
    <row r="20281" customFormat="false" ht="15" hidden="false" customHeight="false" outlineLevel="0" collapsed="false">
      <c r="A20281" s="3" t="s">
        <v>500</v>
      </c>
      <c r="C20281" s="25" t="n">
        <f aca="false">IF(C20277&gt;0,MIN(C20269,C20277*$C$20266),0)</f>
        <v>0</v>
      </c>
    </row>
    <row r="20282" customFormat="false" ht="15" hidden="false" customHeight="false" outlineLevel="0" collapsed="false">
      <c r="A20282" s="3" t="s">
        <v>501</v>
      </c>
      <c r="C20282" s="25" t="n">
        <f aca="false">IF(C20278&gt;0,MIN(C20270,C20278*$C$20266),0)</f>
        <v>0</v>
      </c>
    </row>
    <row r="20283" customFormat="false" ht="15" hidden="false" customHeight="false" outlineLevel="0" collapsed="false">
      <c r="A20283" s="23" t="s">
        <v>505</v>
      </c>
      <c r="B20283" s="24"/>
      <c r="C20283" s="24"/>
      <c r="D20283" s="24"/>
      <c r="E20283" s="24"/>
      <c r="F20283" s="24"/>
      <c r="G20283" s="24"/>
      <c r="H20283" s="24"/>
      <c r="I20283" s="24"/>
      <c r="J20283" s="24"/>
      <c r="K20283" s="24"/>
    </row>
    <row r="20284" customFormat="false" ht="15" hidden="false" customHeight="false" outlineLevel="0" collapsed="false">
      <c r="A20284" s="3" t="s">
        <v>499</v>
      </c>
      <c r="C20284" s="25" t="n">
        <f aca="false">IF(C20276&gt;0,C20268-C20280,0)</f>
        <v>0</v>
      </c>
      <c r="G20284" s="20" t="n">
        <f aca="false">IF(AND(G20138=1,G20135=1),1,0)</f>
        <v>0</v>
      </c>
      <c r="H20284" s="20" t="n">
        <f aca="false">IF(G20284=1,1,IF(AND(H20138=1,H20135=1),1,0))</f>
        <v>0</v>
      </c>
      <c r="I20284" s="20" t="n">
        <f aca="false">IF(H20284=1,1,IF(AND(I20138=1,I20135=1),1,0))</f>
        <v>0</v>
      </c>
      <c r="J20284" s="20" t="n">
        <f aca="false">IF(I20284=1,1,IF(AND(J20138=1,J20135=1),1,0))</f>
        <v>0</v>
      </c>
      <c r="K20284" s="20" t="n">
        <f aca="false">IF(J20284=1,1,IF(AND(K20138=1,K20135=1),1,0))</f>
        <v>0</v>
      </c>
    </row>
    <row r="20285" customFormat="false" ht="15" hidden="false" customHeight="false" outlineLevel="0" collapsed="false">
      <c r="A20285" s="3" t="s">
        <v>500</v>
      </c>
      <c r="C20285" s="25" t="n">
        <f aca="false">IF(C20277&gt;0,C20269-C20281,0)</f>
        <v>0</v>
      </c>
      <c r="G20285" s="20" t="n">
        <f aca="false">IF(AND(G20151=1,G20135=1),1,0)</f>
        <v>0</v>
      </c>
      <c r="H20285" s="20" t="n">
        <f aca="false">IF(G20285=1,1,IF(AND(H20151=1,H20135=1),1,0))</f>
        <v>0</v>
      </c>
      <c r="I20285" s="20" t="n">
        <f aca="false">IF(H20285=1,1,IF(AND(I20151=1,I20135=1),1,0))</f>
        <v>0</v>
      </c>
      <c r="J20285" s="20" t="n">
        <f aca="false">IF(I20285=1,1,IF(AND(J20151=1,J20135=1),1,0))</f>
        <v>0</v>
      </c>
      <c r="K20285" s="20" t="n">
        <f aca="false">IF(J20285=1,1,IF(AND(K20151=1,K20135=1),1,0))</f>
        <v>0</v>
      </c>
    </row>
    <row r="20286" customFormat="false" ht="15" hidden="false" customHeight="false" outlineLevel="0" collapsed="false">
      <c r="A20286" s="3" t="s">
        <v>501</v>
      </c>
      <c r="C20286" s="25" t="n">
        <f aca="false">IF(C20278&gt;0,C20270-C20282,0)</f>
        <v>0</v>
      </c>
      <c r="G20286" s="20" t="n">
        <f aca="false">IF(AND(G20164=1,G20135=1),1,0)</f>
        <v>0</v>
      </c>
      <c r="H20286" s="20" t="n">
        <f aca="false">IF(G20286=1,1,IF(AND(H20164=1,H20135=1),1,0))</f>
        <v>0</v>
      </c>
      <c r="I20286" s="20" t="n">
        <f aca="false">IF(H20286=1,1,IF(AND(I20164=1,I20135=1),1,0))</f>
        <v>0</v>
      </c>
      <c r="J20286" s="20" t="n">
        <f aca="false">IF(I20286=1,1,IF(AND(J20164=1,J20135=1),1,0))</f>
        <v>0</v>
      </c>
      <c r="K20286" s="20" t="n">
        <f aca="false">IF(J20286=1,1,IF(AND(K20164=1,K20135=1),1,0))</f>
        <v>0</v>
      </c>
    </row>
    <row r="20287" customFormat="false" ht="15" hidden="false" customHeight="false" outlineLevel="0" collapsed="false">
      <c r="A20287" s="23" t="s">
        <v>506</v>
      </c>
      <c r="B20287" s="24"/>
      <c r="C20287" s="24"/>
      <c r="D20287" s="24"/>
      <c r="E20287" s="24"/>
      <c r="F20287" s="24"/>
      <c r="G20287" s="24"/>
      <c r="H20287" s="24"/>
      <c r="I20287" s="24"/>
      <c r="J20287" s="24"/>
      <c r="K20287" s="24"/>
    </row>
    <row r="20288" customFormat="false" ht="15" hidden="false" customHeight="false" outlineLevel="0" collapsed="false">
      <c r="A20288" s="3" t="s">
        <v>499</v>
      </c>
      <c r="C20288" s="25" t="n">
        <f aca="false">IF(C20276&gt;0,C20284,C20268)</f>
        <v>1349.6193225</v>
      </c>
    </row>
    <row r="20289" customFormat="false" ht="15" hidden="false" customHeight="false" outlineLevel="0" collapsed="false">
      <c r="A20289" s="3" t="s">
        <v>500</v>
      </c>
      <c r="C20289" s="25" t="n">
        <f aca="false">IF(C20277&gt;0,C20285,C20269)</f>
        <v>6.40133166435848</v>
      </c>
    </row>
    <row r="20290" customFormat="false" ht="15" hidden="false" customHeight="false" outlineLevel="0" collapsed="false">
      <c r="A20290" s="3" t="s">
        <v>501</v>
      </c>
      <c r="C20290" s="25" t="n">
        <f aca="false">IF(C20278&gt;0,C20286,C20270)</f>
        <v>145.27734375</v>
      </c>
    </row>
    <row r="20291" customFormat="false" ht="15" hidden="false" customHeight="false" outlineLevel="0" collapsed="false">
      <c r="A20291" s="23" t="s">
        <v>507</v>
      </c>
      <c r="B20291" s="24"/>
      <c r="C20291" s="24"/>
      <c r="D20291" s="24"/>
      <c r="E20291" s="24"/>
      <c r="F20291" s="24"/>
      <c r="G20291" s="24"/>
      <c r="H20291" s="24"/>
      <c r="I20291" s="24"/>
      <c r="J20291" s="24"/>
      <c r="K20291" s="24"/>
    </row>
    <row r="20292" customFormat="false" ht="15" hidden="false" customHeight="false" outlineLevel="0" collapsed="false">
      <c r="A20292" s="3" t="s">
        <v>499</v>
      </c>
      <c r="C20292" s="20" t="n">
        <f aca="false">IF(C20276&gt;0,Assumptions!$C$17,C20272)</f>
        <v>1</v>
      </c>
    </row>
    <row r="20293" customFormat="false" ht="15" hidden="false" customHeight="false" outlineLevel="0" collapsed="false">
      <c r="A20293" s="3" t="s">
        <v>500</v>
      </c>
      <c r="C20293" s="20" t="n">
        <f aca="false">IF(C20277&gt;0,Assumptions!$C$17,C20273)</f>
        <v>2</v>
      </c>
    </row>
    <row r="20294" customFormat="false" ht="15" hidden="false" customHeight="false" outlineLevel="0" collapsed="false">
      <c r="A20294" s="3" t="s">
        <v>501</v>
      </c>
      <c r="C20294" s="20" t="n">
        <f aca="false">IF(C20278&gt;0,Assumptions!$C$17,C20274)</f>
        <v>2</v>
      </c>
    </row>
    <row r="20295" customFormat="false" ht="15" hidden="false" customHeight="false" outlineLevel="0" collapsed="false">
      <c r="A20295" s="23" t="s">
        <v>508</v>
      </c>
      <c r="B20295" s="24"/>
      <c r="C20295" s="24"/>
      <c r="D20295" s="24"/>
      <c r="E20295" s="24"/>
      <c r="F20295" s="24"/>
      <c r="G20295" s="24"/>
      <c r="H20295" s="24"/>
      <c r="I20295" s="24"/>
      <c r="J20295" s="24"/>
      <c r="K20295" s="24"/>
    </row>
    <row r="20296" customFormat="false" ht="15" hidden="false" customHeight="false" outlineLevel="0" collapsed="false">
      <c r="A20296" s="3" t="s">
        <v>499</v>
      </c>
      <c r="C20296" s="25" t="n">
        <f aca="false">SUMPRODUCT(($C$20292:$C$20294&lt;C20292)*$C$20288:$C$20290)</f>
        <v>0</v>
      </c>
    </row>
    <row r="20297" customFormat="false" ht="15" hidden="false" customHeight="false" outlineLevel="0" collapsed="false">
      <c r="A20297" s="3" t="s">
        <v>500</v>
      </c>
      <c r="C20297" s="25" t="n">
        <f aca="false">SUMPRODUCT(($C$20292:$C$20294&lt;C20293)*$C$20288:$C$20290)</f>
        <v>1349.6193225</v>
      </c>
    </row>
    <row r="20298" customFormat="false" ht="15" hidden="false" customHeight="false" outlineLevel="0" collapsed="false">
      <c r="A20298" s="3" t="s">
        <v>501</v>
      </c>
      <c r="C20298" s="25" t="n">
        <f aca="false">SUMPRODUCT(($C$20292:$C$20294&lt;C20294)*$C$20288:$C$20290)</f>
        <v>1349.6193225</v>
      </c>
    </row>
    <row r="20299" customFormat="false" ht="15" hidden="false" customHeight="false" outlineLevel="0" collapsed="false">
      <c r="A20299" s="23" t="s">
        <v>509</v>
      </c>
      <c r="B20299" s="24"/>
      <c r="C20299" s="24"/>
      <c r="D20299" s="24"/>
      <c r="E20299" s="24"/>
      <c r="F20299" s="24"/>
      <c r="G20299" s="24"/>
      <c r="H20299" s="24"/>
      <c r="I20299" s="24"/>
      <c r="J20299" s="24"/>
      <c r="K20299" s="24"/>
    </row>
    <row r="20300" customFormat="false" ht="15" hidden="false" customHeight="false" outlineLevel="0" collapsed="false">
      <c r="A20300" s="3" t="s">
        <v>499</v>
      </c>
      <c r="C20300" s="25" t="n">
        <f aca="false">SUMPRODUCT(($C$20292:$C$20294=C20292)*$C$20288:$C$20290)</f>
        <v>1349.6193225</v>
      </c>
    </row>
    <row r="20301" customFormat="false" ht="15" hidden="false" customHeight="false" outlineLevel="0" collapsed="false">
      <c r="A20301" s="3" t="s">
        <v>500</v>
      </c>
      <c r="C20301" s="25" t="n">
        <f aca="false">SUMPRODUCT(($C$20292:$C$20294=C20293)*$C$20288:$C$20290)</f>
        <v>151.678675414359</v>
      </c>
    </row>
    <row r="20302" customFormat="false" ht="15" hidden="false" customHeight="false" outlineLevel="0" collapsed="false">
      <c r="A20302" s="3" t="s">
        <v>501</v>
      </c>
      <c r="C20302" s="25" t="n">
        <f aca="false">SUMPRODUCT(($C$20292:$C$20294=C20294)*$C$20288:$C$20290)</f>
        <v>151.678675414359</v>
      </c>
    </row>
    <row r="20303" customFormat="false" ht="15" hidden="false" customHeight="false" outlineLevel="0" collapsed="false">
      <c r="A20303" s="23" t="s">
        <v>510</v>
      </c>
      <c r="B20303" s="24"/>
      <c r="C20303" s="24"/>
      <c r="D20303" s="24"/>
      <c r="E20303" s="24"/>
      <c r="F20303" s="24"/>
      <c r="G20303" s="24"/>
      <c r="H20303" s="24"/>
      <c r="I20303" s="24"/>
      <c r="J20303" s="24"/>
      <c r="K20303" s="24"/>
    </row>
    <row r="20304" customFormat="false" ht="15" hidden="false" customHeight="false" outlineLevel="0" collapsed="false">
      <c r="A20304" s="3" t="s">
        <v>499</v>
      </c>
      <c r="C20304" s="25" t="n">
        <f aca="false">IF(C20300=0,0,C20288/C20300*MAX(0,MIN(C20300,$C$20266-SUM($C$20280:$C$20282)-C20296)))</f>
        <v>616.859141842944</v>
      </c>
    </row>
    <row r="20305" customFormat="false" ht="15" hidden="false" customHeight="false" outlineLevel="0" collapsed="false">
      <c r="A20305" s="3" t="s">
        <v>500</v>
      </c>
      <c r="C20305" s="25" t="n">
        <f aca="false">IF(C20301=0,0,C20289/C20301*MAX(0,MIN(C20301,$C$20266-SUM($C$20280:$C$20282)-C20297)))</f>
        <v>0</v>
      </c>
    </row>
    <row r="20306" customFormat="false" ht="15" hidden="false" customHeight="false" outlineLevel="0" collapsed="false">
      <c r="A20306" s="3" t="s">
        <v>501</v>
      </c>
      <c r="C20306" s="25" t="n">
        <f aca="false">IF(C20302=0,0,C20290/C20302*MAX(0,MIN(C20302,$C$20266-SUM($C$20280:$C$20282)-C20298)))</f>
        <v>0</v>
      </c>
    </row>
    <row r="20307" customFormat="false" ht="15" hidden="false" customHeight="false" outlineLevel="0" collapsed="false">
      <c r="A20307" s="23" t="s">
        <v>511</v>
      </c>
      <c r="B20307" s="24"/>
      <c r="C20307" s="24"/>
      <c r="D20307" s="24"/>
      <c r="E20307" s="24"/>
      <c r="F20307" s="24"/>
      <c r="G20307" s="24"/>
      <c r="H20307" s="24"/>
      <c r="I20307" s="24"/>
      <c r="J20307" s="24"/>
      <c r="K20307" s="24"/>
    </row>
    <row r="20308" customFormat="false" ht="15" hidden="false" customHeight="false" outlineLevel="0" collapsed="false">
      <c r="A20308" s="2" t="s">
        <v>499</v>
      </c>
      <c r="C20308" s="16" t="n">
        <f aca="false">C20280+C20304</f>
        <v>616.859141842944</v>
      </c>
    </row>
    <row r="20309" customFormat="false" ht="15" hidden="false" customHeight="false" outlineLevel="0" collapsed="false">
      <c r="A20309" s="2" t="s">
        <v>500</v>
      </c>
      <c r="C20309" s="16" t="n">
        <f aca="false">C20281+C20305</f>
        <v>0</v>
      </c>
    </row>
    <row r="20310" customFormat="false" ht="15" hidden="false" customHeight="false" outlineLevel="0" collapsed="false">
      <c r="A20310" s="2" t="s">
        <v>501</v>
      </c>
      <c r="C20310" s="16" t="n">
        <f aca="false">C20282+C20306</f>
        <v>0</v>
      </c>
    </row>
    <row r="20311" customFormat="false" ht="15" hidden="false" customHeight="false" outlineLevel="0" collapsed="false">
      <c r="A20311" s="23" t="s">
        <v>512</v>
      </c>
      <c r="B20311" s="24"/>
      <c r="C20311" s="24"/>
      <c r="D20311" s="24"/>
      <c r="E20311" s="24"/>
      <c r="F20311" s="24"/>
      <c r="G20311" s="24"/>
      <c r="H20311" s="24"/>
      <c r="I20311" s="24"/>
      <c r="J20311" s="24"/>
      <c r="K20311" s="24"/>
    </row>
    <row r="20312" customFormat="false" ht="15" hidden="false" customHeight="false" outlineLevel="0" collapsed="false">
      <c r="A20312" s="3" t="s">
        <v>499</v>
      </c>
      <c r="C20312" s="21" t="n">
        <f aca="false">IF(C20268=0,1,C20308/C20268)</f>
        <v>0.457061581409704</v>
      </c>
    </row>
    <row r="20313" customFormat="false" ht="15" hidden="false" customHeight="false" outlineLevel="0" collapsed="false">
      <c r="A20313" s="3" t="s">
        <v>500</v>
      </c>
      <c r="C20313" s="21" t="n">
        <f aca="false">IF(C20269=0,1,C20309/C20269)</f>
        <v>0</v>
      </c>
    </row>
    <row r="20314" customFormat="false" ht="15" hidden="false" customHeight="false" outlineLevel="0" collapsed="false">
      <c r="A20314" s="3" t="s">
        <v>501</v>
      </c>
      <c r="C20314" s="21" t="n">
        <f aca="false">IF(C20270=0,1,C20310/C20270)</f>
        <v>0</v>
      </c>
    </row>
    <row r="20315" customFormat="false" ht="15" hidden="false" customHeight="false" outlineLevel="0" collapsed="false">
      <c r="A20315" s="23" t="s">
        <v>513</v>
      </c>
      <c r="B20315" s="24"/>
      <c r="C20315" s="24"/>
      <c r="D20315" s="24"/>
      <c r="E20315" s="24"/>
      <c r="F20315" s="24"/>
      <c r="G20315" s="24"/>
      <c r="H20315" s="24"/>
      <c r="I20315" s="24"/>
      <c r="J20315" s="24"/>
      <c r="K20315" s="24"/>
    </row>
    <row r="20316" customFormat="false" ht="15" hidden="false" customHeight="false" outlineLevel="0" collapsed="false">
      <c r="A20316" s="3" t="s">
        <v>499</v>
      </c>
      <c r="C20316" s="25" t="n">
        <f aca="false">C20268-C20308</f>
        <v>732.760180657056</v>
      </c>
    </row>
    <row r="20317" customFormat="false" ht="15" hidden="false" customHeight="false" outlineLevel="0" collapsed="false">
      <c r="A20317" s="3" t="s">
        <v>500</v>
      </c>
      <c r="C20317" s="25" t="n">
        <f aca="false">C20269-C20309</f>
        <v>6.40133166435848</v>
      </c>
    </row>
    <row r="20318" customFormat="false" ht="15" hidden="false" customHeight="false" outlineLevel="0" collapsed="false">
      <c r="A20318" s="3" t="s">
        <v>501</v>
      </c>
      <c r="C20318" s="25" t="n">
        <f aca="false">C20270-C20310</f>
        <v>145.27734375</v>
      </c>
    </row>
    <row r="20319" customFormat="false" ht="15" hidden="false" customHeight="false" outlineLevel="0" collapsed="false">
      <c r="A20319" s="23" t="s">
        <v>514</v>
      </c>
      <c r="B20319" s="24"/>
      <c r="C20319" s="24"/>
      <c r="D20319" s="24"/>
      <c r="E20319" s="24"/>
      <c r="F20319" s="24"/>
      <c r="G20319" s="24"/>
      <c r="H20319" s="24"/>
      <c r="I20319" s="24"/>
      <c r="J20319" s="24"/>
      <c r="K20319" s="24"/>
    </row>
    <row r="20320" customFormat="false" ht="15" hidden="false" customHeight="false" outlineLevel="0" collapsed="false">
      <c r="A20320" s="3" t="s">
        <v>499</v>
      </c>
      <c r="C20320" s="21" t="n">
        <f aca="false">IF(C20268=0,0,C20316/C20268)</f>
        <v>0.542938418590296</v>
      </c>
    </row>
    <row r="20321" customFormat="false" ht="15" hidden="false" customHeight="false" outlineLevel="0" collapsed="false">
      <c r="A20321" s="3" t="s">
        <v>500</v>
      </c>
      <c r="C20321" s="21" t="n">
        <f aca="false">IF(C20269=0,0,C20317/C20269)</f>
        <v>1</v>
      </c>
    </row>
    <row r="20322" customFormat="false" ht="15" hidden="false" customHeight="false" outlineLevel="0" collapsed="false">
      <c r="A20322" s="3" t="s">
        <v>501</v>
      </c>
      <c r="C20322" s="21" t="n">
        <f aca="false">IF(C20270=0,0,C20318/C20270)</f>
        <v>1</v>
      </c>
    </row>
    <row r="20323" customFormat="false" ht="15" hidden="false" customHeight="false" outlineLevel="0" collapsed="false">
      <c r="A20323" s="2" t="s">
        <v>515</v>
      </c>
      <c r="C20323" s="16" t="n">
        <f aca="false">MAX(0,$C$20266-SUM($C$20280:$C$20282)-SUM($C$20288:$C$20290))</f>
        <v>0</v>
      </c>
    </row>
    <row r="20324" customFormat="false" ht="15" hidden="false" customHeight="false" outlineLevel="0" collapsed="false">
      <c r="A20324" s="3" t="s">
        <v>516</v>
      </c>
      <c r="C20324" s="25" t="n">
        <f aca="false">SUM($C$20308:$C$20310)+C20323+C20265-C20264</f>
        <v>0</v>
      </c>
    </row>
    <row r="20326" customFormat="false" ht="15" hidden="false" customHeight="false" outlineLevel="0" collapsed="false">
      <c r="A20326" s="23" t="s">
        <v>519</v>
      </c>
      <c r="B20326" s="24"/>
      <c r="C20326" s="24"/>
      <c r="D20326" s="24"/>
      <c r="E20326" s="24"/>
      <c r="F20326" s="24"/>
      <c r="G20326" s="24"/>
      <c r="H20326" s="24"/>
      <c r="I20326" s="24"/>
      <c r="J20326" s="24"/>
      <c r="K20326" s="24"/>
    </row>
    <row r="20327" customFormat="false" ht="15" hidden="false" customHeight="false" outlineLevel="0" collapsed="false">
      <c r="A20327" s="3" t="s">
        <v>520</v>
      </c>
      <c r="C20327" s="27" t="n">
        <f aca="false">Assumptions!$C$33</f>
        <v>1</v>
      </c>
    </row>
    <row r="20328" customFormat="false" ht="15" hidden="false" customHeight="false" outlineLevel="0" collapsed="false">
      <c r="A20328" s="3" t="s">
        <v>521</v>
      </c>
      <c r="C20328" s="29" t="n">
        <f aca="false">Assumptions!$C$34</f>
        <v>100</v>
      </c>
    </row>
    <row r="20329" customFormat="false" ht="15" hidden="false" customHeight="false" outlineLevel="0" collapsed="false">
      <c r="A20329" s="3" t="s">
        <v>522</v>
      </c>
      <c r="C20329" s="40" t="n">
        <f aca="false">Assumptions!$C$35</f>
        <v>95</v>
      </c>
    </row>
    <row r="20330" customFormat="false" ht="15" hidden="false" customHeight="false" outlineLevel="0" collapsed="false">
      <c r="A20330" s="3" t="s">
        <v>523</v>
      </c>
      <c r="C20330" s="25" t="n">
        <f aca="false">C20328*C20329/100*(1+Assumptions!$C$36)</f>
        <v>95</v>
      </c>
    </row>
    <row r="20331" customFormat="false" ht="15" hidden="false" customHeight="false" outlineLevel="0" collapsed="false">
      <c r="A20331" s="3" t="s">
        <v>524</v>
      </c>
      <c r="C20331" s="27" t="n">
        <f aca="false">Assumptions!$C$37</f>
        <v>3</v>
      </c>
    </row>
    <row r="20332" customFormat="false" ht="15" hidden="false" customHeight="false" outlineLevel="0" collapsed="false">
      <c r="A20332" s="3" t="s">
        <v>525</v>
      </c>
      <c r="C20332" s="20" t="n">
        <f aca="false">IF(C20257=1,SUMPRODUCT($G$20209:$K$20209,$G$20102:$K$20102),0)</f>
        <v>3</v>
      </c>
    </row>
    <row r="20333" customFormat="false" ht="15" hidden="false" customHeight="false" outlineLevel="0" collapsed="false">
      <c r="A20333" s="3" t="s">
        <v>526</v>
      </c>
      <c r="C20333" s="21" t="n">
        <f aca="false">IFERROR(C20328/CHOOSE(C20327,SUMPRODUCT($G$20256:$K$20256,$G$20148:$K$20148),SUMPRODUCT($G$20256:$K$20256,$G$20161:$K$20161),SUMPRODUCT($G$20256:$K$20256,$G$20174:$K$20174)),0)</f>
        <v>0.0760399605200525</v>
      </c>
    </row>
    <row r="20334" customFormat="false" ht="15" hidden="false" customHeight="false" outlineLevel="0" collapsed="false">
      <c r="A20334" s="3" t="s">
        <v>527</v>
      </c>
      <c r="C20334" s="25" t="n">
        <f aca="false">CHOOSE(C20327,C20308,C20309,C20310)*C20333</f>
        <v>46.9059447921709</v>
      </c>
    </row>
    <row r="20335" customFormat="false" ht="15" hidden="false" customHeight="false" outlineLevel="0" collapsed="false">
      <c r="A20335" s="3" t="s">
        <v>528</v>
      </c>
      <c r="C20335" s="21" t="n">
        <f aca="false">CHOOSE(C20327,C20312,C20313,C20314)</f>
        <v>0.457061581409704</v>
      </c>
    </row>
    <row r="20336" customFormat="false" ht="15" hidden="false" customHeight="false" outlineLevel="0" collapsed="false">
      <c r="A20336" s="3" t="s">
        <v>529</v>
      </c>
      <c r="C20336" s="20" t="n">
        <f aca="false">IF(C20257=1,C20332,C20331)</f>
        <v>3</v>
      </c>
    </row>
    <row r="20337" customFormat="false" ht="15" hidden="false" customHeight="false" outlineLevel="0" collapsed="false">
      <c r="A20337" s="3" t="s">
        <v>530</v>
      </c>
      <c r="C20337" s="34" t="n">
        <f aca="false">CHOOSE($C$20094,Assumptions!$C$83,Assumptions!$C$102,Assumptions!$C$121)</f>
        <v>80</v>
      </c>
    </row>
    <row r="20338" customFormat="false" ht="15" hidden="false" customHeight="false" outlineLevel="0" collapsed="false">
      <c r="A20338" s="3" t="s">
        <v>531</v>
      </c>
      <c r="C20338" s="25" t="n">
        <f aca="false">INDEX($G$20111:$K$20111,C20331)*CHOOSE($C$20094,Assumptions!$C$82,Assumptions!$C$101,Assumptions!$C$120)+MAX(0,INDEX($G$20206:$K$20206,C20331))</f>
        <v>428.3744040576</v>
      </c>
    </row>
    <row r="20339" customFormat="false" ht="15" hidden="false" customHeight="false" outlineLevel="0" collapsed="false">
      <c r="A20339" s="23" t="s">
        <v>532</v>
      </c>
      <c r="B20339" s="24"/>
      <c r="C20339" s="24"/>
      <c r="D20339" s="24"/>
      <c r="E20339" s="24"/>
      <c r="F20339" s="24"/>
      <c r="G20339" s="24"/>
      <c r="H20339" s="24"/>
      <c r="I20339" s="24"/>
      <c r="J20339" s="24"/>
      <c r="K20339" s="24"/>
    </row>
    <row r="20340" customFormat="false" ht="15" hidden="false" customHeight="false" outlineLevel="0" collapsed="false">
      <c r="A20340" s="3" t="s">
        <v>499</v>
      </c>
      <c r="C20340" s="25" t="n">
        <f aca="false">INDEX($G$20148:$K$20148,C20331)</f>
        <v>1315.098</v>
      </c>
    </row>
    <row r="20341" customFormat="false" ht="15" hidden="false" customHeight="false" outlineLevel="0" collapsed="false">
      <c r="A20341" s="3" t="s">
        <v>500</v>
      </c>
      <c r="C20341" s="25" t="n">
        <f aca="false">INDEX($G$20161:$K$20161,C20331)</f>
        <v>6.33403256832008</v>
      </c>
    </row>
    <row r="20342" customFormat="false" ht="15" hidden="false" customHeight="false" outlineLevel="0" collapsed="false">
      <c r="A20342" s="3" t="s">
        <v>501</v>
      </c>
      <c r="C20342" s="25" t="n">
        <f aca="false">INDEX($G$20174:$K$20174,C20331)</f>
        <v>143.75</v>
      </c>
    </row>
    <row r="20343" customFormat="false" ht="15" hidden="false" customHeight="false" outlineLevel="0" collapsed="false">
      <c r="A20343" s="23" t="s">
        <v>502</v>
      </c>
      <c r="B20343" s="24"/>
      <c r="C20343" s="24"/>
      <c r="D20343" s="24"/>
      <c r="E20343" s="24"/>
      <c r="F20343" s="24"/>
      <c r="G20343" s="24"/>
      <c r="H20343" s="24"/>
      <c r="I20343" s="24"/>
      <c r="J20343" s="24"/>
      <c r="K20343" s="24"/>
    </row>
    <row r="20344" customFormat="false" ht="15" hidden="false" customHeight="false" outlineLevel="0" collapsed="false">
      <c r="A20344" s="3" t="s">
        <v>499</v>
      </c>
      <c r="C20344" s="27" t="n">
        <f aca="false">Assumptions!$M$56</f>
        <v>1</v>
      </c>
    </row>
    <row r="20345" customFormat="false" ht="15" hidden="false" customHeight="false" outlineLevel="0" collapsed="false">
      <c r="A20345" s="3" t="s">
        <v>500</v>
      </c>
      <c r="C20345" s="27" t="n">
        <f aca="false">Assumptions!$M$57</f>
        <v>2</v>
      </c>
    </row>
    <row r="20346" customFormat="false" ht="15" hidden="false" customHeight="false" outlineLevel="0" collapsed="false">
      <c r="A20346" s="3" t="s">
        <v>501</v>
      </c>
      <c r="C20346" s="27" t="n">
        <f aca="false">Assumptions!$M$58</f>
        <v>2</v>
      </c>
    </row>
    <row r="20347" customFormat="false" ht="15" hidden="false" customHeight="false" outlineLevel="0" collapsed="false">
      <c r="A20347" s="23" t="s">
        <v>503</v>
      </c>
      <c r="B20347" s="24"/>
      <c r="C20347" s="24"/>
      <c r="D20347" s="24"/>
      <c r="E20347" s="24"/>
      <c r="F20347" s="24"/>
      <c r="G20347" s="24"/>
      <c r="H20347" s="24"/>
      <c r="I20347" s="24"/>
      <c r="J20347" s="24"/>
      <c r="K20347" s="24"/>
    </row>
    <row r="20348" customFormat="false" ht="15" hidden="false" customHeight="false" outlineLevel="0" collapsed="false">
      <c r="A20348" s="3" t="s">
        <v>499</v>
      </c>
      <c r="C20348" s="35" t="n">
        <f aca="false">Assumptions!$Q$56</f>
        <v>0</v>
      </c>
    </row>
    <row r="20349" customFormat="false" ht="15" hidden="false" customHeight="false" outlineLevel="0" collapsed="false">
      <c r="A20349" s="3" t="s">
        <v>500</v>
      </c>
      <c r="C20349" s="35" t="n">
        <f aca="false">Assumptions!$Q$57</f>
        <v>0</v>
      </c>
    </row>
    <row r="20350" customFormat="false" ht="15" hidden="false" customHeight="false" outlineLevel="0" collapsed="false">
      <c r="A20350" s="3" t="s">
        <v>501</v>
      </c>
      <c r="C20350" s="35" t="n">
        <f aca="false">Assumptions!$Q$58</f>
        <v>0</v>
      </c>
    </row>
    <row r="20351" customFormat="false" ht="15" hidden="false" customHeight="false" outlineLevel="0" collapsed="false">
      <c r="A20351" s="23" t="s">
        <v>504</v>
      </c>
      <c r="B20351" s="24"/>
      <c r="C20351" s="24"/>
      <c r="D20351" s="24"/>
      <c r="E20351" s="24"/>
      <c r="F20351" s="24"/>
      <c r="G20351" s="24"/>
      <c r="H20351" s="24"/>
      <c r="I20351" s="24"/>
      <c r="J20351" s="24"/>
      <c r="K20351" s="24"/>
    </row>
    <row r="20352" customFormat="false" ht="15" hidden="false" customHeight="false" outlineLevel="0" collapsed="false">
      <c r="A20352" s="3" t="s">
        <v>499</v>
      </c>
      <c r="C20352" s="25" t="n">
        <f aca="false">IF(C20348&gt;0,MIN(C20340,C20348*$C$20338),0)</f>
        <v>0</v>
      </c>
    </row>
    <row r="20353" customFormat="false" ht="15" hidden="false" customHeight="false" outlineLevel="0" collapsed="false">
      <c r="A20353" s="3" t="s">
        <v>500</v>
      </c>
      <c r="C20353" s="25" t="n">
        <f aca="false">IF(C20349&gt;0,MIN(C20341,C20349*$C$20338),0)</f>
        <v>0</v>
      </c>
    </row>
    <row r="20354" customFormat="false" ht="15" hidden="false" customHeight="false" outlineLevel="0" collapsed="false">
      <c r="A20354" s="3" t="s">
        <v>501</v>
      </c>
      <c r="C20354" s="25" t="n">
        <f aca="false">IF(C20350&gt;0,MIN(C20342,C20350*$C$20338),0)</f>
        <v>0</v>
      </c>
    </row>
    <row r="20355" customFormat="false" ht="15" hidden="false" customHeight="false" outlineLevel="0" collapsed="false">
      <c r="A20355" s="23" t="s">
        <v>505</v>
      </c>
      <c r="B20355" s="24"/>
      <c r="C20355" s="24"/>
      <c r="D20355" s="24"/>
      <c r="E20355" s="24"/>
      <c r="F20355" s="24"/>
      <c r="G20355" s="24"/>
      <c r="H20355" s="24"/>
      <c r="I20355" s="24"/>
      <c r="J20355" s="24"/>
      <c r="K20355" s="24"/>
    </row>
    <row r="20356" customFormat="false" ht="15" hidden="false" customHeight="false" outlineLevel="0" collapsed="false">
      <c r="A20356" s="3" t="s">
        <v>499</v>
      </c>
      <c r="C20356" s="25" t="n">
        <f aca="false">IF(C20348&gt;0,C20340-C20352,0)</f>
        <v>0</v>
      </c>
    </row>
    <row r="20357" customFormat="false" ht="15" hidden="false" customHeight="false" outlineLevel="0" collapsed="false">
      <c r="A20357" s="3" t="s">
        <v>500</v>
      </c>
      <c r="C20357" s="25" t="n">
        <f aca="false">IF(C20349&gt;0,C20341-C20353,0)</f>
        <v>0</v>
      </c>
    </row>
    <row r="20358" customFormat="false" ht="15" hidden="false" customHeight="false" outlineLevel="0" collapsed="false">
      <c r="A20358" s="3" t="s">
        <v>501</v>
      </c>
      <c r="C20358" s="25" t="n">
        <f aca="false">IF(C20350&gt;0,C20342-C20354,0)</f>
        <v>0</v>
      </c>
    </row>
    <row r="20359" customFormat="false" ht="15" hidden="false" customHeight="false" outlineLevel="0" collapsed="false">
      <c r="A20359" s="23" t="s">
        <v>506</v>
      </c>
      <c r="B20359" s="24"/>
      <c r="C20359" s="24"/>
      <c r="D20359" s="24"/>
      <c r="E20359" s="24"/>
      <c r="F20359" s="24"/>
      <c r="G20359" s="24"/>
      <c r="H20359" s="24"/>
      <c r="I20359" s="24"/>
      <c r="J20359" s="24"/>
      <c r="K20359" s="24"/>
    </row>
    <row r="20360" customFormat="false" ht="15" hidden="false" customHeight="false" outlineLevel="0" collapsed="false">
      <c r="A20360" s="3" t="s">
        <v>499</v>
      </c>
      <c r="C20360" s="25" t="n">
        <f aca="false">IF(C20348&gt;0,C20356,C20340)</f>
        <v>1315.098</v>
      </c>
    </row>
    <row r="20361" customFormat="false" ht="15" hidden="false" customHeight="false" outlineLevel="0" collapsed="false">
      <c r="A20361" s="3" t="s">
        <v>500</v>
      </c>
      <c r="C20361" s="25" t="n">
        <f aca="false">IF(C20349&gt;0,C20357,C20341)</f>
        <v>6.33403256832008</v>
      </c>
    </row>
    <row r="20362" customFormat="false" ht="15" hidden="false" customHeight="false" outlineLevel="0" collapsed="false">
      <c r="A20362" s="3" t="s">
        <v>501</v>
      </c>
      <c r="C20362" s="25" t="n">
        <f aca="false">IF(C20350&gt;0,C20358,C20342)</f>
        <v>143.75</v>
      </c>
    </row>
    <row r="20363" customFormat="false" ht="15" hidden="false" customHeight="false" outlineLevel="0" collapsed="false">
      <c r="A20363" s="23" t="s">
        <v>507</v>
      </c>
      <c r="B20363" s="24"/>
      <c r="C20363" s="24"/>
      <c r="D20363" s="24"/>
      <c r="E20363" s="24"/>
      <c r="F20363" s="24"/>
      <c r="G20363" s="24"/>
      <c r="H20363" s="24"/>
      <c r="I20363" s="24"/>
      <c r="J20363" s="24"/>
      <c r="K20363" s="24"/>
    </row>
    <row r="20364" customFormat="false" ht="15" hidden="false" customHeight="false" outlineLevel="0" collapsed="false">
      <c r="A20364" s="3" t="s">
        <v>499</v>
      </c>
      <c r="C20364" s="20" t="n">
        <f aca="false">IF(C20348&gt;0,Assumptions!$C$17,C20344)</f>
        <v>1</v>
      </c>
    </row>
    <row r="20365" customFormat="false" ht="15" hidden="false" customHeight="false" outlineLevel="0" collapsed="false">
      <c r="A20365" s="3" t="s">
        <v>500</v>
      </c>
      <c r="C20365" s="20" t="n">
        <f aca="false">IF(C20349&gt;0,Assumptions!$C$17,C20345)</f>
        <v>2</v>
      </c>
    </row>
    <row r="20366" customFormat="false" ht="15" hidden="false" customHeight="false" outlineLevel="0" collapsed="false">
      <c r="A20366" s="3" t="s">
        <v>501</v>
      </c>
      <c r="C20366" s="20" t="n">
        <f aca="false">IF(C20350&gt;0,Assumptions!$C$17,C20346)</f>
        <v>2</v>
      </c>
    </row>
    <row r="20367" customFormat="false" ht="15" hidden="false" customHeight="false" outlineLevel="0" collapsed="false">
      <c r="A20367" s="23" t="s">
        <v>508</v>
      </c>
      <c r="B20367" s="24"/>
      <c r="C20367" s="24"/>
      <c r="D20367" s="24"/>
      <c r="E20367" s="24"/>
      <c r="F20367" s="24"/>
      <c r="G20367" s="24"/>
      <c r="H20367" s="24"/>
      <c r="I20367" s="24"/>
      <c r="J20367" s="24"/>
      <c r="K20367" s="24"/>
    </row>
    <row r="20368" customFormat="false" ht="15" hidden="false" customHeight="false" outlineLevel="0" collapsed="false">
      <c r="A20368" s="3" t="s">
        <v>499</v>
      </c>
      <c r="C20368" s="25" t="n">
        <f aca="false">SUMPRODUCT(($C$20364:$C$20366&lt;C20364)*$C$20360:$C$20362)</f>
        <v>0</v>
      </c>
    </row>
    <row r="20369" customFormat="false" ht="15" hidden="false" customHeight="false" outlineLevel="0" collapsed="false">
      <c r="A20369" s="3" t="s">
        <v>500</v>
      </c>
      <c r="C20369" s="25" t="n">
        <f aca="false">SUMPRODUCT(($C$20364:$C$20366&lt;C20365)*$C$20360:$C$20362)</f>
        <v>1315.098</v>
      </c>
    </row>
    <row r="20370" customFormat="false" ht="15" hidden="false" customHeight="false" outlineLevel="0" collapsed="false">
      <c r="A20370" s="3" t="s">
        <v>501</v>
      </c>
      <c r="C20370" s="25" t="n">
        <f aca="false">SUMPRODUCT(($C$20364:$C$20366&lt;C20366)*$C$20360:$C$20362)</f>
        <v>1315.098</v>
      </c>
    </row>
    <row r="20371" customFormat="false" ht="15" hidden="false" customHeight="false" outlineLevel="0" collapsed="false">
      <c r="A20371" s="23" t="s">
        <v>509</v>
      </c>
      <c r="B20371" s="24"/>
      <c r="C20371" s="24"/>
      <c r="D20371" s="24"/>
      <c r="E20371" s="24"/>
      <c r="F20371" s="24"/>
      <c r="G20371" s="24"/>
      <c r="H20371" s="24"/>
      <c r="I20371" s="24"/>
      <c r="J20371" s="24"/>
      <c r="K20371" s="24"/>
    </row>
    <row r="20372" customFormat="false" ht="15" hidden="false" customHeight="false" outlineLevel="0" collapsed="false">
      <c r="A20372" s="3" t="s">
        <v>499</v>
      </c>
      <c r="C20372" s="25" t="n">
        <f aca="false">SUMPRODUCT(($C$20364:$C$20366=C20364)*$C$20360:$C$20362)</f>
        <v>1315.098</v>
      </c>
    </row>
    <row r="20373" customFormat="false" ht="15" hidden="false" customHeight="false" outlineLevel="0" collapsed="false">
      <c r="A20373" s="3" t="s">
        <v>500</v>
      </c>
      <c r="C20373" s="25" t="n">
        <f aca="false">SUMPRODUCT(($C$20364:$C$20366=C20365)*$C$20360:$C$20362)</f>
        <v>150.08403256832</v>
      </c>
    </row>
    <row r="20374" customFormat="false" ht="15" hidden="false" customHeight="false" outlineLevel="0" collapsed="false">
      <c r="A20374" s="3" t="s">
        <v>501</v>
      </c>
      <c r="C20374" s="25" t="n">
        <f aca="false">SUMPRODUCT(($C$20364:$C$20366=C20366)*$C$20360:$C$20362)</f>
        <v>150.08403256832</v>
      </c>
    </row>
    <row r="20375" customFormat="false" ht="15" hidden="false" customHeight="false" outlineLevel="0" collapsed="false">
      <c r="A20375" s="23" t="s">
        <v>510</v>
      </c>
      <c r="B20375" s="24"/>
      <c r="C20375" s="24"/>
      <c r="D20375" s="24"/>
      <c r="E20375" s="24"/>
      <c r="F20375" s="24"/>
      <c r="G20375" s="24"/>
      <c r="H20375" s="24"/>
      <c r="I20375" s="24"/>
      <c r="J20375" s="24"/>
      <c r="K20375" s="24"/>
    </row>
    <row r="20376" customFormat="false" ht="15" hidden="false" customHeight="false" outlineLevel="0" collapsed="false">
      <c r="A20376" s="3" t="s">
        <v>499</v>
      </c>
      <c r="C20376" s="25" t="n">
        <f aca="false">IF(C20372=0,0,C20360/C20372*MAX(0,MIN(C20372,$C$20338-SUM($C$20352:$C$20354)-C20368)))</f>
        <v>428.3744040576</v>
      </c>
    </row>
    <row r="20377" customFormat="false" ht="15" hidden="false" customHeight="false" outlineLevel="0" collapsed="false">
      <c r="A20377" s="3" t="s">
        <v>500</v>
      </c>
      <c r="C20377" s="25" t="n">
        <f aca="false">IF(C20373=0,0,C20361/C20373*MAX(0,MIN(C20373,$C$20338-SUM($C$20352:$C$20354)-C20369)))</f>
        <v>0</v>
      </c>
    </row>
    <row r="20378" customFormat="false" ht="15" hidden="false" customHeight="false" outlineLevel="0" collapsed="false">
      <c r="A20378" s="3" t="s">
        <v>501</v>
      </c>
      <c r="C20378" s="25" t="n">
        <f aca="false">IF(C20374=0,0,C20362/C20374*MAX(0,MIN(C20374,$C$20338-SUM($C$20352:$C$20354)-C20370)))</f>
        <v>0</v>
      </c>
    </row>
    <row r="20379" customFormat="false" ht="15" hidden="false" customHeight="false" outlineLevel="0" collapsed="false">
      <c r="A20379" s="23" t="s">
        <v>511</v>
      </c>
      <c r="B20379" s="24"/>
      <c r="C20379" s="24"/>
      <c r="D20379" s="24"/>
      <c r="E20379" s="24"/>
      <c r="F20379" s="24"/>
      <c r="G20379" s="24"/>
      <c r="H20379" s="24"/>
      <c r="I20379" s="24"/>
      <c r="J20379" s="24"/>
      <c r="K20379" s="24"/>
    </row>
    <row r="20380" customFormat="false" ht="15" hidden="false" customHeight="false" outlineLevel="0" collapsed="false">
      <c r="A20380" s="2" t="s">
        <v>499</v>
      </c>
      <c r="C20380" s="16" t="n">
        <f aca="false">C20352+C20376</f>
        <v>428.3744040576</v>
      </c>
    </row>
    <row r="20381" customFormat="false" ht="15" hidden="false" customHeight="false" outlineLevel="0" collapsed="false">
      <c r="A20381" s="2" t="s">
        <v>500</v>
      </c>
      <c r="C20381" s="16" t="n">
        <f aca="false">C20353+C20377</f>
        <v>0</v>
      </c>
    </row>
    <row r="20382" customFormat="false" ht="15" hidden="false" customHeight="false" outlineLevel="0" collapsed="false">
      <c r="A20382" s="2" t="s">
        <v>501</v>
      </c>
      <c r="C20382" s="16" t="n">
        <f aca="false">C20354+C20378</f>
        <v>0</v>
      </c>
    </row>
    <row r="20383" customFormat="false" ht="15" hidden="false" customHeight="false" outlineLevel="0" collapsed="false">
      <c r="A20383" s="23" t="s">
        <v>512</v>
      </c>
      <c r="B20383" s="24"/>
      <c r="C20383" s="24"/>
      <c r="D20383" s="24"/>
      <c r="E20383" s="24"/>
      <c r="F20383" s="24"/>
      <c r="G20383" s="24"/>
      <c r="H20383" s="24"/>
      <c r="I20383" s="24"/>
      <c r="J20383" s="24"/>
      <c r="K20383" s="24"/>
    </row>
    <row r="20384" customFormat="false" ht="15" hidden="false" customHeight="false" outlineLevel="0" collapsed="false">
      <c r="A20384" s="3" t="s">
        <v>499</v>
      </c>
      <c r="C20384" s="21" t="n">
        <f aca="false">IF(C20340=0,1,C20380/C20340)</f>
        <v>0.325735727723409</v>
      </c>
    </row>
    <row r="20385" customFormat="false" ht="15" hidden="false" customHeight="false" outlineLevel="0" collapsed="false">
      <c r="A20385" s="3" t="s">
        <v>500</v>
      </c>
      <c r="C20385" s="21" t="n">
        <f aca="false">IF(C20341=0,1,C20381/C20341)</f>
        <v>0</v>
      </c>
    </row>
    <row r="20386" customFormat="false" ht="15" hidden="false" customHeight="false" outlineLevel="0" collapsed="false">
      <c r="A20386" s="3" t="s">
        <v>501</v>
      </c>
      <c r="C20386" s="21" t="n">
        <f aca="false">IF(C20342=0,1,C20382/C20342)</f>
        <v>0</v>
      </c>
    </row>
    <row r="20387" customFormat="false" ht="15" hidden="false" customHeight="false" outlineLevel="0" collapsed="false">
      <c r="A20387" s="23" t="s">
        <v>513</v>
      </c>
      <c r="B20387" s="24"/>
      <c r="C20387" s="24"/>
      <c r="D20387" s="24"/>
      <c r="E20387" s="24"/>
      <c r="F20387" s="24"/>
      <c r="G20387" s="24"/>
      <c r="H20387" s="24"/>
      <c r="I20387" s="24"/>
      <c r="J20387" s="24"/>
      <c r="K20387" s="24"/>
    </row>
    <row r="20388" customFormat="false" ht="15" hidden="false" customHeight="false" outlineLevel="0" collapsed="false">
      <c r="A20388" s="3" t="s">
        <v>499</v>
      </c>
      <c r="C20388" s="25" t="n">
        <f aca="false">C20340-C20380</f>
        <v>886.7235959424</v>
      </c>
    </row>
    <row r="20389" customFormat="false" ht="15" hidden="false" customHeight="false" outlineLevel="0" collapsed="false">
      <c r="A20389" s="3" t="s">
        <v>500</v>
      </c>
      <c r="C20389" s="25" t="n">
        <f aca="false">C20341-C20381</f>
        <v>6.33403256832008</v>
      </c>
    </row>
    <row r="20390" customFormat="false" ht="15" hidden="false" customHeight="false" outlineLevel="0" collapsed="false">
      <c r="A20390" s="3" t="s">
        <v>501</v>
      </c>
      <c r="C20390" s="25" t="n">
        <f aca="false">C20342-C20382</f>
        <v>143.75</v>
      </c>
    </row>
    <row r="20391" customFormat="false" ht="15" hidden="false" customHeight="false" outlineLevel="0" collapsed="false">
      <c r="A20391" s="23" t="s">
        <v>514</v>
      </c>
      <c r="B20391" s="24"/>
      <c r="C20391" s="24"/>
      <c r="D20391" s="24"/>
      <c r="E20391" s="24"/>
      <c r="F20391" s="24"/>
      <c r="G20391" s="24"/>
      <c r="H20391" s="24"/>
      <c r="I20391" s="24"/>
      <c r="J20391" s="24"/>
      <c r="K20391" s="24"/>
    </row>
    <row r="20392" customFormat="false" ht="15" hidden="false" customHeight="false" outlineLevel="0" collapsed="false">
      <c r="A20392" s="3" t="s">
        <v>499</v>
      </c>
      <c r="C20392" s="21" t="n">
        <f aca="false">IF(C20340=0,0,C20388/C20340)</f>
        <v>0.674264272276591</v>
      </c>
    </row>
    <row r="20393" customFormat="false" ht="15" hidden="false" customHeight="false" outlineLevel="0" collapsed="false">
      <c r="A20393" s="3" t="s">
        <v>500</v>
      </c>
      <c r="C20393" s="21" t="n">
        <f aca="false">IF(C20341=0,0,C20389/C20341)</f>
        <v>1</v>
      </c>
    </row>
    <row r="20394" customFormat="false" ht="15" hidden="false" customHeight="false" outlineLevel="0" collapsed="false">
      <c r="A20394" s="3" t="s">
        <v>501</v>
      </c>
      <c r="C20394" s="21" t="n">
        <f aca="false">IF(C20342=0,0,C20390/C20342)</f>
        <v>1</v>
      </c>
    </row>
    <row r="20395" customFormat="false" ht="15" hidden="false" customHeight="false" outlineLevel="0" collapsed="false">
      <c r="A20395" s="2" t="s">
        <v>515</v>
      </c>
      <c r="C20395" s="16" t="n">
        <f aca="false">MAX(0,$C$20338-SUM($C$20352:$C$20354)-SUM($C$20360:$C$20362))</f>
        <v>0</v>
      </c>
    </row>
    <row r="20396" customFormat="false" ht="15" hidden="false" customHeight="false" outlineLevel="0" collapsed="false">
      <c r="A20396" s="3" t="s">
        <v>533</v>
      </c>
      <c r="C20396" s="34" t="n">
        <f aca="false">MIN(C20337,100*CHOOSE(C20327,C20384,C20385,C20386))</f>
        <v>32.5735727723409</v>
      </c>
    </row>
    <row r="20397" customFormat="false" ht="15" hidden="false" customHeight="false" outlineLevel="0" collapsed="false">
      <c r="A20397" s="3" t="s">
        <v>534</v>
      </c>
      <c r="C20397" s="20" t="n">
        <f aca="false">IF(C20257=1,C20332+Assumptions!$C$39,C20331)</f>
        <v>4</v>
      </c>
    </row>
    <row r="20398" customFormat="false" ht="15" hidden="false" customHeight="false" outlineLevel="0" collapsed="false">
      <c r="A20398" s="23" t="s">
        <v>535</v>
      </c>
      <c r="B20398" s="24"/>
      <c r="C20398" s="24"/>
      <c r="D20398" s="24"/>
      <c r="E20398" s="24"/>
      <c r="F20398" s="24"/>
      <c r="G20398" s="24"/>
      <c r="H20398" s="24"/>
      <c r="I20398" s="24"/>
      <c r="J20398" s="24"/>
      <c r="K20398" s="24"/>
    </row>
    <row r="20399" customFormat="false" ht="15" hidden="false" customHeight="false" outlineLevel="0" collapsed="false">
      <c r="A20399" s="3" t="s">
        <v>536</v>
      </c>
      <c r="C20399" s="20" t="n">
        <f aca="false">COLUMN()-COLUMN($C$1)</f>
        <v>0</v>
      </c>
      <c r="D20399" s="20" t="n">
        <f aca="false">COLUMN()-COLUMN($C$1)</f>
        <v>1</v>
      </c>
      <c r="E20399" s="20" t="n">
        <f aca="false">COLUMN()-COLUMN($C$1)</f>
        <v>2</v>
      </c>
      <c r="F20399" s="20" t="n">
        <f aca="false">COLUMN()-COLUMN($C$1)</f>
        <v>3</v>
      </c>
      <c r="G20399" s="20" t="n">
        <f aca="false">COLUMN()-COLUMN($C$1)</f>
        <v>4</v>
      </c>
      <c r="H20399" s="20" t="n">
        <f aca="false">COLUMN()-COLUMN($C$1)</f>
        <v>5</v>
      </c>
      <c r="I20399" s="20" t="n">
        <f aca="false">COLUMN()-COLUMN($C$1)</f>
        <v>6</v>
      </c>
    </row>
    <row r="20400" customFormat="false" ht="15" hidden="false" customHeight="false" outlineLevel="0" collapsed="false">
      <c r="A20400" s="3" t="s">
        <v>537</v>
      </c>
      <c r="D20400" s="31" t="n">
        <f aca="false">CHOOSE($C$20327,G20140,G20153,G20166)</f>
        <v>0.105</v>
      </c>
      <c r="E20400" s="31" t="n">
        <f aca="false">CHOOSE($C$20327,H20140,H20153,H20166)</f>
        <v>0.105</v>
      </c>
      <c r="F20400" s="31" t="n">
        <f aca="false">CHOOSE($C$20327,I20140,I20153,I20166)</f>
        <v>0.105</v>
      </c>
      <c r="G20400" s="31" t="n">
        <f aca="false">CHOOSE($C$20327,J20140,J20153,J20166)</f>
        <v>0.105</v>
      </c>
      <c r="H20400" s="31" t="n">
        <f aca="false">CHOOSE($C$20327,K20140,K20153,K20166)</f>
        <v>0.105</v>
      </c>
    </row>
    <row r="20401" customFormat="false" ht="15" hidden="false" customHeight="false" outlineLevel="0" collapsed="false">
      <c r="A20401" s="3" t="s">
        <v>538</v>
      </c>
      <c r="D20401" s="25" t="n">
        <f aca="false">IF(D20399&lt;=$C$20336,$C$20328*D20400,0)</f>
        <v>10.5</v>
      </c>
      <c r="E20401" s="25" t="n">
        <f aca="false">IF(E20399&lt;=$C$20336,$C$20328*E20400,0)</f>
        <v>10.5</v>
      </c>
      <c r="F20401" s="25" t="n">
        <f aca="false">IF(F20399&lt;=$C$20336,$C$20328*F20400,0)</f>
        <v>10.5</v>
      </c>
      <c r="G20401" s="25" t="n">
        <f aca="false">IF(G20399&lt;=$C$20336,$C$20328*G20400,0)</f>
        <v>0</v>
      </c>
      <c r="H20401" s="25" t="n">
        <f aca="false">IF(H20399&lt;=$C$20336,$C$20328*H20400,0)</f>
        <v>0</v>
      </c>
    </row>
    <row r="20402" customFormat="false" ht="15" hidden="false" customHeight="false" outlineLevel="0" collapsed="false">
      <c r="A20402" s="3" t="s">
        <v>539</v>
      </c>
      <c r="D20402" s="25" t="n">
        <f aca="false">IF(AND($C$20257=0,D20399=$C$20331),$C$20328*$C$20396/100,0)+IF(AND($C$20257=1,D20399=$C$20397),$C$20334,0)</f>
        <v>0</v>
      </c>
      <c r="E20402" s="25" t="n">
        <f aca="false">IF(AND($C$20257=0,E20399=$C$20331),$C$20328*$C$20396/100,0)+IF(AND($C$20257=1,E20399=$C$20397),$C$20334,0)</f>
        <v>0</v>
      </c>
      <c r="F20402" s="25" t="n">
        <f aca="false">IF(AND($C$20257=0,F20399=$C$20331),$C$20328*$C$20396/100,0)+IF(AND($C$20257=1,F20399=$C$20397),$C$20334,0)</f>
        <v>0</v>
      </c>
      <c r="G20402" s="25" t="n">
        <f aca="false">IF(AND($C$20257=0,G20399=$C$20331),$C$20328*$C$20396/100,0)+IF(AND($C$20257=1,G20399=$C$20397),$C$20334,0)</f>
        <v>46.9059447921709</v>
      </c>
      <c r="H20402" s="25" t="n">
        <f aca="false">IF(AND($C$20257=0,H20399=$C$20331),$C$20328*$C$20396/100,0)+IF(AND($C$20257=1,H20399=$C$20397),$C$20334,0)</f>
        <v>0</v>
      </c>
      <c r="I20402" s="25" t="n">
        <f aca="false">IF(AND($C$20257=0,I20399=$C$20331),$C$20328*$C$20396/100,0)+IF(AND($C$20257=1,I20399=$C$20397),$C$20334,0)</f>
        <v>0</v>
      </c>
    </row>
    <row r="20403" customFormat="false" ht="15" hidden="false" customHeight="false" outlineLevel="0" collapsed="false">
      <c r="A20403" s="2" t="s">
        <v>540</v>
      </c>
      <c r="C20403" s="16" t="n">
        <f aca="false">-$C$20330</f>
        <v>-95</v>
      </c>
      <c r="D20403" s="16" t="n">
        <f aca="false">D20401+D20402</f>
        <v>10.5</v>
      </c>
      <c r="E20403" s="16" t="n">
        <f aca="false">E20401+E20402</f>
        <v>10.5</v>
      </c>
      <c r="F20403" s="16" t="n">
        <f aca="false">F20401+F20402</f>
        <v>10.5</v>
      </c>
      <c r="G20403" s="16" t="n">
        <f aca="false">G20401+G20402</f>
        <v>46.9059447921709</v>
      </c>
      <c r="H20403" s="16" t="n">
        <f aca="false">H20401+H20402</f>
        <v>0</v>
      </c>
      <c r="I20403" s="16" t="n">
        <f aca="false">I20401+I20402</f>
        <v>0</v>
      </c>
    </row>
    <row r="20404" customFormat="false" ht="15" hidden="false" customHeight="false" outlineLevel="0" collapsed="false">
      <c r="A20404" s="3" t="s">
        <v>541</v>
      </c>
      <c r="C20404" s="25" t="n">
        <f aca="false">SUM($C$20401:$I$20401)</f>
        <v>31.5</v>
      </c>
    </row>
    <row r="20405" customFormat="false" ht="15" hidden="false" customHeight="false" outlineLevel="0" collapsed="false">
      <c r="A20405" s="3" t="s">
        <v>542</v>
      </c>
      <c r="C20405" s="25" t="n">
        <f aca="false">SUM($C$20402:$I$20402)</f>
        <v>46.9059447921709</v>
      </c>
    </row>
    <row r="20406" customFormat="false" ht="15" hidden="false" customHeight="false" outlineLevel="0" collapsed="false">
      <c r="A20406" s="3" t="s">
        <v>543</v>
      </c>
      <c r="C20406" s="25" t="n">
        <f aca="false">C20404+C20405</f>
        <v>78.4059447921709</v>
      </c>
    </row>
    <row r="20407" customFormat="false" ht="15" hidden="false" customHeight="false" outlineLevel="0" collapsed="false">
      <c r="A20407" s="3" t="s">
        <v>544</v>
      </c>
      <c r="C20407" s="25" t="n">
        <f aca="false">C20405-C20328*C20329/100</f>
        <v>-48.0940552078291</v>
      </c>
    </row>
    <row r="20408" customFormat="false" ht="15" hidden="false" customHeight="false" outlineLevel="0" collapsed="false">
      <c r="A20408" s="3" t="s">
        <v>545</v>
      </c>
      <c r="C20408" s="25" t="n">
        <f aca="false">C20406-C20330</f>
        <v>-16.5940552078291</v>
      </c>
    </row>
    <row r="20409" customFormat="false" ht="15" hidden="false" customHeight="false" outlineLevel="0" collapsed="false">
      <c r="A20409" s="2" t="s">
        <v>427</v>
      </c>
      <c r="C20409" s="44" t="n">
        <f aca="false">C20406/C20330</f>
        <v>0.825325734654431</v>
      </c>
    </row>
    <row r="20410" customFormat="false" ht="15" hidden="false" customHeight="false" outlineLevel="0" collapsed="false">
      <c r="A20410" s="2" t="s">
        <v>426</v>
      </c>
      <c r="C20410" s="42" t="n">
        <f aca="false">IF(C20406&lt;=0,-1,IFERROR(IRR($C$20403:$I$20403,MAX(-0.9,C20409^(1/C20397)-1)),IRR($C$20403:$I$20403,0.1)))</f>
        <v>-0.0576657005811118</v>
      </c>
    </row>
    <row r="20411" customFormat="false" ht="15" hidden="false" customHeight="false" outlineLevel="0" collapsed="false">
      <c r="A20411" s="3" t="s">
        <v>546</v>
      </c>
      <c r="C20411" s="32" t="n">
        <f aca="false">MAX($G$20217:$K$20217)</f>
        <v>17.6426302993449</v>
      </c>
    </row>
    <row r="20412" customFormat="false" ht="15" hidden="false" customHeight="false" outlineLevel="0" collapsed="false">
      <c r="A20412" s="3" t="s">
        <v>547</v>
      </c>
      <c r="C20412" s="32" t="n">
        <f aca="false">MIN($G$20218:$K$20218)</f>
        <v>0.641091448545568</v>
      </c>
    </row>
    <row r="20413" customFormat="false" ht="15" hidden="false" customHeight="false" outlineLevel="0" collapsed="false">
      <c r="A20413" s="3" t="s">
        <v>548</v>
      </c>
      <c r="C20413" s="25" t="n">
        <f aca="false">SUM($G$20124:$K$20124)</f>
        <v>-362.406198194027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2026-10-09T00:34:44Z</dcterms:created>
  <dc:creator>openpyxl</dc:creator>
  <dc:description/>
  <dc:language>en-US</dc:language>
  <cp:lastModifiedBy/>
  <dcterms:modified xsi:type="dcterms:W3CDTF">2026-10-09T00:34:46Z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